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drawings/drawing5.xml" ContentType="application/vnd.openxmlformats-officedocument.drawing+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comments7.xml" ContentType="application/vnd.openxmlformats-officedocument.spreadsheetml.comments+xml"/>
  <Override PartName="/xl/threadedComments/threadedComment7.xml" ContentType="application/vnd.ms-excel.threadedcomments+xml"/>
  <Override PartName="/xl/comments8.xml" ContentType="application/vnd.openxmlformats-officedocument.spreadsheetml.comments+xml"/>
  <Override PartName="/xl/threadedComments/threadedComment8.xml" ContentType="application/vnd.ms-excel.threadedcomments+xml"/>
  <Override PartName="/xl/comments9.xml" ContentType="application/vnd.openxmlformats-officedocument.spreadsheetml.comments+xml"/>
  <Override PartName="/xl/threadedComments/threadedComment9.xml" ContentType="application/vnd.ms-excel.threadedcomments+xml"/>
  <Override PartName="/xl/drawings/drawing6.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codeName="EstaPasta_de_trabalho" defaultThemeVersion="124226"/>
  <mc:AlternateContent xmlns:mc="http://schemas.openxmlformats.org/markup-compatibility/2006">
    <mc:Choice Requires="x15">
      <x15ac:absPath xmlns:x15ac="http://schemas.microsoft.com/office/spreadsheetml/2010/11/ac" url="C:\Users\tatiana.mfaria\Documents\"/>
    </mc:Choice>
  </mc:AlternateContent>
  <xr:revisionPtr revIDLastSave="0" documentId="8_{DCD6AF68-876C-4C83-B73D-5ED94A99EED7}" xr6:coauthVersionLast="47" xr6:coauthVersionMax="47" xr10:uidLastSave="{00000000-0000-0000-0000-000000000000}"/>
  <bookViews>
    <workbookView xWindow="-120" yWindow="-120" windowWidth="29040" windowHeight="15720" tabRatio="962" firstSheet="1" activeTab="1" xr2:uid="{00000000-000D-0000-FFFF-FFFF00000000}"/>
  </bookViews>
  <sheets>
    <sheet name="DADOS DA OBRA" sheetId="551" state="hidden" r:id="rId1"/>
    <sheet name="CAPA - ORÇAMENTO" sheetId="858" r:id="rId2"/>
    <sheet name="CAPA - VANTAJOSIDADE" sheetId="848" r:id="rId3"/>
    <sheet name="VANTAJOSIDADE" sheetId="849" r:id="rId4"/>
    <sheet name="CAPA - ORÇAMENTO (SD)" sheetId="852" r:id="rId5"/>
    <sheet name="ORÇAMENTO RESUMO (SD)" sheetId="851" r:id="rId6"/>
    <sheet name="ORÇAMENTO SINTÉTICO (SD)" sheetId="809" r:id="rId7"/>
    <sheet name="COMPOSIÇÕES (SD)" sheetId="850" r:id="rId8"/>
    <sheet name="CRONOGRAMA (SD)" sheetId="808" r:id="rId9"/>
    <sheet name="CURVA ABC DE SERVIÇOS (SD)" sheetId="853" r:id="rId10"/>
    <sheet name="BDI NORMAL (SD) " sheetId="845" r:id="rId11"/>
    <sheet name="BDI DIFERENCIADO (SD) " sheetId="846" r:id="rId12"/>
    <sheet name="ENCARGOS SOCIAIS" sheetId="855" r:id="rId13"/>
    <sheet name="CAPA - ORÇAMENTO CD" sheetId="844" r:id="rId14"/>
    <sheet name="ORÇAMENTO SINTÉTICO (CD)" sheetId="847" r:id="rId15"/>
    <sheet name="BDI NORMAL (CD)" sheetId="843" r:id="rId16"/>
    <sheet name="BDI DIFERENCIADO (CD)" sheetId="840" r:id="rId17"/>
    <sheet name="CAPA - MEMORIAL DE CÁLCULO" sheetId="841" r:id="rId18"/>
    <sheet name="RESUMO LEVTO" sheetId="639" r:id="rId19"/>
    <sheet name="ADMINISTRAÇÃO LOCAL" sheetId="836" r:id="rId20"/>
    <sheet name="CANTEIRO" sheetId="830" r:id="rId21"/>
    <sheet name="SERVIÇOS PRELIMINARES" sheetId="835" r:id="rId22"/>
    <sheet name="DEMOLIÇÕES" sheetId="831" r:id="rId23"/>
    <sheet name="CAIXAS-MOV. TERRA" sheetId="743" r:id="rId24"/>
    <sheet name="CAIXAS-FUN-CONTENÇÕES" sheetId="814" r:id="rId25"/>
    <sheet name="CAIXAS-PAREDES" sheetId="825" r:id="rId26"/>
    <sheet name="CAIXAS-ESQUADRIAS" sheetId="699" r:id="rId27"/>
    <sheet name="CAIXAS-PAVIM" sheetId="718" r:id="rId28"/>
    <sheet name="RESERV-FUN-ESTACAS" sheetId="815" r:id="rId29"/>
    <sheet name="RESERV-FUN-BLOCO" sheetId="750" r:id="rId30"/>
    <sheet name="RESERV-EST-PILARES" sheetId="752" r:id="rId31"/>
    <sheet name="RESER-EST-VIGA" sheetId="757" r:id="rId32"/>
    <sheet name="RESER-EST-LAJE" sheetId="766" r:id="rId33"/>
    <sheet name="RESER-EST-LAJE CUBÍCULO" sheetId="839" r:id="rId34"/>
    <sheet name="RESER-PAREDES" sheetId="744" r:id="rId35"/>
    <sheet name="RESER-ESQUADRIAS" sheetId="826" r:id="rId36"/>
    <sheet name="RESERV-IMPERMEABILIZAÇÃO" sheetId="837" r:id="rId37"/>
    <sheet name="RESERV-REVESTIMENTOS" sheetId="838" r:id="rId38"/>
    <sheet name="RESERV-PAVIMENTAÇÃO" sheetId="834" r:id="rId39"/>
    <sheet name="RESER-ELE-ELETRODUTO E CABOS" sheetId="817" r:id="rId40"/>
    <sheet name="RESER-ELE-PEÇAS E CONEXÕES" sheetId="818" r:id="rId41"/>
    <sheet name="RESER-ELE-ESCAVAÇÕES" sheetId="819" r:id="rId42"/>
    <sheet name="RESER-SPDA-ELETRODUTO E CABOS" sheetId="820" r:id="rId43"/>
    <sheet name="RESER-SPDA-PEÇAS E CONEXÕES" sheetId="821" r:id="rId44"/>
    <sheet name="RESER-SPDA-ESCAVAÇÕES" sheetId="822" r:id="rId45"/>
    <sheet name="RESER-COMPLEMENTARES" sheetId="828" r:id="rId46"/>
    <sheet name="REDE ABAST-TUBOS E CONEXÕES" sheetId="823" r:id="rId47"/>
    <sheet name="REDE ABAST-MOV. TERRA" sheetId="824" r:id="rId48"/>
    <sheet name="REDE ABAST-CAIXAS e POÇOS" sheetId="829" r:id="rId49"/>
    <sheet name="REDE ABAST-ANCORAGEM" sheetId="833" r:id="rId50"/>
    <sheet name="REDE ABAST-PAVIMENTAÇÃO" sheetId="827" r:id="rId51"/>
    <sheet name="CAPA - MAPA DE COTAÇÕES" sheetId="856" r:id="rId52"/>
    <sheet name="COT-RESERVATÓRIO" sheetId="857" r:id="rId53"/>
  </sheets>
  <definedNames>
    <definedName name="_xlnm._FilterDatabase" localSheetId="46" hidden="1">'REDE ABAST-TUBOS E CONEXÕES'!$A$11:$AA$91</definedName>
    <definedName name="_xlnm.Print_Area" localSheetId="19">'ADMINISTRAÇÃO LOCAL'!$A$1:$P$31</definedName>
    <definedName name="_xlnm.Print_Area" localSheetId="16">'BDI DIFERENCIADO (CD)'!$A$1:$P$30</definedName>
    <definedName name="_xlnm.Print_Area" localSheetId="11">'BDI DIFERENCIADO (SD) '!$A$1:$P$30</definedName>
    <definedName name="_xlnm.Print_Area" localSheetId="15">'BDI NORMAL (CD)'!$A$1:$P$30</definedName>
    <definedName name="_xlnm.Print_Area" localSheetId="10">'BDI NORMAL (SD) '!$A$1:$P$30</definedName>
    <definedName name="_xlnm.Print_Area" localSheetId="26">'CAIXAS-ESQUADRIAS'!$A$1:$Z$31</definedName>
    <definedName name="_xlnm.Print_Area" localSheetId="24">'CAIXAS-FUN-CONTENÇÕES'!$A$1:$T$41</definedName>
    <definedName name="_xlnm.Print_Area" localSheetId="23">'CAIXAS-MOV. TERRA'!$A$1:$T$25</definedName>
    <definedName name="_xlnm.Print_Area" localSheetId="25">'CAIXAS-PAREDES'!$A$1:$P$22</definedName>
    <definedName name="_xlnm.Print_Area" localSheetId="27">'CAIXAS-PAVIM'!$A$1:$Y$26</definedName>
    <definedName name="_xlnm.Print_Area" localSheetId="20">CANTEIRO!$A$1:$P$105</definedName>
    <definedName name="_xlnm.Print_Area" localSheetId="51">'CAPA - MAPA DE COTAÇÕES'!$A$1:$P$27</definedName>
    <definedName name="_xlnm.Print_Area" localSheetId="17">'CAPA - MEMORIAL DE CÁLCULO'!$A$1:$P$27</definedName>
    <definedName name="_xlnm.Print_Area" localSheetId="1">'CAPA - ORÇAMENTO'!$A$1:$P$26</definedName>
    <definedName name="_xlnm.Print_Area" localSheetId="4">'CAPA - ORÇAMENTO (SD)'!$A$1:$P$27</definedName>
    <definedName name="_xlnm.Print_Area" localSheetId="13">'CAPA - ORÇAMENTO CD'!$A$1:$P$27</definedName>
    <definedName name="_xlnm.Print_Area" localSheetId="2">'CAPA - VANTAJOSIDADE'!$A$1:$P$27</definedName>
    <definedName name="_xlnm.Print_Area" localSheetId="52">'COT-RESERVATÓRIO'!$A$1:$R$35</definedName>
    <definedName name="_xlnm.Print_Area" localSheetId="8">'CRONOGRAMA (SD)'!$A$1:$U$68</definedName>
    <definedName name="_xlnm.Print_Area" localSheetId="0">'DADOS DA OBRA'!$A$1:$Q$31</definedName>
    <definedName name="_xlnm.Print_Area" localSheetId="22">DEMOLIÇÕES!$A$1:$O$43</definedName>
    <definedName name="_xlnm.Print_Area" localSheetId="12">'ENCARGOS SOCIAIS'!$A$1:$H$44</definedName>
    <definedName name="_xlnm.Print_Area" localSheetId="5">'ORÇAMENTO RESUMO (SD)'!$A$1:$L$29</definedName>
    <definedName name="_xlnm.Print_Area" localSheetId="14">'ORÇAMENTO SINTÉTICO (CD)'!$A$1:$M$285</definedName>
    <definedName name="_xlnm.Print_Area" localSheetId="6">'ORÇAMENTO SINTÉTICO (SD)'!$A$1:$M$285</definedName>
    <definedName name="_xlnm.Print_Area" localSheetId="49">'REDE ABAST-ANCORAGEM'!$A$1:$J$26</definedName>
    <definedName name="_xlnm.Print_Area" localSheetId="48">'REDE ABAST-CAIXAS e POÇOS'!$A$1:$Z$33</definedName>
    <definedName name="_xlnm.Print_Area" localSheetId="47">'REDE ABAST-MOV. TERRA'!$A$1:$P$29</definedName>
    <definedName name="_xlnm.Print_Area" localSheetId="50">'REDE ABAST-PAVIMENTAÇÃO'!$A$1:$Y$26</definedName>
    <definedName name="_xlnm.Print_Area" localSheetId="46">'REDE ABAST-TUBOS E CONEXÕES'!$A$1:$O$95</definedName>
    <definedName name="_xlnm.Print_Area" localSheetId="45">'RESER-COMPLEMENTARES'!$A$1:$Y$26</definedName>
    <definedName name="_xlnm.Print_Area" localSheetId="39">'RESER-ELE-ELETRODUTO E CABOS'!$A$1:$Q$42</definedName>
    <definedName name="_xlnm.Print_Area" localSheetId="41">'RESER-ELE-ESCAVAÇÕES'!$A$1:$R$28</definedName>
    <definedName name="_xlnm.Print_Area" localSheetId="40">'RESER-ELE-PEÇAS E CONEXÕES'!$A$1:$O$69</definedName>
    <definedName name="_xlnm.Print_Area" localSheetId="35">'RESER-ESQUADRIAS'!$A$1:$Z$31</definedName>
    <definedName name="_xlnm.Print_Area" localSheetId="32">'RESER-EST-LAJE'!$A$1:$AC$23</definedName>
    <definedName name="_xlnm.Print_Area" localSheetId="33">'RESER-EST-LAJE CUBÍCULO'!$A$1:$AC$21</definedName>
    <definedName name="_xlnm.Print_Area" localSheetId="31">'RESER-EST-VIGA'!$A$1:$AA$26</definedName>
    <definedName name="_xlnm.Print_Area" localSheetId="34">'RESER-PAREDES'!$A$1:$P$31</definedName>
    <definedName name="_xlnm.Print_Area" localSheetId="42">'RESER-SPDA-ELETRODUTO E CABOS'!$A$1:$R$38</definedName>
    <definedName name="_xlnm.Print_Area" localSheetId="44">'RESER-SPDA-ESCAVAÇÕES'!$A$1:$R$35</definedName>
    <definedName name="_xlnm.Print_Area" localSheetId="43">'RESER-SPDA-PEÇAS E CONEXÕES'!$A$1:$O$25</definedName>
    <definedName name="_xlnm.Print_Area" localSheetId="30">'RESERV-EST-PILARES'!$A$1:$X$24</definedName>
    <definedName name="_xlnm.Print_Area" localSheetId="29">'RESERV-FUN-BLOCO'!$A$1:$W$32</definedName>
    <definedName name="_xlnm.Print_Area" localSheetId="28">'RESERV-FUN-ESTACAS'!$A$1:$Q$25</definedName>
    <definedName name="_xlnm.Print_Area" localSheetId="36">'RESERV-IMPERMEABILIZAÇÃO'!$A$1:$Y$28</definedName>
    <definedName name="_xlnm.Print_Area" localSheetId="38">'RESERV-PAVIMENTAÇÃO'!$A$1:$Y$26</definedName>
    <definedName name="_xlnm.Print_Area" localSheetId="37">'RESERV-REVESTIMENTOS'!$A$1:$Y$29</definedName>
    <definedName name="_xlnm.Print_Area" localSheetId="18">'RESUMO LEVTO'!$A$1:$U$309</definedName>
    <definedName name="_xlnm.Print_Area" localSheetId="21">'SERVIÇOS PRELIMINARES'!$A$1:$O$98</definedName>
    <definedName name="_xlnm.Print_Area" localSheetId="3">VANTAJOSIDADE!$A$1:$P$26</definedName>
    <definedName name="_xlnm.Print_Titles" localSheetId="19">'ADMINISTRAÇÃO LOCAL'!$1:$8</definedName>
    <definedName name="_xlnm.Print_Titles" localSheetId="16">'BDI DIFERENCIADO (CD)'!$1:$7</definedName>
    <definedName name="_xlnm.Print_Titles" localSheetId="11">'BDI DIFERENCIADO (SD) '!$1:$7</definedName>
    <definedName name="_xlnm.Print_Titles" localSheetId="15">'BDI NORMAL (CD)'!$1:$7</definedName>
    <definedName name="_xlnm.Print_Titles" localSheetId="10">'BDI NORMAL (SD) '!$1:$7</definedName>
    <definedName name="_xlnm.Print_Titles" localSheetId="26">'CAIXAS-ESQUADRIAS'!$1:$10</definedName>
    <definedName name="_xlnm.Print_Titles" localSheetId="24">'CAIXAS-FUN-CONTENÇÕES'!$1:$11</definedName>
    <definedName name="_xlnm.Print_Titles" localSheetId="23">'CAIXAS-MOV. TERRA'!$1:$8</definedName>
    <definedName name="_xlnm.Print_Titles" localSheetId="25">'CAIXAS-PAREDES'!$1:$9</definedName>
    <definedName name="_xlnm.Print_Titles" localSheetId="27">'CAIXAS-PAVIM'!$1:$8</definedName>
    <definedName name="_xlnm.Print_Titles" localSheetId="20">CANTEIRO!$1:$8</definedName>
    <definedName name="_xlnm.Print_Titles" localSheetId="51">'CAPA - MAPA DE COTAÇÕES'!$1:$8</definedName>
    <definedName name="_xlnm.Print_Titles" localSheetId="17">'CAPA - MEMORIAL DE CÁLCULO'!$1:$8</definedName>
    <definedName name="_xlnm.Print_Titles" localSheetId="1">'CAPA - ORÇAMENTO'!$1:$8</definedName>
    <definedName name="_xlnm.Print_Titles" localSheetId="4">'CAPA - ORÇAMENTO (SD)'!$1:$8</definedName>
    <definedName name="_xlnm.Print_Titles" localSheetId="13">'CAPA - ORÇAMENTO CD'!$1:$8</definedName>
    <definedName name="_xlnm.Print_Titles" localSheetId="2">'CAPA - VANTAJOSIDADE'!$1:$8</definedName>
    <definedName name="_xlnm.Print_Titles" localSheetId="7">'COMPOSIÇÕES (SD)'!$1:$7</definedName>
    <definedName name="_xlnm.Print_Titles" localSheetId="8">'CRONOGRAMA (SD)'!$1:$13</definedName>
    <definedName name="_xlnm.Print_Titles" localSheetId="9">'CURVA ABC DE SERVIÇOS (SD)'!$1:$8</definedName>
    <definedName name="_xlnm.Print_Titles" localSheetId="22">DEMOLIÇÕES!$1:$7</definedName>
    <definedName name="_xlnm.Print_Titles" localSheetId="12">'ENCARGOS SOCIAIS'!#REF!</definedName>
    <definedName name="_xlnm.Print_Titles" localSheetId="5">'ORÇAMENTO RESUMO (SD)'!#REF!</definedName>
    <definedName name="_xlnm.Print_Titles" localSheetId="14">'ORÇAMENTO SINTÉTICO (CD)'!$1:$8</definedName>
    <definedName name="_xlnm.Print_Titles" localSheetId="6">'ORÇAMENTO SINTÉTICO (SD)'!$1:$8</definedName>
    <definedName name="_xlnm.Print_Titles" localSheetId="49">'REDE ABAST-ANCORAGEM'!$1:$8</definedName>
    <definedName name="_xlnm.Print_Titles" localSheetId="48">'REDE ABAST-CAIXAS e POÇOS'!$1:$11</definedName>
    <definedName name="_xlnm.Print_Titles" localSheetId="47">'REDE ABAST-MOV. TERRA'!$1:$8</definedName>
    <definedName name="_xlnm.Print_Titles" localSheetId="50">'REDE ABAST-PAVIMENTAÇÃO'!$1:$8</definedName>
    <definedName name="_xlnm.Print_Titles" localSheetId="46">'REDE ABAST-TUBOS E CONEXÕES'!$1:$11</definedName>
    <definedName name="_xlnm.Print_Titles" localSheetId="45">'RESER-COMPLEMENTARES'!$1:$8</definedName>
    <definedName name="_xlnm.Print_Titles" localSheetId="39">'RESER-ELE-ELETRODUTO E CABOS'!$1:$10</definedName>
    <definedName name="_xlnm.Print_Titles" localSheetId="41">'RESER-ELE-ESCAVAÇÕES'!$1:$10</definedName>
    <definedName name="_xlnm.Print_Titles" localSheetId="40">'RESER-ELE-PEÇAS E CONEXÕES'!$1:$11</definedName>
    <definedName name="_xlnm.Print_Titles" localSheetId="35">'RESER-ESQUADRIAS'!$1:$10</definedName>
    <definedName name="_xlnm.Print_Titles" localSheetId="32">'RESER-EST-LAJE'!$1:$11</definedName>
    <definedName name="_xlnm.Print_Titles" localSheetId="33">'RESER-EST-LAJE CUBÍCULO'!$1:$11</definedName>
    <definedName name="_xlnm.Print_Titles" localSheetId="31">'RESER-EST-VIGA'!$1:$11</definedName>
    <definedName name="_xlnm.Print_Titles" localSheetId="34">'RESER-PAREDES'!$1:$9</definedName>
    <definedName name="_xlnm.Print_Titles" localSheetId="42">'RESER-SPDA-ELETRODUTO E CABOS'!$1:$10</definedName>
    <definedName name="_xlnm.Print_Titles" localSheetId="44">'RESER-SPDA-ESCAVAÇÕES'!$1:$10</definedName>
    <definedName name="_xlnm.Print_Titles" localSheetId="30">'RESERV-EST-PILARES'!$1:$11</definedName>
    <definedName name="_xlnm.Print_Titles" localSheetId="29">'RESERV-FUN-BLOCO'!$1:$11</definedName>
    <definedName name="_xlnm.Print_Titles" localSheetId="28">'RESERV-FUN-ESTACAS'!$1:$11</definedName>
    <definedName name="_xlnm.Print_Titles" localSheetId="36">'RESERV-IMPERMEABILIZAÇÃO'!$1:$8</definedName>
    <definedName name="_xlnm.Print_Titles" localSheetId="38">'RESERV-PAVIMENTAÇÃO'!$1:$8</definedName>
    <definedName name="_xlnm.Print_Titles" localSheetId="37">'RESERV-REVESTIMENTOS'!$1:$8</definedName>
    <definedName name="_xlnm.Print_Titles" localSheetId="18">'RESUMO LEVTO'!$1:$14</definedName>
    <definedName name="_xlnm.Print_Titles" localSheetId="21">'SERVIÇOS PRELIMINARES'!$1:$7</definedName>
    <definedName name="_xlnm.Print_Titles" localSheetId="3">VANTAJOSIDADE!$1:$11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29" i="853" l="1"/>
  <c r="H228" i="853"/>
  <c r="H227" i="853"/>
  <c r="H226" i="853"/>
  <c r="H225" i="853"/>
  <c r="H224" i="853"/>
  <c r="H223" i="853"/>
  <c r="H222" i="853"/>
  <c r="H221" i="853"/>
  <c r="H220" i="853"/>
  <c r="D24" i="857"/>
  <c r="D30" i="857"/>
  <c r="D27" i="857"/>
  <c r="L15" i="857"/>
  <c r="K15" i="857"/>
  <c r="M15" i="857" s="1"/>
  <c r="H15" i="857"/>
  <c r="J15" i="857" s="1"/>
  <c r="J14" i="857"/>
  <c r="H14" i="857"/>
  <c r="K14" i="857" s="1"/>
  <c r="M14" i="857" s="1"/>
  <c r="J6" i="853"/>
  <c r="J5" i="853"/>
  <c r="J4" i="853"/>
  <c r="J3" i="853"/>
  <c r="K6" i="850"/>
  <c r="K5" i="850"/>
  <c r="K4" i="850"/>
  <c r="K3" i="850"/>
  <c r="K4" i="851"/>
  <c r="K3" i="851"/>
  <c r="K6" i="851"/>
  <c r="K5" i="851"/>
  <c r="H232" i="853"/>
  <c r="H231" i="853"/>
  <c r="H230" i="853"/>
  <c r="H219" i="853"/>
  <c r="H218" i="853"/>
  <c r="H217" i="853"/>
  <c r="H216" i="853"/>
  <c r="H215" i="853"/>
  <c r="H214" i="853"/>
  <c r="H213" i="853"/>
  <c r="H212" i="853"/>
  <c r="H211" i="853"/>
  <c r="H210" i="853"/>
  <c r="H209" i="853"/>
  <c r="H208" i="853"/>
  <c r="H207" i="853"/>
  <c r="H206" i="853"/>
  <c r="H205" i="853"/>
  <c r="H204" i="853"/>
  <c r="H203" i="853"/>
  <c r="H202" i="853"/>
  <c r="H201" i="853"/>
  <c r="H200" i="853"/>
  <c r="H199" i="853"/>
  <c r="H198" i="853"/>
  <c r="H197" i="853"/>
  <c r="H196" i="853"/>
  <c r="H195" i="853"/>
  <c r="H194" i="853"/>
  <c r="H193" i="853"/>
  <c r="H192" i="853"/>
  <c r="H191" i="853"/>
  <c r="H190" i="853"/>
  <c r="H189" i="853"/>
  <c r="H188" i="853"/>
  <c r="H187" i="853"/>
  <c r="H186" i="853"/>
  <c r="H185" i="853"/>
  <c r="H184" i="853"/>
  <c r="H183" i="853"/>
  <c r="H182" i="853"/>
  <c r="H181" i="853"/>
  <c r="H180" i="853"/>
  <c r="H179" i="853"/>
  <c r="H178" i="853"/>
  <c r="H177" i="853"/>
  <c r="H176" i="853"/>
  <c r="H175" i="853"/>
  <c r="H174" i="853"/>
  <c r="H173" i="853"/>
  <c r="H172" i="853"/>
  <c r="H171" i="853"/>
  <c r="H170" i="853"/>
  <c r="H169" i="853"/>
  <c r="H168" i="853"/>
  <c r="H167" i="853"/>
  <c r="H166" i="853"/>
  <c r="H165" i="853"/>
  <c r="H164" i="853"/>
  <c r="H163" i="853"/>
  <c r="H162" i="853"/>
  <c r="H161" i="853"/>
  <c r="H160" i="853"/>
  <c r="H159" i="853"/>
  <c r="H158" i="853"/>
  <c r="H157" i="853"/>
  <c r="H156" i="853"/>
  <c r="H155" i="853"/>
  <c r="H154" i="853"/>
  <c r="H153" i="853"/>
  <c r="H152" i="853"/>
  <c r="H151" i="853"/>
  <c r="H150" i="853"/>
  <c r="H149" i="853"/>
  <c r="H148" i="853"/>
  <c r="H147" i="853"/>
  <c r="H146" i="853"/>
  <c r="H145" i="853"/>
  <c r="H144" i="853"/>
  <c r="H143" i="853"/>
  <c r="H142" i="853"/>
  <c r="H141" i="853"/>
  <c r="H140" i="853"/>
  <c r="H139" i="853"/>
  <c r="H138" i="853"/>
  <c r="H137" i="853"/>
  <c r="H136" i="853"/>
  <c r="H135" i="853"/>
  <c r="H134" i="853"/>
  <c r="H133" i="853"/>
  <c r="H132" i="853"/>
  <c r="H131" i="853"/>
  <c r="H130" i="853"/>
  <c r="H129" i="853"/>
  <c r="H128" i="853"/>
  <c r="H127" i="853"/>
  <c r="H126" i="853"/>
  <c r="H125" i="853"/>
  <c r="H124" i="853"/>
  <c r="H123" i="853"/>
  <c r="H122" i="853"/>
  <c r="H121" i="853"/>
  <c r="H120" i="853"/>
  <c r="H119" i="853"/>
  <c r="H118" i="853"/>
  <c r="H117" i="853"/>
  <c r="H116" i="853"/>
  <c r="H115" i="853"/>
  <c r="H114" i="853"/>
  <c r="H113" i="853"/>
  <c r="H112" i="853"/>
  <c r="H111" i="853"/>
  <c r="H110" i="853"/>
  <c r="H109" i="853"/>
  <c r="H108" i="853"/>
  <c r="H107" i="853"/>
  <c r="H106" i="853"/>
  <c r="H105" i="853"/>
  <c r="H104" i="853"/>
  <c r="H103" i="853"/>
  <c r="H102" i="853"/>
  <c r="H101" i="853"/>
  <c r="H100" i="853"/>
  <c r="H99" i="853"/>
  <c r="H98" i="853"/>
  <c r="H97" i="853"/>
  <c r="H96" i="853"/>
  <c r="H95" i="853"/>
  <c r="H94" i="853"/>
  <c r="H93" i="853"/>
  <c r="H92" i="853"/>
  <c r="H91" i="853"/>
  <c r="H90" i="853"/>
  <c r="H89" i="853"/>
  <c r="H88" i="853"/>
  <c r="H87" i="853"/>
  <c r="H86" i="853"/>
  <c r="H85" i="853"/>
  <c r="H84" i="853"/>
  <c r="H83" i="853"/>
  <c r="H82" i="853"/>
  <c r="H81" i="853"/>
  <c r="H80" i="853"/>
  <c r="H79" i="853"/>
  <c r="H78" i="853"/>
  <c r="H77" i="853"/>
  <c r="H76" i="853"/>
  <c r="H75" i="853"/>
  <c r="H74" i="853"/>
  <c r="H73" i="853"/>
  <c r="H72" i="853"/>
  <c r="H71" i="853"/>
  <c r="H70" i="853"/>
  <c r="H69" i="853"/>
  <c r="H68" i="853"/>
  <c r="H67" i="853"/>
  <c r="H66" i="853"/>
  <c r="H65" i="853"/>
  <c r="H64" i="853"/>
  <c r="H63" i="853"/>
  <c r="H62" i="853"/>
  <c r="H61" i="853"/>
  <c r="H60" i="853"/>
  <c r="H59" i="853"/>
  <c r="H58" i="853"/>
  <c r="H57" i="853"/>
  <c r="H56" i="853"/>
  <c r="H55" i="853"/>
  <c r="H54" i="853"/>
  <c r="H53" i="853"/>
  <c r="H52" i="853"/>
  <c r="H51" i="853"/>
  <c r="H50" i="853"/>
  <c r="H49" i="853"/>
  <c r="H48" i="853"/>
  <c r="H47" i="853"/>
  <c r="H46" i="853"/>
  <c r="H45" i="853"/>
  <c r="H44" i="853"/>
  <c r="H43" i="853"/>
  <c r="H42" i="853"/>
  <c r="H41" i="853"/>
  <c r="H40" i="853"/>
  <c r="H39" i="853"/>
  <c r="H38" i="853"/>
  <c r="H37" i="853"/>
  <c r="H36" i="853"/>
  <c r="H35" i="853"/>
  <c r="H34" i="853"/>
  <c r="H33" i="853"/>
  <c r="H32" i="853"/>
  <c r="H31" i="853"/>
  <c r="H30" i="853"/>
  <c r="H29" i="853"/>
  <c r="H28" i="853"/>
  <c r="H27" i="853"/>
  <c r="H26" i="853"/>
  <c r="H25" i="853"/>
  <c r="H24" i="853"/>
  <c r="H23" i="853"/>
  <c r="H22" i="853"/>
  <c r="H21" i="853"/>
  <c r="H20" i="853"/>
  <c r="H19" i="853"/>
  <c r="H18" i="853"/>
  <c r="H17" i="853"/>
  <c r="H16" i="853"/>
  <c r="H15" i="853"/>
  <c r="H14" i="853"/>
  <c r="H13" i="853"/>
  <c r="H12" i="853"/>
  <c r="H11" i="853"/>
  <c r="H10" i="853"/>
  <c r="H9" i="853"/>
  <c r="C3" i="851"/>
  <c r="C4" i="840"/>
  <c r="C4" i="843"/>
  <c r="C4" i="846"/>
  <c r="K25" i="851"/>
  <c r="K23" i="851"/>
  <c r="K22" i="851"/>
  <c r="K21" i="851"/>
  <c r="K20" i="851"/>
  <c r="K19" i="851"/>
  <c r="K18" i="851"/>
  <c r="K17" i="851"/>
  <c r="K16" i="851"/>
  <c r="K15" i="851"/>
  <c r="K14" i="851"/>
  <c r="K13" i="851"/>
  <c r="K12" i="851"/>
  <c r="K11" i="851"/>
  <c r="K10" i="851"/>
  <c r="K9" i="851"/>
  <c r="J281" i="809"/>
  <c r="K281" i="809" s="1"/>
  <c r="L281" i="809" s="1"/>
  <c r="I281" i="809"/>
  <c r="J280" i="809"/>
  <c r="K280" i="809" s="1"/>
  <c r="L280" i="809" s="1"/>
  <c r="L279" i="809" s="1"/>
  <c r="I280" i="809"/>
  <c r="K279" i="809"/>
  <c r="I279" i="809"/>
  <c r="I278" i="809"/>
  <c r="K277" i="809"/>
  <c r="L277" i="809" s="1"/>
  <c r="J277" i="809"/>
  <c r="I277" i="809"/>
  <c r="J276" i="809"/>
  <c r="K276" i="809" s="1"/>
  <c r="L276" i="809" s="1"/>
  <c r="I276" i="809"/>
  <c r="J275" i="809"/>
  <c r="K275" i="809" s="1"/>
  <c r="L275" i="809" s="1"/>
  <c r="I275" i="809"/>
  <c r="J274" i="809"/>
  <c r="K274" i="809" s="1"/>
  <c r="L274" i="809" s="1"/>
  <c r="I274" i="809"/>
  <c r="J273" i="809"/>
  <c r="K273" i="809" s="1"/>
  <c r="L273" i="809" s="1"/>
  <c r="I273" i="809"/>
  <c r="J272" i="809"/>
  <c r="K272" i="809" s="1"/>
  <c r="L272" i="809" s="1"/>
  <c r="I272" i="809"/>
  <c r="J271" i="809"/>
  <c r="K271" i="809" s="1"/>
  <c r="L271" i="809" s="1"/>
  <c r="I271" i="809"/>
  <c r="K270" i="809"/>
  <c r="L270" i="809" s="1"/>
  <c r="J270" i="809"/>
  <c r="I270" i="809"/>
  <c r="J269" i="809"/>
  <c r="K269" i="809" s="1"/>
  <c r="L269" i="809" s="1"/>
  <c r="I269" i="809"/>
  <c r="J268" i="809"/>
  <c r="K268" i="809" s="1"/>
  <c r="L268" i="809" s="1"/>
  <c r="I268" i="809"/>
  <c r="J267" i="809"/>
  <c r="K267" i="809" s="1"/>
  <c r="L267" i="809" s="1"/>
  <c r="I267" i="809"/>
  <c r="J266" i="809"/>
  <c r="K266" i="809" s="1"/>
  <c r="L266" i="809" s="1"/>
  <c r="I266" i="809"/>
  <c r="J265" i="809"/>
  <c r="K265" i="809" s="1"/>
  <c r="L265" i="809" s="1"/>
  <c r="I265" i="809"/>
  <c r="J264" i="809"/>
  <c r="K264" i="809" s="1"/>
  <c r="L264" i="809" s="1"/>
  <c r="I264" i="809"/>
  <c r="J263" i="809"/>
  <c r="K263" i="809" s="1"/>
  <c r="L263" i="809" s="1"/>
  <c r="I263" i="809"/>
  <c r="J262" i="809"/>
  <c r="K262" i="809" s="1"/>
  <c r="L262" i="809" s="1"/>
  <c r="I262" i="809"/>
  <c r="J261" i="809"/>
  <c r="K261" i="809" s="1"/>
  <c r="L261" i="809" s="1"/>
  <c r="I261" i="809"/>
  <c r="J260" i="809"/>
  <c r="K260" i="809" s="1"/>
  <c r="L260" i="809" s="1"/>
  <c r="I260" i="809"/>
  <c r="J259" i="809"/>
  <c r="K259" i="809" s="1"/>
  <c r="L259" i="809" s="1"/>
  <c r="I259" i="809"/>
  <c r="J258" i="809"/>
  <c r="K258" i="809" s="1"/>
  <c r="L258" i="809" s="1"/>
  <c r="I258" i="809"/>
  <c r="J257" i="809"/>
  <c r="K257" i="809" s="1"/>
  <c r="L257" i="809" s="1"/>
  <c r="I257" i="809"/>
  <c r="J256" i="809"/>
  <c r="K256" i="809" s="1"/>
  <c r="L256" i="809" s="1"/>
  <c r="I256" i="809"/>
  <c r="J255" i="809"/>
  <c r="K255" i="809" s="1"/>
  <c r="L255" i="809" s="1"/>
  <c r="I255" i="809"/>
  <c r="J254" i="809"/>
  <c r="K254" i="809" s="1"/>
  <c r="L254" i="809" s="1"/>
  <c r="I254" i="809"/>
  <c r="J253" i="809"/>
  <c r="K253" i="809" s="1"/>
  <c r="L253" i="809" s="1"/>
  <c r="I253" i="809"/>
  <c r="J252" i="809"/>
  <c r="K252" i="809" s="1"/>
  <c r="L252" i="809" s="1"/>
  <c r="I252" i="809"/>
  <c r="J251" i="809"/>
  <c r="K251" i="809" s="1"/>
  <c r="L251" i="809" s="1"/>
  <c r="I251" i="809"/>
  <c r="J250" i="809"/>
  <c r="K250" i="809" s="1"/>
  <c r="L250" i="809" s="1"/>
  <c r="I250" i="809"/>
  <c r="J249" i="809"/>
  <c r="K249" i="809" s="1"/>
  <c r="L249" i="809" s="1"/>
  <c r="I249" i="809"/>
  <c r="J248" i="809"/>
  <c r="K248" i="809" s="1"/>
  <c r="L248" i="809" s="1"/>
  <c r="I248" i="809"/>
  <c r="J247" i="809"/>
  <c r="K247" i="809" s="1"/>
  <c r="L247" i="809" s="1"/>
  <c r="I247" i="809"/>
  <c r="J246" i="809"/>
  <c r="K246" i="809" s="1"/>
  <c r="L246" i="809" s="1"/>
  <c r="I246" i="809"/>
  <c r="L245" i="809"/>
  <c r="J245" i="809"/>
  <c r="K245" i="809" s="1"/>
  <c r="I245" i="809"/>
  <c r="J244" i="809"/>
  <c r="K244" i="809" s="1"/>
  <c r="L244" i="809" s="1"/>
  <c r="I244" i="809"/>
  <c r="J243" i="809"/>
  <c r="K243" i="809" s="1"/>
  <c r="L243" i="809" s="1"/>
  <c r="I243" i="809"/>
  <c r="J242" i="809"/>
  <c r="K242" i="809" s="1"/>
  <c r="L242" i="809" s="1"/>
  <c r="I242" i="809"/>
  <c r="K241" i="809"/>
  <c r="L241" i="809" s="1"/>
  <c r="J241" i="809"/>
  <c r="I241" i="809"/>
  <c r="J240" i="809"/>
  <c r="K240" i="809" s="1"/>
  <c r="L240" i="809" s="1"/>
  <c r="I240" i="809"/>
  <c r="J239" i="809"/>
  <c r="K239" i="809" s="1"/>
  <c r="L239" i="809" s="1"/>
  <c r="I239" i="809"/>
  <c r="J238" i="809"/>
  <c r="K238" i="809" s="1"/>
  <c r="L238" i="809" s="1"/>
  <c r="I238" i="809"/>
  <c r="J237" i="809"/>
  <c r="K237" i="809" s="1"/>
  <c r="L237" i="809" s="1"/>
  <c r="I237" i="809"/>
  <c r="J236" i="809"/>
  <c r="K236" i="809" s="1"/>
  <c r="L236" i="809" s="1"/>
  <c r="I236" i="809"/>
  <c r="J235" i="809"/>
  <c r="K235" i="809" s="1"/>
  <c r="L235" i="809" s="1"/>
  <c r="I235" i="809"/>
  <c r="K234" i="809"/>
  <c r="L234" i="809" s="1"/>
  <c r="J234" i="809"/>
  <c r="I234" i="809"/>
  <c r="J233" i="809"/>
  <c r="K233" i="809" s="1"/>
  <c r="L233" i="809" s="1"/>
  <c r="I233" i="809"/>
  <c r="J232" i="809"/>
  <c r="K232" i="809" s="1"/>
  <c r="L232" i="809" s="1"/>
  <c r="I232" i="809"/>
  <c r="J231" i="809"/>
  <c r="K231" i="809" s="1"/>
  <c r="L231" i="809" s="1"/>
  <c r="I231" i="809"/>
  <c r="J230" i="809"/>
  <c r="K230" i="809" s="1"/>
  <c r="L230" i="809" s="1"/>
  <c r="I230" i="809"/>
  <c r="J229" i="809"/>
  <c r="K229" i="809" s="1"/>
  <c r="L229" i="809" s="1"/>
  <c r="I229" i="809"/>
  <c r="J228" i="809"/>
  <c r="K228" i="809" s="1"/>
  <c r="L228" i="809" s="1"/>
  <c r="I228" i="809"/>
  <c r="J227" i="809"/>
  <c r="K227" i="809" s="1"/>
  <c r="L227" i="809" s="1"/>
  <c r="I227" i="809"/>
  <c r="J226" i="809"/>
  <c r="K226" i="809" s="1"/>
  <c r="L226" i="809" s="1"/>
  <c r="I226" i="809"/>
  <c r="J225" i="809"/>
  <c r="K225" i="809" s="1"/>
  <c r="L225" i="809" s="1"/>
  <c r="I225" i="809"/>
  <c r="J224" i="809"/>
  <c r="K224" i="809" s="1"/>
  <c r="L224" i="809" s="1"/>
  <c r="I224" i="809"/>
  <c r="L223" i="809"/>
  <c r="J223" i="809"/>
  <c r="K223" i="809" s="1"/>
  <c r="I223" i="809"/>
  <c r="J222" i="809"/>
  <c r="K222" i="809" s="1"/>
  <c r="L222" i="809" s="1"/>
  <c r="I222" i="809"/>
  <c r="J221" i="809"/>
  <c r="K221" i="809" s="1"/>
  <c r="L221" i="809" s="1"/>
  <c r="I221" i="809"/>
  <c r="J220" i="809"/>
  <c r="K220" i="809" s="1"/>
  <c r="L220" i="809" s="1"/>
  <c r="I220" i="809"/>
  <c r="J219" i="809"/>
  <c r="K219" i="809" s="1"/>
  <c r="L219" i="809" s="1"/>
  <c r="I219" i="809"/>
  <c r="J218" i="809"/>
  <c r="K218" i="809" s="1"/>
  <c r="L218" i="809" s="1"/>
  <c r="I218" i="809"/>
  <c r="J217" i="809"/>
  <c r="K217" i="809" s="1"/>
  <c r="L217" i="809" s="1"/>
  <c r="I217" i="809"/>
  <c r="J216" i="809"/>
  <c r="K216" i="809" s="1"/>
  <c r="L216" i="809" s="1"/>
  <c r="I216" i="809"/>
  <c r="J215" i="809"/>
  <c r="K215" i="809" s="1"/>
  <c r="L215" i="809" s="1"/>
  <c r="I215" i="809"/>
  <c r="J214" i="809"/>
  <c r="K214" i="809" s="1"/>
  <c r="L214" i="809" s="1"/>
  <c r="I214" i="809"/>
  <c r="J213" i="809"/>
  <c r="K213" i="809" s="1"/>
  <c r="L213" i="809" s="1"/>
  <c r="I213" i="809"/>
  <c r="J212" i="809"/>
  <c r="K212" i="809" s="1"/>
  <c r="L212" i="809" s="1"/>
  <c r="I212" i="809"/>
  <c r="J211" i="809"/>
  <c r="K211" i="809" s="1"/>
  <c r="L211" i="809" s="1"/>
  <c r="I211" i="809"/>
  <c r="J210" i="809"/>
  <c r="K210" i="809" s="1"/>
  <c r="L210" i="809" s="1"/>
  <c r="I210" i="809"/>
  <c r="L209" i="809"/>
  <c r="J209" i="809"/>
  <c r="K209" i="809" s="1"/>
  <c r="I209" i="809"/>
  <c r="J208" i="809"/>
  <c r="K208" i="809" s="1"/>
  <c r="L208" i="809" s="1"/>
  <c r="I208" i="809"/>
  <c r="J207" i="809"/>
  <c r="K207" i="809" s="1"/>
  <c r="L207" i="809" s="1"/>
  <c r="I207" i="809"/>
  <c r="J206" i="809"/>
  <c r="K206" i="809" s="1"/>
  <c r="L206" i="809" s="1"/>
  <c r="I206" i="809"/>
  <c r="K205" i="809"/>
  <c r="L205" i="809" s="1"/>
  <c r="J205" i="809"/>
  <c r="I205" i="809"/>
  <c r="J204" i="809"/>
  <c r="K204" i="809" s="1"/>
  <c r="L204" i="809" s="1"/>
  <c r="I204" i="809"/>
  <c r="J203" i="809"/>
  <c r="K203" i="809" s="1"/>
  <c r="L203" i="809" s="1"/>
  <c r="I203" i="809"/>
  <c r="J202" i="809"/>
  <c r="K202" i="809" s="1"/>
  <c r="L202" i="809" s="1"/>
  <c r="I202" i="809"/>
  <c r="J201" i="809"/>
  <c r="K201" i="809" s="1"/>
  <c r="L201" i="809" s="1"/>
  <c r="I201" i="809"/>
  <c r="J200" i="809"/>
  <c r="K200" i="809" s="1"/>
  <c r="L200" i="809" s="1"/>
  <c r="I200" i="809"/>
  <c r="J199" i="809"/>
  <c r="K199" i="809" s="1"/>
  <c r="L199" i="809" s="1"/>
  <c r="I199" i="809"/>
  <c r="K198" i="809"/>
  <c r="L198" i="809" s="1"/>
  <c r="J198" i="809"/>
  <c r="I198" i="809"/>
  <c r="J197" i="809"/>
  <c r="K197" i="809" s="1"/>
  <c r="L197" i="809" s="1"/>
  <c r="I197" i="809"/>
  <c r="J196" i="809"/>
  <c r="K196" i="809" s="1"/>
  <c r="L196" i="809" s="1"/>
  <c r="I196" i="809"/>
  <c r="J195" i="809"/>
  <c r="K195" i="809" s="1"/>
  <c r="L195" i="809" s="1"/>
  <c r="I195" i="809"/>
  <c r="J194" i="809"/>
  <c r="K194" i="809" s="1"/>
  <c r="L194" i="809" s="1"/>
  <c r="I194" i="809"/>
  <c r="J193" i="809"/>
  <c r="K193" i="809" s="1"/>
  <c r="L193" i="809" s="1"/>
  <c r="I193" i="809"/>
  <c r="J192" i="809"/>
  <c r="K192" i="809" s="1"/>
  <c r="L192" i="809" s="1"/>
  <c r="I192" i="809"/>
  <c r="L191" i="809"/>
  <c r="J191" i="809"/>
  <c r="K191" i="809" s="1"/>
  <c r="I191" i="809"/>
  <c r="K190" i="809"/>
  <c r="J189" i="809"/>
  <c r="K189" i="809" s="1"/>
  <c r="L189" i="809" s="1"/>
  <c r="I189" i="809"/>
  <c r="J188" i="809"/>
  <c r="K188" i="809" s="1"/>
  <c r="L188" i="809" s="1"/>
  <c r="I188" i="809"/>
  <c r="K187" i="809"/>
  <c r="L187" i="809" s="1"/>
  <c r="J187" i="809"/>
  <c r="I187" i="809"/>
  <c r="J186" i="809"/>
  <c r="K186" i="809" s="1"/>
  <c r="L186" i="809" s="1"/>
  <c r="I186" i="809"/>
  <c r="K185" i="809"/>
  <c r="L185" i="809" s="1"/>
  <c r="J185" i="809"/>
  <c r="I185" i="809"/>
  <c r="J184" i="809"/>
  <c r="K184" i="809" s="1"/>
  <c r="L184" i="809" s="1"/>
  <c r="I184" i="809"/>
  <c r="I177" i="809" s="1"/>
  <c r="L183" i="809"/>
  <c r="J183" i="809"/>
  <c r="K183" i="809" s="1"/>
  <c r="I183" i="809"/>
  <c r="J182" i="809"/>
  <c r="K182" i="809" s="1"/>
  <c r="L182" i="809" s="1"/>
  <c r="I182" i="809"/>
  <c r="J181" i="809"/>
  <c r="K181" i="809" s="1"/>
  <c r="L181" i="809" s="1"/>
  <c r="I181" i="809"/>
  <c r="K180" i="809"/>
  <c r="L180" i="809" s="1"/>
  <c r="J180" i="809"/>
  <c r="I180" i="809"/>
  <c r="K179" i="809"/>
  <c r="L179" i="809" s="1"/>
  <c r="J179" i="809"/>
  <c r="I179" i="809"/>
  <c r="J178" i="809"/>
  <c r="K178" i="809" s="1"/>
  <c r="L178" i="809" s="1"/>
  <c r="I178" i="809"/>
  <c r="K177" i="809"/>
  <c r="K176" i="809"/>
  <c r="L176" i="809" s="1"/>
  <c r="J176" i="809"/>
  <c r="I176" i="809"/>
  <c r="J175" i="809"/>
  <c r="K175" i="809" s="1"/>
  <c r="L175" i="809" s="1"/>
  <c r="I175" i="809"/>
  <c r="J174" i="809"/>
  <c r="K174" i="809" s="1"/>
  <c r="L174" i="809" s="1"/>
  <c r="I174" i="809"/>
  <c r="I172" i="809" s="1"/>
  <c r="I171" i="809" s="1"/>
  <c r="J173" i="809"/>
  <c r="K173" i="809" s="1"/>
  <c r="L173" i="809" s="1"/>
  <c r="I173" i="809"/>
  <c r="K172" i="809"/>
  <c r="K171" i="809"/>
  <c r="J170" i="809"/>
  <c r="K170" i="809" s="1"/>
  <c r="L170" i="809" s="1"/>
  <c r="I170" i="809"/>
  <c r="J169" i="809"/>
  <c r="K169" i="809" s="1"/>
  <c r="L169" i="809" s="1"/>
  <c r="I169" i="809"/>
  <c r="K168" i="809"/>
  <c r="L168" i="809" s="1"/>
  <c r="J168" i="809"/>
  <c r="I168" i="809"/>
  <c r="J167" i="809"/>
  <c r="K167" i="809" s="1"/>
  <c r="L167" i="809" s="1"/>
  <c r="I167" i="809"/>
  <c r="J166" i="809"/>
  <c r="K166" i="809" s="1"/>
  <c r="L166" i="809" s="1"/>
  <c r="I166" i="809"/>
  <c r="J165" i="809"/>
  <c r="K165" i="809" s="1"/>
  <c r="L165" i="809" s="1"/>
  <c r="I165" i="809"/>
  <c r="J164" i="809"/>
  <c r="K164" i="809" s="1"/>
  <c r="L164" i="809" s="1"/>
  <c r="I164" i="809"/>
  <c r="J163" i="809"/>
  <c r="K163" i="809" s="1"/>
  <c r="L163" i="809" s="1"/>
  <c r="I163" i="809"/>
  <c r="J162" i="809"/>
  <c r="K162" i="809" s="1"/>
  <c r="L162" i="809" s="1"/>
  <c r="I162" i="809"/>
  <c r="L161" i="809"/>
  <c r="K161" i="809"/>
  <c r="J161" i="809"/>
  <c r="I161" i="809"/>
  <c r="J160" i="809"/>
  <c r="K160" i="809" s="1"/>
  <c r="L160" i="809" s="1"/>
  <c r="I160" i="809"/>
  <c r="J159" i="809"/>
  <c r="K159" i="809" s="1"/>
  <c r="L159" i="809" s="1"/>
  <c r="I159" i="809"/>
  <c r="J158" i="809"/>
  <c r="K158" i="809" s="1"/>
  <c r="L158" i="809" s="1"/>
  <c r="I158" i="809"/>
  <c r="J157" i="809"/>
  <c r="K157" i="809" s="1"/>
  <c r="L157" i="809" s="1"/>
  <c r="I157" i="809"/>
  <c r="J156" i="809"/>
  <c r="K156" i="809" s="1"/>
  <c r="L156" i="809" s="1"/>
  <c r="I156" i="809"/>
  <c r="J155" i="809"/>
  <c r="K155" i="809" s="1"/>
  <c r="L155" i="809" s="1"/>
  <c r="I155" i="809"/>
  <c r="J154" i="809"/>
  <c r="K154" i="809" s="1"/>
  <c r="L154" i="809" s="1"/>
  <c r="I154" i="809"/>
  <c r="J153" i="809"/>
  <c r="K153" i="809" s="1"/>
  <c r="L153" i="809" s="1"/>
  <c r="I153" i="809"/>
  <c r="J152" i="809"/>
  <c r="K152" i="809" s="1"/>
  <c r="L152" i="809" s="1"/>
  <c r="I152" i="809"/>
  <c r="J151" i="809"/>
  <c r="K151" i="809" s="1"/>
  <c r="L151" i="809" s="1"/>
  <c r="I151" i="809"/>
  <c r="J150" i="809"/>
  <c r="K150" i="809" s="1"/>
  <c r="L150" i="809" s="1"/>
  <c r="I150" i="809"/>
  <c r="J149" i="809"/>
  <c r="K149" i="809" s="1"/>
  <c r="L149" i="809" s="1"/>
  <c r="I149" i="809"/>
  <c r="J148" i="809"/>
  <c r="K148" i="809" s="1"/>
  <c r="L148" i="809" s="1"/>
  <c r="I148" i="809"/>
  <c r="J147" i="809"/>
  <c r="K147" i="809" s="1"/>
  <c r="L147" i="809" s="1"/>
  <c r="I147" i="809"/>
  <c r="J146" i="809"/>
  <c r="K146" i="809" s="1"/>
  <c r="L146" i="809" s="1"/>
  <c r="I146" i="809"/>
  <c r="J145" i="809"/>
  <c r="K145" i="809" s="1"/>
  <c r="L145" i="809" s="1"/>
  <c r="I145" i="809"/>
  <c r="J144" i="809"/>
  <c r="K144" i="809" s="1"/>
  <c r="L144" i="809" s="1"/>
  <c r="I144" i="809"/>
  <c r="J143" i="809"/>
  <c r="K143" i="809" s="1"/>
  <c r="L143" i="809" s="1"/>
  <c r="I143" i="809"/>
  <c r="J142" i="809"/>
  <c r="K142" i="809" s="1"/>
  <c r="L142" i="809" s="1"/>
  <c r="I142" i="809"/>
  <c r="J141" i="809"/>
  <c r="K141" i="809" s="1"/>
  <c r="L141" i="809" s="1"/>
  <c r="I141" i="809"/>
  <c r="J140" i="809"/>
  <c r="K140" i="809" s="1"/>
  <c r="L140" i="809" s="1"/>
  <c r="I140" i="809"/>
  <c r="J139" i="809"/>
  <c r="K139" i="809" s="1"/>
  <c r="L139" i="809" s="1"/>
  <c r="I139" i="809"/>
  <c r="K138" i="809"/>
  <c r="J137" i="809"/>
  <c r="K137" i="809" s="1"/>
  <c r="L137" i="809" s="1"/>
  <c r="I137" i="809"/>
  <c r="K136" i="809"/>
  <c r="L136" i="809" s="1"/>
  <c r="J136" i="809"/>
  <c r="I136" i="809"/>
  <c r="J135" i="809"/>
  <c r="K135" i="809" s="1"/>
  <c r="L135" i="809" s="1"/>
  <c r="I135" i="809"/>
  <c r="J134" i="809"/>
  <c r="K134" i="809" s="1"/>
  <c r="L134" i="809" s="1"/>
  <c r="L133" i="809" s="1"/>
  <c r="I134" i="809"/>
  <c r="K133" i="809"/>
  <c r="K132" i="809"/>
  <c r="J131" i="809"/>
  <c r="K131" i="809" s="1"/>
  <c r="L131" i="809" s="1"/>
  <c r="L130" i="809" s="1"/>
  <c r="I131" i="809"/>
  <c r="K130" i="809"/>
  <c r="I130" i="809"/>
  <c r="J129" i="809"/>
  <c r="K129" i="809" s="1"/>
  <c r="L129" i="809" s="1"/>
  <c r="I129" i="809"/>
  <c r="J128" i="809"/>
  <c r="K128" i="809" s="1"/>
  <c r="L128" i="809" s="1"/>
  <c r="L127" i="809" s="1"/>
  <c r="I128" i="809"/>
  <c r="K127" i="809"/>
  <c r="I127" i="809"/>
  <c r="K126" i="809"/>
  <c r="J125" i="809"/>
  <c r="K125" i="809" s="1"/>
  <c r="L125" i="809" s="1"/>
  <c r="I125" i="809"/>
  <c r="J124" i="809"/>
  <c r="K124" i="809" s="1"/>
  <c r="L124" i="809" s="1"/>
  <c r="L123" i="809" s="1"/>
  <c r="I124" i="809"/>
  <c r="I123" i="809" s="1"/>
  <c r="K123" i="809"/>
  <c r="J122" i="809"/>
  <c r="K122" i="809" s="1"/>
  <c r="L122" i="809" s="1"/>
  <c r="I122" i="809"/>
  <c r="J121" i="809"/>
  <c r="K121" i="809" s="1"/>
  <c r="L121" i="809" s="1"/>
  <c r="I121" i="809"/>
  <c r="I119" i="809" s="1"/>
  <c r="I118" i="809" s="1"/>
  <c r="K120" i="809"/>
  <c r="L120" i="809" s="1"/>
  <c r="L119" i="809" s="1"/>
  <c r="L118" i="809" s="1"/>
  <c r="J120" i="809"/>
  <c r="I120" i="809"/>
  <c r="K119" i="809"/>
  <c r="K118" i="809"/>
  <c r="J117" i="809"/>
  <c r="K117" i="809" s="1"/>
  <c r="L117" i="809" s="1"/>
  <c r="I117" i="809"/>
  <c r="I116" i="809" s="1"/>
  <c r="L116" i="809"/>
  <c r="K116" i="809"/>
  <c r="J115" i="809"/>
  <c r="K115" i="809" s="1"/>
  <c r="L115" i="809" s="1"/>
  <c r="I115" i="809"/>
  <c r="J114" i="809"/>
  <c r="K114" i="809" s="1"/>
  <c r="L114" i="809" s="1"/>
  <c r="I114" i="809"/>
  <c r="I112" i="809" s="1"/>
  <c r="I111" i="809" s="1"/>
  <c r="K113" i="809"/>
  <c r="L113" i="809" s="1"/>
  <c r="L112" i="809" s="1"/>
  <c r="J113" i="809"/>
  <c r="I113" i="809"/>
  <c r="K112" i="809"/>
  <c r="K111" i="809"/>
  <c r="J110" i="809"/>
  <c r="K110" i="809" s="1"/>
  <c r="L110" i="809" s="1"/>
  <c r="L109" i="809" s="1"/>
  <c r="I110" i="809"/>
  <c r="I109" i="809" s="1"/>
  <c r="K109" i="809"/>
  <c r="J108" i="809"/>
  <c r="K108" i="809" s="1"/>
  <c r="L108" i="809" s="1"/>
  <c r="I108" i="809"/>
  <c r="J107" i="809"/>
  <c r="K107" i="809" s="1"/>
  <c r="L107" i="809" s="1"/>
  <c r="L106" i="809" s="1"/>
  <c r="L105" i="809" s="1"/>
  <c r="I107" i="809"/>
  <c r="K106" i="809"/>
  <c r="K105" i="809"/>
  <c r="J104" i="809"/>
  <c r="K104" i="809" s="1"/>
  <c r="L104" i="809" s="1"/>
  <c r="I104" i="809"/>
  <c r="J103" i="809"/>
  <c r="K103" i="809" s="1"/>
  <c r="L103" i="809" s="1"/>
  <c r="I103" i="809"/>
  <c r="J102" i="809"/>
  <c r="K102" i="809" s="1"/>
  <c r="L102" i="809" s="1"/>
  <c r="I102" i="809"/>
  <c r="J101" i="809"/>
  <c r="K101" i="809" s="1"/>
  <c r="L101" i="809" s="1"/>
  <c r="I101" i="809"/>
  <c r="J100" i="809"/>
  <c r="K100" i="809" s="1"/>
  <c r="L100" i="809" s="1"/>
  <c r="L98" i="809" s="1"/>
  <c r="L97" i="809" s="1"/>
  <c r="I100" i="809"/>
  <c r="J99" i="809"/>
  <c r="K99" i="809" s="1"/>
  <c r="L99" i="809" s="1"/>
  <c r="I99" i="809"/>
  <c r="K98" i="809"/>
  <c r="K97" i="809"/>
  <c r="K96" i="809"/>
  <c r="L96" i="809" s="1"/>
  <c r="J96" i="809"/>
  <c r="I96" i="809"/>
  <c r="J95" i="809"/>
  <c r="K95" i="809" s="1"/>
  <c r="L95" i="809" s="1"/>
  <c r="I95" i="809"/>
  <c r="J94" i="809"/>
  <c r="K94" i="809" s="1"/>
  <c r="L94" i="809" s="1"/>
  <c r="L93" i="809" s="1"/>
  <c r="I94" i="809"/>
  <c r="I93" i="809" s="1"/>
  <c r="K93" i="809"/>
  <c r="J92" i="809"/>
  <c r="K92" i="809" s="1"/>
  <c r="L92" i="809" s="1"/>
  <c r="L91" i="809" s="1"/>
  <c r="I92" i="809"/>
  <c r="I91" i="809" s="1"/>
  <c r="K91" i="809"/>
  <c r="J90" i="809"/>
  <c r="K90" i="809" s="1"/>
  <c r="L90" i="809" s="1"/>
  <c r="L88" i="809" s="1"/>
  <c r="I90" i="809"/>
  <c r="I88" i="809" s="1"/>
  <c r="J89" i="809"/>
  <c r="K89" i="809" s="1"/>
  <c r="L89" i="809" s="1"/>
  <c r="I89" i="809"/>
  <c r="K88" i="809"/>
  <c r="J87" i="809"/>
  <c r="K87" i="809" s="1"/>
  <c r="L87" i="809" s="1"/>
  <c r="I87" i="809"/>
  <c r="J86" i="809"/>
  <c r="K86" i="809" s="1"/>
  <c r="L86" i="809" s="1"/>
  <c r="I86" i="809"/>
  <c r="J85" i="809"/>
  <c r="K85" i="809" s="1"/>
  <c r="L85" i="809" s="1"/>
  <c r="I85" i="809"/>
  <c r="K84" i="809"/>
  <c r="L84" i="809" s="1"/>
  <c r="J84" i="809"/>
  <c r="I84" i="809"/>
  <c r="J83" i="809"/>
  <c r="K83" i="809" s="1"/>
  <c r="L83" i="809" s="1"/>
  <c r="I83" i="809"/>
  <c r="J82" i="809"/>
  <c r="K82" i="809" s="1"/>
  <c r="L82" i="809" s="1"/>
  <c r="I82" i="809"/>
  <c r="K81" i="809"/>
  <c r="I81" i="809"/>
  <c r="J80" i="809"/>
  <c r="K80" i="809" s="1"/>
  <c r="L80" i="809" s="1"/>
  <c r="L79" i="809" s="1"/>
  <c r="I80" i="809"/>
  <c r="K79" i="809"/>
  <c r="I79" i="809"/>
  <c r="K78" i="809"/>
  <c r="J77" i="809"/>
  <c r="K77" i="809" s="1"/>
  <c r="L77" i="809" s="1"/>
  <c r="I77" i="809"/>
  <c r="J76" i="809"/>
  <c r="K76" i="809" s="1"/>
  <c r="L76" i="809" s="1"/>
  <c r="I76" i="809"/>
  <c r="J75" i="809"/>
  <c r="K75" i="809" s="1"/>
  <c r="L75" i="809" s="1"/>
  <c r="I75" i="809"/>
  <c r="J74" i="809"/>
  <c r="K74" i="809" s="1"/>
  <c r="L74" i="809" s="1"/>
  <c r="I74" i="809"/>
  <c r="J73" i="809"/>
  <c r="K73" i="809" s="1"/>
  <c r="L73" i="809" s="1"/>
  <c r="I73" i="809"/>
  <c r="J72" i="809"/>
  <c r="K72" i="809" s="1"/>
  <c r="L72" i="809" s="1"/>
  <c r="I72" i="809"/>
  <c r="J71" i="809"/>
  <c r="K71" i="809" s="1"/>
  <c r="L71" i="809" s="1"/>
  <c r="I71" i="809"/>
  <c r="J70" i="809"/>
  <c r="K70" i="809" s="1"/>
  <c r="L70" i="809" s="1"/>
  <c r="I70" i="809"/>
  <c r="I69" i="809" s="1"/>
  <c r="L69" i="809"/>
  <c r="K69" i="809"/>
  <c r="J68" i="809"/>
  <c r="K68" i="809" s="1"/>
  <c r="L68" i="809" s="1"/>
  <c r="I68" i="809"/>
  <c r="J67" i="809"/>
  <c r="K67" i="809" s="1"/>
  <c r="L67" i="809" s="1"/>
  <c r="I67" i="809"/>
  <c r="J66" i="809"/>
  <c r="K66" i="809" s="1"/>
  <c r="L66" i="809" s="1"/>
  <c r="L62" i="809" s="1"/>
  <c r="I66" i="809"/>
  <c r="J65" i="809"/>
  <c r="K65" i="809" s="1"/>
  <c r="L65" i="809" s="1"/>
  <c r="I65" i="809"/>
  <c r="J64" i="809"/>
  <c r="K64" i="809" s="1"/>
  <c r="L64" i="809" s="1"/>
  <c r="I64" i="809"/>
  <c r="J63" i="809"/>
  <c r="K63" i="809" s="1"/>
  <c r="L63" i="809" s="1"/>
  <c r="I63" i="809"/>
  <c r="K62" i="809"/>
  <c r="J61" i="809"/>
  <c r="K61" i="809" s="1"/>
  <c r="L61" i="809" s="1"/>
  <c r="I61" i="809"/>
  <c r="J60" i="809"/>
  <c r="K60" i="809" s="1"/>
  <c r="L60" i="809" s="1"/>
  <c r="I60" i="809"/>
  <c r="J59" i="809"/>
  <c r="K59" i="809" s="1"/>
  <c r="L59" i="809" s="1"/>
  <c r="I59" i="809"/>
  <c r="K58" i="809"/>
  <c r="L58" i="809" s="1"/>
  <c r="J58" i="809"/>
  <c r="I58" i="809"/>
  <c r="J57" i="809"/>
  <c r="K57" i="809" s="1"/>
  <c r="L57" i="809" s="1"/>
  <c r="I57" i="809"/>
  <c r="J56" i="809"/>
  <c r="K56" i="809" s="1"/>
  <c r="L56" i="809" s="1"/>
  <c r="I56" i="809"/>
  <c r="L55" i="809"/>
  <c r="L52" i="809" s="1"/>
  <c r="L51" i="809" s="1"/>
  <c r="J55" i="809"/>
  <c r="K55" i="809" s="1"/>
  <c r="I55" i="809"/>
  <c r="J54" i="809"/>
  <c r="K54" i="809" s="1"/>
  <c r="L54" i="809" s="1"/>
  <c r="I54" i="809"/>
  <c r="J53" i="809"/>
  <c r="K53" i="809" s="1"/>
  <c r="L53" i="809" s="1"/>
  <c r="I53" i="809"/>
  <c r="K52" i="809"/>
  <c r="K51" i="809"/>
  <c r="J50" i="809"/>
  <c r="K50" i="809" s="1"/>
  <c r="L50" i="809" s="1"/>
  <c r="I50" i="809"/>
  <c r="J49" i="809"/>
  <c r="K49" i="809" s="1"/>
  <c r="L49" i="809" s="1"/>
  <c r="I49" i="809"/>
  <c r="J48" i="809"/>
  <c r="K48" i="809" s="1"/>
  <c r="L48" i="809" s="1"/>
  <c r="I48" i="809"/>
  <c r="J47" i="809"/>
  <c r="K47" i="809" s="1"/>
  <c r="L47" i="809" s="1"/>
  <c r="I47" i="809"/>
  <c r="J46" i="809"/>
  <c r="K46" i="809" s="1"/>
  <c r="L46" i="809" s="1"/>
  <c r="I46" i="809"/>
  <c r="J45" i="809"/>
  <c r="K45" i="809" s="1"/>
  <c r="L45" i="809" s="1"/>
  <c r="I45" i="809"/>
  <c r="J44" i="809"/>
  <c r="K44" i="809" s="1"/>
  <c r="L44" i="809" s="1"/>
  <c r="I44" i="809"/>
  <c r="J43" i="809"/>
  <c r="K43" i="809" s="1"/>
  <c r="L43" i="809" s="1"/>
  <c r="I43" i="809"/>
  <c r="J42" i="809"/>
  <c r="K42" i="809" s="1"/>
  <c r="L42" i="809" s="1"/>
  <c r="I42" i="809"/>
  <c r="J41" i="809"/>
  <c r="K41" i="809" s="1"/>
  <c r="L41" i="809" s="1"/>
  <c r="I41" i="809"/>
  <c r="J40" i="809"/>
  <c r="K40" i="809" s="1"/>
  <c r="L40" i="809" s="1"/>
  <c r="I40" i="809"/>
  <c r="J39" i="809"/>
  <c r="K39" i="809" s="1"/>
  <c r="L39" i="809" s="1"/>
  <c r="I39" i="809"/>
  <c r="K38" i="809"/>
  <c r="K37" i="809"/>
  <c r="L37" i="809" s="1"/>
  <c r="J37" i="809"/>
  <c r="I37" i="809"/>
  <c r="J36" i="809"/>
  <c r="K36" i="809" s="1"/>
  <c r="L36" i="809" s="1"/>
  <c r="I36" i="809"/>
  <c r="J35" i="809"/>
  <c r="K35" i="809" s="1"/>
  <c r="L35" i="809" s="1"/>
  <c r="I35" i="809"/>
  <c r="J34" i="809"/>
  <c r="K34" i="809" s="1"/>
  <c r="L34" i="809" s="1"/>
  <c r="I34" i="809"/>
  <c r="I32" i="809" s="1"/>
  <c r="L33" i="809"/>
  <c r="L32" i="809" s="1"/>
  <c r="J33" i="809"/>
  <c r="K33" i="809" s="1"/>
  <c r="I33" i="809"/>
  <c r="K32" i="809"/>
  <c r="J31" i="809"/>
  <c r="K31" i="809" s="1"/>
  <c r="L31" i="809" s="1"/>
  <c r="I31" i="809"/>
  <c r="J30" i="809"/>
  <c r="K30" i="809" s="1"/>
  <c r="L30" i="809" s="1"/>
  <c r="I30" i="809"/>
  <c r="J29" i="809"/>
  <c r="K29" i="809" s="1"/>
  <c r="L29" i="809" s="1"/>
  <c r="I29" i="809"/>
  <c r="J28" i="809"/>
  <c r="K28" i="809" s="1"/>
  <c r="L28" i="809" s="1"/>
  <c r="I28" i="809"/>
  <c r="K27" i="809"/>
  <c r="L27" i="809" s="1"/>
  <c r="J27" i="809"/>
  <c r="I27" i="809"/>
  <c r="J26" i="809"/>
  <c r="K26" i="809" s="1"/>
  <c r="L26" i="809" s="1"/>
  <c r="I26" i="809"/>
  <c r="J25" i="809"/>
  <c r="K25" i="809" s="1"/>
  <c r="L25" i="809" s="1"/>
  <c r="I25" i="809"/>
  <c r="K24" i="809"/>
  <c r="J23" i="809"/>
  <c r="K23" i="809" s="1"/>
  <c r="L23" i="809" s="1"/>
  <c r="I23" i="809"/>
  <c r="J22" i="809"/>
  <c r="K22" i="809" s="1"/>
  <c r="L22" i="809" s="1"/>
  <c r="I22" i="809"/>
  <c r="J21" i="809"/>
  <c r="K21" i="809" s="1"/>
  <c r="L21" i="809" s="1"/>
  <c r="I21" i="809"/>
  <c r="J20" i="809"/>
  <c r="K20" i="809" s="1"/>
  <c r="L20" i="809" s="1"/>
  <c r="I20" i="809"/>
  <c r="L19" i="809"/>
  <c r="K19" i="809"/>
  <c r="J19" i="809"/>
  <c r="I19" i="809"/>
  <c r="K18" i="809"/>
  <c r="L18" i="809" s="1"/>
  <c r="J18" i="809"/>
  <c r="I18" i="809"/>
  <c r="J17" i="809"/>
  <c r="K17" i="809" s="1"/>
  <c r="L17" i="809" s="1"/>
  <c r="I17" i="809"/>
  <c r="I14" i="809" s="1"/>
  <c r="K16" i="809"/>
  <c r="L16" i="809" s="1"/>
  <c r="J16" i="809"/>
  <c r="I16" i="809"/>
  <c r="J15" i="809"/>
  <c r="K15" i="809" s="1"/>
  <c r="L15" i="809" s="1"/>
  <c r="I15" i="809"/>
  <c r="K14" i="809"/>
  <c r="J13" i="809"/>
  <c r="K13" i="809" s="1"/>
  <c r="L13" i="809" s="1"/>
  <c r="I13" i="809"/>
  <c r="I9" i="809" s="1"/>
  <c r="J12" i="809"/>
  <c r="K12" i="809" s="1"/>
  <c r="L12" i="809" s="1"/>
  <c r="I12" i="809"/>
  <c r="J11" i="809"/>
  <c r="K11" i="809" s="1"/>
  <c r="L11" i="809" s="1"/>
  <c r="I11" i="809"/>
  <c r="J10" i="809"/>
  <c r="K10" i="809" s="1"/>
  <c r="L10" i="809" s="1"/>
  <c r="L9" i="809" s="1"/>
  <c r="I10" i="809"/>
  <c r="J117" i="847"/>
  <c r="I281" i="847"/>
  <c r="I279" i="847" s="1"/>
  <c r="I280" i="847"/>
  <c r="I278" i="847"/>
  <c r="I277" i="847"/>
  <c r="I276" i="847"/>
  <c r="I275" i="847"/>
  <c r="I274" i="847"/>
  <c r="I273" i="847"/>
  <c r="I272" i="847"/>
  <c r="I271" i="847"/>
  <c r="I270" i="847"/>
  <c r="I269" i="847"/>
  <c r="I268" i="847"/>
  <c r="I267" i="847"/>
  <c r="I266" i="847"/>
  <c r="I265" i="847"/>
  <c r="I264" i="847"/>
  <c r="I263" i="847"/>
  <c r="I262" i="847"/>
  <c r="I261" i="847"/>
  <c r="I260" i="847"/>
  <c r="I259" i="847"/>
  <c r="I258" i="847"/>
  <c r="I257" i="847"/>
  <c r="I256" i="847"/>
  <c r="I255" i="847"/>
  <c r="I254" i="847"/>
  <c r="I253" i="847"/>
  <c r="I252" i="847"/>
  <c r="I251" i="847"/>
  <c r="I250" i="847"/>
  <c r="I249" i="847"/>
  <c r="I248" i="847"/>
  <c r="I247" i="847"/>
  <c r="I246" i="847"/>
  <c r="I245" i="847"/>
  <c r="I244" i="847"/>
  <c r="I243" i="847"/>
  <c r="I242" i="847"/>
  <c r="I241" i="847"/>
  <c r="I240" i="847"/>
  <c r="I239" i="847"/>
  <c r="I238" i="847"/>
  <c r="I237" i="847"/>
  <c r="I236" i="847"/>
  <c r="I235" i="847"/>
  <c r="I234" i="847"/>
  <c r="I233" i="847"/>
  <c r="I232" i="847"/>
  <c r="I231" i="847"/>
  <c r="I230" i="847"/>
  <c r="I229" i="847"/>
  <c r="I228" i="847"/>
  <c r="I227" i="847"/>
  <c r="I226" i="847"/>
  <c r="I225" i="847"/>
  <c r="I224" i="847"/>
  <c r="I223" i="847"/>
  <c r="I222" i="847"/>
  <c r="I221" i="847"/>
  <c r="I220" i="847"/>
  <c r="I219" i="847"/>
  <c r="I218" i="847"/>
  <c r="I217" i="847"/>
  <c r="I216" i="847"/>
  <c r="I215" i="847"/>
  <c r="I214" i="847"/>
  <c r="I213" i="847"/>
  <c r="I212" i="847"/>
  <c r="I211" i="847"/>
  <c r="I210" i="847"/>
  <c r="I209" i="847"/>
  <c r="I208" i="847"/>
  <c r="I207" i="847"/>
  <c r="I206" i="847"/>
  <c r="I205" i="847"/>
  <c r="I204" i="847"/>
  <c r="I203" i="847"/>
  <c r="I202" i="847"/>
  <c r="I201" i="847"/>
  <c r="I200" i="847"/>
  <c r="I199" i="847"/>
  <c r="I198" i="847"/>
  <c r="I197" i="847"/>
  <c r="I196" i="847"/>
  <c r="I195" i="847"/>
  <c r="I194" i="847"/>
  <c r="I193" i="847"/>
  <c r="I192" i="847"/>
  <c r="I190" i="847" s="1"/>
  <c r="L283" i="847" s="1"/>
  <c r="I191" i="847"/>
  <c r="I189" i="847"/>
  <c r="I188" i="847"/>
  <c r="I187" i="847"/>
  <c r="I186" i="847"/>
  <c r="I185" i="847"/>
  <c r="I184" i="847"/>
  <c r="I183" i="847"/>
  <c r="I182" i="847"/>
  <c r="I181" i="847"/>
  <c r="I180" i="847"/>
  <c r="I179" i="847"/>
  <c r="I178" i="847"/>
  <c r="I176" i="847"/>
  <c r="I175" i="847"/>
  <c r="I174" i="847"/>
  <c r="I173" i="847"/>
  <c r="I170" i="847"/>
  <c r="I169" i="847"/>
  <c r="I168" i="847"/>
  <c r="I167" i="847"/>
  <c r="I166" i="847"/>
  <c r="I165" i="847"/>
  <c r="I164" i="847"/>
  <c r="I163" i="847"/>
  <c r="I162" i="847"/>
  <c r="I161" i="847"/>
  <c r="I160" i="847"/>
  <c r="I159" i="847"/>
  <c r="I158" i="847"/>
  <c r="I157" i="847"/>
  <c r="I156" i="847"/>
  <c r="I155" i="847"/>
  <c r="I154" i="847"/>
  <c r="I153" i="847"/>
  <c r="I152" i="847"/>
  <c r="I151" i="847"/>
  <c r="I150" i="847"/>
  <c r="I149" i="847"/>
  <c r="I148" i="847"/>
  <c r="I147" i="847"/>
  <c r="I146" i="847"/>
  <c r="I145" i="847"/>
  <c r="I144" i="847"/>
  <c r="I143" i="847"/>
  <c r="I142" i="847"/>
  <c r="I141" i="847"/>
  <c r="I140" i="847"/>
  <c r="I139" i="847"/>
  <c r="I138" i="847" s="1"/>
  <c r="I137" i="847"/>
  <c r="I136" i="847"/>
  <c r="I135" i="847"/>
  <c r="I134" i="847"/>
  <c r="I133" i="847" s="1"/>
  <c r="I131" i="847"/>
  <c r="I129" i="847"/>
  <c r="I128" i="847"/>
  <c r="I125" i="847"/>
  <c r="I124" i="847"/>
  <c r="I122" i="847"/>
  <c r="I121" i="847"/>
  <c r="I120" i="847"/>
  <c r="I117" i="847"/>
  <c r="I115" i="847"/>
  <c r="I114" i="847"/>
  <c r="I113" i="847"/>
  <c r="I110" i="847"/>
  <c r="I108" i="847"/>
  <c r="I106" i="847" s="1"/>
  <c r="I107" i="847"/>
  <c r="I104" i="847"/>
  <c r="I103" i="847"/>
  <c r="I102" i="847"/>
  <c r="I101" i="847"/>
  <c r="I100" i="847"/>
  <c r="I99" i="847"/>
  <c r="I96" i="847"/>
  <c r="I95" i="847"/>
  <c r="I94" i="847"/>
  <c r="I93" i="847" s="1"/>
  <c r="I92" i="847"/>
  <c r="I91" i="847" s="1"/>
  <c r="I90" i="847"/>
  <c r="I89" i="847"/>
  <c r="I88" i="847" s="1"/>
  <c r="I87" i="847"/>
  <c r="I86" i="847"/>
  <c r="I85" i="847"/>
  <c r="I84" i="847"/>
  <c r="I83" i="847"/>
  <c r="I82" i="847"/>
  <c r="I80" i="847"/>
  <c r="I77" i="847"/>
  <c r="I69" i="847" s="1"/>
  <c r="I76" i="847"/>
  <c r="I75" i="847"/>
  <c r="I74" i="847"/>
  <c r="I73" i="847"/>
  <c r="I72" i="847"/>
  <c r="I71" i="847"/>
  <c r="I70" i="847"/>
  <c r="I68" i="847"/>
  <c r="I62" i="847" s="1"/>
  <c r="I67" i="847"/>
  <c r="I66" i="847"/>
  <c r="I65" i="847"/>
  <c r="I64" i="847"/>
  <c r="I63" i="847"/>
  <c r="I61" i="847"/>
  <c r="I60" i="847"/>
  <c r="I59" i="847"/>
  <c r="I58" i="847"/>
  <c r="I57" i="847"/>
  <c r="I56" i="847"/>
  <c r="I55" i="847"/>
  <c r="I54" i="847"/>
  <c r="I53" i="847"/>
  <c r="I50" i="847"/>
  <c r="I49" i="847"/>
  <c r="I48" i="847"/>
  <c r="I47" i="847"/>
  <c r="I46" i="847"/>
  <c r="I45" i="847"/>
  <c r="I44" i="847"/>
  <c r="I43" i="847"/>
  <c r="I42" i="847"/>
  <c r="I41" i="847"/>
  <c r="I40" i="847"/>
  <c r="I39" i="847"/>
  <c r="I37" i="847"/>
  <c r="I36" i="847"/>
  <c r="I35" i="847"/>
  <c r="I34" i="847"/>
  <c r="I33" i="847"/>
  <c r="I31" i="847"/>
  <c r="I30" i="847"/>
  <c r="I29" i="847"/>
  <c r="I28" i="847"/>
  <c r="I27" i="847"/>
  <c r="I26" i="847"/>
  <c r="I25" i="847"/>
  <c r="I23" i="847"/>
  <c r="I22" i="847"/>
  <c r="I21" i="847"/>
  <c r="I20" i="847"/>
  <c r="I19" i="847"/>
  <c r="I18" i="847"/>
  <c r="I17" i="847"/>
  <c r="I16" i="847"/>
  <c r="I15" i="847"/>
  <c r="I14" i="847" s="1"/>
  <c r="I13" i="847"/>
  <c r="I9" i="847" s="1"/>
  <c r="I12" i="847"/>
  <c r="I11" i="847"/>
  <c r="I10" i="847"/>
  <c r="I177" i="847"/>
  <c r="I172" i="847"/>
  <c r="I130" i="847"/>
  <c r="I127" i="847"/>
  <c r="I126" i="847" s="1"/>
  <c r="I123" i="847"/>
  <c r="I119" i="847"/>
  <c r="I118" i="847"/>
  <c r="I116" i="847"/>
  <c r="I112" i="847"/>
  <c r="I111" i="847"/>
  <c r="I109" i="847"/>
  <c r="I98" i="847"/>
  <c r="I97" i="847" s="1"/>
  <c r="I81" i="847"/>
  <c r="I79" i="847"/>
  <c r="I52" i="847"/>
  <c r="I38" i="847"/>
  <c r="I32" i="847"/>
  <c r="I24" i="847"/>
  <c r="K279" i="847"/>
  <c r="K190" i="847"/>
  <c r="K177" i="847"/>
  <c r="K172" i="847"/>
  <c r="K171" i="847"/>
  <c r="K138" i="847"/>
  <c r="K133" i="847"/>
  <c r="K132" i="847"/>
  <c r="K130" i="847"/>
  <c r="K127" i="847"/>
  <c r="K126" i="847"/>
  <c r="K123" i="847"/>
  <c r="K119" i="847"/>
  <c r="K118" i="847"/>
  <c r="K117" i="847"/>
  <c r="L117" i="847" s="1"/>
  <c r="L116" i="847" s="1"/>
  <c r="K116" i="847"/>
  <c r="K112" i="847"/>
  <c r="K111" i="847"/>
  <c r="K109" i="847"/>
  <c r="K106" i="847"/>
  <c r="K105" i="847"/>
  <c r="K98" i="847"/>
  <c r="K97" i="847"/>
  <c r="K93" i="847"/>
  <c r="K91" i="847"/>
  <c r="K88" i="847"/>
  <c r="K81" i="847"/>
  <c r="K79" i="847"/>
  <c r="K78" i="847"/>
  <c r="K69" i="847"/>
  <c r="K62" i="847"/>
  <c r="K52" i="847"/>
  <c r="K51" i="847"/>
  <c r="K38" i="847"/>
  <c r="K32" i="847"/>
  <c r="K24" i="847"/>
  <c r="K14" i="847"/>
  <c r="G236" i="853" l="1"/>
  <c r="L177" i="809"/>
  <c r="L81" i="809"/>
  <c r="L78" i="809" s="1"/>
  <c r="I190" i="809"/>
  <c r="L283" i="809" s="1"/>
  <c r="K27" i="851" s="1"/>
  <c r="G234" i="853" s="1"/>
  <c r="I62" i="809"/>
  <c r="L111" i="809"/>
  <c r="L38" i="809"/>
  <c r="I78" i="809"/>
  <c r="L14" i="809"/>
  <c r="L24" i="809"/>
  <c r="I38" i="809"/>
  <c r="I98" i="809"/>
  <c r="I97" i="809" s="1"/>
  <c r="I138" i="809"/>
  <c r="L172" i="809"/>
  <c r="L171" i="809" s="1"/>
  <c r="L126" i="809"/>
  <c r="L138" i="809"/>
  <c r="L132" i="809" s="1"/>
  <c r="I24" i="809"/>
  <c r="I52" i="809"/>
  <c r="I51" i="809" s="1"/>
  <c r="I106" i="809"/>
  <c r="I105" i="809" s="1"/>
  <c r="I133" i="809"/>
  <c r="I132" i="809" s="1"/>
  <c r="I126" i="809"/>
  <c r="I171" i="847"/>
  <c r="I132" i="847"/>
  <c r="I105" i="847"/>
  <c r="I78" i="847"/>
  <c r="I51" i="847"/>
  <c r="N5" i="849"/>
  <c r="C5" i="849"/>
  <c r="N4" i="849"/>
  <c r="C4" i="849"/>
  <c r="D17" i="858"/>
  <c r="D16" i="858"/>
  <c r="D15" i="858"/>
  <c r="P5" i="857"/>
  <c r="C5" i="857"/>
  <c r="P4" i="857"/>
  <c r="C4" i="857"/>
  <c r="G15" i="857"/>
  <c r="G14" i="857"/>
  <c r="T9" i="639"/>
  <c r="C9" i="639"/>
  <c r="C8" i="639"/>
  <c r="L4" i="809"/>
  <c r="L3" i="809"/>
  <c r="J25" i="551"/>
  <c r="J22" i="551"/>
  <c r="C5" i="855"/>
  <c r="G4" i="855"/>
  <c r="C4" i="855"/>
  <c r="G3" i="855"/>
  <c r="C3" i="855"/>
  <c r="G42" i="855"/>
  <c r="F42" i="855"/>
  <c r="E42" i="855"/>
  <c r="D42" i="855"/>
  <c r="G38" i="855"/>
  <c r="F38" i="855"/>
  <c r="E38" i="855"/>
  <c r="D38" i="855"/>
  <c r="G31" i="855"/>
  <c r="F31" i="855"/>
  <c r="E31" i="855"/>
  <c r="D31" i="855"/>
  <c r="G19" i="855"/>
  <c r="F19" i="855"/>
  <c r="E19" i="855"/>
  <c r="D19" i="855"/>
  <c r="F5" i="853"/>
  <c r="C5" i="853"/>
  <c r="F4" i="853"/>
  <c r="C4" i="853"/>
  <c r="F3" i="853"/>
  <c r="C3" i="853"/>
  <c r="T65" i="808"/>
  <c r="S65" i="808"/>
  <c r="R65" i="808"/>
  <c r="P65" i="808"/>
  <c r="O65" i="808"/>
  <c r="N65" i="808"/>
  <c r="L65" i="808"/>
  <c r="K65" i="808"/>
  <c r="J65" i="808"/>
  <c r="C62" i="808"/>
  <c r="C59" i="808"/>
  <c r="C56" i="808"/>
  <c r="C53" i="808"/>
  <c r="C50" i="808"/>
  <c r="C47" i="808"/>
  <c r="C44" i="808"/>
  <c r="C41" i="808"/>
  <c r="C38" i="808"/>
  <c r="C35" i="808"/>
  <c r="C32" i="808"/>
  <c r="C29" i="808"/>
  <c r="C26" i="808"/>
  <c r="C23" i="808"/>
  <c r="C20" i="808"/>
  <c r="C17" i="808"/>
  <c r="C14" i="808"/>
  <c r="B62" i="808"/>
  <c r="B59" i="808"/>
  <c r="B56" i="808"/>
  <c r="B53" i="808"/>
  <c r="B50" i="808"/>
  <c r="B47" i="808"/>
  <c r="B44" i="808"/>
  <c r="B41" i="808"/>
  <c r="B38" i="808"/>
  <c r="B35" i="808"/>
  <c r="B32" i="808"/>
  <c r="B29" i="808"/>
  <c r="B26" i="808"/>
  <c r="B23" i="808"/>
  <c r="B20" i="808"/>
  <c r="B17" i="808"/>
  <c r="B14" i="808"/>
  <c r="G5" i="851"/>
  <c r="C5" i="851"/>
  <c r="G4" i="851"/>
  <c r="C4" i="851"/>
  <c r="G3" i="851"/>
  <c r="C3" i="847"/>
  <c r="G3" i="847"/>
  <c r="L3" i="847"/>
  <c r="C4" i="847"/>
  <c r="G4" i="847"/>
  <c r="L4" i="847"/>
  <c r="C5" i="847"/>
  <c r="G5" i="847"/>
  <c r="L5" i="847"/>
  <c r="L6" i="847"/>
  <c r="J278" i="847" s="1"/>
  <c r="K278" i="847" s="1"/>
  <c r="L278" i="847" s="1"/>
  <c r="G5" i="850"/>
  <c r="B5" i="850"/>
  <c r="G4" i="850"/>
  <c r="B4" i="850"/>
  <c r="G3" i="850"/>
  <c r="B3" i="850"/>
  <c r="F64" i="830"/>
  <c r="H30" i="639"/>
  <c r="D30" i="639"/>
  <c r="C30" i="639"/>
  <c r="H29" i="639"/>
  <c r="D29" i="639"/>
  <c r="C29" i="639"/>
  <c r="N27" i="639"/>
  <c r="N26" i="639"/>
  <c r="N22" i="639" s="1"/>
  <c r="F25" i="551"/>
  <c r="L6" i="809" s="1"/>
  <c r="J278" i="809" s="1"/>
  <c r="K278" i="809" s="1"/>
  <c r="L278" i="809" s="1"/>
  <c r="L190" i="809" s="1"/>
  <c r="F22" i="551"/>
  <c r="L5" i="809" s="1"/>
  <c r="G5" i="809"/>
  <c r="G4" i="809"/>
  <c r="G3" i="809"/>
  <c r="T8" i="639" s="1"/>
  <c r="C5" i="809"/>
  <c r="C3" i="809"/>
  <c r="C4" i="809"/>
  <c r="F18" i="846"/>
  <c r="F17" i="846"/>
  <c r="F14" i="846"/>
  <c r="F21" i="846"/>
  <c r="O5" i="846"/>
  <c r="C5" i="846"/>
  <c r="O4" i="846"/>
  <c r="F18" i="845"/>
  <c r="F17" i="845"/>
  <c r="F14" i="845"/>
  <c r="F21" i="845"/>
  <c r="O5" i="845"/>
  <c r="C5" i="845"/>
  <c r="O4" i="845"/>
  <c r="C4" i="845"/>
  <c r="F18" i="843"/>
  <c r="F17" i="843"/>
  <c r="F14" i="843"/>
  <c r="O5" i="843"/>
  <c r="C5" i="843"/>
  <c r="O4" i="843"/>
  <c r="F14" i="840"/>
  <c r="F21" i="840"/>
  <c r="F17" i="840"/>
  <c r="F18" i="840"/>
  <c r="O5" i="840"/>
  <c r="C5" i="840"/>
  <c r="O4" i="840"/>
  <c r="I136" i="853" l="1"/>
  <c r="I105" i="853"/>
  <c r="I67" i="853"/>
  <c r="I114" i="853"/>
  <c r="I36" i="853"/>
  <c r="I228" i="853"/>
  <c r="I125" i="853"/>
  <c r="I86" i="853"/>
  <c r="I150" i="853"/>
  <c r="I214" i="853"/>
  <c r="I146" i="853"/>
  <c r="I175" i="853"/>
  <c r="I208" i="853"/>
  <c r="I177" i="853"/>
  <c r="I139" i="853"/>
  <c r="I44" i="853"/>
  <c r="I69" i="853"/>
  <c r="I94" i="853"/>
  <c r="I222" i="853"/>
  <c r="I178" i="853"/>
  <c r="I9" i="853"/>
  <c r="J9" i="853" s="1"/>
  <c r="I88" i="853"/>
  <c r="I57" i="853"/>
  <c r="I83" i="853"/>
  <c r="I211" i="853"/>
  <c r="I180" i="853"/>
  <c r="I141" i="853"/>
  <c r="I102" i="853"/>
  <c r="I230" i="853"/>
  <c r="I63" i="853"/>
  <c r="I96" i="853"/>
  <c r="I129" i="853"/>
  <c r="I91" i="853"/>
  <c r="I186" i="853"/>
  <c r="I124" i="853"/>
  <c r="I21" i="853"/>
  <c r="I149" i="853"/>
  <c r="I46" i="853"/>
  <c r="I174" i="853"/>
  <c r="I218" i="853"/>
  <c r="I199" i="853"/>
  <c r="I40" i="853"/>
  <c r="I104" i="853"/>
  <c r="I168" i="853"/>
  <c r="I232" i="853"/>
  <c r="I73" i="853"/>
  <c r="I137" i="853"/>
  <c r="I201" i="853"/>
  <c r="I35" i="853"/>
  <c r="I99" i="853"/>
  <c r="I163" i="853"/>
  <c r="I227" i="853"/>
  <c r="I210" i="853"/>
  <c r="I68" i="853"/>
  <c r="I132" i="853"/>
  <c r="I196" i="853"/>
  <c r="I106" i="853"/>
  <c r="I29" i="853"/>
  <c r="I93" i="853"/>
  <c r="I157" i="853"/>
  <c r="I221" i="853"/>
  <c r="I54" i="853"/>
  <c r="I118" i="853"/>
  <c r="I182" i="853"/>
  <c r="I34" i="853"/>
  <c r="I15" i="853"/>
  <c r="I79" i="853"/>
  <c r="I143" i="853"/>
  <c r="I207" i="853"/>
  <c r="I16" i="853"/>
  <c r="I49" i="853"/>
  <c r="I75" i="853"/>
  <c r="I108" i="853"/>
  <c r="I226" i="853"/>
  <c r="I133" i="853"/>
  <c r="I158" i="853"/>
  <c r="I119" i="853"/>
  <c r="I24" i="853"/>
  <c r="I121" i="853"/>
  <c r="I147" i="853"/>
  <c r="I116" i="853"/>
  <c r="I13" i="853"/>
  <c r="I38" i="853"/>
  <c r="I166" i="853"/>
  <c r="I127" i="853"/>
  <c r="I65" i="853"/>
  <c r="I27" i="853"/>
  <c r="I219" i="853"/>
  <c r="I60" i="853"/>
  <c r="I74" i="853"/>
  <c r="I85" i="853"/>
  <c r="I213" i="853"/>
  <c r="I110" i="853"/>
  <c r="I18" i="853"/>
  <c r="I71" i="853"/>
  <c r="I135" i="853"/>
  <c r="I48" i="853"/>
  <c r="I112" i="853"/>
  <c r="I176" i="853"/>
  <c r="I17" i="853"/>
  <c r="I81" i="853"/>
  <c r="I145" i="853"/>
  <c r="I209" i="853"/>
  <c r="I43" i="853"/>
  <c r="I107" i="853"/>
  <c r="I171" i="853"/>
  <c r="I10" i="853"/>
  <c r="I12" i="853"/>
  <c r="I76" i="853"/>
  <c r="I140" i="853"/>
  <c r="I204" i="853"/>
  <c r="I130" i="853"/>
  <c r="I37" i="853"/>
  <c r="I101" i="853"/>
  <c r="I165" i="853"/>
  <c r="I229" i="853"/>
  <c r="I62" i="853"/>
  <c r="I126" i="853"/>
  <c r="I190" i="853"/>
  <c r="I66" i="853"/>
  <c r="I23" i="853"/>
  <c r="I87" i="853"/>
  <c r="I151" i="853"/>
  <c r="I215" i="853"/>
  <c r="I72" i="853"/>
  <c r="I41" i="853"/>
  <c r="I82" i="853"/>
  <c r="I195" i="853"/>
  <c r="I100" i="853"/>
  <c r="I202" i="853"/>
  <c r="I189" i="853"/>
  <c r="I47" i="853"/>
  <c r="I80" i="853"/>
  <c r="I11" i="853"/>
  <c r="I138" i="853"/>
  <c r="I26" i="853"/>
  <c r="I197" i="853"/>
  <c r="I183" i="853"/>
  <c r="I152" i="853"/>
  <c r="I185" i="853"/>
  <c r="I52" i="853"/>
  <c r="I77" i="853"/>
  <c r="I191" i="853"/>
  <c r="I160" i="853"/>
  <c r="I155" i="853"/>
  <c r="I120" i="853"/>
  <c r="I25" i="853"/>
  <c r="I153" i="853"/>
  <c r="I51" i="853"/>
  <c r="I115" i="853"/>
  <c r="I179" i="853"/>
  <c r="I20" i="853"/>
  <c r="I84" i="853"/>
  <c r="I148" i="853"/>
  <c r="I212" i="853"/>
  <c r="I154" i="853"/>
  <c r="I45" i="853"/>
  <c r="I109" i="853"/>
  <c r="I173" i="853"/>
  <c r="I58" i="853"/>
  <c r="I70" i="853"/>
  <c r="I134" i="853"/>
  <c r="I198" i="853"/>
  <c r="I98" i="853"/>
  <c r="I31" i="853"/>
  <c r="I95" i="853"/>
  <c r="I159" i="853"/>
  <c r="I223" i="853"/>
  <c r="I200" i="853"/>
  <c r="I169" i="853"/>
  <c r="I131" i="853"/>
  <c r="I164" i="853"/>
  <c r="I61" i="853"/>
  <c r="I22" i="853"/>
  <c r="I111" i="853"/>
  <c r="I144" i="853"/>
  <c r="I113" i="853"/>
  <c r="I203" i="853"/>
  <c r="I172" i="853"/>
  <c r="I30" i="853"/>
  <c r="I55" i="853"/>
  <c r="I216" i="853"/>
  <c r="I19" i="853"/>
  <c r="I162" i="853"/>
  <c r="I42" i="853"/>
  <c r="I205" i="853"/>
  <c r="I194" i="853"/>
  <c r="I32" i="853"/>
  <c r="I224" i="853"/>
  <c r="I193" i="853"/>
  <c r="I188" i="853"/>
  <c r="I56" i="853"/>
  <c r="I184" i="853"/>
  <c r="I89" i="853"/>
  <c r="I217" i="853"/>
  <c r="I50" i="853"/>
  <c r="I64" i="853"/>
  <c r="I128" i="853"/>
  <c r="I192" i="853"/>
  <c r="I33" i="853"/>
  <c r="I97" i="853"/>
  <c r="I161" i="853"/>
  <c r="I225" i="853"/>
  <c r="I59" i="853"/>
  <c r="I123" i="853"/>
  <c r="I187" i="853"/>
  <c r="I90" i="853"/>
  <c r="I28" i="853"/>
  <c r="I92" i="853"/>
  <c r="I156" i="853"/>
  <c r="I220" i="853"/>
  <c r="I170" i="853"/>
  <c r="I53" i="853"/>
  <c r="I117" i="853"/>
  <c r="I181" i="853"/>
  <c r="I14" i="853"/>
  <c r="I78" i="853"/>
  <c r="I142" i="853"/>
  <c r="I206" i="853"/>
  <c r="I122" i="853"/>
  <c r="I39" i="853"/>
  <c r="I103" i="853"/>
  <c r="I167" i="853"/>
  <c r="I231" i="853"/>
  <c r="H18" i="857"/>
  <c r="K24" i="851"/>
  <c r="K29" i="851" s="1"/>
  <c r="L285" i="809"/>
  <c r="M29" i="836" s="1"/>
  <c r="J259" i="847"/>
  <c r="K259" i="847" s="1"/>
  <c r="L259" i="847" s="1"/>
  <c r="J235" i="847"/>
  <c r="K235" i="847" s="1"/>
  <c r="L235" i="847" s="1"/>
  <c r="J211" i="847"/>
  <c r="K211" i="847" s="1"/>
  <c r="L211" i="847" s="1"/>
  <c r="J186" i="847"/>
  <c r="K186" i="847" s="1"/>
  <c r="L186" i="847" s="1"/>
  <c r="J159" i="847"/>
  <c r="K159" i="847" s="1"/>
  <c r="L159" i="847" s="1"/>
  <c r="J134" i="847"/>
  <c r="K134" i="847" s="1"/>
  <c r="L134" i="847" s="1"/>
  <c r="J92" i="847"/>
  <c r="K92" i="847" s="1"/>
  <c r="L92" i="847" s="1"/>
  <c r="L91" i="847" s="1"/>
  <c r="J61" i="847"/>
  <c r="K61" i="847" s="1"/>
  <c r="L61" i="847" s="1"/>
  <c r="J34" i="847"/>
  <c r="K34" i="847" s="1"/>
  <c r="L34" i="847" s="1"/>
  <c r="J258" i="847"/>
  <c r="K258" i="847" s="1"/>
  <c r="L258" i="847" s="1"/>
  <c r="J234" i="847"/>
  <c r="K234" i="847" s="1"/>
  <c r="L234" i="847" s="1"/>
  <c r="J210" i="847"/>
  <c r="K210" i="847" s="1"/>
  <c r="L210" i="847" s="1"/>
  <c r="J185" i="847"/>
  <c r="K185" i="847" s="1"/>
  <c r="L185" i="847" s="1"/>
  <c r="J158" i="847"/>
  <c r="K158" i="847" s="1"/>
  <c r="L158" i="847" s="1"/>
  <c r="J131" i="847"/>
  <c r="K131" i="847" s="1"/>
  <c r="L131" i="847" s="1"/>
  <c r="L130" i="847" s="1"/>
  <c r="J90" i="847"/>
  <c r="K90" i="847" s="1"/>
  <c r="L90" i="847" s="1"/>
  <c r="J60" i="847"/>
  <c r="K60" i="847" s="1"/>
  <c r="L60" i="847" s="1"/>
  <c r="J33" i="847"/>
  <c r="K33" i="847" s="1"/>
  <c r="L33" i="847" s="1"/>
  <c r="J257" i="847"/>
  <c r="K257" i="847" s="1"/>
  <c r="L257" i="847" s="1"/>
  <c r="J233" i="847"/>
  <c r="K233" i="847" s="1"/>
  <c r="L233" i="847" s="1"/>
  <c r="J209" i="847"/>
  <c r="K209" i="847" s="1"/>
  <c r="L209" i="847" s="1"/>
  <c r="J184" i="847"/>
  <c r="K184" i="847" s="1"/>
  <c r="L184" i="847" s="1"/>
  <c r="J157" i="847"/>
  <c r="K157" i="847" s="1"/>
  <c r="L157" i="847" s="1"/>
  <c r="J129" i="847"/>
  <c r="K129" i="847" s="1"/>
  <c r="L129" i="847" s="1"/>
  <c r="J89" i="847"/>
  <c r="K89" i="847" s="1"/>
  <c r="L89" i="847" s="1"/>
  <c r="J59" i="847"/>
  <c r="K59" i="847" s="1"/>
  <c r="L59" i="847" s="1"/>
  <c r="J31" i="847"/>
  <c r="K31" i="847" s="1"/>
  <c r="L31" i="847" s="1"/>
  <c r="J266" i="847"/>
  <c r="K266" i="847" s="1"/>
  <c r="L266" i="847" s="1"/>
  <c r="J239" i="847"/>
  <c r="K239" i="847" s="1"/>
  <c r="L239" i="847" s="1"/>
  <c r="J212" i="847"/>
  <c r="K212" i="847" s="1"/>
  <c r="L212" i="847" s="1"/>
  <c r="J181" i="847"/>
  <c r="K181" i="847" s="1"/>
  <c r="L181" i="847" s="1"/>
  <c r="J151" i="847"/>
  <c r="K151" i="847" s="1"/>
  <c r="L151" i="847" s="1"/>
  <c r="J113" i="847"/>
  <c r="K113" i="847" s="1"/>
  <c r="L113" i="847" s="1"/>
  <c r="J73" i="847"/>
  <c r="K73" i="847" s="1"/>
  <c r="L73" i="847" s="1"/>
  <c r="J42" i="847"/>
  <c r="K42" i="847" s="1"/>
  <c r="L42" i="847" s="1"/>
  <c r="J15" i="847"/>
  <c r="K15" i="847" s="1"/>
  <c r="L15" i="847" s="1"/>
  <c r="J207" i="847"/>
  <c r="K207" i="847" s="1"/>
  <c r="L207" i="847" s="1"/>
  <c r="J178" i="847"/>
  <c r="K178" i="847" s="1"/>
  <c r="L178" i="847" s="1"/>
  <c r="J37" i="847"/>
  <c r="K37" i="847" s="1"/>
  <c r="L37" i="847" s="1"/>
  <c r="J231" i="847"/>
  <c r="K231" i="847" s="1"/>
  <c r="L231" i="847" s="1"/>
  <c r="J36" i="847"/>
  <c r="K36" i="847" s="1"/>
  <c r="L36" i="847" s="1"/>
  <c r="J260" i="847"/>
  <c r="K260" i="847" s="1"/>
  <c r="L260" i="847" s="1"/>
  <c r="J174" i="847"/>
  <c r="K174" i="847" s="1"/>
  <c r="L174" i="847" s="1"/>
  <c r="J66" i="847"/>
  <c r="K66" i="847" s="1"/>
  <c r="L66" i="847" s="1"/>
  <c r="J265" i="847"/>
  <c r="K265" i="847" s="1"/>
  <c r="L265" i="847" s="1"/>
  <c r="J238" i="847"/>
  <c r="K238" i="847" s="1"/>
  <c r="L238" i="847" s="1"/>
  <c r="J208" i="847"/>
  <c r="K208" i="847" s="1"/>
  <c r="L208" i="847" s="1"/>
  <c r="J180" i="847"/>
  <c r="K180" i="847" s="1"/>
  <c r="L180" i="847" s="1"/>
  <c r="J150" i="847"/>
  <c r="K150" i="847" s="1"/>
  <c r="L150" i="847" s="1"/>
  <c r="J110" i="847"/>
  <c r="K110" i="847" s="1"/>
  <c r="L110" i="847" s="1"/>
  <c r="L109" i="847" s="1"/>
  <c r="J72" i="847"/>
  <c r="K72" i="847" s="1"/>
  <c r="L72" i="847" s="1"/>
  <c r="J41" i="847"/>
  <c r="K41" i="847" s="1"/>
  <c r="L41" i="847" s="1"/>
  <c r="J10" i="847"/>
  <c r="K10" i="847" s="1"/>
  <c r="L10" i="847" s="1"/>
  <c r="J264" i="847"/>
  <c r="K264" i="847" s="1"/>
  <c r="L264" i="847" s="1"/>
  <c r="J237" i="847"/>
  <c r="K237" i="847" s="1"/>
  <c r="L237" i="847" s="1"/>
  <c r="J179" i="847"/>
  <c r="K179" i="847" s="1"/>
  <c r="L179" i="847" s="1"/>
  <c r="J149" i="847"/>
  <c r="K149" i="847" s="1"/>
  <c r="L149" i="847" s="1"/>
  <c r="J108" i="847"/>
  <c r="K108" i="847" s="1"/>
  <c r="L108" i="847" s="1"/>
  <c r="J71" i="847"/>
  <c r="K71" i="847" s="1"/>
  <c r="L71" i="847" s="1"/>
  <c r="J40" i="847"/>
  <c r="K40" i="847" s="1"/>
  <c r="L40" i="847" s="1"/>
  <c r="J263" i="847"/>
  <c r="K263" i="847" s="1"/>
  <c r="L263" i="847" s="1"/>
  <c r="J236" i="847"/>
  <c r="K236" i="847" s="1"/>
  <c r="L236" i="847" s="1"/>
  <c r="J148" i="847"/>
  <c r="K148" i="847" s="1"/>
  <c r="L148" i="847" s="1"/>
  <c r="J107" i="847"/>
  <c r="K107" i="847" s="1"/>
  <c r="L107" i="847" s="1"/>
  <c r="L106" i="847" s="1"/>
  <c r="L105" i="847" s="1"/>
  <c r="D41" i="808" s="1"/>
  <c r="J70" i="847"/>
  <c r="K70" i="847" s="1"/>
  <c r="L70" i="847" s="1"/>
  <c r="J39" i="847"/>
  <c r="K39" i="847" s="1"/>
  <c r="L39" i="847" s="1"/>
  <c r="L38" i="847" s="1"/>
  <c r="D26" i="808" s="1"/>
  <c r="J232" i="847"/>
  <c r="K232" i="847" s="1"/>
  <c r="L232" i="847" s="1"/>
  <c r="J104" i="847"/>
  <c r="K104" i="847" s="1"/>
  <c r="L104" i="847" s="1"/>
  <c r="J146" i="847"/>
  <c r="K146" i="847" s="1"/>
  <c r="L146" i="847" s="1"/>
  <c r="J230" i="847"/>
  <c r="K230" i="847" s="1"/>
  <c r="L230" i="847" s="1"/>
  <c r="J145" i="847"/>
  <c r="K145" i="847" s="1"/>
  <c r="L145" i="847" s="1"/>
  <c r="J35" i="847"/>
  <c r="K35" i="847" s="1"/>
  <c r="L35" i="847" s="1"/>
  <c r="J206" i="847"/>
  <c r="K206" i="847" s="1"/>
  <c r="L206" i="847" s="1"/>
  <c r="J262" i="847"/>
  <c r="K262" i="847" s="1"/>
  <c r="L262" i="847" s="1"/>
  <c r="J205" i="847"/>
  <c r="K205" i="847" s="1"/>
  <c r="L205" i="847" s="1"/>
  <c r="J176" i="847"/>
  <c r="K176" i="847" s="1"/>
  <c r="L176" i="847" s="1"/>
  <c r="J147" i="847"/>
  <c r="K147" i="847" s="1"/>
  <c r="L147" i="847" s="1"/>
  <c r="J68" i="847"/>
  <c r="K68" i="847" s="1"/>
  <c r="L68" i="847" s="1"/>
  <c r="J261" i="847"/>
  <c r="K261" i="847" s="1"/>
  <c r="L261" i="847" s="1"/>
  <c r="J204" i="847"/>
  <c r="K204" i="847" s="1"/>
  <c r="L204" i="847" s="1"/>
  <c r="J175" i="847"/>
  <c r="K175" i="847" s="1"/>
  <c r="L175" i="847" s="1"/>
  <c r="J103" i="847"/>
  <c r="K103" i="847" s="1"/>
  <c r="L103" i="847" s="1"/>
  <c r="J67" i="847"/>
  <c r="K67" i="847" s="1"/>
  <c r="L67" i="847" s="1"/>
  <c r="J203" i="847"/>
  <c r="K203" i="847" s="1"/>
  <c r="L203" i="847" s="1"/>
  <c r="J102" i="847"/>
  <c r="K102" i="847" s="1"/>
  <c r="L102" i="847" s="1"/>
  <c r="J256" i="847"/>
  <c r="K256" i="847" s="1"/>
  <c r="L256" i="847" s="1"/>
  <c r="J202" i="847"/>
  <c r="K202" i="847" s="1"/>
  <c r="L202" i="847" s="1"/>
  <c r="J254" i="847"/>
  <c r="K254" i="847" s="1"/>
  <c r="L254" i="847" s="1"/>
  <c r="J227" i="847"/>
  <c r="K227" i="847" s="1"/>
  <c r="L227" i="847" s="1"/>
  <c r="J200" i="847"/>
  <c r="K200" i="847" s="1"/>
  <c r="L200" i="847" s="1"/>
  <c r="J169" i="847"/>
  <c r="K169" i="847" s="1"/>
  <c r="L169" i="847" s="1"/>
  <c r="J142" i="847"/>
  <c r="K142" i="847" s="1"/>
  <c r="L142" i="847" s="1"/>
  <c r="J99" i="847"/>
  <c r="K99" i="847" s="1"/>
  <c r="L99" i="847" s="1"/>
  <c r="L98" i="847" s="1"/>
  <c r="L97" i="847" s="1"/>
  <c r="D38" i="808" s="1"/>
  <c r="J63" i="847"/>
  <c r="K63" i="847" s="1"/>
  <c r="L63" i="847" s="1"/>
  <c r="L62" i="847" s="1"/>
  <c r="J28" i="847"/>
  <c r="K28" i="847" s="1"/>
  <c r="L28" i="847" s="1"/>
  <c r="J281" i="847"/>
  <c r="K281" i="847" s="1"/>
  <c r="L281" i="847" s="1"/>
  <c r="J253" i="847"/>
  <c r="K253" i="847" s="1"/>
  <c r="L253" i="847" s="1"/>
  <c r="J226" i="847"/>
  <c r="K226" i="847" s="1"/>
  <c r="L226" i="847" s="1"/>
  <c r="J199" i="847"/>
  <c r="K199" i="847" s="1"/>
  <c r="L199" i="847" s="1"/>
  <c r="J168" i="847"/>
  <c r="K168" i="847" s="1"/>
  <c r="L168" i="847" s="1"/>
  <c r="J141" i="847"/>
  <c r="K141" i="847" s="1"/>
  <c r="L141" i="847" s="1"/>
  <c r="J96" i="847"/>
  <c r="K96" i="847" s="1"/>
  <c r="L96" i="847" s="1"/>
  <c r="J58" i="847"/>
  <c r="K58" i="847" s="1"/>
  <c r="L58" i="847" s="1"/>
  <c r="J27" i="847"/>
  <c r="K27" i="847" s="1"/>
  <c r="L27" i="847" s="1"/>
  <c r="J277" i="847"/>
  <c r="K277" i="847" s="1"/>
  <c r="L277" i="847" s="1"/>
  <c r="J240" i="847"/>
  <c r="K240" i="847" s="1"/>
  <c r="L240" i="847" s="1"/>
  <c r="J191" i="847"/>
  <c r="K191" i="847" s="1"/>
  <c r="L191" i="847" s="1"/>
  <c r="J139" i="847"/>
  <c r="K139" i="847" s="1"/>
  <c r="L139" i="847" s="1"/>
  <c r="J76" i="847"/>
  <c r="K76" i="847" s="1"/>
  <c r="L76" i="847" s="1"/>
  <c r="J11" i="847"/>
  <c r="K11" i="847" s="1"/>
  <c r="L11" i="847" s="1"/>
  <c r="J276" i="847"/>
  <c r="K276" i="847" s="1"/>
  <c r="L276" i="847" s="1"/>
  <c r="J189" i="847"/>
  <c r="K189" i="847" s="1"/>
  <c r="L189" i="847" s="1"/>
  <c r="J75" i="847"/>
  <c r="K75" i="847" s="1"/>
  <c r="L75" i="847" s="1"/>
  <c r="J21" i="847"/>
  <c r="K21" i="847" s="1"/>
  <c r="L21" i="847" s="1"/>
  <c r="J273" i="847"/>
  <c r="K273" i="847" s="1"/>
  <c r="L273" i="847" s="1"/>
  <c r="J183" i="847"/>
  <c r="K183" i="847" s="1"/>
  <c r="L183" i="847" s="1"/>
  <c r="J64" i="847"/>
  <c r="K64" i="847" s="1"/>
  <c r="L64" i="847" s="1"/>
  <c r="J125" i="847"/>
  <c r="K125" i="847" s="1"/>
  <c r="L125" i="847" s="1"/>
  <c r="J54" i="847"/>
  <c r="K54" i="847" s="1"/>
  <c r="L54" i="847" s="1"/>
  <c r="J166" i="847"/>
  <c r="K166" i="847" s="1"/>
  <c r="L166" i="847" s="1"/>
  <c r="J49" i="847"/>
  <c r="K49" i="847" s="1"/>
  <c r="L49" i="847" s="1"/>
  <c r="J48" i="847"/>
  <c r="K48" i="847" s="1"/>
  <c r="L48" i="847" s="1"/>
  <c r="J215" i="847"/>
  <c r="K215" i="847" s="1"/>
  <c r="L215" i="847" s="1"/>
  <c r="J47" i="847"/>
  <c r="K47" i="847" s="1"/>
  <c r="L47" i="847" s="1"/>
  <c r="J46" i="847"/>
  <c r="K46" i="847" s="1"/>
  <c r="L46" i="847" s="1"/>
  <c r="J213" i="847"/>
  <c r="K213" i="847" s="1"/>
  <c r="L213" i="847" s="1"/>
  <c r="J45" i="847"/>
  <c r="K45" i="847" s="1"/>
  <c r="L45" i="847" s="1"/>
  <c r="J44" i="847"/>
  <c r="K44" i="847" s="1"/>
  <c r="L44" i="847" s="1"/>
  <c r="J86" i="847"/>
  <c r="K86" i="847" s="1"/>
  <c r="L86" i="847" s="1"/>
  <c r="J246" i="847"/>
  <c r="K246" i="847" s="1"/>
  <c r="L246" i="847" s="1"/>
  <c r="J30" i="847"/>
  <c r="K30" i="847" s="1"/>
  <c r="L30" i="847" s="1"/>
  <c r="J229" i="847"/>
  <c r="K229" i="847" s="1"/>
  <c r="L229" i="847" s="1"/>
  <c r="J137" i="847"/>
  <c r="K137" i="847" s="1"/>
  <c r="L137" i="847" s="1"/>
  <c r="J23" i="847"/>
  <c r="K23" i="847" s="1"/>
  <c r="L23" i="847" s="1"/>
  <c r="J275" i="847"/>
  <c r="K275" i="847" s="1"/>
  <c r="L275" i="847" s="1"/>
  <c r="J228" i="847"/>
  <c r="K228" i="847" s="1"/>
  <c r="L228" i="847" s="1"/>
  <c r="J188" i="847"/>
  <c r="K188" i="847" s="1"/>
  <c r="L188" i="847" s="1"/>
  <c r="J136" i="847"/>
  <c r="K136" i="847" s="1"/>
  <c r="L136" i="847" s="1"/>
  <c r="J74" i="847"/>
  <c r="K74" i="847" s="1"/>
  <c r="L74" i="847" s="1"/>
  <c r="J22" i="847"/>
  <c r="K22" i="847" s="1"/>
  <c r="L22" i="847" s="1"/>
  <c r="J274" i="847"/>
  <c r="K274" i="847" s="1"/>
  <c r="L274" i="847" s="1"/>
  <c r="J225" i="847"/>
  <c r="K225" i="847" s="1"/>
  <c r="L225" i="847" s="1"/>
  <c r="J187" i="847"/>
  <c r="K187" i="847" s="1"/>
  <c r="L187" i="847" s="1"/>
  <c r="J135" i="847"/>
  <c r="K135" i="847" s="1"/>
  <c r="L135" i="847" s="1"/>
  <c r="J65" i="847"/>
  <c r="K65" i="847" s="1"/>
  <c r="L65" i="847" s="1"/>
  <c r="J224" i="847"/>
  <c r="K224" i="847" s="1"/>
  <c r="L224" i="847" s="1"/>
  <c r="J128" i="847"/>
  <c r="K128" i="847" s="1"/>
  <c r="L128" i="847" s="1"/>
  <c r="J20" i="847"/>
  <c r="K20" i="847" s="1"/>
  <c r="L20" i="847" s="1"/>
  <c r="J272" i="847"/>
  <c r="K272" i="847" s="1"/>
  <c r="L272" i="847" s="1"/>
  <c r="J223" i="847"/>
  <c r="K223" i="847" s="1"/>
  <c r="L223" i="847" s="1"/>
  <c r="J182" i="847"/>
  <c r="K182" i="847" s="1"/>
  <c r="L182" i="847" s="1"/>
  <c r="J57" i="847"/>
  <c r="K57" i="847" s="1"/>
  <c r="L57" i="847" s="1"/>
  <c r="J19" i="847"/>
  <c r="K19" i="847" s="1"/>
  <c r="L19" i="847" s="1"/>
  <c r="J167" i="847"/>
  <c r="K167" i="847" s="1"/>
  <c r="L167" i="847" s="1"/>
  <c r="J219" i="847"/>
  <c r="K219" i="847" s="1"/>
  <c r="L219" i="847" s="1"/>
  <c r="J120" i="847"/>
  <c r="K120" i="847" s="1"/>
  <c r="L120" i="847" s="1"/>
  <c r="J165" i="847"/>
  <c r="K165" i="847" s="1"/>
  <c r="L165" i="847" s="1"/>
  <c r="J217" i="847"/>
  <c r="K217" i="847" s="1"/>
  <c r="L217" i="847" s="1"/>
  <c r="J114" i="847"/>
  <c r="K114" i="847" s="1"/>
  <c r="L114" i="847" s="1"/>
  <c r="J251" i="847"/>
  <c r="K251" i="847" s="1"/>
  <c r="L251" i="847" s="1"/>
  <c r="J100" i="847"/>
  <c r="K100" i="847" s="1"/>
  <c r="L100" i="847" s="1"/>
  <c r="J95" i="847"/>
  <c r="K95" i="847" s="1"/>
  <c r="L95" i="847" s="1"/>
  <c r="J160" i="847"/>
  <c r="K160" i="847" s="1"/>
  <c r="L160" i="847" s="1"/>
  <c r="J201" i="847"/>
  <c r="K201" i="847" s="1"/>
  <c r="L201" i="847" s="1"/>
  <c r="J247" i="847"/>
  <c r="K247" i="847" s="1"/>
  <c r="L247" i="847" s="1"/>
  <c r="J154" i="847"/>
  <c r="K154" i="847" s="1"/>
  <c r="L154" i="847" s="1"/>
  <c r="J245" i="847"/>
  <c r="K245" i="847" s="1"/>
  <c r="L245" i="847" s="1"/>
  <c r="J164" i="847"/>
  <c r="K164" i="847" s="1"/>
  <c r="L164" i="847" s="1"/>
  <c r="J162" i="847"/>
  <c r="K162" i="847" s="1"/>
  <c r="L162" i="847" s="1"/>
  <c r="J214" i="847"/>
  <c r="K214" i="847" s="1"/>
  <c r="L214" i="847" s="1"/>
  <c r="J249" i="847"/>
  <c r="K249" i="847" s="1"/>
  <c r="L249" i="847" s="1"/>
  <c r="J156" i="847"/>
  <c r="K156" i="847" s="1"/>
  <c r="L156" i="847" s="1"/>
  <c r="J155" i="847"/>
  <c r="K155" i="847" s="1"/>
  <c r="L155" i="847" s="1"/>
  <c r="J85" i="847"/>
  <c r="K85" i="847" s="1"/>
  <c r="L85" i="847" s="1"/>
  <c r="J271" i="847"/>
  <c r="K271" i="847" s="1"/>
  <c r="L271" i="847" s="1"/>
  <c r="J222" i="847"/>
  <c r="K222" i="847" s="1"/>
  <c r="L222" i="847" s="1"/>
  <c r="J173" i="847"/>
  <c r="K173" i="847" s="1"/>
  <c r="L173" i="847" s="1"/>
  <c r="J124" i="847"/>
  <c r="K124" i="847" s="1"/>
  <c r="L124" i="847" s="1"/>
  <c r="J56" i="847"/>
  <c r="K56" i="847" s="1"/>
  <c r="L56" i="847" s="1"/>
  <c r="J18" i="847"/>
  <c r="K18" i="847" s="1"/>
  <c r="L18" i="847" s="1"/>
  <c r="J270" i="847"/>
  <c r="K270" i="847" s="1"/>
  <c r="L270" i="847" s="1"/>
  <c r="J221" i="847"/>
  <c r="K221" i="847" s="1"/>
  <c r="L221" i="847" s="1"/>
  <c r="J170" i="847"/>
  <c r="K170" i="847" s="1"/>
  <c r="L170" i="847" s="1"/>
  <c r="J122" i="847"/>
  <c r="K122" i="847" s="1"/>
  <c r="L122" i="847" s="1"/>
  <c r="J55" i="847"/>
  <c r="K55" i="847" s="1"/>
  <c r="L55" i="847" s="1"/>
  <c r="J17" i="847"/>
  <c r="K17" i="847" s="1"/>
  <c r="L17" i="847" s="1"/>
  <c r="J269" i="847"/>
  <c r="K269" i="847" s="1"/>
  <c r="L269" i="847" s="1"/>
  <c r="J220" i="847"/>
  <c r="K220" i="847" s="1"/>
  <c r="L220" i="847" s="1"/>
  <c r="J121" i="847"/>
  <c r="K121" i="847" s="1"/>
  <c r="L121" i="847" s="1"/>
  <c r="J16" i="847"/>
  <c r="K16" i="847" s="1"/>
  <c r="L16" i="847" s="1"/>
  <c r="J268" i="847"/>
  <c r="K268" i="847" s="1"/>
  <c r="L268" i="847" s="1"/>
  <c r="J53" i="847"/>
  <c r="K53" i="847" s="1"/>
  <c r="L53" i="847" s="1"/>
  <c r="L52" i="847" s="1"/>
  <c r="J267" i="847"/>
  <c r="K267" i="847" s="1"/>
  <c r="L267" i="847" s="1"/>
  <c r="J218" i="847"/>
  <c r="K218" i="847" s="1"/>
  <c r="L218" i="847" s="1"/>
  <c r="J115" i="847"/>
  <c r="K115" i="847" s="1"/>
  <c r="L115" i="847" s="1"/>
  <c r="J50" i="847"/>
  <c r="K50" i="847" s="1"/>
  <c r="L50" i="847" s="1"/>
  <c r="J255" i="847"/>
  <c r="K255" i="847" s="1"/>
  <c r="L255" i="847" s="1"/>
  <c r="J252" i="847"/>
  <c r="K252" i="847" s="1"/>
  <c r="L252" i="847" s="1"/>
  <c r="J216" i="847"/>
  <c r="K216" i="847" s="1"/>
  <c r="L216" i="847" s="1"/>
  <c r="J163" i="847"/>
  <c r="K163" i="847" s="1"/>
  <c r="L163" i="847" s="1"/>
  <c r="J101" i="847"/>
  <c r="K101" i="847" s="1"/>
  <c r="L101" i="847" s="1"/>
  <c r="J250" i="847"/>
  <c r="K250" i="847" s="1"/>
  <c r="L250" i="847" s="1"/>
  <c r="J161" i="847"/>
  <c r="K161" i="847" s="1"/>
  <c r="L161" i="847" s="1"/>
  <c r="J94" i="847"/>
  <c r="K94" i="847" s="1"/>
  <c r="L94" i="847" s="1"/>
  <c r="J248" i="847"/>
  <c r="K248" i="847" s="1"/>
  <c r="L248" i="847" s="1"/>
  <c r="J87" i="847"/>
  <c r="K87" i="847" s="1"/>
  <c r="L87" i="847" s="1"/>
  <c r="J198" i="847"/>
  <c r="K198" i="847" s="1"/>
  <c r="L198" i="847" s="1"/>
  <c r="J43" i="847"/>
  <c r="K43" i="847" s="1"/>
  <c r="L43" i="847" s="1"/>
  <c r="J197" i="847"/>
  <c r="K197" i="847" s="1"/>
  <c r="L197" i="847" s="1"/>
  <c r="J84" i="847"/>
  <c r="K84" i="847" s="1"/>
  <c r="L84" i="847" s="1"/>
  <c r="J83" i="847"/>
  <c r="K83" i="847" s="1"/>
  <c r="L83" i="847" s="1"/>
  <c r="J82" i="847"/>
  <c r="K82" i="847" s="1"/>
  <c r="L82" i="847" s="1"/>
  <c r="L81" i="847" s="1"/>
  <c r="J26" i="847"/>
  <c r="K26" i="847" s="1"/>
  <c r="L26" i="847" s="1"/>
  <c r="J13" i="847"/>
  <c r="K13" i="847" s="1"/>
  <c r="L13" i="847" s="1"/>
  <c r="J12" i="847"/>
  <c r="K12" i="847" s="1"/>
  <c r="L12" i="847" s="1"/>
  <c r="J242" i="847"/>
  <c r="K242" i="847" s="1"/>
  <c r="L242" i="847" s="1"/>
  <c r="J195" i="847"/>
  <c r="K195" i="847" s="1"/>
  <c r="L195" i="847" s="1"/>
  <c r="J152" i="847"/>
  <c r="K152" i="847" s="1"/>
  <c r="L152" i="847" s="1"/>
  <c r="J80" i="847"/>
  <c r="K80" i="847" s="1"/>
  <c r="L80" i="847" s="1"/>
  <c r="L79" i="847" s="1"/>
  <c r="J77" i="847"/>
  <c r="K77" i="847" s="1"/>
  <c r="L77" i="847" s="1"/>
  <c r="J29" i="847"/>
  <c r="K29" i="847" s="1"/>
  <c r="L29" i="847" s="1"/>
  <c r="J25" i="847"/>
  <c r="K25" i="847" s="1"/>
  <c r="L25" i="847" s="1"/>
  <c r="J280" i="847"/>
  <c r="K280" i="847" s="1"/>
  <c r="L280" i="847" s="1"/>
  <c r="J244" i="847"/>
  <c r="K244" i="847" s="1"/>
  <c r="L244" i="847" s="1"/>
  <c r="J243" i="847"/>
  <c r="K243" i="847" s="1"/>
  <c r="L243" i="847" s="1"/>
  <c r="J241" i="847"/>
  <c r="K241" i="847" s="1"/>
  <c r="L241" i="847" s="1"/>
  <c r="J196" i="847"/>
  <c r="K196" i="847" s="1"/>
  <c r="L196" i="847" s="1"/>
  <c r="J194" i="847"/>
  <c r="K194" i="847" s="1"/>
  <c r="L194" i="847" s="1"/>
  <c r="J193" i="847"/>
  <c r="K193" i="847" s="1"/>
  <c r="L193" i="847" s="1"/>
  <c r="J192" i="847"/>
  <c r="K192" i="847" s="1"/>
  <c r="L192" i="847" s="1"/>
  <c r="J153" i="847"/>
  <c r="K153" i="847" s="1"/>
  <c r="L153" i="847" s="1"/>
  <c r="J144" i="847"/>
  <c r="K144" i="847" s="1"/>
  <c r="L144" i="847" s="1"/>
  <c r="J140" i="847"/>
  <c r="K140" i="847" s="1"/>
  <c r="L140" i="847" s="1"/>
  <c r="J143" i="847"/>
  <c r="K143" i="847" s="1"/>
  <c r="L143" i="847" s="1"/>
  <c r="P15" i="857"/>
  <c r="P14" i="857"/>
  <c r="N18" i="857" s="1"/>
  <c r="E18" i="857"/>
  <c r="D43" i="855"/>
  <c r="E43" i="855"/>
  <c r="F43" i="855"/>
  <c r="G43" i="855"/>
  <c r="F21" i="843"/>
  <c r="J10" i="853" l="1"/>
  <c r="J11" i="853" s="1"/>
  <c r="J12" i="853" s="1"/>
  <c r="J13" i="853" s="1"/>
  <c r="J14" i="853" s="1"/>
  <c r="J15" i="853" s="1"/>
  <c r="J16" i="853" s="1"/>
  <c r="J17" i="853" s="1"/>
  <c r="J18" i="853" s="1"/>
  <c r="J19" i="853" s="1"/>
  <c r="J20" i="853" s="1"/>
  <c r="J21" i="853" s="1"/>
  <c r="J22" i="853" s="1"/>
  <c r="J23" i="853" s="1"/>
  <c r="J24" i="853" s="1"/>
  <c r="J25" i="853" s="1"/>
  <c r="J26" i="853" s="1"/>
  <c r="J27" i="853" s="1"/>
  <c r="J28" i="853" s="1"/>
  <c r="J29" i="853" s="1"/>
  <c r="J30" i="853" s="1"/>
  <c r="J31" i="853" s="1"/>
  <c r="J32" i="853" s="1"/>
  <c r="J33" i="853" s="1"/>
  <c r="J34" i="853" s="1"/>
  <c r="J35" i="853" s="1"/>
  <c r="J36" i="853" s="1"/>
  <c r="J37" i="853" s="1"/>
  <c r="J38" i="853" s="1"/>
  <c r="J39" i="853" s="1"/>
  <c r="J40" i="853" s="1"/>
  <c r="J41" i="853" s="1"/>
  <c r="J42" i="853" s="1"/>
  <c r="J43" i="853" s="1"/>
  <c r="J44" i="853" s="1"/>
  <c r="J45" i="853" s="1"/>
  <c r="J46" i="853" s="1"/>
  <c r="J47" i="853" s="1"/>
  <c r="J48" i="853" s="1"/>
  <c r="J49" i="853" s="1"/>
  <c r="J50" i="853" s="1"/>
  <c r="J51" i="853" s="1"/>
  <c r="J52" i="853" s="1"/>
  <c r="J53" i="853" s="1"/>
  <c r="J54" i="853" s="1"/>
  <c r="J55" i="853" s="1"/>
  <c r="J56" i="853" s="1"/>
  <c r="J57" i="853" s="1"/>
  <c r="J58" i="853" s="1"/>
  <c r="J59" i="853" s="1"/>
  <c r="J60" i="853" s="1"/>
  <c r="J61" i="853" s="1"/>
  <c r="J62" i="853" s="1"/>
  <c r="J63" i="853" s="1"/>
  <c r="J64" i="853" s="1"/>
  <c r="J65" i="853" s="1"/>
  <c r="J66" i="853" s="1"/>
  <c r="J67" i="853" s="1"/>
  <c r="J68" i="853" s="1"/>
  <c r="J69" i="853" s="1"/>
  <c r="J70" i="853" s="1"/>
  <c r="J71" i="853" s="1"/>
  <c r="J72" i="853" s="1"/>
  <c r="J73" i="853" s="1"/>
  <c r="J74" i="853" s="1"/>
  <c r="J75" i="853" s="1"/>
  <c r="J76" i="853" s="1"/>
  <c r="J77" i="853" s="1"/>
  <c r="J78" i="853" s="1"/>
  <c r="J79" i="853" s="1"/>
  <c r="J80" i="853" s="1"/>
  <c r="J81" i="853" s="1"/>
  <c r="J82" i="853" s="1"/>
  <c r="J83" i="853" s="1"/>
  <c r="J84" i="853" s="1"/>
  <c r="J85" i="853" s="1"/>
  <c r="J86" i="853" s="1"/>
  <c r="J87" i="853" s="1"/>
  <c r="J88" i="853" s="1"/>
  <c r="J89" i="853" s="1"/>
  <c r="J90" i="853" s="1"/>
  <c r="J91" i="853" s="1"/>
  <c r="J92" i="853" s="1"/>
  <c r="J93" i="853" s="1"/>
  <c r="J94" i="853" s="1"/>
  <c r="J95" i="853" s="1"/>
  <c r="J96" i="853" s="1"/>
  <c r="J97" i="853" s="1"/>
  <c r="J98" i="853" s="1"/>
  <c r="J99" i="853" s="1"/>
  <c r="J100" i="853" s="1"/>
  <c r="J101" i="853" s="1"/>
  <c r="J102" i="853" s="1"/>
  <c r="J103" i="853" s="1"/>
  <c r="J104" i="853" s="1"/>
  <c r="J105" i="853" s="1"/>
  <c r="J106" i="853" s="1"/>
  <c r="J107" i="853" s="1"/>
  <c r="J108" i="853" s="1"/>
  <c r="J109" i="853" s="1"/>
  <c r="J110" i="853" s="1"/>
  <c r="J111" i="853" s="1"/>
  <c r="J112" i="853" s="1"/>
  <c r="J113" i="853" s="1"/>
  <c r="J114" i="853" s="1"/>
  <c r="J115" i="853" s="1"/>
  <c r="J116" i="853" s="1"/>
  <c r="J117" i="853" s="1"/>
  <c r="J118" i="853" s="1"/>
  <c r="J119" i="853" s="1"/>
  <c r="J120" i="853" s="1"/>
  <c r="J121" i="853" s="1"/>
  <c r="J122" i="853" s="1"/>
  <c r="J123" i="853" s="1"/>
  <c r="J124" i="853" s="1"/>
  <c r="J125" i="853" s="1"/>
  <c r="J126" i="853" s="1"/>
  <c r="J127" i="853" s="1"/>
  <c r="J128" i="853" s="1"/>
  <c r="J129" i="853" s="1"/>
  <c r="J130" i="853" s="1"/>
  <c r="J131" i="853" s="1"/>
  <c r="J132" i="853" s="1"/>
  <c r="J133" i="853" s="1"/>
  <c r="J134" i="853" s="1"/>
  <c r="J135" i="853" s="1"/>
  <c r="J136" i="853" s="1"/>
  <c r="J137" i="853" s="1"/>
  <c r="J138" i="853" s="1"/>
  <c r="J139" i="853" s="1"/>
  <c r="J140" i="853" s="1"/>
  <c r="J141" i="853" s="1"/>
  <c r="J142" i="853" s="1"/>
  <c r="J143" i="853" s="1"/>
  <c r="J144" i="853" s="1"/>
  <c r="J145" i="853" s="1"/>
  <c r="J146" i="853" s="1"/>
  <c r="J147" i="853" s="1"/>
  <c r="J148" i="853" s="1"/>
  <c r="J149" i="853" s="1"/>
  <c r="J150" i="853" s="1"/>
  <c r="J151" i="853" s="1"/>
  <c r="J152" i="853" s="1"/>
  <c r="J153" i="853" s="1"/>
  <c r="J154" i="853" s="1"/>
  <c r="J155" i="853" s="1"/>
  <c r="J156" i="853" s="1"/>
  <c r="J157" i="853" s="1"/>
  <c r="J158" i="853" s="1"/>
  <c r="J159" i="853" s="1"/>
  <c r="J160" i="853" s="1"/>
  <c r="J161" i="853" s="1"/>
  <c r="J162" i="853" s="1"/>
  <c r="J163" i="853" s="1"/>
  <c r="J164" i="853" s="1"/>
  <c r="J165" i="853" s="1"/>
  <c r="J166" i="853" s="1"/>
  <c r="J167" i="853" s="1"/>
  <c r="J168" i="853" s="1"/>
  <c r="J169" i="853" s="1"/>
  <c r="J170" i="853" s="1"/>
  <c r="J171" i="853" s="1"/>
  <c r="J172" i="853" s="1"/>
  <c r="J173" i="853" s="1"/>
  <c r="J174" i="853" s="1"/>
  <c r="J175" i="853" s="1"/>
  <c r="J176" i="853" s="1"/>
  <c r="J177" i="853" s="1"/>
  <c r="J178" i="853" s="1"/>
  <c r="J179" i="853" s="1"/>
  <c r="J180" i="853" s="1"/>
  <c r="J181" i="853" s="1"/>
  <c r="J182" i="853" s="1"/>
  <c r="J183" i="853" s="1"/>
  <c r="J184" i="853" s="1"/>
  <c r="J185" i="853" s="1"/>
  <c r="J186" i="853" s="1"/>
  <c r="J187" i="853" s="1"/>
  <c r="J188" i="853" s="1"/>
  <c r="J189" i="853" s="1"/>
  <c r="J190" i="853" s="1"/>
  <c r="J191" i="853" s="1"/>
  <c r="J192" i="853" s="1"/>
  <c r="J193" i="853" s="1"/>
  <c r="J194" i="853" s="1"/>
  <c r="J195" i="853" s="1"/>
  <c r="J196" i="853" s="1"/>
  <c r="J197" i="853" s="1"/>
  <c r="J198" i="853" s="1"/>
  <c r="J199" i="853" s="1"/>
  <c r="J200" i="853" s="1"/>
  <c r="J201" i="853" s="1"/>
  <c r="J202" i="853" s="1"/>
  <c r="J203" i="853" s="1"/>
  <c r="J204" i="853" s="1"/>
  <c r="J205" i="853" s="1"/>
  <c r="J206" i="853" s="1"/>
  <c r="J207" i="853" s="1"/>
  <c r="J208" i="853" s="1"/>
  <c r="J209" i="853" s="1"/>
  <c r="J210" i="853" s="1"/>
  <c r="J211" i="853" s="1"/>
  <c r="J212" i="853" s="1"/>
  <c r="J213" i="853" s="1"/>
  <c r="J214" i="853" s="1"/>
  <c r="J215" i="853" s="1"/>
  <c r="J216" i="853" s="1"/>
  <c r="J217" i="853" s="1"/>
  <c r="J218" i="853" s="1"/>
  <c r="J219" i="853" s="1"/>
  <c r="J220" i="853" s="1"/>
  <c r="J221" i="853" s="1"/>
  <c r="J222" i="853" s="1"/>
  <c r="J223" i="853" s="1"/>
  <c r="J224" i="853" s="1"/>
  <c r="J225" i="853" s="1"/>
  <c r="J226" i="853" s="1"/>
  <c r="J227" i="853" s="1"/>
  <c r="J228" i="853" s="1"/>
  <c r="J229" i="853" s="1"/>
  <c r="J230" i="853" s="1"/>
  <c r="J231" i="853" s="1"/>
  <c r="J232" i="853" s="1"/>
  <c r="L284" i="809"/>
  <c r="K28" i="851" s="1"/>
  <c r="G235" i="853" s="1"/>
  <c r="J11" i="849"/>
  <c r="L119" i="847"/>
  <c r="L123" i="847"/>
  <c r="L172" i="847"/>
  <c r="L24" i="847"/>
  <c r="D20" i="808" s="1"/>
  <c r="L133" i="847"/>
  <c r="L69" i="847"/>
  <c r="L51" i="847" s="1"/>
  <c r="D29" i="808" s="1"/>
  <c r="L177" i="847"/>
  <c r="L112" i="847"/>
  <c r="L111" i="847" s="1"/>
  <c r="L32" i="847"/>
  <c r="D23" i="808" s="1"/>
  <c r="L93" i="847"/>
  <c r="D35" i="808" s="1"/>
  <c r="L138" i="847"/>
  <c r="L279" i="847"/>
  <c r="D62" i="808" s="1"/>
  <c r="L9" i="847"/>
  <c r="D14" i="808" s="1"/>
  <c r="L127" i="847"/>
  <c r="L126" i="847" s="1"/>
  <c r="D50" i="808" s="1"/>
  <c r="L14" i="847"/>
  <c r="D17" i="808" s="1"/>
  <c r="L190" i="847"/>
  <c r="D59" i="808" s="1"/>
  <c r="L78" i="847"/>
  <c r="D32" i="808" s="1"/>
  <c r="L88" i="847"/>
  <c r="K18" i="857" l="1"/>
  <c r="D44" i="808"/>
  <c r="L285" i="847"/>
  <c r="L132" i="847"/>
  <c r="D53" i="808" s="1"/>
  <c r="L171" i="847"/>
  <c r="D56" i="808" s="1"/>
  <c r="L118" i="847"/>
  <c r="D47" i="808" s="1"/>
  <c r="G68" i="830"/>
  <c r="F68" i="830"/>
  <c r="I68" i="830" s="1"/>
  <c r="P27" i="639" s="1"/>
  <c r="I64" i="830"/>
  <c r="H46" i="830"/>
  <c r="N102" i="830"/>
  <c r="N101" i="830"/>
  <c r="N100" i="830"/>
  <c r="N99" i="830"/>
  <c r="N46" i="830"/>
  <c r="H43" i="830"/>
  <c r="N43" i="830" s="1"/>
  <c r="N44" i="830" s="1"/>
  <c r="H40" i="830"/>
  <c r="N40" i="830" s="1"/>
  <c r="H39" i="830"/>
  <c r="N39" i="830" s="1"/>
  <c r="H38" i="830"/>
  <c r="N38" i="830" s="1"/>
  <c r="H37" i="830"/>
  <c r="N37" i="830" s="1"/>
  <c r="D65" i="808" l="1"/>
  <c r="L284" i="847"/>
  <c r="J10" i="849"/>
  <c r="J64" i="830"/>
  <c r="P26" i="639" s="1"/>
  <c r="N47" i="830"/>
  <c r="N41" i="830"/>
  <c r="D34" i="857" l="1"/>
  <c r="O29" i="857" s="1" a="1"/>
  <c r="O29" i="857" s="1"/>
  <c r="Q14" i="857" s="1"/>
  <c r="K13" i="849"/>
  <c r="J15" i="849"/>
  <c r="N97" i="830"/>
  <c r="N96" i="830"/>
  <c r="N95" i="830"/>
  <c r="N94" i="830"/>
  <c r="N93" i="830"/>
  <c r="N92" i="830"/>
  <c r="N91" i="830"/>
  <c r="N90" i="830"/>
  <c r="N89" i="830"/>
  <c r="N88" i="830"/>
  <c r="N87" i="830"/>
  <c r="N86" i="830"/>
  <c r="N85" i="830"/>
  <c r="N84" i="830"/>
  <c r="N83" i="830"/>
  <c r="N82" i="830"/>
  <c r="N81" i="830"/>
  <c r="N80" i="830"/>
  <c r="N79" i="830"/>
  <c r="L97" i="830"/>
  <c r="L96" i="830"/>
  <c r="L95" i="830"/>
  <c r="L94" i="830"/>
  <c r="L93" i="830"/>
  <c r="L92" i="830"/>
  <c r="L91" i="830"/>
  <c r="L90" i="830"/>
  <c r="L89" i="830"/>
  <c r="L88" i="830"/>
  <c r="L87" i="830"/>
  <c r="L86" i="830"/>
  <c r="L85" i="830"/>
  <c r="L84" i="830"/>
  <c r="L83" i="830"/>
  <c r="L82" i="830"/>
  <c r="L81" i="830"/>
  <c r="L80" i="830"/>
  <c r="L79" i="830"/>
  <c r="P39" i="639"/>
  <c r="H39" i="639"/>
  <c r="D39" i="639"/>
  <c r="C39" i="639"/>
  <c r="Q39" i="639"/>
  <c r="K90" i="835"/>
  <c r="K89" i="835"/>
  <c r="K88" i="835"/>
  <c r="N88" i="835" s="1"/>
  <c r="K87" i="835"/>
  <c r="K86" i="835"/>
  <c r="K85" i="835"/>
  <c r="N85" i="835" s="1"/>
  <c r="K84" i="835"/>
  <c r="K83" i="835"/>
  <c r="K82" i="835"/>
  <c r="N82" i="835" s="1"/>
  <c r="K81" i="835"/>
  <c r="K80" i="835"/>
  <c r="K79" i="835"/>
  <c r="N79" i="835" s="1"/>
  <c r="K78" i="835"/>
  <c r="N78" i="835" s="1"/>
  <c r="K77" i="835"/>
  <c r="K76" i="835"/>
  <c r="K75" i="835"/>
  <c r="N75" i="835" s="1"/>
  <c r="K74" i="835"/>
  <c r="N74" i="835" s="1"/>
  <c r="K73" i="835"/>
  <c r="K72" i="835"/>
  <c r="K71" i="835"/>
  <c r="K70" i="835"/>
  <c r="K69" i="835"/>
  <c r="N69" i="835" s="1"/>
  <c r="K68" i="835"/>
  <c r="K67" i="835"/>
  <c r="N67" i="835" s="1"/>
  <c r="K66" i="835"/>
  <c r="K65" i="835"/>
  <c r="K61" i="835"/>
  <c r="N61" i="835" s="1"/>
  <c r="K60" i="835"/>
  <c r="K59" i="835"/>
  <c r="K58" i="835"/>
  <c r="N58" i="835" s="1"/>
  <c r="K57" i="835"/>
  <c r="N57" i="835" s="1"/>
  <c r="K56" i="835"/>
  <c r="N56" i="835" s="1"/>
  <c r="K52" i="835"/>
  <c r="N52" i="835" s="1"/>
  <c r="N94" i="835"/>
  <c r="N87" i="835"/>
  <c r="N86" i="835"/>
  <c r="N84" i="835"/>
  <c r="N83" i="835"/>
  <c r="N73" i="835"/>
  <c r="N72" i="835"/>
  <c r="N71" i="835"/>
  <c r="N70" i="835"/>
  <c r="N68" i="835"/>
  <c r="N66" i="835"/>
  <c r="N60" i="835"/>
  <c r="N59" i="835"/>
  <c r="N93" i="835"/>
  <c r="N64" i="835"/>
  <c r="N62" i="835"/>
  <c r="N55" i="835"/>
  <c r="N54" i="835"/>
  <c r="N53" i="835"/>
  <c r="N51" i="835"/>
  <c r="N50" i="835"/>
  <c r="N49" i="835"/>
  <c r="T39" i="639" l="1"/>
  <c r="N98" i="830"/>
  <c r="N103" i="830" s="1"/>
  <c r="G13" i="830" s="1"/>
  <c r="L98" i="830"/>
  <c r="N65" i="835"/>
  <c r="P30" i="639" l="1"/>
  <c r="T30" i="639" s="1"/>
  <c r="P29" i="639"/>
  <c r="N16" i="830"/>
  <c r="N19" i="830" s="1"/>
  <c r="N15" i="830"/>
  <c r="N24" i="830"/>
  <c r="N28" i="830"/>
  <c r="N29" i="830" s="1"/>
  <c r="N31" i="830"/>
  <c r="N32" i="830" s="1"/>
  <c r="H34" i="830"/>
  <c r="N34" i="830" s="1"/>
  <c r="N35" i="830" s="1"/>
  <c r="N25" i="830"/>
  <c r="N76" i="835"/>
  <c r="N18" i="830" l="1"/>
  <c r="N20" i="830"/>
  <c r="N21" i="830"/>
  <c r="N26" i="830"/>
  <c r="N77" i="835"/>
  <c r="N22" i="830" l="1"/>
  <c r="N48" i="830" s="1"/>
  <c r="P22" i="639" s="1"/>
  <c r="N80" i="835"/>
  <c r="N81" i="835" l="1"/>
  <c r="N89" i="835" l="1"/>
  <c r="N90" i="835"/>
  <c r="N91" i="835" s="1"/>
  <c r="N95" i="835" s="1"/>
  <c r="N96" i="835" l="1"/>
  <c r="N97" i="835" s="1"/>
  <c r="N98" i="835" s="1"/>
  <c r="P300" i="639" l="1"/>
  <c r="T300" i="639" l="1"/>
  <c r="N300" i="639"/>
  <c r="H300" i="639"/>
  <c r="D300" i="639"/>
  <c r="C300" i="639"/>
  <c r="N94" i="823"/>
  <c r="Q38" i="639"/>
  <c r="N38" i="639"/>
  <c r="N39" i="639" s="1"/>
  <c r="H38" i="639"/>
  <c r="D38" i="639"/>
  <c r="C38" i="639"/>
  <c r="P38" i="639"/>
  <c r="Q37" i="639"/>
  <c r="N37" i="639"/>
  <c r="H37" i="639"/>
  <c r="D37" i="639"/>
  <c r="C37" i="639"/>
  <c r="P37" i="639"/>
  <c r="Q148" i="639"/>
  <c r="O148" i="639"/>
  <c r="N148" i="639"/>
  <c r="H148" i="639"/>
  <c r="D148" i="639"/>
  <c r="C148" i="639"/>
  <c r="N147" i="639"/>
  <c r="H147" i="639"/>
  <c r="D147" i="639"/>
  <c r="C147" i="639"/>
  <c r="Q147" i="639"/>
  <c r="O147" i="639"/>
  <c r="T146" i="639"/>
  <c r="T16" i="750"/>
  <c r="M16" i="750"/>
  <c r="L16" i="750"/>
  <c r="S16" i="750"/>
  <c r="Q16" i="750"/>
  <c r="O16" i="750"/>
  <c r="J16" i="750"/>
  <c r="P105" i="639"/>
  <c r="T105" i="639" s="1"/>
  <c r="N105" i="639"/>
  <c r="AB19" i="839"/>
  <c r="C105" i="639"/>
  <c r="H105" i="639"/>
  <c r="D105" i="639"/>
  <c r="T104" i="639"/>
  <c r="I12" i="839"/>
  <c r="U16" i="839"/>
  <c r="S16" i="839"/>
  <c r="Q16" i="839"/>
  <c r="O16" i="839"/>
  <c r="M16" i="839"/>
  <c r="K16" i="839"/>
  <c r="H16" i="839"/>
  <c r="I15" i="839"/>
  <c r="AB15" i="839" s="1"/>
  <c r="AB14" i="839"/>
  <c r="I14" i="839"/>
  <c r="AA14" i="839" s="1"/>
  <c r="I13" i="839"/>
  <c r="AB12" i="839"/>
  <c r="Z12" i="839"/>
  <c r="X12" i="839"/>
  <c r="X16" i="839" s="1"/>
  <c r="V16" i="839"/>
  <c r="T16" i="839"/>
  <c r="R16" i="839"/>
  <c r="P16" i="839"/>
  <c r="N16" i="839"/>
  <c r="L16" i="839"/>
  <c r="AB5" i="839"/>
  <c r="C5" i="839"/>
  <c r="AB4" i="839"/>
  <c r="C4" i="839"/>
  <c r="N134" i="639"/>
  <c r="H134" i="639"/>
  <c r="D134" i="639"/>
  <c r="C134" i="639"/>
  <c r="N132" i="639"/>
  <c r="H132" i="639"/>
  <c r="D132" i="639"/>
  <c r="C132" i="639"/>
  <c r="N131" i="639"/>
  <c r="H131" i="639"/>
  <c r="D131" i="639"/>
  <c r="C131" i="639"/>
  <c r="N130" i="639"/>
  <c r="H130" i="639"/>
  <c r="D130" i="639"/>
  <c r="C130" i="639"/>
  <c r="O14" i="838"/>
  <c r="N14" i="838"/>
  <c r="B20" i="838"/>
  <c r="B16" i="838"/>
  <c r="O12" i="838"/>
  <c r="O15" i="838" s="1"/>
  <c r="O17" i="838" s="1"/>
  <c r="O18" i="838" s="1"/>
  <c r="N12" i="838"/>
  <c r="W5" i="838"/>
  <c r="C5" i="838"/>
  <c r="W4" i="838"/>
  <c r="C4" i="838"/>
  <c r="P126" i="639"/>
  <c r="P124" i="639"/>
  <c r="P123" i="639"/>
  <c r="N126" i="639"/>
  <c r="N124" i="639"/>
  <c r="N123" i="639"/>
  <c r="D126" i="639"/>
  <c r="C126" i="639"/>
  <c r="D124" i="639"/>
  <c r="C124" i="639"/>
  <c r="D123" i="639"/>
  <c r="C123" i="639"/>
  <c r="H126" i="639"/>
  <c r="H124" i="639"/>
  <c r="H123" i="639"/>
  <c r="N20" i="837"/>
  <c r="N18" i="837"/>
  <c r="O15" i="837"/>
  <c r="N12" i="837"/>
  <c r="N15" i="837" s="1"/>
  <c r="N17" i="837" s="1"/>
  <c r="W17" i="837" s="1"/>
  <c r="W5" i="837"/>
  <c r="C5" i="837"/>
  <c r="W4" i="837"/>
  <c r="C4" i="837"/>
  <c r="P119" i="639"/>
  <c r="T119" i="639" s="1"/>
  <c r="H119" i="639"/>
  <c r="D119" i="639"/>
  <c r="C119" i="639"/>
  <c r="S14" i="826"/>
  <c r="W14" i="826" s="1"/>
  <c r="P110" i="639"/>
  <c r="T110" i="639" s="1"/>
  <c r="N110" i="639"/>
  <c r="H110" i="639"/>
  <c r="D110" i="639"/>
  <c r="C110" i="639"/>
  <c r="O28" i="744"/>
  <c r="J22" i="744"/>
  <c r="O24" i="744"/>
  <c r="I22" i="744"/>
  <c r="K22" i="744" s="1"/>
  <c r="M22" i="744" s="1"/>
  <c r="I21" i="744"/>
  <c r="K21" i="744" s="1"/>
  <c r="M21" i="744" s="1"/>
  <c r="I20" i="744"/>
  <c r="K20" i="744" s="1"/>
  <c r="M20" i="744" s="1"/>
  <c r="I19" i="744"/>
  <c r="K19" i="744" s="1"/>
  <c r="M19" i="744" s="1"/>
  <c r="H18" i="835"/>
  <c r="N294" i="639"/>
  <c r="H294" i="639"/>
  <c r="D294" i="639"/>
  <c r="C294" i="639"/>
  <c r="N293" i="639"/>
  <c r="H293" i="639"/>
  <c r="D293" i="639"/>
  <c r="C293" i="639"/>
  <c r="N93" i="823"/>
  <c r="Q294" i="639" s="1"/>
  <c r="T294" i="639" s="1"/>
  <c r="N92" i="823"/>
  <c r="Q293" i="639" s="1"/>
  <c r="T293" i="639" s="1"/>
  <c r="N299" i="639"/>
  <c r="D299" i="639"/>
  <c r="C299" i="639"/>
  <c r="N298" i="639"/>
  <c r="D298" i="639"/>
  <c r="C298" i="639"/>
  <c r="N297" i="639"/>
  <c r="H297" i="639"/>
  <c r="D297" i="639"/>
  <c r="C297" i="639"/>
  <c r="N296" i="639"/>
  <c r="H296" i="639"/>
  <c r="D296" i="639"/>
  <c r="C296" i="639"/>
  <c r="N295" i="639"/>
  <c r="H295" i="639"/>
  <c r="D295" i="639"/>
  <c r="C295" i="639"/>
  <c r="N89" i="639"/>
  <c r="H89" i="639"/>
  <c r="D89" i="639"/>
  <c r="C89" i="639"/>
  <c r="M87" i="823"/>
  <c r="M88" i="823" s="1"/>
  <c r="P35" i="639"/>
  <c r="N36" i="639"/>
  <c r="N35" i="639"/>
  <c r="H36" i="639"/>
  <c r="H35" i="639"/>
  <c r="D36" i="639"/>
  <c r="C36" i="639"/>
  <c r="C35" i="639"/>
  <c r="D35" i="639"/>
  <c r="H140" i="639"/>
  <c r="C109" i="639"/>
  <c r="D109" i="639"/>
  <c r="D45" i="639"/>
  <c r="N28" i="639"/>
  <c r="H26" i="639"/>
  <c r="I73" i="830"/>
  <c r="I72" i="830"/>
  <c r="N19" i="639"/>
  <c r="N18" i="639"/>
  <c r="N17" i="639"/>
  <c r="N16" i="639"/>
  <c r="H19" i="639"/>
  <c r="H18" i="639"/>
  <c r="H17" i="639"/>
  <c r="H16" i="639"/>
  <c r="D19" i="639"/>
  <c r="D18" i="639"/>
  <c r="D17" i="639"/>
  <c r="D16" i="639"/>
  <c r="C19" i="639"/>
  <c r="C18" i="639"/>
  <c r="C17" i="639"/>
  <c r="C16" i="639"/>
  <c r="E31" i="836"/>
  <c r="P19" i="639" s="1"/>
  <c r="M23" i="836"/>
  <c r="P18" i="639" s="1"/>
  <c r="T18" i="639" s="1"/>
  <c r="E23" i="836"/>
  <c r="P17" i="639" s="1"/>
  <c r="T17" i="639" s="1"/>
  <c r="M15" i="836"/>
  <c r="E15" i="836"/>
  <c r="P16" i="639" s="1"/>
  <c r="W18" i="838" l="1"/>
  <c r="P131" i="639" s="1"/>
  <c r="T131" i="639" s="1"/>
  <c r="O21" i="838"/>
  <c r="I74" i="830"/>
  <c r="P28" i="639" s="1"/>
  <c r="T38" i="639"/>
  <c r="T37" i="639"/>
  <c r="AA12" i="839"/>
  <c r="I16" i="839"/>
  <c r="AA13" i="839"/>
  <c r="AA15" i="839"/>
  <c r="J15" i="839"/>
  <c r="AB13" i="839"/>
  <c r="AB16" i="839" s="1"/>
  <c r="W16" i="839"/>
  <c r="J13" i="839"/>
  <c r="J14" i="839"/>
  <c r="N15" i="838"/>
  <c r="N17" i="838" s="1"/>
  <c r="N19" i="838" s="1"/>
  <c r="N23" i="838" s="1"/>
  <c r="N24" i="838" s="1"/>
  <c r="W24" i="838" s="1"/>
  <c r="P148" i="639" s="1"/>
  <c r="T148" i="639" s="1"/>
  <c r="W20" i="837"/>
  <c r="W18" i="837"/>
  <c r="M24" i="744"/>
  <c r="N24" i="744"/>
  <c r="O5" i="836"/>
  <c r="C5" i="836"/>
  <c r="O4" i="836"/>
  <c r="C4" i="836"/>
  <c r="H28" i="639"/>
  <c r="H27" i="639"/>
  <c r="D28" i="639"/>
  <c r="D27" i="639"/>
  <c r="D26" i="639"/>
  <c r="C28" i="639"/>
  <c r="C27" i="639"/>
  <c r="C26" i="639"/>
  <c r="P25" i="639"/>
  <c r="T25" i="639" s="1"/>
  <c r="P24" i="639"/>
  <c r="T24" i="639" s="1"/>
  <c r="N25" i="639"/>
  <c r="N29" i="639" s="1"/>
  <c r="N30" i="639" s="1"/>
  <c r="N24" i="639"/>
  <c r="H25" i="639"/>
  <c r="H24" i="639"/>
  <c r="D25" i="639"/>
  <c r="D24" i="639"/>
  <c r="C25" i="639"/>
  <c r="C24" i="639"/>
  <c r="T26" i="639"/>
  <c r="T305" i="639"/>
  <c r="T302" i="639"/>
  <c r="T301" i="639"/>
  <c r="T212" i="639"/>
  <c r="T211" i="639"/>
  <c r="T198" i="639"/>
  <c r="T193" i="639"/>
  <c r="T192" i="639"/>
  <c r="T191" i="639"/>
  <c r="T158" i="639"/>
  <c r="T153" i="639"/>
  <c r="T152" i="639"/>
  <c r="T151" i="639"/>
  <c r="T149" i="639"/>
  <c r="T145" i="639"/>
  <c r="T144" i="639"/>
  <c r="T141" i="639"/>
  <c r="T137" i="639"/>
  <c r="T136" i="639"/>
  <c r="T135" i="639"/>
  <c r="T133" i="639"/>
  <c r="T129" i="639"/>
  <c r="T128" i="639"/>
  <c r="T127" i="639"/>
  <c r="T126" i="639"/>
  <c r="T125" i="639"/>
  <c r="T124" i="639"/>
  <c r="T123" i="639"/>
  <c r="T122" i="639"/>
  <c r="T121" i="639"/>
  <c r="T120" i="639"/>
  <c r="T113" i="639"/>
  <c r="T112" i="639"/>
  <c r="T111" i="639"/>
  <c r="T107" i="639"/>
  <c r="T106" i="639"/>
  <c r="T101" i="639"/>
  <c r="T94" i="639"/>
  <c r="T92" i="639"/>
  <c r="T91" i="639"/>
  <c r="T90" i="639"/>
  <c r="T81" i="639"/>
  <c r="T73" i="639"/>
  <c r="T63" i="639"/>
  <c r="T62" i="639"/>
  <c r="T61" i="639"/>
  <c r="T48" i="639"/>
  <c r="T47" i="639"/>
  <c r="T41" i="639"/>
  <c r="T40" i="639"/>
  <c r="T32" i="639"/>
  <c r="T31" i="639"/>
  <c r="T29" i="639"/>
  <c r="T28" i="639"/>
  <c r="T27" i="639"/>
  <c r="T22" i="639"/>
  <c r="T21" i="639"/>
  <c r="T20" i="639"/>
  <c r="T19" i="639"/>
  <c r="T16" i="639"/>
  <c r="T15" i="639"/>
  <c r="P23" i="639"/>
  <c r="T23" i="639" s="1"/>
  <c r="N23" i="639"/>
  <c r="D23" i="639"/>
  <c r="C23" i="639"/>
  <c r="H23" i="639"/>
  <c r="H22" i="639"/>
  <c r="D22" i="639"/>
  <c r="C22" i="639"/>
  <c r="N34" i="639"/>
  <c r="H34" i="639"/>
  <c r="D34" i="639"/>
  <c r="C34" i="639"/>
  <c r="W17" i="838" l="1"/>
  <c r="P130" i="639" s="1"/>
  <c r="T130" i="639" s="1"/>
  <c r="J16" i="839"/>
  <c r="AA16" i="839"/>
  <c r="W21" i="838"/>
  <c r="P134" i="639" s="1"/>
  <c r="T134" i="639" s="1"/>
  <c r="H17" i="835"/>
  <c r="H19" i="835" s="1"/>
  <c r="P34" i="639" s="1"/>
  <c r="I11" i="835"/>
  <c r="K11" i="835" s="1"/>
  <c r="P46" i="639" s="1"/>
  <c r="P33" i="639"/>
  <c r="T33" i="639" s="1"/>
  <c r="N33" i="639"/>
  <c r="H33" i="639"/>
  <c r="D33" i="639"/>
  <c r="C33" i="639"/>
  <c r="N5" i="835"/>
  <c r="C5" i="835"/>
  <c r="N4" i="835"/>
  <c r="C4" i="835"/>
  <c r="O143" i="639"/>
  <c r="N143" i="639"/>
  <c r="H143" i="639"/>
  <c r="D143" i="639"/>
  <c r="C143" i="639"/>
  <c r="N142" i="639"/>
  <c r="H142" i="639"/>
  <c r="D142" i="639"/>
  <c r="C142" i="639"/>
  <c r="O142" i="639"/>
  <c r="P140" i="639"/>
  <c r="P139" i="639"/>
  <c r="T139" i="639" s="1"/>
  <c r="N139" i="639"/>
  <c r="N140" i="639"/>
  <c r="D140" i="639"/>
  <c r="D139" i="639"/>
  <c r="C140" i="639"/>
  <c r="C139" i="639"/>
  <c r="H139" i="639"/>
  <c r="O12" i="834"/>
  <c r="O15" i="834" s="1"/>
  <c r="O18" i="834" s="1"/>
  <c r="W18" i="834" s="1"/>
  <c r="N12" i="834"/>
  <c r="N15" i="834" s="1"/>
  <c r="N17" i="834" s="1"/>
  <c r="W17" i="834" s="1"/>
  <c r="W5" i="834"/>
  <c r="C5" i="834"/>
  <c r="W4" i="834"/>
  <c r="C4" i="834"/>
  <c r="O46" i="639"/>
  <c r="N46" i="639"/>
  <c r="H46" i="639"/>
  <c r="D46" i="639"/>
  <c r="C46" i="639"/>
  <c r="N45" i="639"/>
  <c r="H45" i="639"/>
  <c r="C45" i="639"/>
  <c r="K39" i="831"/>
  <c r="J39" i="831"/>
  <c r="H37" i="831"/>
  <c r="H38" i="831"/>
  <c r="J40" i="831"/>
  <c r="K40" i="831" s="1"/>
  <c r="J26" i="831"/>
  <c r="K26" i="831" s="1"/>
  <c r="J25" i="831"/>
  <c r="N44" i="639"/>
  <c r="H44" i="639"/>
  <c r="D44" i="639"/>
  <c r="C44" i="639"/>
  <c r="H26" i="831"/>
  <c r="H25" i="831"/>
  <c r="N43" i="639"/>
  <c r="N42" i="639"/>
  <c r="H43" i="639"/>
  <c r="D43" i="639"/>
  <c r="D42" i="639"/>
  <c r="C43" i="639"/>
  <c r="H42" i="639"/>
  <c r="C42" i="639"/>
  <c r="F20" i="831"/>
  <c r="F19" i="831"/>
  <c r="I19" i="831" s="1"/>
  <c r="K19" i="831" s="1"/>
  <c r="F14" i="831"/>
  <c r="H14" i="831" s="1"/>
  <c r="K14" i="831" s="1"/>
  <c r="F13" i="831"/>
  <c r="H13" i="831" s="1"/>
  <c r="K13" i="831" s="1"/>
  <c r="F12" i="831"/>
  <c r="H12" i="831" s="1"/>
  <c r="K12" i="831" s="1"/>
  <c r="F11" i="831"/>
  <c r="H11" i="831" s="1"/>
  <c r="K11" i="831" s="1"/>
  <c r="I18" i="833"/>
  <c r="H18" i="833"/>
  <c r="I19" i="833"/>
  <c r="H19" i="833"/>
  <c r="I17" i="833"/>
  <c r="H17" i="833"/>
  <c r="I16" i="833"/>
  <c r="H16" i="833"/>
  <c r="I15" i="833"/>
  <c r="H15" i="833"/>
  <c r="I14" i="833"/>
  <c r="H14" i="833"/>
  <c r="I13" i="833"/>
  <c r="H13" i="833"/>
  <c r="I12" i="833"/>
  <c r="H12" i="833"/>
  <c r="I11" i="833"/>
  <c r="H11" i="833"/>
  <c r="I5" i="833"/>
  <c r="C5" i="833"/>
  <c r="I4" i="833"/>
  <c r="C4" i="833"/>
  <c r="N5" i="831"/>
  <c r="C5" i="831"/>
  <c r="N4" i="831"/>
  <c r="C4" i="831"/>
  <c r="O5" i="830"/>
  <c r="C5" i="830"/>
  <c r="O4" i="830"/>
  <c r="C4" i="830"/>
  <c r="I11" i="743"/>
  <c r="L11" i="743" s="1"/>
  <c r="J11" i="743"/>
  <c r="K11" i="743"/>
  <c r="I12" i="743"/>
  <c r="J12" i="743"/>
  <c r="K12" i="743"/>
  <c r="L12" i="743"/>
  <c r="S12" i="743" s="1"/>
  <c r="M12" i="743"/>
  <c r="N12" i="743"/>
  <c r="Q12" i="743" s="1"/>
  <c r="O12" i="743"/>
  <c r="P12" i="743"/>
  <c r="I13" i="743"/>
  <c r="J13" i="743"/>
  <c r="L13" i="743"/>
  <c r="S13" i="743" s="1"/>
  <c r="M13" i="743"/>
  <c r="N13" i="743"/>
  <c r="Q13" i="743" s="1"/>
  <c r="R13" i="743" s="1"/>
  <c r="P13" i="743"/>
  <c r="W19" i="838" l="1"/>
  <c r="P132" i="639" s="1"/>
  <c r="T132" i="639" s="1"/>
  <c r="W23" i="838"/>
  <c r="P147" i="639" s="1"/>
  <c r="T147" i="639" s="1"/>
  <c r="T35" i="639"/>
  <c r="T34" i="639"/>
  <c r="J27" i="831"/>
  <c r="K25" i="831"/>
  <c r="K27" i="831" s="1"/>
  <c r="J41" i="831"/>
  <c r="K41" i="831"/>
  <c r="K15" i="831"/>
  <c r="H27" i="831"/>
  <c r="P44" i="639" s="1"/>
  <c r="T44" i="639" s="1"/>
  <c r="I20" i="831"/>
  <c r="H15" i="831"/>
  <c r="P42" i="639" s="1"/>
  <c r="I20" i="833"/>
  <c r="I24" i="833" s="1"/>
  <c r="I25" i="833" s="1"/>
  <c r="M11" i="743"/>
  <c r="M15" i="743" s="1"/>
  <c r="S24" i="743" s="1"/>
  <c r="L15" i="743"/>
  <c r="S18" i="743" s="1"/>
  <c r="R12" i="743"/>
  <c r="N11" i="743"/>
  <c r="H36" i="831" l="1"/>
  <c r="I21" i="831"/>
  <c r="P43" i="639" s="1"/>
  <c r="T43" i="639" s="1"/>
  <c r="K20" i="831"/>
  <c r="K21" i="831" s="1"/>
  <c r="S11" i="743"/>
  <c r="S15" i="743" s="1"/>
  <c r="O11" i="743"/>
  <c r="Q11" i="743"/>
  <c r="Q15" i="743" s="1"/>
  <c r="S22" i="743" s="1"/>
  <c r="N15" i="743"/>
  <c r="S19" i="743" s="1"/>
  <c r="H20" i="833" l="1"/>
  <c r="I23" i="833" s="1"/>
  <c r="Q83" i="639" s="1"/>
  <c r="R11" i="743"/>
  <c r="R15" i="743" s="1"/>
  <c r="S23" i="743" s="1"/>
  <c r="O15" i="743"/>
  <c r="S20" i="743" s="1"/>
  <c r="P11" i="743"/>
  <c r="P15" i="743" s="1"/>
  <c r="S21" i="743" s="1"/>
  <c r="H299" i="639" l="1"/>
  <c r="H298" i="639"/>
  <c r="T16" i="829"/>
  <c r="O15" i="829"/>
  <c r="O16" i="829"/>
  <c r="N16" i="829"/>
  <c r="W16" i="829"/>
  <c r="V16" i="829"/>
  <c r="Q16" i="829"/>
  <c r="Y16" i="829" s="1"/>
  <c r="K16" i="829"/>
  <c r="J16" i="829"/>
  <c r="M16" i="829" l="1"/>
  <c r="L16" i="829"/>
  <c r="X16" i="829" s="1"/>
  <c r="Q15" i="829" l="1"/>
  <c r="Y15" i="829" s="1"/>
  <c r="W15" i="829"/>
  <c r="V15" i="829"/>
  <c r="U15" i="829"/>
  <c r="R15" i="829"/>
  <c r="N15" i="829"/>
  <c r="K15" i="829"/>
  <c r="J15" i="829"/>
  <c r="O18" i="829" s="1"/>
  <c r="Y24" i="829" s="1"/>
  <c r="P14" i="829"/>
  <c r="P18" i="829" s="1"/>
  <c r="Y26" i="829" s="1"/>
  <c r="Q89" i="639" s="1"/>
  <c r="T89" i="639" s="1"/>
  <c r="T14" i="829"/>
  <c r="T17" i="829"/>
  <c r="N14" i="829"/>
  <c r="W14" i="829"/>
  <c r="V14" i="829"/>
  <c r="Q14" i="829"/>
  <c r="Y14" i="829" s="1"/>
  <c r="K14" i="829"/>
  <c r="J14" i="829"/>
  <c r="R13" i="829"/>
  <c r="V13" i="829"/>
  <c r="V17" i="829"/>
  <c r="V12" i="829"/>
  <c r="N13" i="829"/>
  <c r="N12" i="829"/>
  <c r="U13" i="829"/>
  <c r="Q13" i="829"/>
  <c r="Y13" i="829" s="1"/>
  <c r="Q12" i="829"/>
  <c r="Y12" i="829" s="1"/>
  <c r="G13" i="829"/>
  <c r="U17" i="829"/>
  <c r="W13" i="829"/>
  <c r="K13" i="829"/>
  <c r="J13" i="829"/>
  <c r="W12" i="829"/>
  <c r="S12" i="829"/>
  <c r="W17" i="829"/>
  <c r="S17" i="829"/>
  <c r="N51" i="639"/>
  <c r="H51" i="639"/>
  <c r="D51" i="639"/>
  <c r="C51" i="639"/>
  <c r="K12" i="829"/>
  <c r="J12" i="829"/>
  <c r="M17" i="829"/>
  <c r="L17" i="829"/>
  <c r="Y5" i="829"/>
  <c r="C5" i="829"/>
  <c r="Y4" i="829"/>
  <c r="C4" i="829"/>
  <c r="P304" i="639"/>
  <c r="T304" i="639" s="1"/>
  <c r="N304" i="639"/>
  <c r="H304" i="639"/>
  <c r="D304" i="639"/>
  <c r="C304" i="639"/>
  <c r="P303" i="639"/>
  <c r="T303" i="639" s="1"/>
  <c r="N303" i="639"/>
  <c r="H303" i="639"/>
  <c r="D303" i="639"/>
  <c r="C303" i="639"/>
  <c r="O18" i="828"/>
  <c r="O12" i="828"/>
  <c r="O15" i="828" s="1"/>
  <c r="W18" i="828" s="1"/>
  <c r="N17" i="828"/>
  <c r="N14" i="828"/>
  <c r="N15" i="828" s="1"/>
  <c r="W17" i="828" s="1"/>
  <c r="W5" i="828"/>
  <c r="C5" i="828"/>
  <c r="W4" i="828"/>
  <c r="C4" i="828"/>
  <c r="O140" i="639"/>
  <c r="T140" i="639" s="1"/>
  <c r="N109" i="639"/>
  <c r="H109" i="639"/>
  <c r="H118" i="639"/>
  <c r="D118" i="639"/>
  <c r="C118" i="639"/>
  <c r="P118" i="639"/>
  <c r="T118" i="639" s="1"/>
  <c r="H117" i="639"/>
  <c r="D117" i="639"/>
  <c r="C117" i="639"/>
  <c r="O15" i="827"/>
  <c r="W5" i="827"/>
  <c r="C5" i="827"/>
  <c r="W4" i="827"/>
  <c r="C4" i="827"/>
  <c r="Y16" i="826"/>
  <c r="X16" i="826"/>
  <c r="S13" i="826"/>
  <c r="W13" i="826" s="1"/>
  <c r="S12" i="826"/>
  <c r="W12" i="826" s="1"/>
  <c r="X5" i="826"/>
  <c r="C5" i="826"/>
  <c r="X4" i="826"/>
  <c r="C4" i="826"/>
  <c r="O108" i="639"/>
  <c r="N108" i="639"/>
  <c r="H108" i="639"/>
  <c r="D108" i="639"/>
  <c r="C108" i="639"/>
  <c r="O19" i="825"/>
  <c r="Y19" i="825"/>
  <c r="O14" i="825"/>
  <c r="O16" i="825" s="1"/>
  <c r="N14" i="825"/>
  <c r="I14" i="825"/>
  <c r="K14" i="825" s="1"/>
  <c r="M14" i="825" s="1"/>
  <c r="N13" i="825"/>
  <c r="K13" i="825"/>
  <c r="M13" i="825" s="1"/>
  <c r="I13" i="825"/>
  <c r="N12" i="825"/>
  <c r="I12" i="825"/>
  <c r="K12" i="825" s="1"/>
  <c r="M12" i="825" s="1"/>
  <c r="I11" i="825"/>
  <c r="K11" i="825" s="1"/>
  <c r="M11" i="825" s="1"/>
  <c r="O5" i="825"/>
  <c r="D5" i="825"/>
  <c r="O4" i="825"/>
  <c r="D4" i="825"/>
  <c r="P49" i="639"/>
  <c r="H49" i="639"/>
  <c r="D49" i="639"/>
  <c r="C49" i="639"/>
  <c r="O49" i="639"/>
  <c r="N49" i="639"/>
  <c r="N292" i="639"/>
  <c r="H292" i="639"/>
  <c r="D292" i="639"/>
  <c r="C292" i="639"/>
  <c r="N291" i="639"/>
  <c r="H291" i="639"/>
  <c r="D291" i="639"/>
  <c r="C291" i="639"/>
  <c r="N290" i="639"/>
  <c r="H290" i="639"/>
  <c r="D290" i="639"/>
  <c r="C290" i="639"/>
  <c r="N289" i="639"/>
  <c r="H289" i="639"/>
  <c r="D289" i="639"/>
  <c r="C289" i="639"/>
  <c r="N288" i="639"/>
  <c r="H288" i="639"/>
  <c r="D288" i="639"/>
  <c r="C288" i="639"/>
  <c r="N287" i="639"/>
  <c r="H287" i="639"/>
  <c r="D287" i="639"/>
  <c r="C287" i="639"/>
  <c r="N286" i="639"/>
  <c r="H286" i="639"/>
  <c r="D286" i="639"/>
  <c r="C286" i="639"/>
  <c r="N285" i="639"/>
  <c r="H285" i="639"/>
  <c r="D285" i="639"/>
  <c r="C285" i="639"/>
  <c r="N284" i="639"/>
  <c r="H284" i="639"/>
  <c r="D284" i="639"/>
  <c r="C284" i="639"/>
  <c r="N283" i="639"/>
  <c r="H283" i="639"/>
  <c r="D283" i="639"/>
  <c r="C283" i="639"/>
  <c r="N282" i="639"/>
  <c r="H282" i="639"/>
  <c r="D282" i="639"/>
  <c r="C282" i="639"/>
  <c r="N281" i="639"/>
  <c r="H281" i="639"/>
  <c r="D281" i="639"/>
  <c r="C281" i="639"/>
  <c r="N280" i="639"/>
  <c r="H280" i="639"/>
  <c r="D280" i="639"/>
  <c r="C280" i="639"/>
  <c r="N279" i="639"/>
  <c r="H279" i="639"/>
  <c r="D279" i="639"/>
  <c r="C279" i="639"/>
  <c r="N278" i="639"/>
  <c r="H278" i="639"/>
  <c r="D278" i="639"/>
  <c r="C278" i="639"/>
  <c r="N277" i="639"/>
  <c r="H277" i="639"/>
  <c r="D277" i="639"/>
  <c r="C277" i="639"/>
  <c r="N276" i="639"/>
  <c r="H276" i="639"/>
  <c r="D276" i="639"/>
  <c r="C276" i="639"/>
  <c r="N275" i="639"/>
  <c r="H275" i="639"/>
  <c r="D275" i="639"/>
  <c r="C275" i="639"/>
  <c r="N274" i="639"/>
  <c r="H274" i="639"/>
  <c r="D274" i="639"/>
  <c r="C274" i="639"/>
  <c r="N273" i="639"/>
  <c r="H273" i="639"/>
  <c r="D273" i="639"/>
  <c r="C273" i="639"/>
  <c r="N272" i="639"/>
  <c r="H272" i="639"/>
  <c r="D272" i="639"/>
  <c r="C272" i="639"/>
  <c r="N271" i="639"/>
  <c r="H271" i="639"/>
  <c r="D271" i="639"/>
  <c r="C271" i="639"/>
  <c r="N270" i="639"/>
  <c r="H270" i="639"/>
  <c r="D270" i="639"/>
  <c r="C270" i="639"/>
  <c r="N269" i="639"/>
  <c r="H269" i="639"/>
  <c r="D269" i="639"/>
  <c r="C269" i="639"/>
  <c r="N268" i="639"/>
  <c r="H268" i="639"/>
  <c r="D268" i="639"/>
  <c r="C268" i="639"/>
  <c r="N267" i="639"/>
  <c r="H267" i="639"/>
  <c r="D267" i="639"/>
  <c r="C267" i="639"/>
  <c r="N266" i="639"/>
  <c r="H266" i="639"/>
  <c r="D266" i="639"/>
  <c r="C266" i="639"/>
  <c r="N265" i="639"/>
  <c r="H265" i="639"/>
  <c r="D265" i="639"/>
  <c r="C265" i="639"/>
  <c r="N264" i="639"/>
  <c r="H264" i="639"/>
  <c r="D264" i="639"/>
  <c r="C264" i="639"/>
  <c r="N263" i="639"/>
  <c r="H263" i="639"/>
  <c r="D263" i="639"/>
  <c r="C263" i="639"/>
  <c r="N262" i="639"/>
  <c r="H262" i="639"/>
  <c r="D262" i="639"/>
  <c r="C262" i="639"/>
  <c r="N261" i="639"/>
  <c r="H261" i="639"/>
  <c r="D261" i="639"/>
  <c r="C261" i="639"/>
  <c r="N260" i="639"/>
  <c r="H260" i="639"/>
  <c r="D260" i="639"/>
  <c r="C260" i="639"/>
  <c r="N259" i="639"/>
  <c r="H259" i="639"/>
  <c r="D259" i="639"/>
  <c r="C259" i="639"/>
  <c r="N258" i="639"/>
  <c r="H258" i="639"/>
  <c r="D258" i="639"/>
  <c r="C258" i="639"/>
  <c r="N257" i="639"/>
  <c r="H257" i="639"/>
  <c r="D257" i="639"/>
  <c r="C257" i="639"/>
  <c r="N256" i="639"/>
  <c r="H256" i="639"/>
  <c r="D256" i="639"/>
  <c r="C256" i="639"/>
  <c r="N255" i="639"/>
  <c r="H255" i="639"/>
  <c r="D255" i="639"/>
  <c r="C255" i="639"/>
  <c r="N254" i="639"/>
  <c r="H254" i="639"/>
  <c r="D254" i="639"/>
  <c r="C254" i="639"/>
  <c r="N253" i="639"/>
  <c r="H253" i="639"/>
  <c r="D253" i="639"/>
  <c r="C253" i="639"/>
  <c r="N252" i="639"/>
  <c r="H252" i="639"/>
  <c r="D252" i="639"/>
  <c r="C252" i="639"/>
  <c r="N251" i="639"/>
  <c r="H251" i="639"/>
  <c r="D251" i="639"/>
  <c r="C251" i="639"/>
  <c r="N250" i="639"/>
  <c r="H250" i="639"/>
  <c r="D250" i="639"/>
  <c r="C250" i="639"/>
  <c r="N249" i="639"/>
  <c r="H249" i="639"/>
  <c r="D249" i="639"/>
  <c r="C249" i="639"/>
  <c r="N248" i="639"/>
  <c r="H248" i="639"/>
  <c r="D248" i="639"/>
  <c r="C248" i="639"/>
  <c r="N247" i="639"/>
  <c r="H247" i="639"/>
  <c r="D247" i="639"/>
  <c r="C247" i="639"/>
  <c r="N246" i="639"/>
  <c r="H246" i="639"/>
  <c r="D246" i="639"/>
  <c r="C246" i="639"/>
  <c r="N245" i="639"/>
  <c r="H245" i="639"/>
  <c r="D245" i="639"/>
  <c r="C245" i="639"/>
  <c r="N244" i="639"/>
  <c r="H244" i="639"/>
  <c r="D244" i="639"/>
  <c r="C244" i="639"/>
  <c r="N243" i="639"/>
  <c r="H243" i="639"/>
  <c r="D243" i="639"/>
  <c r="C243" i="639"/>
  <c r="N242" i="639"/>
  <c r="H242" i="639"/>
  <c r="D242" i="639"/>
  <c r="C242" i="639"/>
  <c r="N241" i="639"/>
  <c r="H241" i="639"/>
  <c r="D241" i="639"/>
  <c r="C241" i="639"/>
  <c r="N240" i="639"/>
  <c r="H240" i="639"/>
  <c r="D240" i="639"/>
  <c r="C240" i="639"/>
  <c r="N239" i="639"/>
  <c r="H239" i="639"/>
  <c r="D239" i="639"/>
  <c r="C239" i="639"/>
  <c r="N238" i="639"/>
  <c r="H238" i="639"/>
  <c r="D238" i="639"/>
  <c r="C238" i="639"/>
  <c r="N237" i="639"/>
  <c r="H237" i="639"/>
  <c r="D237" i="639"/>
  <c r="C237" i="639"/>
  <c r="N236" i="639"/>
  <c r="H236" i="639"/>
  <c r="D236" i="639"/>
  <c r="C236" i="639"/>
  <c r="N235" i="639"/>
  <c r="H235" i="639"/>
  <c r="D235" i="639"/>
  <c r="C235" i="639"/>
  <c r="N234" i="639"/>
  <c r="H234" i="639"/>
  <c r="D234" i="639"/>
  <c r="C234" i="639"/>
  <c r="N233" i="639"/>
  <c r="H233" i="639"/>
  <c r="D233" i="639"/>
  <c r="C233" i="639"/>
  <c r="N232" i="639"/>
  <c r="H232" i="639"/>
  <c r="D232" i="639"/>
  <c r="C232" i="639"/>
  <c r="N231" i="639"/>
  <c r="H231" i="639"/>
  <c r="D231" i="639"/>
  <c r="C231" i="639"/>
  <c r="N230" i="639"/>
  <c r="H230" i="639"/>
  <c r="D230" i="639"/>
  <c r="C230" i="639"/>
  <c r="N229" i="639"/>
  <c r="H229" i="639"/>
  <c r="D229" i="639"/>
  <c r="C229" i="639"/>
  <c r="N228" i="639"/>
  <c r="H228" i="639"/>
  <c r="D228" i="639"/>
  <c r="C228" i="639"/>
  <c r="N227" i="639"/>
  <c r="H227" i="639"/>
  <c r="D227" i="639"/>
  <c r="C227" i="639"/>
  <c r="N226" i="639"/>
  <c r="H226" i="639"/>
  <c r="D226" i="639"/>
  <c r="C226" i="639"/>
  <c r="N225" i="639"/>
  <c r="H225" i="639"/>
  <c r="D225" i="639"/>
  <c r="C225" i="639"/>
  <c r="N224" i="639"/>
  <c r="H224" i="639"/>
  <c r="D224" i="639"/>
  <c r="C224" i="639"/>
  <c r="N223" i="639"/>
  <c r="H223" i="639"/>
  <c r="D223" i="639"/>
  <c r="C223" i="639"/>
  <c r="N222" i="639"/>
  <c r="H222" i="639"/>
  <c r="D222" i="639"/>
  <c r="C222" i="639"/>
  <c r="N221" i="639"/>
  <c r="H221" i="639"/>
  <c r="D221" i="639"/>
  <c r="C221" i="639"/>
  <c r="N220" i="639"/>
  <c r="H220" i="639"/>
  <c r="D220" i="639"/>
  <c r="C220" i="639"/>
  <c r="N219" i="639"/>
  <c r="H219" i="639"/>
  <c r="D219" i="639"/>
  <c r="C219" i="639"/>
  <c r="N218" i="639"/>
  <c r="H218" i="639"/>
  <c r="D218" i="639"/>
  <c r="C218" i="639"/>
  <c r="N217" i="639"/>
  <c r="H217" i="639"/>
  <c r="D217" i="639"/>
  <c r="C217" i="639"/>
  <c r="N216" i="639"/>
  <c r="H216" i="639"/>
  <c r="D216" i="639"/>
  <c r="C216" i="639"/>
  <c r="N215" i="639"/>
  <c r="H215" i="639"/>
  <c r="D215" i="639"/>
  <c r="C215" i="639"/>
  <c r="N214" i="639"/>
  <c r="H214" i="639"/>
  <c r="D214" i="639"/>
  <c r="C214" i="639"/>
  <c r="N213" i="639"/>
  <c r="H213" i="639"/>
  <c r="D213" i="639"/>
  <c r="C213" i="639"/>
  <c r="S18" i="814"/>
  <c r="O14" i="718"/>
  <c r="S22" i="814"/>
  <c r="L22" i="814"/>
  <c r="Q22" i="814"/>
  <c r="O22" i="814"/>
  <c r="M22" i="814"/>
  <c r="K22" i="814"/>
  <c r="H22" i="814"/>
  <c r="L18" i="814"/>
  <c r="M18" i="814" s="1"/>
  <c r="L21" i="814"/>
  <c r="L20" i="814"/>
  <c r="P19" i="814"/>
  <c r="J19" i="814"/>
  <c r="N18" i="814"/>
  <c r="O18" i="814" s="1"/>
  <c r="Q21" i="814"/>
  <c r="O21" i="814"/>
  <c r="M21" i="814"/>
  <c r="K21" i="814"/>
  <c r="I21" i="814"/>
  <c r="S21" i="814" s="1"/>
  <c r="Q20" i="814"/>
  <c r="O20" i="814"/>
  <c r="M20" i="814"/>
  <c r="K20" i="814"/>
  <c r="I20" i="814"/>
  <c r="S20" i="814" s="1"/>
  <c r="S19" i="814"/>
  <c r="Q19" i="814"/>
  <c r="O19" i="814"/>
  <c r="M19" i="814"/>
  <c r="K19" i="814"/>
  <c r="H19" i="814"/>
  <c r="R18" i="814"/>
  <c r="Q18" i="814"/>
  <c r="K18" i="814"/>
  <c r="H18" i="814"/>
  <c r="S17" i="814"/>
  <c r="Q17" i="814"/>
  <c r="O17" i="814"/>
  <c r="M17" i="814"/>
  <c r="K17" i="814"/>
  <c r="H17" i="814"/>
  <c r="N60" i="639"/>
  <c r="H60" i="639"/>
  <c r="D60" i="639"/>
  <c r="C60" i="639"/>
  <c r="H59" i="639"/>
  <c r="D59" i="639"/>
  <c r="C59" i="639"/>
  <c r="N59" i="639"/>
  <c r="P60" i="639"/>
  <c r="O60" i="639"/>
  <c r="O18" i="824"/>
  <c r="O17" i="824"/>
  <c r="O16" i="824"/>
  <c r="O15" i="824"/>
  <c r="O13" i="824"/>
  <c r="O12" i="824"/>
  <c r="O14" i="824"/>
  <c r="F91" i="823"/>
  <c r="F90" i="823"/>
  <c r="F89" i="823"/>
  <c r="H87" i="823"/>
  <c r="H88" i="823" s="1"/>
  <c r="F87" i="823"/>
  <c r="G18" i="824"/>
  <c r="F18" i="824" s="1"/>
  <c r="H18" i="824" s="1"/>
  <c r="G17" i="824"/>
  <c r="F17" i="824" s="1"/>
  <c r="H17" i="824" s="1"/>
  <c r="G16" i="824"/>
  <c r="F16" i="824" s="1"/>
  <c r="H16" i="824" s="1"/>
  <c r="G15" i="824"/>
  <c r="F15" i="824" s="1"/>
  <c r="H15" i="824" s="1"/>
  <c r="G14" i="824"/>
  <c r="F14" i="824" s="1"/>
  <c r="H14" i="824" s="1"/>
  <c r="G13" i="824"/>
  <c r="F13" i="824" s="1"/>
  <c r="H13" i="824" s="1"/>
  <c r="E12" i="824"/>
  <c r="G12" i="824"/>
  <c r="F12" i="824" s="1"/>
  <c r="B18" i="824"/>
  <c r="E17" i="824"/>
  <c r="E16" i="824"/>
  <c r="E15" i="824"/>
  <c r="E14" i="824"/>
  <c r="E13" i="824"/>
  <c r="I20" i="824"/>
  <c r="O5" i="824"/>
  <c r="C5" i="824"/>
  <c r="O4" i="824"/>
  <c r="C4" i="824"/>
  <c r="O116" i="639"/>
  <c r="T116" i="639" s="1"/>
  <c r="H116" i="639"/>
  <c r="D116" i="639"/>
  <c r="C116" i="639"/>
  <c r="S14" i="699"/>
  <c r="L81" i="823"/>
  <c r="L82" i="823"/>
  <c r="E18" i="824" s="1"/>
  <c r="L80" i="823"/>
  <c r="L78" i="823"/>
  <c r="M13" i="824" l="1"/>
  <c r="M14" i="824"/>
  <c r="P117" i="639"/>
  <c r="T117" i="639" s="1"/>
  <c r="F88" i="823"/>
  <c r="N10" i="827"/>
  <c r="N12" i="827" s="1"/>
  <c r="N15" i="827" s="1"/>
  <c r="N17" i="827" s="1"/>
  <c r="N18" i="827" s="1"/>
  <c r="W18" i="827" s="1"/>
  <c r="F31" i="831"/>
  <c r="I31" i="831" s="1"/>
  <c r="Q87" i="639"/>
  <c r="Y25" i="829"/>
  <c r="Q88" i="639" s="1"/>
  <c r="W17" i="827"/>
  <c r="T18" i="829"/>
  <c r="Y29" i="829" s="1"/>
  <c r="Q296" i="639" s="1"/>
  <c r="T296" i="639" s="1"/>
  <c r="M15" i="829"/>
  <c r="L15" i="829"/>
  <c r="X15" i="829" s="1"/>
  <c r="V18" i="829"/>
  <c r="Y31" i="829" s="1"/>
  <c r="Q298" i="639" s="1"/>
  <c r="T298" i="639" s="1"/>
  <c r="M14" i="829"/>
  <c r="L14" i="829"/>
  <c r="X14" i="829" s="1"/>
  <c r="M13" i="829"/>
  <c r="U18" i="829"/>
  <c r="Y30" i="829" s="1"/>
  <c r="Q297" i="639" s="1"/>
  <c r="T297" i="639" s="1"/>
  <c r="L13" i="829"/>
  <c r="X13" i="829" s="1"/>
  <c r="L12" i="829"/>
  <c r="X12" i="829" s="1"/>
  <c r="M12" i="829"/>
  <c r="W18" i="829"/>
  <c r="Y32" i="829" s="1"/>
  <c r="Q299" i="639" s="1"/>
  <c r="T299" i="639" s="1"/>
  <c r="S18" i="829"/>
  <c r="Y28" i="829" s="1"/>
  <c r="Q295" i="639" s="1"/>
  <c r="T295" i="639" s="1"/>
  <c r="N18" i="829"/>
  <c r="Y23" i="829" s="1"/>
  <c r="R18" i="829"/>
  <c r="Y27" i="829" s="1"/>
  <c r="Q108" i="639" s="1"/>
  <c r="T108" i="639" s="1"/>
  <c r="Q17" i="829"/>
  <c r="Y18" i="829"/>
  <c r="H39" i="831" s="1"/>
  <c r="W16" i="826"/>
  <c r="Y19" i="826" s="1"/>
  <c r="P150" i="639" s="1"/>
  <c r="N16" i="825"/>
  <c r="M16" i="825"/>
  <c r="M12" i="824"/>
  <c r="L16" i="824"/>
  <c r="L87" i="823"/>
  <c r="L88" i="823" s="1"/>
  <c r="L13" i="824"/>
  <c r="L14" i="824"/>
  <c r="M15" i="824"/>
  <c r="K14" i="824"/>
  <c r="J14" i="824"/>
  <c r="J15" i="824"/>
  <c r="K15" i="824"/>
  <c r="K16" i="824"/>
  <c r="J16" i="824"/>
  <c r="K13" i="824"/>
  <c r="J13" i="824"/>
  <c r="K17" i="824"/>
  <c r="J17" i="824"/>
  <c r="J18" i="824"/>
  <c r="O23" i="824" s="1"/>
  <c r="Q49" i="639" s="1"/>
  <c r="T49" i="639" s="1"/>
  <c r="K18" i="824"/>
  <c r="L15" i="824"/>
  <c r="M16" i="824"/>
  <c r="L17" i="824"/>
  <c r="G20" i="824"/>
  <c r="M17" i="824"/>
  <c r="L18" i="824"/>
  <c r="F20" i="824"/>
  <c r="M18" i="824"/>
  <c r="L12" i="824"/>
  <c r="H12" i="824"/>
  <c r="J12" i="824" s="1"/>
  <c r="K31" i="831" l="1"/>
  <c r="K32" i="831" s="1"/>
  <c r="H40" i="831" s="1"/>
  <c r="Q46" i="639" s="1"/>
  <c r="T46" i="639" s="1"/>
  <c r="I32" i="831"/>
  <c r="Q45" i="639" s="1"/>
  <c r="T45" i="639" s="1"/>
  <c r="Q142" i="639"/>
  <c r="T142" i="639" s="1"/>
  <c r="Q143" i="639"/>
  <c r="T143" i="639" s="1"/>
  <c r="L18" i="829"/>
  <c r="Y21" i="829" s="1"/>
  <c r="X18" i="829"/>
  <c r="Y33" i="829" s="1"/>
  <c r="Q58" i="639" s="1"/>
  <c r="M18" i="829"/>
  <c r="Y22" i="829" s="1"/>
  <c r="Q18" i="829"/>
  <c r="K12" i="824"/>
  <c r="N13" i="824"/>
  <c r="N18" i="824"/>
  <c r="N15" i="824"/>
  <c r="N16" i="824"/>
  <c r="N17" i="824"/>
  <c r="N14" i="824"/>
  <c r="J20" i="824"/>
  <c r="L20" i="824"/>
  <c r="O25" i="824" s="1"/>
  <c r="M20" i="824"/>
  <c r="O27" i="824" s="1"/>
  <c r="Q56" i="639" s="1"/>
  <c r="H41" i="831" l="1"/>
  <c r="Q53" i="639"/>
  <c r="O24" i="824"/>
  <c r="Q51" i="639" s="1"/>
  <c r="T51" i="639" s="1"/>
  <c r="N12" i="824"/>
  <c r="O20" i="824" s="1"/>
  <c r="O29" i="824" s="1"/>
  <c r="Q60" i="639" s="1"/>
  <c r="T60" i="639" s="1"/>
  <c r="K20" i="824"/>
  <c r="N20" i="824" l="1"/>
  <c r="O28" i="824" s="1"/>
  <c r="Q57" i="639" s="1"/>
  <c r="O26" i="824"/>
  <c r="Q59" i="639" s="1"/>
  <c r="T59" i="639" s="1"/>
  <c r="K66" i="823" l="1"/>
  <c r="K87" i="823" s="1"/>
  <c r="K88" i="823" s="1"/>
  <c r="N91" i="823" l="1"/>
  <c r="Q292" i="639" s="1"/>
  <c r="T292" i="639" s="1"/>
  <c r="N90" i="823"/>
  <c r="Q291" i="639" s="1"/>
  <c r="T291" i="639" s="1"/>
  <c r="N89" i="823"/>
  <c r="Q290" i="639" s="1"/>
  <c r="T290" i="639" s="1"/>
  <c r="N88" i="823"/>
  <c r="Q289" i="639" s="1"/>
  <c r="T289" i="639" s="1"/>
  <c r="N87" i="823"/>
  <c r="Q288" i="639" s="1"/>
  <c r="T288" i="639" s="1"/>
  <c r="N86" i="823"/>
  <c r="Q287" i="639" s="1"/>
  <c r="T287" i="639" s="1"/>
  <c r="N85" i="823"/>
  <c r="Q286" i="639" s="1"/>
  <c r="T286" i="639" s="1"/>
  <c r="N84" i="823"/>
  <c r="Q285" i="639" s="1"/>
  <c r="T285" i="639" s="1"/>
  <c r="N83" i="823" l="1"/>
  <c r="Q284" i="639" s="1"/>
  <c r="T284" i="639" s="1"/>
  <c r="N82" i="823"/>
  <c r="Q283" i="639" s="1"/>
  <c r="T283" i="639" s="1"/>
  <c r="N81" i="823"/>
  <c r="Q282" i="639" s="1"/>
  <c r="T282" i="639" s="1"/>
  <c r="N80" i="823"/>
  <c r="Q281" i="639" s="1"/>
  <c r="T281" i="639" s="1"/>
  <c r="N79" i="823"/>
  <c r="Q280" i="639" s="1"/>
  <c r="T280" i="639" s="1"/>
  <c r="N78" i="823"/>
  <c r="Q279" i="639" s="1"/>
  <c r="T279" i="639" s="1"/>
  <c r="N77" i="823"/>
  <c r="Q278" i="639" s="1"/>
  <c r="T278" i="639" s="1"/>
  <c r="N76" i="823"/>
  <c r="Q277" i="639" s="1"/>
  <c r="T277" i="639" s="1"/>
  <c r="N75" i="823"/>
  <c r="Q276" i="639" s="1"/>
  <c r="T276" i="639" s="1"/>
  <c r="N74" i="823"/>
  <c r="Q275" i="639" s="1"/>
  <c r="T275" i="639" s="1"/>
  <c r="N73" i="823"/>
  <c r="Q274" i="639" s="1"/>
  <c r="T274" i="639" s="1"/>
  <c r="N72" i="823"/>
  <c r="Q273" i="639" s="1"/>
  <c r="T273" i="639" s="1"/>
  <c r="N71" i="823"/>
  <c r="Q272" i="639" s="1"/>
  <c r="T272" i="639" s="1"/>
  <c r="N70" i="823"/>
  <c r="Q271" i="639" s="1"/>
  <c r="T271" i="639" s="1"/>
  <c r="N69" i="823"/>
  <c r="Q270" i="639" s="1"/>
  <c r="T270" i="639" s="1"/>
  <c r="N68" i="823"/>
  <c r="Q269" i="639" s="1"/>
  <c r="T269" i="639" s="1"/>
  <c r="N67" i="823"/>
  <c r="Q268" i="639" s="1"/>
  <c r="T268" i="639" s="1"/>
  <c r="N66" i="823"/>
  <c r="Q267" i="639" s="1"/>
  <c r="T267" i="639" s="1"/>
  <c r="N65" i="823"/>
  <c r="Q266" i="639" s="1"/>
  <c r="T266" i="639" s="1"/>
  <c r="I38" i="823"/>
  <c r="N38" i="823" s="1"/>
  <c r="Q239" i="639" s="1"/>
  <c r="T239" i="639" s="1"/>
  <c r="N64" i="823"/>
  <c r="Q265" i="639" s="1"/>
  <c r="T265" i="639" s="1"/>
  <c r="N63" i="823"/>
  <c r="Q264" i="639" s="1"/>
  <c r="T264" i="639" s="1"/>
  <c r="N62" i="823"/>
  <c r="Q263" i="639" s="1"/>
  <c r="T263" i="639" s="1"/>
  <c r="N61" i="823"/>
  <c r="Q262" i="639" s="1"/>
  <c r="T262" i="639" s="1"/>
  <c r="N59" i="823"/>
  <c r="Q260" i="639" s="1"/>
  <c r="T260" i="639" s="1"/>
  <c r="N60" i="823"/>
  <c r="Q261" i="639" s="1"/>
  <c r="T261" i="639" s="1"/>
  <c r="N58" i="823"/>
  <c r="Q259" i="639" s="1"/>
  <c r="T259" i="639" s="1"/>
  <c r="N57" i="823"/>
  <c r="Q258" i="639" s="1"/>
  <c r="T258" i="639" s="1"/>
  <c r="N56" i="823"/>
  <c r="Q257" i="639" s="1"/>
  <c r="T257" i="639" s="1"/>
  <c r="N55" i="823"/>
  <c r="Q256" i="639" s="1"/>
  <c r="T256" i="639" s="1"/>
  <c r="N54" i="823"/>
  <c r="Q255" i="639" s="1"/>
  <c r="T255" i="639" s="1"/>
  <c r="N53" i="823"/>
  <c r="Q254" i="639" s="1"/>
  <c r="T254" i="639" s="1"/>
  <c r="N52" i="823"/>
  <c r="Q253" i="639" s="1"/>
  <c r="T253" i="639" s="1"/>
  <c r="N51" i="823"/>
  <c r="Q252" i="639" s="1"/>
  <c r="T252" i="639" s="1"/>
  <c r="N50" i="823"/>
  <c r="Q251" i="639" s="1"/>
  <c r="T251" i="639" s="1"/>
  <c r="N49" i="823"/>
  <c r="Q250" i="639" s="1"/>
  <c r="T250" i="639" s="1"/>
  <c r="N48" i="823"/>
  <c r="Q249" i="639" s="1"/>
  <c r="T249" i="639" s="1"/>
  <c r="N47" i="823"/>
  <c r="Q248" i="639" s="1"/>
  <c r="T248" i="639" s="1"/>
  <c r="N46" i="823"/>
  <c r="Q247" i="639" s="1"/>
  <c r="T247" i="639" s="1"/>
  <c r="N45" i="823"/>
  <c r="Q246" i="639" s="1"/>
  <c r="T246" i="639" s="1"/>
  <c r="N44" i="823"/>
  <c r="Q245" i="639" s="1"/>
  <c r="T245" i="639" s="1"/>
  <c r="N43" i="823"/>
  <c r="Q244" i="639" s="1"/>
  <c r="T244" i="639" s="1"/>
  <c r="N42" i="823"/>
  <c r="Q243" i="639" s="1"/>
  <c r="T243" i="639" s="1"/>
  <c r="N40" i="823"/>
  <c r="Q241" i="639" s="1"/>
  <c r="T241" i="639" s="1"/>
  <c r="N37" i="823"/>
  <c r="Q238" i="639" s="1"/>
  <c r="T238" i="639" s="1"/>
  <c r="N36" i="823"/>
  <c r="Q237" i="639" s="1"/>
  <c r="T237" i="639" s="1"/>
  <c r="N35" i="823"/>
  <c r="Q236" i="639" s="1"/>
  <c r="T236" i="639" s="1"/>
  <c r="N41" i="823"/>
  <c r="Q242" i="639" s="1"/>
  <c r="T242" i="639" s="1"/>
  <c r="N39" i="823"/>
  <c r="Q240" i="639" s="1"/>
  <c r="T240" i="639" s="1"/>
  <c r="N34" i="823"/>
  <c r="Q235" i="639" s="1"/>
  <c r="T235" i="639" s="1"/>
  <c r="N33" i="823"/>
  <c r="Q234" i="639" s="1"/>
  <c r="T234" i="639" s="1"/>
  <c r="N32" i="823"/>
  <c r="Q233" i="639" s="1"/>
  <c r="T233" i="639" s="1"/>
  <c r="N31" i="823"/>
  <c r="Q232" i="639" s="1"/>
  <c r="T232" i="639" s="1"/>
  <c r="N30" i="823"/>
  <c r="Q231" i="639" s="1"/>
  <c r="T231" i="639" s="1"/>
  <c r="N29" i="823"/>
  <c r="Q230" i="639" s="1"/>
  <c r="T230" i="639" s="1"/>
  <c r="N28" i="823"/>
  <c r="Q229" i="639" s="1"/>
  <c r="T229" i="639" s="1"/>
  <c r="N27" i="823"/>
  <c r="Q228" i="639" s="1"/>
  <c r="T228" i="639" s="1"/>
  <c r="N26" i="823"/>
  <c r="Q227" i="639" s="1"/>
  <c r="T227" i="639" s="1"/>
  <c r="N25" i="823"/>
  <c r="Q226" i="639" s="1"/>
  <c r="T226" i="639" s="1"/>
  <c r="N24" i="823"/>
  <c r="Q225" i="639" s="1"/>
  <c r="T225" i="639" s="1"/>
  <c r="N23" i="823"/>
  <c r="Q224" i="639" s="1"/>
  <c r="T224" i="639" s="1"/>
  <c r="N22" i="823"/>
  <c r="Q223" i="639" s="1"/>
  <c r="T223" i="639" s="1"/>
  <c r="N21" i="823"/>
  <c r="Q222" i="639" s="1"/>
  <c r="T222" i="639" s="1"/>
  <c r="N20" i="823"/>
  <c r="Q221" i="639" s="1"/>
  <c r="T221" i="639" s="1"/>
  <c r="N19" i="823"/>
  <c r="Q220" i="639" s="1"/>
  <c r="T220" i="639" s="1"/>
  <c r="N18" i="823"/>
  <c r="Q219" i="639" s="1"/>
  <c r="T219" i="639" s="1"/>
  <c r="N17" i="823"/>
  <c r="Q218" i="639" s="1"/>
  <c r="T218" i="639" s="1"/>
  <c r="N16" i="823"/>
  <c r="Q217" i="639" s="1"/>
  <c r="T217" i="639" s="1"/>
  <c r="N15" i="823"/>
  <c r="Q216" i="639" s="1"/>
  <c r="T216" i="639" s="1"/>
  <c r="N14" i="823"/>
  <c r="Q215" i="639" s="1"/>
  <c r="T215" i="639" s="1"/>
  <c r="N13" i="823"/>
  <c r="Q214" i="639" s="1"/>
  <c r="T214" i="639" s="1"/>
  <c r="N12" i="823"/>
  <c r="Q213" i="639" s="1"/>
  <c r="T213" i="639" s="1"/>
  <c r="M5" i="823"/>
  <c r="C5" i="823"/>
  <c r="M4" i="823"/>
  <c r="C4" i="823"/>
  <c r="S35" i="817"/>
  <c r="T35" i="817" s="1"/>
  <c r="P35" i="817"/>
  <c r="L35" i="817"/>
  <c r="S34" i="817"/>
  <c r="T34" i="817" s="1"/>
  <c r="P34" i="817"/>
  <c r="L34" i="817"/>
  <c r="S33" i="817"/>
  <c r="T33" i="817" s="1"/>
  <c r="P33" i="817"/>
  <c r="L33" i="817"/>
  <c r="S32" i="817"/>
  <c r="T32" i="817" s="1"/>
  <c r="P32" i="817"/>
  <c r="L32" i="817"/>
  <c r="N190" i="639"/>
  <c r="H190" i="639"/>
  <c r="D190" i="639"/>
  <c r="C190" i="639"/>
  <c r="F43" i="818"/>
  <c r="Q30" i="822"/>
  <c r="P30" i="822"/>
  <c r="O30" i="822"/>
  <c r="Q23" i="819"/>
  <c r="P23" i="819"/>
  <c r="O23" i="819"/>
  <c r="J20" i="822"/>
  <c r="K20" i="822"/>
  <c r="M20" i="822"/>
  <c r="N20" i="822"/>
  <c r="J17" i="822"/>
  <c r="O14" i="822"/>
  <c r="P14" i="822"/>
  <c r="Q14" i="822"/>
  <c r="N27" i="822"/>
  <c r="M27" i="822"/>
  <c r="N25" i="822"/>
  <c r="M25" i="822"/>
  <c r="N24" i="822"/>
  <c r="M24" i="822"/>
  <c r="N19" i="822"/>
  <c r="M19" i="822"/>
  <c r="N18" i="822"/>
  <c r="M18" i="822"/>
  <c r="N17" i="822"/>
  <c r="M17" i="822"/>
  <c r="N15" i="822"/>
  <c r="M15" i="822"/>
  <c r="N13" i="822"/>
  <c r="M13" i="822"/>
  <c r="O15" i="822"/>
  <c r="Q15" i="822" s="1"/>
  <c r="G28" i="822"/>
  <c r="G27" i="822"/>
  <c r="G26" i="822"/>
  <c r="G25" i="822"/>
  <c r="G24" i="822"/>
  <c r="G23" i="822"/>
  <c r="G22" i="822"/>
  <c r="G21" i="822"/>
  <c r="G20" i="822"/>
  <c r="G19" i="822"/>
  <c r="G18" i="822"/>
  <c r="G17" i="822"/>
  <c r="G16" i="822"/>
  <c r="G15" i="822"/>
  <c r="G14" i="822"/>
  <c r="G13" i="822"/>
  <c r="G12" i="822"/>
  <c r="G11" i="822"/>
  <c r="K27" i="822"/>
  <c r="K25" i="822"/>
  <c r="K24" i="822"/>
  <c r="K19" i="822"/>
  <c r="K18" i="822"/>
  <c r="K17" i="822"/>
  <c r="K15" i="822"/>
  <c r="K13" i="822"/>
  <c r="K12" i="822"/>
  <c r="T28" i="822"/>
  <c r="U28" i="822" s="1"/>
  <c r="J27" i="822"/>
  <c r="T27" i="822" s="1"/>
  <c r="U27" i="822" s="1"/>
  <c r="T26" i="822"/>
  <c r="U26" i="822" s="1"/>
  <c r="J25" i="822"/>
  <c r="T25" i="822" s="1"/>
  <c r="U25" i="822" s="1"/>
  <c r="J24" i="822"/>
  <c r="T24" i="822" s="1"/>
  <c r="U24" i="822" s="1"/>
  <c r="T23" i="822"/>
  <c r="U23" i="822" s="1"/>
  <c r="J19" i="822"/>
  <c r="J18" i="822"/>
  <c r="J15" i="822"/>
  <c r="J13" i="822"/>
  <c r="J12" i="822"/>
  <c r="T20" i="822"/>
  <c r="U20" i="822" s="1"/>
  <c r="L20" i="822"/>
  <c r="L19" i="822"/>
  <c r="T18" i="822"/>
  <c r="U18" i="822" s="1"/>
  <c r="L18" i="822"/>
  <c r="L25" i="822"/>
  <c r="T31" i="822"/>
  <c r="U31" i="822" s="1"/>
  <c r="T30" i="822"/>
  <c r="U30" i="822" s="1"/>
  <c r="V11" i="822"/>
  <c r="Q5" i="822"/>
  <c r="E5" i="822"/>
  <c r="Q4" i="822"/>
  <c r="E4" i="822"/>
  <c r="N210" i="639"/>
  <c r="H210" i="639"/>
  <c r="D210" i="639"/>
  <c r="C210" i="639"/>
  <c r="N209" i="639"/>
  <c r="H209" i="639"/>
  <c r="D209" i="639"/>
  <c r="C209" i="639"/>
  <c r="N208" i="639"/>
  <c r="H208" i="639"/>
  <c r="D208" i="639"/>
  <c r="C208" i="639"/>
  <c r="N207" i="639"/>
  <c r="H207" i="639"/>
  <c r="D207" i="639"/>
  <c r="C207" i="639"/>
  <c r="N206" i="639"/>
  <c r="H206" i="639"/>
  <c r="D206" i="639"/>
  <c r="C206" i="639"/>
  <c r="N205" i="639"/>
  <c r="H205" i="639"/>
  <c r="D205" i="639"/>
  <c r="C205" i="639"/>
  <c r="N204" i="639"/>
  <c r="H204" i="639"/>
  <c r="D204" i="639"/>
  <c r="C204" i="639"/>
  <c r="N203" i="639"/>
  <c r="H203" i="639"/>
  <c r="D203" i="639"/>
  <c r="C203" i="639"/>
  <c r="N202" i="639"/>
  <c r="H202" i="639"/>
  <c r="D202" i="639"/>
  <c r="C202" i="639"/>
  <c r="N201" i="639"/>
  <c r="H201" i="639"/>
  <c r="D201" i="639"/>
  <c r="C201" i="639"/>
  <c r="N200" i="639"/>
  <c r="H200" i="639"/>
  <c r="D200" i="639"/>
  <c r="C200" i="639"/>
  <c r="N199" i="639"/>
  <c r="H199" i="639"/>
  <c r="D199" i="639"/>
  <c r="C199" i="639"/>
  <c r="P197" i="639"/>
  <c r="T197" i="639" s="1"/>
  <c r="N197" i="639"/>
  <c r="H197" i="639"/>
  <c r="D197" i="639"/>
  <c r="C197" i="639"/>
  <c r="P196" i="639"/>
  <c r="T196" i="639" s="1"/>
  <c r="N196" i="639"/>
  <c r="H196" i="639"/>
  <c r="D196" i="639"/>
  <c r="C196" i="639"/>
  <c r="P195" i="639"/>
  <c r="T195" i="639" s="1"/>
  <c r="N195" i="639"/>
  <c r="H195" i="639"/>
  <c r="D195" i="639"/>
  <c r="C195" i="639"/>
  <c r="P194" i="639"/>
  <c r="T194" i="639" s="1"/>
  <c r="N194" i="639"/>
  <c r="H194" i="639"/>
  <c r="D194" i="639"/>
  <c r="C194" i="639"/>
  <c r="N23" i="821"/>
  <c r="P210" i="639" s="1"/>
  <c r="T210" i="639" s="1"/>
  <c r="N22" i="821"/>
  <c r="P209" i="639" s="1"/>
  <c r="T209" i="639" s="1"/>
  <c r="N21" i="821"/>
  <c r="P208" i="639" s="1"/>
  <c r="T208" i="639" s="1"/>
  <c r="N20" i="821"/>
  <c r="P207" i="639" s="1"/>
  <c r="T207" i="639" s="1"/>
  <c r="N19" i="821"/>
  <c r="P206" i="639" s="1"/>
  <c r="T206" i="639" s="1"/>
  <c r="N18" i="821"/>
  <c r="P205" i="639" s="1"/>
  <c r="T205" i="639" s="1"/>
  <c r="N17" i="821"/>
  <c r="P204" i="639" s="1"/>
  <c r="T204" i="639" s="1"/>
  <c r="N16" i="821"/>
  <c r="P203" i="639" s="1"/>
  <c r="T203" i="639" s="1"/>
  <c r="N15" i="821"/>
  <c r="P202" i="639" s="1"/>
  <c r="T202" i="639" s="1"/>
  <c r="N14" i="821"/>
  <c r="P201" i="639" s="1"/>
  <c r="T201" i="639" s="1"/>
  <c r="N13" i="821"/>
  <c r="P200" i="639" s="1"/>
  <c r="T200" i="639" s="1"/>
  <c r="N12" i="821"/>
  <c r="P199" i="639" s="1"/>
  <c r="T199" i="639" s="1"/>
  <c r="M5" i="821"/>
  <c r="C5" i="821"/>
  <c r="M4" i="821"/>
  <c r="C4" i="821"/>
  <c r="Q32" i="820"/>
  <c r="Q34" i="820"/>
  <c r="Q28" i="820"/>
  <c r="Q27" i="820"/>
  <c r="Q26" i="820"/>
  <c r="Q33" i="820" s="1"/>
  <c r="Q25" i="820"/>
  <c r="Q35" i="820" s="1"/>
  <c r="Q24" i="820"/>
  <c r="Q23" i="820"/>
  <c r="Q22" i="820"/>
  <c r="Q21" i="820"/>
  <c r="Q20" i="820"/>
  <c r="Q19" i="820"/>
  <c r="Q18" i="820"/>
  <c r="Q17" i="820"/>
  <c r="Q16" i="820"/>
  <c r="Q15" i="820"/>
  <c r="Q14" i="820"/>
  <c r="Q13" i="820"/>
  <c r="Q12" i="820"/>
  <c r="Q11" i="820"/>
  <c r="T28" i="820"/>
  <c r="U28" i="820" s="1"/>
  <c r="L28" i="820"/>
  <c r="T27" i="820"/>
  <c r="U27" i="820" s="1"/>
  <c r="L27" i="820"/>
  <c r="T26" i="820"/>
  <c r="U26" i="820" s="1"/>
  <c r="L26" i="820"/>
  <c r="T25" i="820"/>
  <c r="U25" i="820" s="1"/>
  <c r="L25" i="820"/>
  <c r="T24" i="820"/>
  <c r="U24" i="820" s="1"/>
  <c r="L24" i="820"/>
  <c r="T23" i="820"/>
  <c r="U23" i="820" s="1"/>
  <c r="T22" i="820"/>
  <c r="U22" i="820" s="1"/>
  <c r="L22" i="820"/>
  <c r="T21" i="820"/>
  <c r="U21" i="820" s="1"/>
  <c r="L21" i="820"/>
  <c r="T20" i="820"/>
  <c r="U20" i="820" s="1"/>
  <c r="L20" i="820"/>
  <c r="T19" i="820"/>
  <c r="U19" i="820" s="1"/>
  <c r="L19" i="820"/>
  <c r="T18" i="820"/>
  <c r="U18" i="820" s="1"/>
  <c r="L18" i="820"/>
  <c r="T17" i="820"/>
  <c r="U17" i="820" s="1"/>
  <c r="L17" i="820"/>
  <c r="T16" i="820"/>
  <c r="U16" i="820" s="1"/>
  <c r="L16" i="820"/>
  <c r="T15" i="820"/>
  <c r="U15" i="820" s="1"/>
  <c r="L15" i="820"/>
  <c r="T14" i="820"/>
  <c r="U14" i="820" s="1"/>
  <c r="L14" i="820"/>
  <c r="T13" i="820"/>
  <c r="U13" i="820" s="1"/>
  <c r="L13" i="820"/>
  <c r="T12" i="820"/>
  <c r="U12" i="820" s="1"/>
  <c r="L12" i="820"/>
  <c r="T11" i="820"/>
  <c r="U11" i="820" s="1"/>
  <c r="V12" i="820" s="1"/>
  <c r="L11" i="820"/>
  <c r="O5" i="820"/>
  <c r="E5" i="820"/>
  <c r="O4" i="820"/>
  <c r="E4" i="820"/>
  <c r="Q26" i="819"/>
  <c r="P175" i="639"/>
  <c r="T175" i="639" s="1"/>
  <c r="T19" i="819"/>
  <c r="U19" i="819"/>
  <c r="T20" i="819"/>
  <c r="U20" i="819"/>
  <c r="T21" i="819"/>
  <c r="U21" i="819"/>
  <c r="T22" i="819"/>
  <c r="U22" i="819"/>
  <c r="T23" i="819"/>
  <c r="U23" i="819" s="1"/>
  <c r="T24" i="819"/>
  <c r="U24" i="819" s="1"/>
  <c r="N12" i="819"/>
  <c r="N13" i="819" s="1"/>
  <c r="N14" i="819" s="1"/>
  <c r="N15" i="819" s="1"/>
  <c r="N16" i="819" s="1"/>
  <c r="N17" i="819" s="1"/>
  <c r="N18" i="819" s="1"/>
  <c r="N19" i="819" s="1"/>
  <c r="N20" i="819" s="1"/>
  <c r="N21" i="819" s="1"/>
  <c r="N22" i="819" s="1"/>
  <c r="M12" i="819"/>
  <c r="O12" i="819" s="1"/>
  <c r="Q12" i="819" s="1"/>
  <c r="O11" i="819"/>
  <c r="Q11" i="819" s="1"/>
  <c r="L22" i="819"/>
  <c r="L21" i="819"/>
  <c r="L20" i="819"/>
  <c r="L19" i="819"/>
  <c r="T18" i="819"/>
  <c r="U18" i="819" s="1"/>
  <c r="L18" i="819"/>
  <c r="T17" i="819"/>
  <c r="U17" i="819" s="1"/>
  <c r="L17" i="819"/>
  <c r="T16" i="819"/>
  <c r="U16" i="819" s="1"/>
  <c r="L16" i="819"/>
  <c r="T15" i="819"/>
  <c r="U15" i="819" s="1"/>
  <c r="L15" i="819"/>
  <c r="T14" i="819"/>
  <c r="U14" i="819" s="1"/>
  <c r="L14" i="819"/>
  <c r="T13" i="819"/>
  <c r="U13" i="819" s="1"/>
  <c r="L13" i="819"/>
  <c r="T12" i="819"/>
  <c r="U12" i="819" s="1"/>
  <c r="L12" i="819"/>
  <c r="P12" i="819" s="1"/>
  <c r="T11" i="819"/>
  <c r="U11" i="819" s="1"/>
  <c r="L11" i="819"/>
  <c r="P11" i="819" s="1"/>
  <c r="Q5" i="819"/>
  <c r="E5" i="819"/>
  <c r="Q4" i="819"/>
  <c r="E4" i="819"/>
  <c r="N189" i="639"/>
  <c r="H189" i="639"/>
  <c r="D189" i="639"/>
  <c r="C189" i="639"/>
  <c r="N188" i="639"/>
  <c r="H188" i="639"/>
  <c r="D188" i="639"/>
  <c r="C188" i="639"/>
  <c r="N187" i="639"/>
  <c r="H187" i="639"/>
  <c r="D187" i="639"/>
  <c r="C187" i="639"/>
  <c r="N186" i="639"/>
  <c r="H186" i="639"/>
  <c r="D186" i="639"/>
  <c r="C186" i="639"/>
  <c r="N185" i="639"/>
  <c r="H185" i="639"/>
  <c r="D185" i="639"/>
  <c r="C185" i="639"/>
  <c r="N184" i="639"/>
  <c r="H184" i="639"/>
  <c r="D184" i="639"/>
  <c r="C184" i="639"/>
  <c r="N183" i="639"/>
  <c r="H183" i="639"/>
  <c r="D183" i="639"/>
  <c r="C183" i="639"/>
  <c r="N182" i="639"/>
  <c r="H182" i="639"/>
  <c r="D182" i="639"/>
  <c r="C182" i="639"/>
  <c r="N181" i="639"/>
  <c r="H181" i="639"/>
  <c r="D181" i="639"/>
  <c r="C181" i="639"/>
  <c r="N180" i="639"/>
  <c r="H180" i="639"/>
  <c r="D180" i="639"/>
  <c r="C180" i="639"/>
  <c r="N179" i="639"/>
  <c r="H179" i="639"/>
  <c r="D179" i="639"/>
  <c r="C179" i="639"/>
  <c r="N178" i="639"/>
  <c r="H178" i="639"/>
  <c r="D178" i="639"/>
  <c r="C178" i="639"/>
  <c r="N177" i="639"/>
  <c r="H177" i="639"/>
  <c r="D177" i="639"/>
  <c r="C177" i="639"/>
  <c r="N176" i="639"/>
  <c r="H176" i="639"/>
  <c r="D176" i="639"/>
  <c r="C176" i="639"/>
  <c r="N175" i="639"/>
  <c r="H175" i="639"/>
  <c r="D175" i="639"/>
  <c r="C175" i="639"/>
  <c r="N174" i="639"/>
  <c r="H174" i="639"/>
  <c r="D174" i="639"/>
  <c r="C174" i="639"/>
  <c r="N173" i="639"/>
  <c r="H173" i="639"/>
  <c r="D173" i="639"/>
  <c r="C173" i="639"/>
  <c r="N172" i="639"/>
  <c r="H172" i="639"/>
  <c r="D172" i="639"/>
  <c r="C172" i="639"/>
  <c r="N171" i="639"/>
  <c r="H171" i="639"/>
  <c r="D171" i="639"/>
  <c r="C171" i="639"/>
  <c r="N170" i="639"/>
  <c r="H170" i="639"/>
  <c r="D170" i="639"/>
  <c r="C170" i="639"/>
  <c r="N169" i="639"/>
  <c r="H169" i="639"/>
  <c r="D169" i="639"/>
  <c r="C169" i="639"/>
  <c r="N168" i="639"/>
  <c r="H168" i="639"/>
  <c r="D168" i="639"/>
  <c r="C168" i="639"/>
  <c r="N167" i="639"/>
  <c r="H167" i="639"/>
  <c r="D167" i="639"/>
  <c r="C167" i="639"/>
  <c r="N166" i="639"/>
  <c r="H166" i="639"/>
  <c r="D166" i="639"/>
  <c r="C166" i="639"/>
  <c r="N165" i="639"/>
  <c r="H165" i="639"/>
  <c r="D165" i="639"/>
  <c r="C165" i="639"/>
  <c r="N164" i="639"/>
  <c r="H164" i="639"/>
  <c r="D164" i="639"/>
  <c r="C164" i="639"/>
  <c r="N163" i="639"/>
  <c r="H163" i="639"/>
  <c r="D163" i="639"/>
  <c r="C163" i="639"/>
  <c r="N162" i="639"/>
  <c r="H162" i="639"/>
  <c r="D162" i="639"/>
  <c r="C162" i="639"/>
  <c r="N161" i="639"/>
  <c r="H161" i="639"/>
  <c r="D161" i="639"/>
  <c r="C161" i="639"/>
  <c r="N160" i="639"/>
  <c r="H160" i="639"/>
  <c r="D160" i="639"/>
  <c r="C160" i="639"/>
  <c r="N159" i="639"/>
  <c r="H159" i="639"/>
  <c r="D159" i="639"/>
  <c r="C159" i="639"/>
  <c r="N157" i="639"/>
  <c r="H157" i="639"/>
  <c r="D157" i="639"/>
  <c r="C157" i="639"/>
  <c r="N156" i="639"/>
  <c r="H156" i="639"/>
  <c r="D156" i="639"/>
  <c r="C156" i="639"/>
  <c r="N155" i="639"/>
  <c r="H155" i="639"/>
  <c r="D155" i="639"/>
  <c r="C155" i="639"/>
  <c r="N154" i="639"/>
  <c r="H154" i="639"/>
  <c r="D154" i="639"/>
  <c r="C154" i="639"/>
  <c r="C67" i="818"/>
  <c r="C50" i="818"/>
  <c r="C49" i="818"/>
  <c r="C48" i="818"/>
  <c r="C47" i="818"/>
  <c r="C64" i="818"/>
  <c r="K65" i="818"/>
  <c r="F41" i="818" s="1"/>
  <c r="N41" i="818" s="1"/>
  <c r="P188" i="639" s="1"/>
  <c r="T188" i="639" s="1"/>
  <c r="N40" i="818"/>
  <c r="P187" i="639" s="1"/>
  <c r="T187" i="639" s="1"/>
  <c r="N35" i="818"/>
  <c r="P182" i="639" s="1"/>
  <c r="T182" i="639" s="1"/>
  <c r="N34" i="818"/>
  <c r="P181" i="639" s="1"/>
  <c r="T181" i="639" s="1"/>
  <c r="F27" i="818"/>
  <c r="N27" i="818" s="1"/>
  <c r="P174" i="639" s="1"/>
  <c r="T174" i="639" s="1"/>
  <c r="N28" i="818"/>
  <c r="N26" i="818"/>
  <c r="P173" i="639" s="1"/>
  <c r="T173" i="639" s="1"/>
  <c r="N25" i="818"/>
  <c r="P172" i="639" s="1"/>
  <c r="T172" i="639" s="1"/>
  <c r="N24" i="818"/>
  <c r="P171" i="639" s="1"/>
  <c r="T171" i="639" s="1"/>
  <c r="N23" i="818"/>
  <c r="P170" i="639" s="1"/>
  <c r="T170" i="639" s="1"/>
  <c r="K68" i="818"/>
  <c r="F42" i="818" s="1"/>
  <c r="I49" i="818"/>
  <c r="H49" i="818"/>
  <c r="G49" i="818"/>
  <c r="J48" i="818"/>
  <c r="J49" i="818" s="1"/>
  <c r="J50" i="818" s="1"/>
  <c r="K50" i="818" s="1"/>
  <c r="F39" i="818" s="1"/>
  <c r="H48" i="818"/>
  <c r="G48" i="818"/>
  <c r="K47" i="818"/>
  <c r="F36" i="818" s="1"/>
  <c r="N43" i="818" l="1"/>
  <c r="P190" i="639" s="1"/>
  <c r="T190" i="639" s="1"/>
  <c r="N39" i="818"/>
  <c r="P186" i="639" s="1"/>
  <c r="T186" i="639" s="1"/>
  <c r="P15" i="822"/>
  <c r="T14" i="822"/>
  <c r="U14" i="822" s="1"/>
  <c r="T17" i="822"/>
  <c r="U17" i="822" s="1"/>
  <c r="L13" i="822"/>
  <c r="T15" i="822"/>
  <c r="U15" i="822" s="1"/>
  <c r="L16" i="822"/>
  <c r="T19" i="822"/>
  <c r="U19" i="822" s="1"/>
  <c r="L21" i="822"/>
  <c r="T12" i="822"/>
  <c r="U12" i="822" s="1"/>
  <c r="T22" i="822"/>
  <c r="U22" i="822" s="1"/>
  <c r="T11" i="822"/>
  <c r="U11" i="822" s="1"/>
  <c r="T13" i="822"/>
  <c r="U13" i="822" s="1"/>
  <c r="T16" i="822"/>
  <c r="U16" i="822" s="1"/>
  <c r="L17" i="822"/>
  <c r="L14" i="822"/>
  <c r="T21" i="822"/>
  <c r="U21" i="822" s="1"/>
  <c r="L26" i="822"/>
  <c r="L22" i="822"/>
  <c r="L27" i="822"/>
  <c r="L23" i="822"/>
  <c r="L15" i="822"/>
  <c r="L28" i="822"/>
  <c r="L24" i="822"/>
  <c r="L12" i="822"/>
  <c r="P12" i="822" s="1"/>
  <c r="L11" i="822"/>
  <c r="P11" i="822" s="1"/>
  <c r="P13" i="822"/>
  <c r="V12" i="822"/>
  <c r="O13" i="822"/>
  <c r="Q13" i="822" s="1"/>
  <c r="V13" i="820"/>
  <c r="L23" i="820"/>
  <c r="M13" i="819"/>
  <c r="V12" i="819"/>
  <c r="V11" i="819"/>
  <c r="N42" i="818"/>
  <c r="P189" i="639" s="1"/>
  <c r="T189" i="639" s="1"/>
  <c r="N36" i="818"/>
  <c r="P183" i="639" s="1"/>
  <c r="T183" i="639" s="1"/>
  <c r="K48" i="818"/>
  <c r="K49" i="818"/>
  <c r="F38" i="818" l="1"/>
  <c r="N38" i="818" s="1"/>
  <c r="P185" i="639" s="1"/>
  <c r="T185" i="639" s="1"/>
  <c r="F37" i="818"/>
  <c r="N37" i="818" s="1"/>
  <c r="P184" i="639" s="1"/>
  <c r="T184" i="639" s="1"/>
  <c r="P16" i="822"/>
  <c r="O16" i="822"/>
  <c r="Q16" i="822" s="1"/>
  <c r="O12" i="822"/>
  <c r="Q12" i="822" s="1"/>
  <c r="O11" i="822"/>
  <c r="Q11" i="822" s="1"/>
  <c r="M14" i="819"/>
  <c r="O13" i="819"/>
  <c r="Q13" i="819" s="1"/>
  <c r="P13" i="819"/>
  <c r="H74" i="639"/>
  <c r="S11" i="817"/>
  <c r="T11" i="817" s="1"/>
  <c r="S31" i="817"/>
  <c r="T31" i="817" s="1"/>
  <c r="S30" i="817"/>
  <c r="T30" i="817" s="1"/>
  <c r="S29" i="817"/>
  <c r="T29" i="817" s="1"/>
  <c r="S28" i="817"/>
  <c r="T28" i="817" s="1"/>
  <c r="S27" i="817"/>
  <c r="T27" i="817" s="1"/>
  <c r="S26" i="817"/>
  <c r="T26" i="817" s="1"/>
  <c r="S25" i="817"/>
  <c r="T25" i="817" s="1"/>
  <c r="S24" i="817"/>
  <c r="T24" i="817" s="1"/>
  <c r="S22" i="817"/>
  <c r="T22" i="817" s="1"/>
  <c r="S21" i="817"/>
  <c r="T21" i="817" s="1"/>
  <c r="S20" i="817"/>
  <c r="T20" i="817" s="1"/>
  <c r="S19" i="817"/>
  <c r="T19" i="817" s="1"/>
  <c r="S18" i="817"/>
  <c r="T18" i="817" s="1"/>
  <c r="S17" i="817"/>
  <c r="T17" i="817" s="1"/>
  <c r="S16" i="817"/>
  <c r="T16" i="817" s="1"/>
  <c r="S15" i="817"/>
  <c r="T15" i="817" s="1"/>
  <c r="S14" i="817"/>
  <c r="T14" i="817" s="1"/>
  <c r="S13" i="817"/>
  <c r="T13" i="817" s="1"/>
  <c r="S12" i="817"/>
  <c r="T12" i="817" s="1"/>
  <c r="M5" i="818"/>
  <c r="C5" i="818"/>
  <c r="M4" i="818"/>
  <c r="C4" i="818"/>
  <c r="N33" i="818"/>
  <c r="P180" i="639" s="1"/>
  <c r="T180" i="639" s="1"/>
  <c r="N32" i="818"/>
  <c r="P179" i="639" s="1"/>
  <c r="T179" i="639" s="1"/>
  <c r="N31" i="818"/>
  <c r="P178" i="639" s="1"/>
  <c r="T178" i="639" s="1"/>
  <c r="N30" i="818"/>
  <c r="P177" i="639" s="1"/>
  <c r="T177" i="639" s="1"/>
  <c r="N29" i="818"/>
  <c r="P176" i="639" s="1"/>
  <c r="T176" i="639" s="1"/>
  <c r="N22" i="818"/>
  <c r="P169" i="639" s="1"/>
  <c r="T169" i="639" s="1"/>
  <c r="N21" i="818"/>
  <c r="P168" i="639" s="1"/>
  <c r="T168" i="639" s="1"/>
  <c r="N20" i="818"/>
  <c r="P167" i="639" s="1"/>
  <c r="T167" i="639" s="1"/>
  <c r="N19" i="818"/>
  <c r="P166" i="639" s="1"/>
  <c r="T166" i="639" s="1"/>
  <c r="N18" i="818"/>
  <c r="P165" i="639" s="1"/>
  <c r="T165" i="639" s="1"/>
  <c r="N16" i="818"/>
  <c r="P163" i="639" s="1"/>
  <c r="T163" i="639" s="1"/>
  <c r="N15" i="818"/>
  <c r="P162" i="639" s="1"/>
  <c r="T162" i="639" s="1"/>
  <c r="N14" i="818"/>
  <c r="P161" i="639" s="1"/>
  <c r="T161" i="639" s="1"/>
  <c r="N12" i="818"/>
  <c r="P159" i="639" s="1"/>
  <c r="T159" i="639" s="1"/>
  <c r="P31" i="817"/>
  <c r="P30" i="817"/>
  <c r="P29" i="817"/>
  <c r="P28" i="817"/>
  <c r="P27" i="817"/>
  <c r="P26" i="817"/>
  <c r="P42" i="817" s="1"/>
  <c r="P157" i="639" s="1"/>
  <c r="T157" i="639" s="1"/>
  <c r="P25" i="817"/>
  <c r="P24" i="817"/>
  <c r="P22" i="817"/>
  <c r="P21" i="817"/>
  <c r="P20" i="817"/>
  <c r="P19" i="817"/>
  <c r="P18" i="817"/>
  <c r="P17" i="817"/>
  <c r="P16" i="817"/>
  <c r="P15" i="817"/>
  <c r="P14" i="817"/>
  <c r="P13" i="817"/>
  <c r="P12" i="817"/>
  <c r="P11" i="817"/>
  <c r="P41" i="817" s="1"/>
  <c r="P156" i="639" s="1"/>
  <c r="T156" i="639" s="1"/>
  <c r="L31" i="817"/>
  <c r="L30" i="817"/>
  <c r="L29" i="817"/>
  <c r="L28" i="817"/>
  <c r="L27" i="817"/>
  <c r="L26" i="817"/>
  <c r="L25" i="817"/>
  <c r="L24" i="817"/>
  <c r="K23" i="817"/>
  <c r="P23" i="817" s="1"/>
  <c r="L22" i="817"/>
  <c r="L21" i="817"/>
  <c r="L20" i="817"/>
  <c r="L19" i="817"/>
  <c r="L18" i="817"/>
  <c r="L17" i="817"/>
  <c r="L16" i="817"/>
  <c r="L15" i="817"/>
  <c r="L14" i="817"/>
  <c r="O5" i="817"/>
  <c r="E5" i="817"/>
  <c r="O4" i="817"/>
  <c r="E4" i="817"/>
  <c r="L13" i="817"/>
  <c r="L12" i="817"/>
  <c r="L11" i="817"/>
  <c r="P39" i="817" l="1"/>
  <c r="P154" i="639" s="1"/>
  <c r="T154" i="639" s="1"/>
  <c r="P17" i="822"/>
  <c r="O17" i="822"/>
  <c r="Q17" i="822" s="1"/>
  <c r="P14" i="819"/>
  <c r="O14" i="819"/>
  <c r="Q14" i="819" s="1"/>
  <c r="M15" i="819"/>
  <c r="U13" i="817"/>
  <c r="F17" i="818" s="1"/>
  <c r="N17" i="818" s="1"/>
  <c r="P164" i="639" s="1"/>
  <c r="T164" i="639" s="1"/>
  <c r="L23" i="817"/>
  <c r="P40" i="817" s="1"/>
  <c r="P155" i="639" s="1"/>
  <c r="T155" i="639" s="1"/>
  <c r="S23" i="817"/>
  <c r="T23" i="817" s="1"/>
  <c r="U12" i="817" s="1"/>
  <c r="F13" i="818" s="1"/>
  <c r="N13" i="818" s="1"/>
  <c r="P160" i="639" s="1"/>
  <c r="T160" i="639" s="1"/>
  <c r="N150" i="639"/>
  <c r="H150" i="639"/>
  <c r="D150" i="639"/>
  <c r="C150" i="639"/>
  <c r="O115" i="639"/>
  <c r="T115" i="639" s="1"/>
  <c r="H115" i="639"/>
  <c r="D115" i="639"/>
  <c r="C115" i="639"/>
  <c r="H114" i="639"/>
  <c r="D114" i="639"/>
  <c r="C114" i="639"/>
  <c r="S13" i="699"/>
  <c r="W13" i="699" s="1"/>
  <c r="N138" i="639"/>
  <c r="H138" i="639"/>
  <c r="D138" i="639"/>
  <c r="C138" i="639"/>
  <c r="N12" i="718"/>
  <c r="N72" i="639"/>
  <c r="H72" i="639"/>
  <c r="D72" i="639"/>
  <c r="C72" i="639"/>
  <c r="N71" i="639"/>
  <c r="H71" i="639"/>
  <c r="D71" i="639"/>
  <c r="C71" i="639"/>
  <c r="N70" i="639"/>
  <c r="H70" i="639"/>
  <c r="D70" i="639"/>
  <c r="C70" i="639"/>
  <c r="N69" i="639"/>
  <c r="H69" i="639"/>
  <c r="D69" i="639"/>
  <c r="C69" i="639"/>
  <c r="N68" i="639"/>
  <c r="H68" i="639"/>
  <c r="D68" i="639"/>
  <c r="C68" i="639"/>
  <c r="N67" i="639"/>
  <c r="H67" i="639"/>
  <c r="D67" i="639"/>
  <c r="C67" i="639"/>
  <c r="N66" i="639"/>
  <c r="H66" i="639"/>
  <c r="D66" i="639"/>
  <c r="C66" i="639"/>
  <c r="N65" i="639"/>
  <c r="H65" i="639"/>
  <c r="D65" i="639"/>
  <c r="C65" i="639"/>
  <c r="N64" i="639"/>
  <c r="H64" i="639"/>
  <c r="D64" i="639"/>
  <c r="C64" i="639"/>
  <c r="N58" i="639"/>
  <c r="H58" i="639"/>
  <c r="D58" i="639"/>
  <c r="C58" i="639"/>
  <c r="N52" i="639"/>
  <c r="H52" i="639"/>
  <c r="D52" i="639"/>
  <c r="C52" i="639"/>
  <c r="N57" i="639"/>
  <c r="N56" i="639"/>
  <c r="N55" i="639"/>
  <c r="N54" i="639"/>
  <c r="N53" i="639"/>
  <c r="N50" i="639"/>
  <c r="H57" i="639"/>
  <c r="H56" i="639"/>
  <c r="H55" i="639"/>
  <c r="H54" i="639"/>
  <c r="H53" i="639"/>
  <c r="H50" i="639"/>
  <c r="D57" i="639"/>
  <c r="C57" i="639"/>
  <c r="D56" i="639"/>
  <c r="C56" i="639"/>
  <c r="D55" i="639"/>
  <c r="C55" i="639"/>
  <c r="D54" i="639"/>
  <c r="C54" i="639"/>
  <c r="D53" i="639"/>
  <c r="C53" i="639"/>
  <c r="D50" i="639"/>
  <c r="C50" i="639"/>
  <c r="L24" i="814"/>
  <c r="S24" i="814"/>
  <c r="H24" i="814"/>
  <c r="H12" i="814"/>
  <c r="H13" i="814"/>
  <c r="H14" i="814"/>
  <c r="Q24" i="814"/>
  <c r="O24" i="814"/>
  <c r="M24" i="814"/>
  <c r="K24" i="814"/>
  <c r="S27" i="814"/>
  <c r="S26" i="814"/>
  <c r="L27" i="814"/>
  <c r="M27" i="814" s="1"/>
  <c r="L26" i="814"/>
  <c r="M26" i="814" s="1"/>
  <c r="Q27" i="814"/>
  <c r="O27" i="814"/>
  <c r="K27" i="814"/>
  <c r="I27" i="814"/>
  <c r="Q26" i="814"/>
  <c r="O26" i="814"/>
  <c r="K26" i="814"/>
  <c r="I26" i="814"/>
  <c r="S25" i="814"/>
  <c r="Q25" i="814"/>
  <c r="O25" i="814"/>
  <c r="L25" i="814"/>
  <c r="M25" i="814" s="1"/>
  <c r="J25" i="814"/>
  <c r="K25" i="814" s="1"/>
  <c r="H25" i="814"/>
  <c r="S23" i="814"/>
  <c r="Q23" i="814"/>
  <c r="O23" i="814"/>
  <c r="M23" i="814"/>
  <c r="K23" i="814"/>
  <c r="H23" i="814"/>
  <c r="P103" i="639"/>
  <c r="T103" i="639" s="1"/>
  <c r="P102" i="639"/>
  <c r="T102" i="639" s="1"/>
  <c r="N103" i="639"/>
  <c r="N102" i="639"/>
  <c r="H103" i="639"/>
  <c r="H102" i="639"/>
  <c r="D103" i="639"/>
  <c r="C103" i="639"/>
  <c r="D102" i="639"/>
  <c r="C102" i="639"/>
  <c r="P100" i="639"/>
  <c r="T100" i="639" s="1"/>
  <c r="P99" i="639"/>
  <c r="T99" i="639" s="1"/>
  <c r="P98" i="639"/>
  <c r="T98" i="639" s="1"/>
  <c r="P97" i="639"/>
  <c r="T97" i="639" s="1"/>
  <c r="P96" i="639"/>
  <c r="T96" i="639" s="1"/>
  <c r="P95" i="639"/>
  <c r="T95" i="639" s="1"/>
  <c r="N100" i="639"/>
  <c r="H100" i="639"/>
  <c r="D100" i="639"/>
  <c r="C100" i="639"/>
  <c r="N99" i="639"/>
  <c r="N98" i="639"/>
  <c r="N97" i="639"/>
  <c r="N96" i="639"/>
  <c r="H99" i="639"/>
  <c r="D99" i="639"/>
  <c r="C99" i="639"/>
  <c r="D98" i="639"/>
  <c r="C98" i="639"/>
  <c r="D97" i="639"/>
  <c r="C97" i="639"/>
  <c r="D96" i="639"/>
  <c r="C96" i="639"/>
  <c r="H98" i="639"/>
  <c r="H97" i="639"/>
  <c r="H96" i="639"/>
  <c r="N95" i="639"/>
  <c r="H95" i="639"/>
  <c r="D95" i="639"/>
  <c r="C95" i="639"/>
  <c r="P93" i="639"/>
  <c r="T93" i="639" s="1"/>
  <c r="N93" i="639"/>
  <c r="H93" i="639"/>
  <c r="D93" i="639"/>
  <c r="C93" i="639"/>
  <c r="N88" i="639"/>
  <c r="N87" i="639"/>
  <c r="N86" i="639"/>
  <c r="N85" i="639"/>
  <c r="N84" i="639"/>
  <c r="N83" i="639"/>
  <c r="N82" i="639"/>
  <c r="H88" i="639"/>
  <c r="H87" i="639"/>
  <c r="H86" i="639"/>
  <c r="H85" i="639"/>
  <c r="H84" i="639"/>
  <c r="H83" i="639"/>
  <c r="H82" i="639"/>
  <c r="D88" i="639"/>
  <c r="C88" i="639"/>
  <c r="D87" i="639"/>
  <c r="C87" i="639"/>
  <c r="D86" i="639"/>
  <c r="C86" i="639"/>
  <c r="D85" i="639"/>
  <c r="C85" i="639"/>
  <c r="D84" i="639"/>
  <c r="C84" i="639"/>
  <c r="D83" i="639"/>
  <c r="C83" i="639"/>
  <c r="D82" i="639"/>
  <c r="C82" i="639"/>
  <c r="P74" i="639"/>
  <c r="T74" i="639" s="1"/>
  <c r="N80" i="639"/>
  <c r="N79" i="639"/>
  <c r="N78" i="639"/>
  <c r="N77" i="639"/>
  <c r="N76" i="639"/>
  <c r="N75" i="639"/>
  <c r="N74" i="639"/>
  <c r="H80" i="639"/>
  <c r="H79" i="639"/>
  <c r="H78" i="639"/>
  <c r="H77" i="639"/>
  <c r="H76" i="639"/>
  <c r="H75" i="639"/>
  <c r="D80" i="639"/>
  <c r="D79" i="639"/>
  <c r="D78" i="639"/>
  <c r="D77" i="639"/>
  <c r="D76" i="639"/>
  <c r="D75" i="639"/>
  <c r="D74" i="639"/>
  <c r="C80" i="639"/>
  <c r="C79" i="639"/>
  <c r="C78" i="639"/>
  <c r="C77" i="639"/>
  <c r="C76" i="639"/>
  <c r="C75" i="639"/>
  <c r="C74" i="639"/>
  <c r="O18" i="815"/>
  <c r="V16" i="766"/>
  <c r="U16" i="766"/>
  <c r="T16" i="766"/>
  <c r="S16" i="766"/>
  <c r="R16" i="766"/>
  <c r="Q16" i="766"/>
  <c r="P16" i="766"/>
  <c r="O16" i="766"/>
  <c r="N16" i="766"/>
  <c r="M16" i="766"/>
  <c r="L16" i="766"/>
  <c r="K16" i="766"/>
  <c r="H16" i="766"/>
  <c r="W12" i="766"/>
  <c r="W16" i="766" s="1"/>
  <c r="AB12" i="766"/>
  <c r="Z12" i="766"/>
  <c r="X12" i="766"/>
  <c r="X16" i="766" s="1"/>
  <c r="AB19" i="766" s="1"/>
  <c r="V12" i="766"/>
  <c r="T12" i="766"/>
  <c r="R12" i="766"/>
  <c r="P12" i="766"/>
  <c r="N12" i="766"/>
  <c r="L12" i="766"/>
  <c r="X12" i="757"/>
  <c r="Y12" i="757" s="1"/>
  <c r="P12" i="757"/>
  <c r="Q12" i="757" s="1"/>
  <c r="N12" i="757"/>
  <c r="O12" i="757" s="1"/>
  <c r="V12" i="757"/>
  <c r="W12" i="757" s="1"/>
  <c r="Z12" i="757"/>
  <c r="Y15" i="757"/>
  <c r="W15" i="757"/>
  <c r="Y14" i="757"/>
  <c r="W14" i="757"/>
  <c r="Y13" i="757"/>
  <c r="W13" i="757"/>
  <c r="T16" i="757"/>
  <c r="U15" i="757"/>
  <c r="U14" i="757"/>
  <c r="U13" i="757"/>
  <c r="U12" i="757"/>
  <c r="U16" i="757" s="1"/>
  <c r="H12" i="757"/>
  <c r="S15" i="757"/>
  <c r="Q15" i="757"/>
  <c r="O15" i="757"/>
  <c r="M15" i="757"/>
  <c r="K15" i="757"/>
  <c r="S14" i="757"/>
  <c r="Q14" i="757"/>
  <c r="O14" i="757"/>
  <c r="M14" i="757"/>
  <c r="K14" i="757"/>
  <c r="S13" i="757"/>
  <c r="Q13" i="757"/>
  <c r="O13" i="757"/>
  <c r="M13" i="757"/>
  <c r="K13" i="757"/>
  <c r="S12" i="757"/>
  <c r="M12" i="757"/>
  <c r="K12" i="757"/>
  <c r="U12" i="752"/>
  <c r="I12" i="752"/>
  <c r="J12" i="752" s="1"/>
  <c r="K12" i="752"/>
  <c r="W12" i="752"/>
  <c r="V15" i="752"/>
  <c r="T15" i="752"/>
  <c r="R15" i="752"/>
  <c r="P15" i="752"/>
  <c r="N15" i="752"/>
  <c r="L15" i="752"/>
  <c r="J15" i="752"/>
  <c r="V14" i="752"/>
  <c r="T14" i="752"/>
  <c r="R14" i="752"/>
  <c r="P14" i="752"/>
  <c r="N14" i="752"/>
  <c r="L14" i="752"/>
  <c r="J14" i="752"/>
  <c r="V13" i="752"/>
  <c r="T13" i="752"/>
  <c r="R13" i="752"/>
  <c r="P13" i="752"/>
  <c r="N13" i="752"/>
  <c r="L13" i="752"/>
  <c r="J13" i="752"/>
  <c r="V12" i="752"/>
  <c r="R12" i="752"/>
  <c r="T12" i="752"/>
  <c r="P12" i="752"/>
  <c r="N12" i="752"/>
  <c r="L12" i="752"/>
  <c r="L12" i="815"/>
  <c r="H12" i="815"/>
  <c r="I12" i="815" s="1"/>
  <c r="O12" i="815"/>
  <c r="N13" i="815"/>
  <c r="P13" i="815" s="1"/>
  <c r="G12" i="815"/>
  <c r="M14" i="815"/>
  <c r="K14" i="815"/>
  <c r="I14" i="815"/>
  <c r="M13" i="815"/>
  <c r="K13" i="815"/>
  <c r="I13" i="815"/>
  <c r="C5" i="815"/>
  <c r="P5" i="815"/>
  <c r="C4" i="815"/>
  <c r="P4" i="815"/>
  <c r="R15" i="750"/>
  <c r="S15" i="750" s="1"/>
  <c r="P15" i="750"/>
  <c r="Q15" i="750" s="1"/>
  <c r="N15" i="750"/>
  <c r="O15" i="750" s="1"/>
  <c r="M15" i="750"/>
  <c r="L15" i="750"/>
  <c r="J15" i="750"/>
  <c r="R14" i="750"/>
  <c r="S14" i="750" s="1"/>
  <c r="P14" i="750"/>
  <c r="Q14" i="750" s="1"/>
  <c r="N14" i="750"/>
  <c r="O14" i="750" s="1"/>
  <c r="M14" i="750"/>
  <c r="L14" i="750"/>
  <c r="J14" i="750"/>
  <c r="R13" i="750"/>
  <c r="S13" i="750" s="1"/>
  <c r="P13" i="750"/>
  <c r="Q13" i="750" s="1"/>
  <c r="N13" i="750"/>
  <c r="O13" i="750" s="1"/>
  <c r="M13" i="750"/>
  <c r="L13" i="750"/>
  <c r="J13" i="750"/>
  <c r="T12" i="750"/>
  <c r="V12" i="750" s="1"/>
  <c r="M12" i="750"/>
  <c r="L12" i="750"/>
  <c r="J12" i="750"/>
  <c r="E13" i="750"/>
  <c r="T13" i="750" s="1"/>
  <c r="V13" i="750" s="1"/>
  <c r="I17" i="750"/>
  <c r="I18" i="750" s="1"/>
  <c r="P12" i="750"/>
  <c r="Q12" i="750" s="1"/>
  <c r="Q18" i="750" s="1"/>
  <c r="V26" i="750" s="1"/>
  <c r="P85" i="639" s="1"/>
  <c r="T85" i="639" s="1"/>
  <c r="N12" i="750"/>
  <c r="R12" i="750"/>
  <c r="S12" i="750" s="1"/>
  <c r="S18" i="750" s="1"/>
  <c r="V27" i="750" s="1"/>
  <c r="P86" i="639" s="1"/>
  <c r="T86" i="639" s="1"/>
  <c r="S17" i="750"/>
  <c r="Q17" i="750"/>
  <c r="O17" i="750"/>
  <c r="N16" i="814"/>
  <c r="N15" i="814"/>
  <c r="O15" i="814" s="1"/>
  <c r="I16" i="814"/>
  <c r="S16" i="814" s="1"/>
  <c r="I15" i="814"/>
  <c r="S15" i="814" s="1"/>
  <c r="S14" i="814"/>
  <c r="P14" i="814"/>
  <c r="Q14" i="814" s="1"/>
  <c r="J14" i="814"/>
  <c r="K14" i="814" s="1"/>
  <c r="Q28" i="814"/>
  <c r="O28" i="814"/>
  <c r="Q16" i="814"/>
  <c r="Q15" i="814"/>
  <c r="O14" i="814"/>
  <c r="M28" i="814"/>
  <c r="M16" i="814"/>
  <c r="M15" i="814"/>
  <c r="M14" i="814"/>
  <c r="K28" i="814"/>
  <c r="K16" i="814"/>
  <c r="K15" i="814"/>
  <c r="S13" i="814"/>
  <c r="S12" i="814"/>
  <c r="L13" i="814"/>
  <c r="M13" i="814" s="1"/>
  <c r="J13" i="814"/>
  <c r="K13" i="814" s="1"/>
  <c r="L12" i="814"/>
  <c r="M12" i="814" s="1"/>
  <c r="Q13" i="814"/>
  <c r="Q12" i="814"/>
  <c r="O13" i="814"/>
  <c r="O12" i="814"/>
  <c r="K12" i="814"/>
  <c r="C5" i="814"/>
  <c r="S5" i="814"/>
  <c r="C4" i="814"/>
  <c r="S4" i="814"/>
  <c r="K12" i="815" l="1"/>
  <c r="N12" i="815"/>
  <c r="P18" i="822"/>
  <c r="O18" i="822"/>
  <c r="Q18" i="822" s="1"/>
  <c r="P15" i="819"/>
  <c r="O15" i="819"/>
  <c r="Q15" i="819" s="1"/>
  <c r="M16" i="819"/>
  <c r="P12" i="815"/>
  <c r="W16" i="757"/>
  <c r="V16" i="757"/>
  <c r="G15" i="815"/>
  <c r="O19" i="815" s="1"/>
  <c r="P75" i="639" s="1"/>
  <c r="T75" i="639" s="1"/>
  <c r="K15" i="815"/>
  <c r="L15" i="815"/>
  <c r="I15" i="815"/>
  <c r="O20" i="815" s="1"/>
  <c r="P76" i="639" s="1"/>
  <c r="T76" i="639" s="1"/>
  <c r="M12" i="815"/>
  <c r="M15" i="815" s="1"/>
  <c r="O21" i="815" s="1"/>
  <c r="P77" i="639" s="1"/>
  <c r="T77" i="639" s="1"/>
  <c r="H15" i="815"/>
  <c r="J15" i="815"/>
  <c r="R18" i="750"/>
  <c r="L18" i="750"/>
  <c r="V23" i="750" s="1"/>
  <c r="P82" i="639" s="1"/>
  <c r="T82" i="639" s="1"/>
  <c r="P18" i="750"/>
  <c r="N18" i="750"/>
  <c r="R12" i="814"/>
  <c r="R29" i="814" s="1"/>
  <c r="S32" i="814" s="1"/>
  <c r="O64" i="639" s="1"/>
  <c r="T64" i="639" s="1"/>
  <c r="E14" i="750"/>
  <c r="U12" i="750"/>
  <c r="U13" i="750"/>
  <c r="K13" i="750" s="1"/>
  <c r="V22" i="750"/>
  <c r="P53" i="639" s="1"/>
  <c r="O12" i="750"/>
  <c r="O18" i="750" s="1"/>
  <c r="V25" i="750" s="1"/>
  <c r="P84" i="639" s="1"/>
  <c r="T84" i="639" s="1"/>
  <c r="N29" i="814"/>
  <c r="O16" i="814"/>
  <c r="O29" i="814" s="1"/>
  <c r="S35" i="814" s="1"/>
  <c r="O67" i="639" s="1"/>
  <c r="T67" i="639" s="1"/>
  <c r="I29" i="814"/>
  <c r="S40" i="814" s="1"/>
  <c r="O72" i="639" s="1"/>
  <c r="T72" i="639" s="1"/>
  <c r="H29" i="814"/>
  <c r="S33" i="814" s="1"/>
  <c r="O65" i="639" s="1"/>
  <c r="T65" i="639" s="1"/>
  <c r="J29" i="814"/>
  <c r="L29" i="814"/>
  <c r="M29" i="814"/>
  <c r="S34" i="814" s="1"/>
  <c r="O66" i="639" s="1"/>
  <c r="T66" i="639" s="1"/>
  <c r="K29" i="814"/>
  <c r="S37" i="814" s="1"/>
  <c r="O69" i="639" s="1"/>
  <c r="T69" i="639" s="1"/>
  <c r="P29" i="814"/>
  <c r="Q29" i="814"/>
  <c r="S36" i="814" s="1"/>
  <c r="O68" i="639" s="1"/>
  <c r="T68" i="639" s="1"/>
  <c r="P19" i="822" l="1"/>
  <c r="O19" i="822"/>
  <c r="Q19" i="822" s="1"/>
  <c r="P16" i="819"/>
  <c r="M17" i="819"/>
  <c r="O16" i="819"/>
  <c r="Q16" i="819" s="1"/>
  <c r="W22" i="757"/>
  <c r="P15" i="815"/>
  <c r="O15" i="815"/>
  <c r="O24" i="815" s="1"/>
  <c r="P80" i="639" s="1"/>
  <c r="T80" i="639" s="1"/>
  <c r="N15" i="815"/>
  <c r="O22" i="815" s="1"/>
  <c r="K12" i="750"/>
  <c r="O53" i="639"/>
  <c r="T53" i="639" s="1"/>
  <c r="O56" i="639"/>
  <c r="T56" i="639" s="1"/>
  <c r="T14" i="750"/>
  <c r="E15" i="750"/>
  <c r="S29" i="814"/>
  <c r="S38" i="814" s="1"/>
  <c r="T15" i="750" l="1"/>
  <c r="O23" i="815"/>
  <c r="P79" i="639" s="1"/>
  <c r="T79" i="639" s="1"/>
  <c r="P78" i="639"/>
  <c r="T78" i="639" s="1"/>
  <c r="P20" i="822"/>
  <c r="O20" i="822"/>
  <c r="Q20" i="822" s="1"/>
  <c r="P17" i="819"/>
  <c r="O17" i="819"/>
  <c r="Q17" i="819" s="1"/>
  <c r="M18" i="819"/>
  <c r="O58" i="639"/>
  <c r="S39" i="814"/>
  <c r="O71" i="639" s="1"/>
  <c r="T71" i="639" s="1"/>
  <c r="O70" i="639"/>
  <c r="T70" i="639" s="1"/>
  <c r="V15" i="750"/>
  <c r="U15" i="750"/>
  <c r="K15" i="750" s="1"/>
  <c r="V14" i="750"/>
  <c r="U14" i="750"/>
  <c r="O55" i="639"/>
  <c r="T55" i="639" s="1"/>
  <c r="K16" i="750" l="1"/>
  <c r="O57" i="639"/>
  <c r="T57" i="639" s="1"/>
  <c r="P21" i="822"/>
  <c r="O21" i="822"/>
  <c r="Q21" i="822" s="1"/>
  <c r="P18" i="819"/>
  <c r="O18" i="819"/>
  <c r="Q18" i="819" s="1"/>
  <c r="M19" i="819"/>
  <c r="K14" i="750"/>
  <c r="P22" i="822" l="1"/>
  <c r="O22" i="822"/>
  <c r="Q22" i="822" s="1"/>
  <c r="Q35" i="822"/>
  <c r="Q33" i="822"/>
  <c r="Q34" i="822"/>
  <c r="P19" i="819"/>
  <c r="O19" i="819"/>
  <c r="M20" i="819"/>
  <c r="O23" i="822" l="1"/>
  <c r="Q23" i="822" s="1"/>
  <c r="P23" i="822"/>
  <c r="P20" i="819"/>
  <c r="M21" i="819"/>
  <c r="O20" i="819"/>
  <c r="Q20" i="819" s="1"/>
  <c r="Q19" i="819"/>
  <c r="P24" i="822" l="1"/>
  <c r="O24" i="822"/>
  <c r="Q24" i="822" s="1"/>
  <c r="P21" i="819"/>
  <c r="M22" i="819"/>
  <c r="O21" i="819"/>
  <c r="P25" i="822" l="1"/>
  <c r="O25" i="822"/>
  <c r="Q25" i="822" s="1"/>
  <c r="Q21" i="819"/>
  <c r="O22" i="819"/>
  <c r="Q22" i="819" s="1"/>
  <c r="P22" i="819"/>
  <c r="Q27" i="819"/>
  <c r="P26" i="822" l="1"/>
  <c r="O26" i="822"/>
  <c r="Q26" i="822" s="1"/>
  <c r="Q28" i="819"/>
  <c r="P27" i="822" l="1"/>
  <c r="O27" i="822"/>
  <c r="Q27" i="822" s="1"/>
  <c r="O28" i="822" l="1"/>
  <c r="Q28" i="822" s="1"/>
  <c r="P28" i="822"/>
  <c r="Z15" i="757" l="1"/>
  <c r="Z14" i="757"/>
  <c r="Z13" i="757"/>
  <c r="W15" i="752"/>
  <c r="W14" i="752"/>
  <c r="W13" i="752"/>
  <c r="J17" i="750"/>
  <c r="J18" i="750" s="1"/>
  <c r="T17" i="750"/>
  <c r="T18" i="750" s="1"/>
  <c r="V28" i="750" s="1"/>
  <c r="V29" i="750" l="1"/>
  <c r="P88" i="639" s="1"/>
  <c r="T88" i="639" s="1"/>
  <c r="P87" i="639"/>
  <c r="T87" i="639" s="1"/>
  <c r="G30" i="835" s="1"/>
  <c r="G32" i="835" l="1"/>
  <c r="P36" i="639" s="1"/>
  <c r="T36" i="639" s="1"/>
  <c r="H65" i="808" l="1"/>
  <c r="G65" i="808"/>
  <c r="F65" i="808"/>
  <c r="C9" i="808"/>
  <c r="R9" i="808"/>
  <c r="C8" i="808"/>
  <c r="R8" i="808"/>
  <c r="T42" i="639" l="1"/>
  <c r="S12" i="699" l="1"/>
  <c r="W12" i="699" l="1"/>
  <c r="O114" i="639"/>
  <c r="T114" i="639" s="1"/>
  <c r="O12" i="718" l="1"/>
  <c r="O15" i="718" s="1"/>
  <c r="O17" i="718" s="1"/>
  <c r="N15" i="718"/>
  <c r="N17" i="718" s="1"/>
  <c r="O14" i="744" l="1"/>
  <c r="N14" i="744"/>
  <c r="I14" i="744"/>
  <c r="X16" i="699" l="1"/>
  <c r="Y16" i="699"/>
  <c r="K14" i="744"/>
  <c r="M14" i="744" s="1"/>
  <c r="I15" i="757"/>
  <c r="I14" i="757"/>
  <c r="I13" i="757"/>
  <c r="I15" i="766"/>
  <c r="I14" i="766"/>
  <c r="I13" i="766"/>
  <c r="I16" i="766" s="1"/>
  <c r="C5" i="766"/>
  <c r="AB5" i="766"/>
  <c r="C4" i="766"/>
  <c r="AB4" i="766"/>
  <c r="V17" i="750"/>
  <c r="V18" i="750" s="1"/>
  <c r="AA12" i="766" l="1"/>
  <c r="J12" i="766"/>
  <c r="J16" i="766" s="1"/>
  <c r="AB13" i="766"/>
  <c r="J13" i="766"/>
  <c r="AB14" i="766"/>
  <c r="J14" i="766"/>
  <c r="AB15" i="766"/>
  <c r="J15" i="766"/>
  <c r="AA13" i="766"/>
  <c r="AA14" i="766"/>
  <c r="AA15" i="766"/>
  <c r="H15" i="757"/>
  <c r="H14" i="757"/>
  <c r="H13" i="757"/>
  <c r="C5" i="757"/>
  <c r="Z5" i="757"/>
  <c r="C4" i="757"/>
  <c r="Z4" i="757"/>
  <c r="Q16" i="752"/>
  <c r="H15" i="752"/>
  <c r="H14" i="752"/>
  <c r="H13" i="752"/>
  <c r="H12" i="752"/>
  <c r="C5" i="752"/>
  <c r="W5" i="752"/>
  <c r="C4" i="752"/>
  <c r="W4" i="752"/>
  <c r="AB16" i="766" l="1"/>
  <c r="AB20" i="766" s="1"/>
  <c r="AB21" i="766" s="1"/>
  <c r="S16" i="752"/>
  <c r="AA16" i="766"/>
  <c r="I16" i="757"/>
  <c r="L16" i="757"/>
  <c r="X16" i="757"/>
  <c r="R16" i="757"/>
  <c r="S16" i="757"/>
  <c r="Y16" i="757"/>
  <c r="W23" i="757" s="1"/>
  <c r="J16" i="757"/>
  <c r="H16" i="757"/>
  <c r="W19" i="757" s="1"/>
  <c r="M16" i="757"/>
  <c r="N16" i="757"/>
  <c r="Q16" i="757"/>
  <c r="W21" i="757" s="1"/>
  <c r="Z16" i="757"/>
  <c r="W24" i="757" s="1"/>
  <c r="W25" i="757" s="1"/>
  <c r="K16" i="757"/>
  <c r="P16" i="757"/>
  <c r="O16" i="757"/>
  <c r="W20" i="757" s="1"/>
  <c r="K16" i="752"/>
  <c r="T16" i="752"/>
  <c r="R16" i="752"/>
  <c r="I16" i="752"/>
  <c r="U16" i="752"/>
  <c r="V16" i="752"/>
  <c r="H16" i="752"/>
  <c r="W19" i="752" s="1"/>
  <c r="L16" i="752"/>
  <c r="W20" i="752" s="1"/>
  <c r="W16" i="752"/>
  <c r="W23" i="752" s="1"/>
  <c r="W24" i="752" s="1"/>
  <c r="M16" i="752"/>
  <c r="N16" i="752"/>
  <c r="P16" i="752"/>
  <c r="O16" i="752"/>
  <c r="J16" i="752"/>
  <c r="W22" i="752" s="1"/>
  <c r="M17" i="750"/>
  <c r="M18" i="750" s="1"/>
  <c r="V24" i="750" s="1"/>
  <c r="P83" i="639" s="1"/>
  <c r="T83" i="639" s="1"/>
  <c r="U17" i="750"/>
  <c r="U18" i="750" s="1"/>
  <c r="V30" i="750" s="1"/>
  <c r="P58" i="639" s="1"/>
  <c r="T58" i="639" s="1"/>
  <c r="W21" i="752" l="1"/>
  <c r="K17" i="750"/>
  <c r="K18" i="750" s="1"/>
  <c r="C5" i="750"/>
  <c r="V5" i="750"/>
  <c r="C4" i="750"/>
  <c r="V4" i="750"/>
  <c r="O50" i="639"/>
  <c r="T50" i="639" s="1"/>
  <c r="O54" i="639" l="1"/>
  <c r="T54" i="639" s="1"/>
  <c r="V21" i="750" l="1"/>
  <c r="P52" i="639" s="1"/>
  <c r="T52" i="639" s="1"/>
  <c r="N13" i="744" l="1"/>
  <c r="I13" i="744"/>
  <c r="I12" i="744"/>
  <c r="I11" i="744"/>
  <c r="D5" i="744"/>
  <c r="O5" i="744"/>
  <c r="D4" i="744"/>
  <c r="O4" i="744"/>
  <c r="C5" i="743"/>
  <c r="S5" i="743"/>
  <c r="C4" i="743"/>
  <c r="S4" i="743"/>
  <c r="K12" i="744" l="1"/>
  <c r="M12" i="744" s="1"/>
  <c r="K13" i="744"/>
  <c r="M13" i="744" s="1"/>
  <c r="K11" i="744"/>
  <c r="M11" i="744" s="1"/>
  <c r="N16" i="744"/>
  <c r="O16" i="744"/>
  <c r="M16" i="744" l="1"/>
  <c r="O27" i="744" s="1"/>
  <c r="P109" i="639" s="1"/>
  <c r="T109" i="639" s="1"/>
  <c r="W17" i="718" l="1"/>
  <c r="O138" i="639" s="1"/>
  <c r="T138" i="639" s="1"/>
  <c r="C5" i="718"/>
  <c r="W5" i="718"/>
  <c r="C4" i="718"/>
  <c r="W4" i="718"/>
  <c r="W16" i="699" l="1"/>
  <c r="Y19" i="699" s="1"/>
  <c r="O150" i="639" s="1"/>
  <c r="T150" i="639" s="1"/>
  <c r="E32" i="808" l="1"/>
  <c r="I32" i="808"/>
  <c r="Q32" i="808"/>
  <c r="M32" i="808"/>
  <c r="Q26" i="808"/>
  <c r="M26" i="808"/>
  <c r="I26" i="808"/>
  <c r="E26" i="808"/>
  <c r="Q50" i="808"/>
  <c r="M50" i="808"/>
  <c r="I50" i="808"/>
  <c r="E50" i="808"/>
  <c r="Q29" i="808"/>
  <c r="M29" i="808"/>
  <c r="I29" i="808"/>
  <c r="E29" i="808"/>
  <c r="Q35" i="808"/>
  <c r="M35" i="808"/>
  <c r="I35" i="808"/>
  <c r="E35" i="808"/>
  <c r="D16" i="808"/>
  <c r="Q44" i="808" l="1"/>
  <c r="M44" i="808"/>
  <c r="I44" i="808"/>
  <c r="E44" i="808"/>
  <c r="Q59" i="808"/>
  <c r="M59" i="808"/>
  <c r="I59" i="808"/>
  <c r="E59" i="808"/>
  <c r="Q20" i="808"/>
  <c r="M20" i="808"/>
  <c r="I20" i="808"/>
  <c r="E20" i="808"/>
  <c r="Q53" i="808"/>
  <c r="M53" i="808"/>
  <c r="I53" i="808"/>
  <c r="E53" i="808"/>
  <c r="Q47" i="808"/>
  <c r="M47" i="808"/>
  <c r="I47" i="808"/>
  <c r="E47" i="808"/>
  <c r="Q38" i="808"/>
  <c r="M38" i="808"/>
  <c r="I38" i="808"/>
  <c r="E38" i="808"/>
  <c r="Q23" i="808"/>
  <c r="M23" i="808"/>
  <c r="I23" i="808"/>
  <c r="E23" i="808"/>
  <c r="Q62" i="808"/>
  <c r="M62" i="808"/>
  <c r="I62" i="808"/>
  <c r="E62" i="808"/>
  <c r="Q56" i="808"/>
  <c r="M56" i="808"/>
  <c r="I56" i="808"/>
  <c r="E56" i="808"/>
  <c r="Q41" i="808"/>
  <c r="M41" i="808"/>
  <c r="I41" i="808"/>
  <c r="E41" i="808"/>
  <c r="D40" i="808"/>
  <c r="D64" i="808"/>
  <c r="D31" i="808"/>
  <c r="D37" i="808"/>
  <c r="D61" i="808"/>
  <c r="D58" i="808"/>
  <c r="D55" i="808"/>
  <c r="D52" i="808"/>
  <c r="D19" i="808"/>
  <c r="D34" i="808"/>
  <c r="D22" i="808"/>
  <c r="D25" i="808"/>
  <c r="D28" i="808"/>
  <c r="D49" i="808"/>
  <c r="D46" i="808"/>
  <c r="D43" i="808"/>
  <c r="E16" i="808" l="1"/>
  <c r="I16" i="808"/>
  <c r="M16" i="808"/>
  <c r="Q16" i="808"/>
  <c r="D66" i="808"/>
  <c r="Q19" i="808" l="1"/>
  <c r="Q17" i="808" s="1"/>
  <c r="Q14" i="808"/>
  <c r="M19" i="808"/>
  <c r="M17" i="808" s="1"/>
  <c r="M14" i="808"/>
  <c r="I19" i="808"/>
  <c r="I17" i="808" s="1"/>
  <c r="I14" i="808"/>
  <c r="E19" i="808"/>
  <c r="E17" i="808" s="1"/>
  <c r="E14" i="808"/>
  <c r="C5" i="699"/>
  <c r="Y5" i="699"/>
  <c r="C4" i="699"/>
  <c r="Y4" i="699"/>
  <c r="M65" i="808" l="1"/>
  <c r="M66" i="808" s="1"/>
  <c r="E65" i="808"/>
  <c r="E67" i="808" s="1"/>
  <c r="I65" i="808"/>
  <c r="I66" i="808" s="1"/>
  <c r="Q65" i="808"/>
  <c r="Q66" i="808" s="1"/>
  <c r="T309" i="639"/>
  <c r="T308" i="639"/>
  <c r="T307" i="639"/>
  <c r="T306" i="639"/>
  <c r="E66" i="808" l="1"/>
  <c r="E68" i="808" s="1"/>
  <c r="I67" i="808"/>
  <c r="M67" i="808" s="1"/>
  <c r="Q67" i="808" s="1"/>
  <c r="I68" i="808"/>
  <c r="M68" i="808" s="1"/>
  <c r="Q68" i="80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tc={4462B484-6A3E-4769-97A5-25A6CC1A6E03}</author>
    <author>tc={1AE640FC-5B27-4974-B3CA-98E5EF2C920B}</author>
    <author>tc={52FF5715-3013-4F7C-893A-326FDFED8BD0}</author>
    <author>tc={D89AF14D-E5A4-47F1-B808-91E576EE4141}</author>
  </authors>
  <commentList>
    <comment ref="S11" authorId="0" shapeId="0" xr:uid="{4462B484-6A3E-4769-97A5-25A6CC1A6E03}">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Considerado empolamento de 30%
</t>
      </text>
    </comment>
    <comment ref="Q12" authorId="1" shapeId="0" xr:uid="{1AE640FC-5B27-4974-B3CA-98E5EF2C920B}">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Considerado a volume de brita para infiltração
</t>
      </text>
    </comment>
    <comment ref="S12" authorId="2" shapeId="0" xr:uid="{52FF5715-3013-4F7C-893A-326FDFED8BD0}">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Considerado empolamento de 30%
</t>
      </text>
    </comment>
    <comment ref="S13" authorId="3" shapeId="0" xr:uid="{D89AF14D-E5A4-47F1-B808-91E576EE4141}">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Considerado empolamento de 30%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tc={75DE2A4D-72E5-4E48-8154-624574667C84}</author>
  </authors>
  <commentList>
    <comment ref="S18" authorId="0" shapeId="0" xr:uid="{75DE2A4D-72E5-4E48-8154-624574667C84}">
      <text>
        <t>[Comentário encadeado]
Sua versão do Excel permite que você leia este comentário encadeado, no entanto, as edições serão removidas se o arquivo for aberto em uma versão mais recente do Excel. Saiba mais: https://go.microsoft.com/fwlink/?linkid=870924
Comentário:
    Excluído volume da projeção da infiltração</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tc={D8583BB3-CABB-415A-BAB9-9055D2C0C3A3}</author>
    <author>tc={05BC549D-56DC-4504-8487-3D7F859EC799}</author>
    <author>tc={6057B2FB-A1A7-4DD9-B8BB-880ABA6B716C}</author>
    <author>tc={75D8A259-191D-4BE4-9DFE-5B76961066D9}</author>
    <author>tc={295B62B8-32B4-4A71-ABF6-FF9F126F76D6}</author>
    <author>tc={3A69909D-572E-411E-8132-FCAAAA4461C3}</author>
    <author>tc={12B67626-FC2D-4D67-99C7-E349786DF0A3}</author>
    <author>tc={CD110C15-37E2-4862-B64B-EBEA1FCE8593}</author>
    <author>tc={A30AA2E6-02F7-4DD4-84D0-8E4E0C3B31D6}</author>
  </authors>
  <commentList>
    <comment ref="E12" authorId="0" shapeId="0" xr:uid="{D8583BB3-CABB-415A-BAB9-9055D2C0C3A3}">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Área do bloco
</t>
      </text>
    </comment>
    <comment ref="M12" authorId="1" shapeId="0" xr:uid="{05BC549D-56DC-4504-8487-3D7F859EC799}">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Perímetro para forma = 7,75 m
</t>
      </text>
    </comment>
    <comment ref="E13" authorId="2" shapeId="0" xr:uid="{6057B2FB-A1A7-4DD9-B8BB-880ABA6B716C}">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Área do bloco
</t>
      </text>
    </comment>
    <comment ref="M13" authorId="3" shapeId="0" xr:uid="{75D8A259-191D-4BE4-9DFE-5B76961066D9}">
      <text>
        <t>[Comentário encadeado]
Sua versão do Excel permite que você leia este comentário encadeado, no entanto, as edições serão removidas se o arquivo for aberto em uma versão mais recente do Excel. Saiba mais: https://go.microsoft.com/fwlink/?linkid=870924
Comentário:
    Perímetro para forma = 7,75 m</t>
      </text>
    </comment>
    <comment ref="E14" authorId="4" shapeId="0" xr:uid="{295B62B8-32B4-4A71-ABF6-FF9F126F76D6}">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Área do bloco
</t>
      </text>
    </comment>
    <comment ref="M14" authorId="5" shapeId="0" xr:uid="{3A69909D-572E-411E-8132-FCAAAA4461C3}">
      <text>
        <t>[Comentário encadeado]
Sua versão do Excel permite que você leia este comentário encadeado, no entanto, as edições serão removidas se o arquivo for aberto em uma versão mais recente do Excel. Saiba mais: https://go.microsoft.com/fwlink/?linkid=870924
Comentário:
    Perímetro para forma = 7,75 m</t>
      </text>
    </comment>
    <comment ref="E15" authorId="6" shapeId="0" xr:uid="{12B67626-FC2D-4D67-99C7-E349786DF0A3}">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Área do bloco
</t>
      </text>
    </comment>
    <comment ref="M15" authorId="7" shapeId="0" xr:uid="{CD110C15-37E2-4862-B64B-EBEA1FCE8593}">
      <text>
        <t>[Comentário encadeado]
Sua versão do Excel permite que você leia este comentário encadeado, no entanto, as edições serão removidas se o arquivo for aberto em uma versão mais recente do Excel. Saiba mais: https://go.microsoft.com/fwlink/?linkid=870924
Comentário:
    Perímetro para forma = 7,75 m</t>
      </text>
    </comment>
    <comment ref="M16" authorId="8" shapeId="0" xr:uid="{A30AA2E6-02F7-4DD4-84D0-8E4E0C3B31D6}">
      <text>
        <t>[Comentário encadeado]
Sua versão do Excel permite que você leia este comentário encadeado, no entanto, as edições serão removidas se o arquivo for aberto em uma versão mais recente do Excel. Saiba mais: https://go.microsoft.com/fwlink/?linkid=870924
Comentário:
    Perímetro para forma = 7,75 m</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tc={98F88B81-03F1-48AA-9FF8-53E017918736}</author>
  </authors>
  <commentList>
    <comment ref="O9" authorId="0" shapeId="0" xr:uid="{98F88B81-03F1-48AA-9FF8-53E017918736}">
      <text>
        <t>[Comentário encadeado]
Sua versão do Excel permite que você leia este comentário encadeado, no entanto, as edições serão removidas se o arquivo for aberto em uma versão mais recente do Excel. Saiba mais: https://go.microsoft.com/fwlink/?linkid=870924
Comentário:
    Acréscimo para ligações, entradas em quadros, folgas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tc={42E4814B-2A7B-4A1E-A5F4-B3D0B62E6A54}</author>
  </authors>
  <commentList>
    <comment ref="D43" authorId="0" shapeId="0" xr:uid="{42E4814B-2A7B-4A1E-A5F4-B3D0B62E6A54}">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Mureta padrão GOINFRA - 190x240 cm
</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tc={A8A43CC1-EB7B-4B17-9B8A-FAE47D2502A3}</author>
  </authors>
  <commentList>
    <comment ref="O9" authorId="0" shapeId="0" xr:uid="{A8A43CC1-EB7B-4B17-9B8A-FAE47D2502A3}">
      <text>
        <t>[Comentário encadeado]
Sua versão do Excel permite que você leia este comentário encadeado, no entanto, as edições serão removidas se o arquivo for aberto em uma versão mais recente do Excel. Saiba mais: https://go.microsoft.com/fwlink/?linkid=870924
Comentário:
    Acréscimo para ligações, entradas em quadros, folgas</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tc={84FAE8B1-0222-49EF-B6DE-EF858981D81E}</author>
    <author>tc={69AFC08B-7088-423D-B899-1CFACA2F721A}</author>
    <author>tc={05281F46-FF30-4B48-BE39-FDB62C621078}</author>
    <author>tc={9BBC07AA-3745-4AD5-A415-217C3352E2F9}</author>
  </authors>
  <commentList>
    <comment ref="N12" authorId="0" shapeId="0" xr:uid="{84FAE8B1-0222-49EF-B6DE-EF858981D81E}">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Toda a área de cobertura vegetal, inclusive nos reservatórios desativados
</t>
      </text>
    </comment>
    <comment ref="O12" authorId="1" shapeId="0" xr:uid="{69AFC08B-7088-423D-B899-1CFACA2F721A}">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Área do reservatório e calçadas internas
</t>
      </text>
    </comment>
    <comment ref="N13" authorId="2" shapeId="0" xr:uid="{05281F46-FF30-4B48-BE39-FDB62C621078}">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Área entre as calçadas
</t>
      </text>
    </comment>
    <comment ref="N14" authorId="3" shapeId="0" xr:uid="{9BBC07AA-3745-4AD5-A415-217C3352E2F9}">
      <text>
        <t>[Comentário encadeado]
Sua versão do Excel permite que você leia este comentário encadeado, no entanto, as edições serão removidas se o arquivo for aberto em uma versão mais recente do Excel. Saiba mais: https://go.microsoft.com/fwlink/?linkid=870924
Comentário:
    Tampas das caixas</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tc={336EBCE6-69A6-47A3-B408-3F5155632938}</author>
    <author>tc={DC5E2BA1-6DBA-44A0-B8FC-93F8A3F305C9}</author>
    <author>tc={7AEF0458-4A3A-422F-804C-012387F84991}</author>
    <author>tc={929647C6-876C-4687-AF23-945E44319D62}</author>
    <author>tc={BEDA5E19-BF8E-4456-842C-249C0D9455C0}</author>
  </authors>
  <commentList>
    <comment ref="S12" authorId="0" shapeId="0" xr:uid="{336EBCE6-69A6-47A3-B408-3F5155632938}">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3 anéis de concreto
</t>
      </text>
    </comment>
    <comment ref="U13" authorId="1" shapeId="0" xr:uid="{DC5E2BA1-6DBA-44A0-B8FC-93F8A3F305C9}">
      <text>
        <t>[Comentário encadeado]
Sua versão do Excel permite que você leia este comentário encadeado, no entanto, as edições serão removidas se o arquivo for aberto em uma versão mais recente do Excel. Saiba mais: https://go.microsoft.com/fwlink/?linkid=870924
Comentário:
    2 anéis de concreto de 50 cm de altura</t>
      </text>
    </comment>
    <comment ref="T14" authorId="2" shapeId="0" xr:uid="{7AEF0458-4A3A-422F-804C-012387F84991}">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02 anéis de 60 cm de altura
</t>
      </text>
    </comment>
    <comment ref="U15" authorId="3" shapeId="0" xr:uid="{929647C6-876C-4687-AF23-945E44319D62}">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02 anéis com 50 cm de altura
</t>
      </text>
    </comment>
    <comment ref="T16" authorId="4" shapeId="0" xr:uid="{BEDA5E19-BF8E-4456-842C-249C0D9455C0}">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3 anéis com 60 cm de altura
</t>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tc={119CB1BF-D8D5-470B-ADEE-2C96592FDEAF}</author>
  </authors>
  <commentList>
    <comment ref="N18" authorId="0" shapeId="0" xr:uid="{119CB1BF-D8D5-470B-ADEE-2C96592FDEAF}">
      <text>
        <t>[Comentário encadeado]
Sua versão do Excel permite que você leia este comentário encadeado, no entanto, as edições serão removidas se o arquivo for aberto em uma versão mais recente do Excel. Saiba mais: https://go.microsoft.com/fwlink/?linkid=870924
Comentário:
    ESPESSURA CONSIDERADA DE 5 CM</t>
      </text>
    </comment>
  </commentList>
</comments>
</file>

<file path=xl/sharedStrings.xml><?xml version="1.0" encoding="utf-8"?>
<sst xmlns="http://schemas.openxmlformats.org/spreadsheetml/2006/main" count="20207" uniqueCount="2842">
  <si>
    <t>DADOS DO EMPREENDIMENTO</t>
  </si>
  <si>
    <t>OBJETO</t>
  </si>
  <si>
    <t>ENDEREÇO</t>
  </si>
  <si>
    <t>Bairro</t>
  </si>
  <si>
    <t>Cidade</t>
  </si>
  <si>
    <t>UF</t>
  </si>
  <si>
    <t>GO</t>
  </si>
  <si>
    <t>Área Total de Construção</t>
  </si>
  <si>
    <t xml:space="preserve">BDI </t>
  </si>
  <si>
    <t>ENCARGOS SOCIAIS HORISTAS</t>
  </si>
  <si>
    <t>Data do Orçamento</t>
  </si>
  <si>
    <t>Prazo</t>
  </si>
  <si>
    <t>BDI REDUZIDO</t>
  </si>
  <si>
    <t>ENCARGOS SOCIAIS MENSALISTAS</t>
  </si>
  <si>
    <t>Revisão</t>
  </si>
  <si>
    <t>BASE</t>
  </si>
  <si>
    <t>OBJETO:</t>
  </si>
  <si>
    <t>REVISÃO:</t>
  </si>
  <si>
    <t>LOCAL:</t>
  </si>
  <si>
    <t>m²</t>
  </si>
  <si>
    <t>ITEM</t>
  </si>
  <si>
    <t>1.1</t>
  </si>
  <si>
    <t>1.2</t>
  </si>
  <si>
    <t>1.3</t>
  </si>
  <si>
    <t>1.4</t>
  </si>
  <si>
    <t>2.1</t>
  </si>
  <si>
    <t>2.2</t>
  </si>
  <si>
    <t>2.3</t>
  </si>
  <si>
    <t>2.4</t>
  </si>
  <si>
    <t>2.5</t>
  </si>
  <si>
    <t>2.6</t>
  </si>
  <si>
    <t>2.7</t>
  </si>
  <si>
    <t>2.8</t>
  </si>
  <si>
    <t>2.10</t>
  </si>
  <si>
    <t>2.12</t>
  </si>
  <si>
    <t>2.14</t>
  </si>
  <si>
    <t>2.17</t>
  </si>
  <si>
    <t>2.18</t>
  </si>
  <si>
    <t>UN</t>
  </si>
  <si>
    <t>TOTAL</t>
  </si>
  <si>
    <t>SERVIÇOS PRELIMINARES</t>
  </si>
  <si>
    <t>m</t>
  </si>
  <si>
    <t>Mestre de obras</t>
  </si>
  <si>
    <t>IMPLANTAÇÃO DA OBRA</t>
  </si>
  <si>
    <t>MOVIMENTO DE TERRA</t>
  </si>
  <si>
    <t>m³</t>
  </si>
  <si>
    <t>Reaterro compactado</t>
  </si>
  <si>
    <t>FUNDAÇÕES</t>
  </si>
  <si>
    <t>ESTACAS</t>
  </si>
  <si>
    <t>un</t>
  </si>
  <si>
    <t>BLOCOS</t>
  </si>
  <si>
    <t>ESTRUTURA DE CONCRETO</t>
  </si>
  <si>
    <t>FORMAS E ESCORAMENTOS</t>
  </si>
  <si>
    <t>ARMAÇÃO</t>
  </si>
  <si>
    <t>CONCRETO</t>
  </si>
  <si>
    <t>PAREDES</t>
  </si>
  <si>
    <t>ESQUADRIAS</t>
  </si>
  <si>
    <t>2.6.1</t>
  </si>
  <si>
    <t>ESQUADRIAS DE FERRO</t>
  </si>
  <si>
    <t>IMPERMEABILIZAÇÕES</t>
  </si>
  <si>
    <t>2.7.1</t>
  </si>
  <si>
    <t>PREPARO E PROTEÇÕES</t>
  </si>
  <si>
    <t>2.7.2</t>
  </si>
  <si>
    <t>IMPERMEABILIZANTES</t>
  </si>
  <si>
    <t>2.10.1</t>
  </si>
  <si>
    <t>REVESTIMENTOS ARGAMASSADOS</t>
  </si>
  <si>
    <t>2.10.2</t>
  </si>
  <si>
    <t>REVESTIMENTOS CERÂMICOS / PORCELANATOS</t>
  </si>
  <si>
    <t>2.12.1</t>
  </si>
  <si>
    <t>CIMENTADOS E CONCRETOS</t>
  </si>
  <si>
    <t>PINTURAS</t>
  </si>
  <si>
    <t>2.14.5</t>
  </si>
  <si>
    <t>2.17.1</t>
  </si>
  <si>
    <t>INSTALAÇÕES ELÉTRICAS</t>
  </si>
  <si>
    <t>2.17.2</t>
  </si>
  <si>
    <t>SERVIÇOS COMPLEMENTARES</t>
  </si>
  <si>
    <t>Código</t>
  </si>
  <si>
    <t>Tipo</t>
  </si>
  <si>
    <t>Quantidade</t>
  </si>
  <si>
    <t>Composição</t>
  </si>
  <si>
    <t>h</t>
  </si>
  <si>
    <t>H</t>
  </si>
  <si>
    <t>cj</t>
  </si>
  <si>
    <t>CÓDIGO</t>
  </si>
  <si>
    <t>SERVIÇO</t>
  </si>
  <si>
    <t>VALORES</t>
  </si>
  <si>
    <t>MESES</t>
  </si>
  <si>
    <t>MÊS 01</t>
  </si>
  <si>
    <t>MÊS 02</t>
  </si>
  <si>
    <t>MÊS 03</t>
  </si>
  <si>
    <t>MÊS 04</t>
  </si>
  <si>
    <t>TOTAL SIMPLES COM BDI</t>
  </si>
  <si>
    <t>PERCENTUAL SIMPLES</t>
  </si>
  <si>
    <t>TOTAL ACUMULADO COM BDI</t>
  </si>
  <si>
    <t>PERCENTUAL ACUMULADO</t>
  </si>
  <si>
    <t>RESUMO GERAL DE LEVANTAMENTOS</t>
  </si>
  <si>
    <t>DATA:</t>
  </si>
  <si>
    <t>SERVIÇOS:</t>
  </si>
  <si>
    <t>LEVANTAMENTOS</t>
  </si>
  <si>
    <t>PAVIMENTO:</t>
  </si>
  <si>
    <t>INDICADOS</t>
  </si>
  <si>
    <t>Item</t>
  </si>
  <si>
    <t>Serviço</t>
  </si>
  <si>
    <t>Und</t>
  </si>
  <si>
    <t>Total</t>
  </si>
  <si>
    <t>Tela</t>
  </si>
  <si>
    <t>2.6.1.1</t>
  </si>
  <si>
    <t>2.6.1.2</t>
  </si>
  <si>
    <t>2.7.1.1</t>
  </si>
  <si>
    <t>2.7.1.2</t>
  </si>
  <si>
    <t>2.7.2.1</t>
  </si>
  <si>
    <t>2.10.1.1</t>
  </si>
  <si>
    <t>2.12.1.1</t>
  </si>
  <si>
    <t xml:space="preserve">PINTURAS </t>
  </si>
  <si>
    <t>2.14.5.1</t>
  </si>
  <si>
    <t>2.17.1.1</t>
  </si>
  <si>
    <t>2.17.1.2</t>
  </si>
  <si>
    <t>2.17.1.3</t>
  </si>
  <si>
    <t>2.17.2.1</t>
  </si>
  <si>
    <t>2.17.2.3</t>
  </si>
  <si>
    <t>2.18.1</t>
  </si>
  <si>
    <t>2.18.2</t>
  </si>
  <si>
    <t>2.18.3</t>
  </si>
  <si>
    <t>2.18.4</t>
  </si>
  <si>
    <t>2.18.5</t>
  </si>
  <si>
    <t>2.18.6</t>
  </si>
  <si>
    <t>2.18.7</t>
  </si>
  <si>
    <t>13.0</t>
  </si>
  <si>
    <t>13.1</t>
  </si>
  <si>
    <t>CONCERTINA EM AÇO GALVANIZADO, ESPIRAL DE Ø = 450 MM, 3 CLIPES PARA ESPIRAL, LÂMINA DE 30 MM E FIO INTERNO DE 2,50 MM, INCLUSIVE INSTALAÇÃO</t>
  </si>
  <si>
    <t>M</t>
  </si>
  <si>
    <t>13.2</t>
  </si>
  <si>
    <t>LIMPEZA GERAL</t>
  </si>
  <si>
    <t>MEMORIAL DE CÁLCULO</t>
  </si>
  <si>
    <t>Elemento</t>
  </si>
  <si>
    <t>Aço</t>
  </si>
  <si>
    <t xml:space="preserve">Concreto
(m³) </t>
  </si>
  <si>
    <t>Ø 8.0</t>
  </si>
  <si>
    <t>Ø 5.0</t>
  </si>
  <si>
    <t>(m³)</t>
  </si>
  <si>
    <t>Emp.: 30%</t>
  </si>
  <si>
    <t>Comp. (m)</t>
  </si>
  <si>
    <t>Peso (kg)</t>
  </si>
  <si>
    <t>Comp.</t>
  </si>
  <si>
    <t>Peso</t>
  </si>
  <si>
    <t>C25</t>
  </si>
  <si>
    <t>TOTAIS</t>
  </si>
  <si>
    <t>Quant.</t>
  </si>
  <si>
    <t>Dimensões Bloco</t>
  </si>
  <si>
    <t>Prof.
(m)</t>
  </si>
  <si>
    <t>Escavação manual</t>
  </si>
  <si>
    <t>Retirada de material</t>
  </si>
  <si>
    <t>Lastro de concreto 
5 cm</t>
  </si>
  <si>
    <t>Comp.
(m)</t>
  </si>
  <si>
    <t>Larg.
(m)</t>
  </si>
  <si>
    <t>Altura
(m)</t>
  </si>
  <si>
    <t>Ø 6.3</t>
  </si>
  <si>
    <t>Ø 10.0</t>
  </si>
  <si>
    <t>Ø 12.5</t>
  </si>
  <si>
    <t>Ø 16.0</t>
  </si>
  <si>
    <t>(m²)</t>
  </si>
  <si>
    <t>B2</t>
  </si>
  <si>
    <t>B3</t>
  </si>
  <si>
    <t>B4</t>
  </si>
  <si>
    <t>ESTRUTURA - PILARES</t>
  </si>
  <si>
    <t>Dimensões Pilares</t>
  </si>
  <si>
    <t>Forma de madeira</t>
  </si>
  <si>
    <t>Ø 20.0</t>
  </si>
  <si>
    <t>ESTRUTURA - VIGAS</t>
  </si>
  <si>
    <t>Dimensões Vigas</t>
  </si>
  <si>
    <t>Escora</t>
  </si>
  <si>
    <t>ESTRUTURA - LAJES</t>
  </si>
  <si>
    <t>Dimensões Lajes</t>
  </si>
  <si>
    <t>Treliça</t>
  </si>
  <si>
    <t>Escoramento</t>
  </si>
  <si>
    <t>Espessura Consumo
(m)</t>
  </si>
  <si>
    <t>12 cm</t>
  </si>
  <si>
    <t>L1</t>
  </si>
  <si>
    <t>Parede</t>
  </si>
  <si>
    <t>Perímetro                                                                                                                      (m)</t>
  </si>
  <si>
    <t>Pé Direito                     (m)</t>
  </si>
  <si>
    <t>Área Bruta (m²)</t>
  </si>
  <si>
    <t>Desconto               (m²)</t>
  </si>
  <si>
    <t>Área Líquida                                        (m²)</t>
  </si>
  <si>
    <t>Repetições</t>
  </si>
  <si>
    <t>Área Total (m²)</t>
  </si>
  <si>
    <t>Marcação  (m)</t>
  </si>
  <si>
    <t>Acunhamento (m)</t>
  </si>
  <si>
    <t>Tipo de Alvenaria:</t>
  </si>
  <si>
    <t>Dimensões:</t>
  </si>
  <si>
    <t>11,5x19x19 CM</t>
  </si>
  <si>
    <t>Descrição</t>
  </si>
  <si>
    <t>Dimensões</t>
  </si>
  <si>
    <t>Área</t>
  </si>
  <si>
    <t>Vidros</t>
  </si>
  <si>
    <t>Pintura</t>
  </si>
  <si>
    <t>Requadração</t>
  </si>
  <si>
    <t>Vergas</t>
  </si>
  <si>
    <t>A</t>
  </si>
  <si>
    <t>B</t>
  </si>
  <si>
    <t>Espessura</t>
  </si>
  <si>
    <t>FERRO</t>
  </si>
  <si>
    <t>Reservatório</t>
  </si>
  <si>
    <t>SOMA</t>
  </si>
  <si>
    <t>Comprimento</t>
  </si>
  <si>
    <t>Largura</t>
  </si>
  <si>
    <t>Área Bruta</t>
  </si>
  <si>
    <t>Acréscimos</t>
  </si>
  <si>
    <t>Descontos</t>
  </si>
  <si>
    <t>Área Líquida</t>
  </si>
  <si>
    <t>CIMENTADOS / CONCRETOS</t>
  </si>
  <si>
    <t>Local</t>
  </si>
  <si>
    <t>Dimensão Real</t>
  </si>
  <si>
    <t>Dimensão + alargamento</t>
  </si>
  <si>
    <t>Comp. 
(m)</t>
  </si>
  <si>
    <t>Alargamento
(m)</t>
  </si>
  <si>
    <t>Volume Escavado
(m³)</t>
  </si>
  <si>
    <t>Reaterro Compactado
(m³)</t>
  </si>
  <si>
    <t>GOINFRA</t>
  </si>
  <si>
    <t>M3</t>
  </si>
  <si>
    <t xml:space="preserve">041002 </t>
  </si>
  <si>
    <t>APILOAMENTO</t>
  </si>
  <si>
    <t>M2</t>
  </si>
  <si>
    <t xml:space="preserve">041146 </t>
  </si>
  <si>
    <t>FORNECIMENTO DE SOLO PARA ATERRO - EXCLUSO TRANSPORTE PARA OBRA</t>
  </si>
  <si>
    <t xml:space="preserve">Transporte </t>
  </si>
  <si>
    <t>Apiloamento
(m²)</t>
  </si>
  <si>
    <t>Fornecimento Solo 1ª cat.
(m³)</t>
  </si>
  <si>
    <t>DMT = 5 km
Emp = 30%</t>
  </si>
  <si>
    <t xml:space="preserve">041006 </t>
  </si>
  <si>
    <t>TRANSPORTE DE MATERIAL ESCAVADO M3.KM</t>
  </si>
  <si>
    <t>M3.KM</t>
  </si>
  <si>
    <t xml:space="preserve">051027 </t>
  </si>
  <si>
    <t>LASTRO DE BRITA (OBRAS CIVIS)</t>
  </si>
  <si>
    <t>Lastro de brita
(m³)</t>
  </si>
  <si>
    <t>Compactação
(m³)</t>
  </si>
  <si>
    <t xml:space="preserve">041013 </t>
  </si>
  <si>
    <t>COMPACTAÇÃO MECÂNICA DE SOLO COM COMPACTADOR DE PERCUSSÃO (SAPO MECÂNICO)</t>
  </si>
  <si>
    <t>Retirada de Entulho</t>
  </si>
  <si>
    <t>RESERVATÓRIO</t>
  </si>
  <si>
    <t>Lastro de concreto</t>
  </si>
  <si>
    <t>FUNDAÇÕES - CONTENÇÕES</t>
  </si>
  <si>
    <t>Espessura / Altura
(m)</t>
  </si>
  <si>
    <t xml:space="preserve">Caixa de Alimentação
laje de fundo </t>
  </si>
  <si>
    <t xml:space="preserve">Caixa de Alimentação
bloco de apoio </t>
  </si>
  <si>
    <t>Caixa de Alimentação
pilares de contenção</t>
  </si>
  <si>
    <t>CORTINA CANALETA CONCRETO 14X19X39 PARA SER CHEIA CONCRETO ARMADO (0,0568M3/M2) - EXCLUSO O CONCRETO. (ADAPTADO DE AGETOP CIVIL 110106)</t>
  </si>
  <si>
    <t>PRÓPRIO</t>
  </si>
  <si>
    <t>SEINFRA-0022</t>
  </si>
  <si>
    <t>Cortinas</t>
  </si>
  <si>
    <t>Caixa de Alimentação
cortina 1 e 2</t>
  </si>
  <si>
    <t>Caixa de Alimentação
cortina 3 e 4</t>
  </si>
  <si>
    <t xml:space="preserve">Concreto C25
(m³) </t>
  </si>
  <si>
    <t xml:space="preserve">051024 </t>
  </si>
  <si>
    <t>PREPARO COM BETONEIRA E TRANSPORTE MANUAL DE CONCRETO PARA LASTRO  - (O.C.)</t>
  </si>
  <si>
    <t>RESUMO DE SERVIÇOS</t>
  </si>
  <si>
    <t xml:space="preserve">051009 </t>
  </si>
  <si>
    <t>FORMA TABUA PINHO PARA FUNDACOES U=3V - (OBRAS CIVIS)</t>
  </si>
  <si>
    <t xml:space="preserve">052003 </t>
  </si>
  <si>
    <t>ACO CA-50A - 6,3 MM (1/4") - (OBRAS CIVIS)</t>
  </si>
  <si>
    <t xml:space="preserve">052004 </t>
  </si>
  <si>
    <t>ACO CA 50-A - 8,0 MM (5/16") - (OBRAS CIVIS)</t>
  </si>
  <si>
    <t xml:space="preserve">052005 </t>
  </si>
  <si>
    <t>ACO CA-50A - 10,0 MM (3/8") - (OBRAS CIVIS)</t>
  </si>
  <si>
    <t>KG</t>
  </si>
  <si>
    <t xml:space="preserve">052014 </t>
  </si>
  <si>
    <t>ACO CA-60 - 5,0 MM - (OBRAS CIVIS)</t>
  </si>
  <si>
    <t xml:space="preserve">051030 </t>
  </si>
  <si>
    <t>PREPARO COM BETONEIRA E TRANSPORTE MANUAL DE CONCRETO FCK=25 MPA</t>
  </si>
  <si>
    <t>B1</t>
  </si>
  <si>
    <t>Forma</t>
  </si>
  <si>
    <t>Alargamento
Apiloamento</t>
  </si>
  <si>
    <t xml:space="preserve">050901 </t>
  </si>
  <si>
    <t>ESCAVACAO MANUAL DE VALAS (SAPATAS/BLOCOS)</t>
  </si>
  <si>
    <t xml:space="preserve">052007 </t>
  </si>
  <si>
    <t>ACO CA - 50 - 16,0 MM (5/8") - (OBRAS CIVIS)</t>
  </si>
  <si>
    <t xml:space="preserve">051055 </t>
  </si>
  <si>
    <t>LANÇAMENTO/APLICAÇÃO/ADENSAMENTO MANUAL DE CONCRETO - (O.C.)</t>
  </si>
  <si>
    <t xml:space="preserve">050905 </t>
  </si>
  <si>
    <t>REATERRO COM APILOAMENTO MECÂNICO (BLOCOS/SAPATAS)</t>
  </si>
  <si>
    <t>Retirada de Entulho
Empol: 30%</t>
  </si>
  <si>
    <t>CAIXAS</t>
  </si>
  <si>
    <t>Profundidade</t>
  </si>
  <si>
    <t>Total
(m)</t>
  </si>
  <si>
    <t>Unitário
(m)</t>
  </si>
  <si>
    <t>Diâmetro
(cm)</t>
  </si>
  <si>
    <t>Arrasamento de estacas</t>
  </si>
  <si>
    <t>(un)</t>
  </si>
  <si>
    <t>B1 / B2 / B3 / B4</t>
  </si>
  <si>
    <t>SEINFRA-0023</t>
  </si>
  <si>
    <t>ESTACA ESCAVADA MECANICAMENTE - Ø 400MM</t>
  </si>
  <si>
    <t>SEINFRA-0024</t>
  </si>
  <si>
    <t>ARRASAMENTO MECANICO DE ESTACA DE CONCRETO ARMADO, DIAMETROS DE ATÉ 40 CM. (ADAPTADO DE SINAPI 95601)</t>
  </si>
  <si>
    <t xml:space="preserve">UN </t>
  </si>
  <si>
    <t xml:space="preserve">MOVIMENTO DE TERRA </t>
  </si>
  <si>
    <t>P1 / P2 / P3 / P4</t>
  </si>
  <si>
    <t>FORMA CHAPA DE COMPENSADO PLASTIFICADO 12 MM-VIGA/PILAR U=1V- (OBRAS CIVIS)</t>
  </si>
  <si>
    <t xml:space="preserve">ACO CA 50-A - 20,0 MM (3/4") - (OBRAS CIVIS)	</t>
  </si>
  <si>
    <t>060308</t>
  </si>
  <si>
    <t>060214</t>
  </si>
  <si>
    <t>ACO CA - 60 - 5,0 MM - (OBRAS CIVIS)</t>
  </si>
  <si>
    <t>060314</t>
  </si>
  <si>
    <t>PREPARO COM BETONEIRA E TRANSPORTE MANUAL DE CONCRETO
FCK=25 MPA</t>
  </si>
  <si>
    <t>060517</t>
  </si>
  <si>
    <t>LANÇAMENTO/APLICAÇÃO/ADENSAMENTO DE CONCRETO EM
ESTRUTURA - (O.C.)</t>
  </si>
  <si>
    <t>060802</t>
  </si>
  <si>
    <t>V1 / V2 / V3 / V4</t>
  </si>
  <si>
    <t>Ø 25.0</t>
  </si>
  <si>
    <t>ACO CA-50-A - 6,3 MM (1/4") - (OBRAS CIVIS)</t>
  </si>
  <si>
    <t>060303</t>
  </si>
  <si>
    <t>ACO CA-50 A - 8,0 MM (5/16") - (OBRAS CIVIS)</t>
  </si>
  <si>
    <t>060304</t>
  </si>
  <si>
    <t>060305</t>
  </si>
  <si>
    <t>060310</t>
  </si>
  <si>
    <t>ACO CA 50-A - 20,0 MM (3/4") - (OBRAS CIVIS)</t>
  </si>
  <si>
    <t>ACO CA 50-A - 25,0 MM (1") - (OBRAS CIVIS)'</t>
  </si>
  <si>
    <t>Base</t>
  </si>
  <si>
    <t>CONTENÇÕES</t>
  </si>
  <si>
    <t>MOBILIZAÇÃO</t>
  </si>
  <si>
    <t>Caixas</t>
  </si>
  <si>
    <t>Caixa do Hidrante
cortina 1 e 2</t>
  </si>
  <si>
    <t>Caixa do Hidrante
bloco de apoio</t>
  </si>
  <si>
    <t>Caixa do Hidrante
cortina 3 e 4</t>
  </si>
  <si>
    <t>Caixa do Hidrante
laje de cobertura</t>
  </si>
  <si>
    <t>Caixa do Hidrante</t>
  </si>
  <si>
    <t>Caixa Alimentação</t>
  </si>
  <si>
    <t>Caixa Medidor</t>
  </si>
  <si>
    <t>120101</t>
  </si>
  <si>
    <t>REGULARIZAÇÃO (1:3) E=2 CM</t>
  </si>
  <si>
    <t>PAVIMENTAÇÃO</t>
  </si>
  <si>
    <t xml:space="preserve">	TAMPA T-5 ARTICULADA 20X20</t>
  </si>
  <si>
    <t>080840</t>
  </si>
  <si>
    <t>SEINFRA-0027</t>
  </si>
  <si>
    <t>TAMPA DE INSPEÇÃO EM CHAPA METÁLICA DE 3/8". (ADAPTADO DE ORSE 4117)</t>
  </si>
  <si>
    <t>RESUMO DE SERVIÇOS COMPLEMENTARES</t>
  </si>
  <si>
    <t>PINTURA TINTA ESMALTE PARA ESQUADRIAS DE FERRO C FUNDO ANTICORROSIVO</t>
  </si>
  <si>
    <t>PINTURA DE SUPERFÍCIES METÁLICAS</t>
  </si>
  <si>
    <t>1"</t>
  </si>
  <si>
    <t>Cabo flexível 0,6/1 kV</t>
  </si>
  <si>
    <t>2,5 mm²</t>
  </si>
  <si>
    <t>PVC rígido</t>
  </si>
  <si>
    <t>3/4"</t>
  </si>
  <si>
    <t>10 mm²</t>
  </si>
  <si>
    <t>17A</t>
  </si>
  <si>
    <t>Acréscimo</t>
  </si>
  <si>
    <t>INSTALAÇÕES ELÉTRICAS - ELETRODUTOS E CABOS</t>
  </si>
  <si>
    <t>INSTALAÇÕES ELÉTRICAS - PEÇAS E ACESSÓRIOS</t>
  </si>
  <si>
    <t xml:space="preserve">RELE FOTO ELETRICO COM BASE	</t>
  </si>
  <si>
    <t>072320</t>
  </si>
  <si>
    <t xml:space="preserve">LUVA EM AÇO GALVANIZADO DIÂMETRO 1"	</t>
  </si>
  <si>
    <t>071702</t>
  </si>
  <si>
    <t xml:space="preserve">CURVA DE 90 GRAUS AÇO GALVANIZADO DIAM.1"	</t>
  </si>
  <si>
    <t>071152</t>
  </si>
  <si>
    <t xml:space="preserve">CABECOTE DE LIGA DE ALUMINIO DIAM. 1"	</t>
  </si>
  <si>
    <t>070501</t>
  </si>
  <si>
    <t xml:space="preserve">ARAME GALVANIZADO 12 BWG	</t>
  </si>
  <si>
    <t>070229</t>
  </si>
  <si>
    <t>Galvanizado</t>
  </si>
  <si>
    <t>luvas</t>
  </si>
  <si>
    <t>Galvanizado 1"</t>
  </si>
  <si>
    <t>PVC 3/4"</t>
  </si>
  <si>
    <t xml:space="preserve">LUVA PVC ROSQUEAVEL DIAMETRO 3/4"	</t>
  </si>
  <si>
    <t>071741</t>
  </si>
  <si>
    <t>CONDULETE DE ALUMÍNIO, TIPO C, PARA ELETRODUTO DE AÇO GALVANIZADO DN 25 MM (1''), APARENTE - FORNECIMENTO E INSTALAÇÃO. (ADAPTADO DE SINAPI 95781)</t>
  </si>
  <si>
    <t>SEINFRA-0028</t>
  </si>
  <si>
    <t>CONDULETE DE ALUMÍNIO, TIPO T, PARA ELETRODUTO DE AÇO GALVANIZADO DN 25 MM (1''), APARENTE - FORNECIMENTO E INSTALAÇÃO. (ADAPTADO DE SINAPI 95796)</t>
  </si>
  <si>
    <t>SEINFRA-0029</t>
  </si>
  <si>
    <t xml:space="preserve">BRACADEIRA METALICA TIPO "D" DIAM. 1"	</t>
  </si>
  <si>
    <t>070372</t>
  </si>
  <si>
    <t xml:space="preserve">LUMINÁRIA TIPO SINALIZADOR PARA 01 LÂMPADA	</t>
  </si>
  <si>
    <t>071640</t>
  </si>
  <si>
    <t xml:space="preserve">LUMINÁRIA LED TIPO PROJETOR RETANGULAR DE 80W A 100W	</t>
  </si>
  <si>
    <t>071698</t>
  </si>
  <si>
    <t>CAIXA DE PASSAGEM - TAMPA EM CONCRETO ARMADO 25 MPA E=5CM</t>
  </si>
  <si>
    <t>070634</t>
  </si>
  <si>
    <t>CAIXA DE INSPEÇÃO - ESCAVAÇÃO MANUAL / REATERRO/ APILOAMENTO DO FUNDO</t>
  </si>
  <si>
    <t>070633</t>
  </si>
  <si>
    <t>CAIXA DE PASSAGEM - ALVENARIA DE 1/2 VEZ COM REVESTIMENTO INTERNO EM REBOCO PAULISTA A-14</t>
  </si>
  <si>
    <t>070635</t>
  </si>
  <si>
    <t>CAIXA DE PASSAGEM - LASTRO DE BRITA PARA O FUNDO</t>
  </si>
  <si>
    <t>070637</t>
  </si>
  <si>
    <t>POSTE DE CONCRETO DT 7/150 - SEM FUNDAÇÃO/CONCRETO. (ADAPTADO DE AGETOP CIVIL 072001)</t>
  </si>
  <si>
    <t>SEINFRA-0030</t>
  </si>
  <si>
    <t xml:space="preserve">POSTE - ENGASTAMENTO SIMPLES PARA POSTE DE CONCRETO SEÇÃO DUPLO "T"	</t>
  </si>
  <si>
    <t>071995</t>
  </si>
  <si>
    <t xml:space="preserve">POSTE/TRAFO - CAMINHÃO MUNCK 12 TON. (MÍNIMO 4H/DIA)	</t>
  </si>
  <si>
    <t>Comp</t>
  </si>
  <si>
    <t>Larg</t>
  </si>
  <si>
    <t>Prof</t>
  </si>
  <si>
    <t xml:space="preserve">ALÇA PRÉ-FORMADA DE DISTRIBUIÇÃO CA/CAA 4 AWG	</t>
  </si>
  <si>
    <t>070204</t>
  </si>
  <si>
    <t>Estipulado o prazo de 4 horas por poste, considerando içamento, manobra, aprumamento até a finalização do engastamento</t>
  </si>
  <si>
    <t>Horas</t>
  </si>
  <si>
    <t>Quant. Postes</t>
  </si>
  <si>
    <t>072080</t>
  </si>
  <si>
    <t xml:space="preserve">ISOLADOR ROLDANA PORCELANA 72 X 72 MM	</t>
  </si>
  <si>
    <t>071480</t>
  </si>
  <si>
    <t xml:space="preserve">ARMACAO SECUNDARIA LEVE 1 ELEMENTO	</t>
  </si>
  <si>
    <t>070230</t>
  </si>
  <si>
    <t xml:space="preserve">PADRAO MONOFASICO, 10 MM2 H=7 METROS	</t>
  </si>
  <si>
    <t>071805</t>
  </si>
  <si>
    <t xml:space="preserve">CONECTOR TIPO PARAFUSO FENDIDO 10 MM2	</t>
  </si>
  <si>
    <t>071032</t>
  </si>
  <si>
    <t xml:space="preserve">BUCHA E ARRUELA METALICA DIAM. 1"	</t>
  </si>
  <si>
    <t>070422</t>
  </si>
  <si>
    <t xml:space="preserve">NIPLE DUPLO FERRO GALVANIZADO 1"	</t>
  </si>
  <si>
    <t>085045</t>
  </si>
  <si>
    <t xml:space="preserve">NIPLE COM ROSCA DIAMETRO 3/4"	</t>
  </si>
  <si>
    <t>081202</t>
  </si>
  <si>
    <t>CURVA DE 90 GRAUS DE PVC RIGIDO DIAM. 3/4"</t>
  </si>
  <si>
    <t>071141</t>
  </si>
  <si>
    <t xml:space="preserve">DISJUNTOR MONOPOLAR DE 35 A 50-A	</t>
  </si>
  <si>
    <t>071172</t>
  </si>
  <si>
    <t xml:space="preserve">DISJUNTOR MONOPOLAR DE 10 A 32-A	</t>
  </si>
  <si>
    <t>QUADRO DE DISTRIBUIÇÃO DE ENERGIA EM CHAPA DE AÇO GALVANIZADO, DE SOBREPOR, COM BARRAMENTO MONOFÁSICO, PARA 08 DISJUNTORES DIN 100A - FORNECIMENTO E INSTALAÇÃO. (ADAPTADO DE SINAPI 101878)</t>
  </si>
  <si>
    <t>SEINFRA-0031</t>
  </si>
  <si>
    <t xml:space="preserve">DISPOSITIVO DE PROTEÇÃO CONTRA SURTOS (D.P.S.) 275V DE 8 A 40KA	</t>
  </si>
  <si>
    <t>071184</t>
  </si>
  <si>
    <t>Considerado uma abertura de 25x25 cm de base</t>
  </si>
  <si>
    <t xml:space="preserve">ELETRODUTO DE PVC RIGIDO DIAMETRO 3/4"	</t>
  </si>
  <si>
    <t>071201</t>
  </si>
  <si>
    <t xml:space="preserve">ELETRODUTO EM AÇO GALVANIZADO A FOGO DIÂMETRO 1" - PESADO	</t>
  </si>
  <si>
    <t>071212</t>
  </si>
  <si>
    <t xml:space="preserve">CABO FLEXÍVEL PVC (70° C), 0,6/1 KV, 2,5 MM2	</t>
  </si>
  <si>
    <t>070581</t>
  </si>
  <si>
    <t xml:space="preserve">CABO FLEXÍVEL PVC (70° C), 0,6/1 KV, 10 MM2	</t>
  </si>
  <si>
    <t>070584</t>
  </si>
  <si>
    <t>ELETRODUTOS E CABOS</t>
  </si>
  <si>
    <t>PEÇAS, CONEXÕES E COMPLEMENTOS</t>
  </si>
  <si>
    <t>INSTALAÇÕES ELÉTRICAS - ESCAVAÇÕES</t>
  </si>
  <si>
    <t>Ambiente</t>
  </si>
  <si>
    <t>Pavimento</t>
  </si>
  <si>
    <t>Trecho</t>
  </si>
  <si>
    <t>Eletrodutos</t>
  </si>
  <si>
    <t>Seção</t>
  </si>
  <si>
    <t>Repetição</t>
  </si>
  <si>
    <t>Cabos</t>
  </si>
  <si>
    <t>Escavações</t>
  </si>
  <si>
    <t>Prof.</t>
  </si>
  <si>
    <t>Volume Total</t>
  </si>
  <si>
    <t>Apiloamento</t>
  </si>
  <si>
    <t>Reaterro</t>
  </si>
  <si>
    <t xml:space="preserve">ESCAVAÇAO MANUAL DE VALAS PROF. 1 A 2 M	</t>
  </si>
  <si>
    <t>040103</t>
  </si>
  <si>
    <t>INSTALAÇÕES SPDA - ELETRODUTOS E CABOS</t>
  </si>
  <si>
    <t>Cabo de cobre nú</t>
  </si>
  <si>
    <t>35 mm²</t>
  </si>
  <si>
    <t>50 mm²</t>
  </si>
  <si>
    <t>16 mm²</t>
  </si>
  <si>
    <t xml:space="preserve">CABO DE COBRE NU 16 MM2 (6,94 M/KG)	</t>
  </si>
  <si>
    <t>070541</t>
  </si>
  <si>
    <t xml:space="preserve">CABO DE COBRE NU 35 MM2	</t>
  </si>
  <si>
    <t>070543</t>
  </si>
  <si>
    <t>070544</t>
  </si>
  <si>
    <t xml:space="preserve">CABO DE COBRE NU 50 MM2	</t>
  </si>
  <si>
    <t xml:space="preserve">ELETRODUTO DE PVC RIGIDO DIAMETRO 1"	</t>
  </si>
  <si>
    <t>071202</t>
  </si>
  <si>
    <t>INSTALAÇÕES SPDA - PEÇAS E ACESSÓRIOS</t>
  </si>
  <si>
    <t xml:space="preserve">PARA RAIOS FRANKLIM 4 PONTAS	</t>
  </si>
  <si>
    <t>071833</t>
  </si>
  <si>
    <t xml:space="preserve">TUBO FERRO GALVANIZADO 2.1/2"	</t>
  </si>
  <si>
    <t>082379</t>
  </si>
  <si>
    <t xml:space="preserve">BRACADEIRA METALICA TIPO "U" DIAM. 2.1/2"	</t>
  </si>
  <si>
    <t>070356</t>
  </si>
  <si>
    <t xml:space="preserve">ISOLADOR DE BAQUELITE SIMPLES COM SUPORTE E BRAÇADEIRA METÁLICA 1.1/2"	</t>
  </si>
  <si>
    <t>071471</t>
  </si>
  <si>
    <t xml:space="preserve">CURVA DE 90 GRAUS DE PVC RIGIDO DIAM. 1"	</t>
  </si>
  <si>
    <t>071142</t>
  </si>
  <si>
    <t xml:space="preserve">ATERRAMENTO - SOLDA EXOTÉRMICA - CARTUCHO 90 G	</t>
  </si>
  <si>
    <t>070255</t>
  </si>
  <si>
    <t>CAIXA DE INSPEÇÃO PARA ATERRAMENTO, CIRCULAR, EM POLIETILENO, DIÂMETRO INTERNO = 0,3 M. (ADAPTADO DE SINAPI 98111)</t>
  </si>
  <si>
    <t>SEINFRA-0032</t>
  </si>
  <si>
    <t xml:space="preserve">HASTE REV.COBRE(COPPERWELD) 5/8" X 3,00 M C/CONECTOR	</t>
  </si>
  <si>
    <t>071381</t>
  </si>
  <si>
    <t xml:space="preserve">TERMINAL DE PRESSAO 16 MM2	</t>
  </si>
  <si>
    <t>072520</t>
  </si>
  <si>
    <t xml:space="preserve">TERMINAL DE PRESSAO 35 MM2	</t>
  </si>
  <si>
    <t>072528</t>
  </si>
  <si>
    <t xml:space="preserve">CONECTOR TIPO PARAFUSO FENDIDO 50 MM2	</t>
  </si>
  <si>
    <t>071036</t>
  </si>
  <si>
    <t>INSTALAÇÕES SPDA - ESCAVAÇÕES</t>
  </si>
  <si>
    <t xml:space="preserve">MURETA DE MEDIÇÃO EM ALVENARIA 1 1/2 V.(35CM) REBOCADA, C/ PINTURA ACRÍLICA E LAJE EM CONCRETO 20MPA MALHA 8.0MM CADA 10CM REVESTIDA C/ARGAMASSA 1	</t>
  </si>
  <si>
    <t>071761</t>
  </si>
  <si>
    <t>DIVERSOS</t>
  </si>
  <si>
    <t>Rede Secundária</t>
  </si>
  <si>
    <t>CURVA DE 90° DE PVC RÍGIDO - PBA COM 1 PONTA E 1 BOLSA, CLASSE 12, INCLUSIVE FORNECIMENTO DO MATERIAL PARA JUNTA , DN 50 MM. (ADAPTADO DE SCO DR 05.50.0450)</t>
  </si>
  <si>
    <t>SEINFRA-0033</t>
  </si>
  <si>
    <t>TE DE PVC RIGIDO - PBA COM 3 BOLSAS, CLASSE 12, INCLUSIVE FORNECIMENTO DO MATERIAL PARA JUNTA (ANEL DE BORRACHA, LUBRIFICANTE) DIAMETRO DE 100MM. (ADAPTADO DE SCO DR 04.50.1456)</t>
  </si>
  <si>
    <t>SEINFRA-0034</t>
  </si>
  <si>
    <t>REDUCAO DE PVC RIGIDO - PBA COM 1 PONTA E 1 BOLSA, CLASSE 12, INCLUSIVE FORNECIMENTO DO MATERIAL PARA JUNTA (ANEL DE BORRACHA, LUBRIFICANTE) DIAMETRO DE (100X75)MM. (ADAPTADP DE SCO DR 05.50.1203)</t>
  </si>
  <si>
    <t>SEINFRA-0035</t>
  </si>
  <si>
    <t>REDUCAO DE PVC RIGIDO - PBA COM 1 PONTA E 1 BOLSA, CLASSE 12, INCLUSIVE FORNECIMENTO DO MATERIAL PARA JUNTA (ANEL DE BORRACHA, LUBRIFICANTE) DIAMETRO DE (100X50)MM. (ADAPTADO DE SCO DR 05.50.1200) -</t>
  </si>
  <si>
    <t>SEINFRA-0036</t>
  </si>
  <si>
    <t>TE DE REDUCAO DE PVC RIGIDO - PBA COM 3 BOLSAS, CLASSE 12, INCLUSIVE FORNECIMENTO DO MATERIAL PARA JUNTA (ANEL DE BORRACHA, LUBRIFICANTE), DIAMETRO DE (75X50)MM. (ADAPTADO DE SCO DR 05.50.1500)</t>
  </si>
  <si>
    <t>SEINFRA-0037</t>
  </si>
  <si>
    <t>SEINFRA-0038</t>
  </si>
  <si>
    <t>SEINFRA-0039</t>
  </si>
  <si>
    <t>SEINFRA-0040</t>
  </si>
  <si>
    <t>SEINFRA-0041</t>
  </si>
  <si>
    <t>SEINFRA-0042</t>
  </si>
  <si>
    <t>SEINFRA-0043</t>
  </si>
  <si>
    <t>SEINFRA-0044</t>
  </si>
  <si>
    <t>SEINFRA-0046</t>
  </si>
  <si>
    <t>SEINFRA-0047</t>
  </si>
  <si>
    <t>SEINFRA-0048</t>
  </si>
  <si>
    <t>SEINFRA-0049</t>
  </si>
  <si>
    <t>SEINFRA-0050</t>
  </si>
  <si>
    <t>SEINFRA-0051</t>
  </si>
  <si>
    <t>SEINFRA-0053</t>
  </si>
  <si>
    <t>SEINFRA-0054</t>
  </si>
  <si>
    <t>SEINFRA-0055</t>
  </si>
  <si>
    <t>SEINFRA-0056</t>
  </si>
  <si>
    <t>SEINFRA-0057</t>
  </si>
  <si>
    <t>SEINFRA-0058</t>
  </si>
  <si>
    <t>SEINFRA-0059</t>
  </si>
  <si>
    <t>SEINFRA-0060</t>
  </si>
  <si>
    <t>SEINFRA-0061</t>
  </si>
  <si>
    <t>SEINFRA-0062</t>
  </si>
  <si>
    <t>SEINFRA-0063</t>
  </si>
  <si>
    <t>SEINFRA-0064</t>
  </si>
  <si>
    <t>REDUCAO DE PVC RIGIDO - PBA COM 1 PONTA E 1 BOLSA, CLASSE 12, INCLUSIVE FORNECIMENTO DO MATERIAL PARA JUNTA (ANEL DE BORRACHA, LUBRIFICANTE) DIAMETRO DE (75X50)MM. (ADAPTADO DE SCO DR 05.50.1150)</t>
  </si>
  <si>
    <t>LUVA SIMPLES DE PVC RIGIDO - PBA, CLASSE 12, INCLUSIVE FORNECIMENTO DO MATERIAL PARA JUNTA (ANEL DE BORRACHA) COM DIAMETRO NOMINAL DE 50MM.  (ADAPTADO DE SCO DR 05.50.0950)</t>
  </si>
  <si>
    <t>TE DE PVC RIGIDO - PBA COM 3 BOLSAS, CLASSE 12, INCLUSIVE FORNECIMENTO DO MATERIAL PARA JUNTA (ANEL DE BORRACHA, LUBRIFICANTE) DIAMETRO DE 50MM.   (ADAPTADO DE SCO DR 05.50.1450)</t>
  </si>
  <si>
    <t>TE DE REDUCAO DE PVC RIGIDO - PBA COM 3 BOLSAS, CLASSE 12, INCLUSIVE FORNECIMENTO DO MATERIAL PARA JUNTA (ANEL DE BORRACHA, LUBRIFICANTE), DIAMETRO DE (100X50)MM. (ADAPTADO DE SCO DR 05.50.1503)</t>
  </si>
  <si>
    <t>LUVA DE CORRER DE PVC RIGIDO - PBA, CLASSE 12, INCLUSIVE FORNECIMENTO DO MATERIAL PARA JUNTA (ANEL DE BORRACHA) COM DIAMETRO NOMINAL DE 100MM. (ADAPTADO DE SCO DR 05.50.1006)</t>
  </si>
  <si>
    <t>CAP DE PVC RIGIDO - PBA COM 1 BOLSA, CLASSE 12, DIAMETRO DE 100MM. (ADAPTADO DE SCO DR 05.50.0256)</t>
  </si>
  <si>
    <t>CURVA DE 90° DE PVC RIGIDO - PBA COM 1 PONTA E 1 BOLSA, CLASSE 12, INCLUSIVE FORNECIMENTO DO MATERIAL PARA JUNTA (ANEL DE BORRACHA E LUBRIFICANTE) DIAMETRO DE 100MM. (ADAPTADO DE SCO DR 05.50.0456)</t>
  </si>
  <si>
    <t>CURVA DE 45° DE PVC RIGIDO - PBA COM 1 PONTA E 1 BOLSA, CLASSE 12, INCLUSIVE FORNECIMENTO DO MATERIAL PARA JUNTA (ANEL DE BORRACHA E LUBRIFICANTE) DIAMETRO DE 50MM. (ADAPTADO DE SCO DR 05.50.0350)</t>
  </si>
  <si>
    <t>LUVA SIMPLES DE PVC RIGIDO - PBA, CLASSE 12, INCLUSIVE FORNECIMENTO DO MATERIAL PARA JUNTA (ANEL DE BORRACHA) COM DIAMETRO NOMINAL DE 75MM. (ADAPTADO DE SCO DR 05.50.0953)</t>
  </si>
  <si>
    <t>TE DE PVC RIGIDO - PBA COM 3 BOLSAS, CLASSE 12, INCLUSIVE FORNECIMENTO DO MATERIAL PARA JUNTA (ANEL DE BORRACHA, LUBRIFICANTE) DIAMETRO DE 75MM. (ADAPTADO DE SCO DR 05.50.1453)</t>
  </si>
  <si>
    <t>CAP DE PVC RIGIDO - PBA COM 1 BOLSA, CLASSE 12, DIAMETRO DE 50MM. (ADAPTADO DE SCO DR 05.50.0250)</t>
  </si>
  <si>
    <t>CAP DE PVC RIGIDO - PBA COM 1 BOLSA, CLASSE 12, DIAMETRO DE 75MM. (ADAPTADO DE SCO DR 05.50.0253)</t>
  </si>
  <si>
    <t>ASSENTAMENTO E FORNECIMENTO DE TUBO DE PVC PBA PARA REDE DE ÁGUA, DN 50, JUNTA ELÁSTICA INTEGRADA, INSTALADO EM LOCAL COM NÍVEL BAIXO DE INTERFERÊNCIAS (INCLUI FORNECIMENTO). (ADAPTADO DE SINAPI 105285)</t>
  </si>
  <si>
    <t>ASSENTAMENTO E FORNECIMENTO DE TUBO DE PVC PBA PARA REDE DE ÁGUA, DN 75, JUNTA ELÁSTICA INTEGRADA, INSTALADO EM LOCAL COM NÍVEL BAIXO DE INTERFERÊNCIAS (INCLUI FORNECIMENTO). (ADAPTADO DE SINAPI 105328)</t>
  </si>
  <si>
    <t>ASSENTAMENTO E FORNECIMENTO DE TUBO DE PVC PBA PARA REDE DE ÁGUA, DN 100, JUNTA ELÁSTICA INTEGRADA, INSTALADO EM LOCAL COM NÍVEL BAIXO DE INTERFERÊNCIAS (INCLUI FORNECIMENTO). (ADAPTADO DE SINAPI 105330)</t>
  </si>
  <si>
    <t>REDUCAO DE PVC RIGIDO - PBA COM 1 PONTA E 1 BOLSA, CLASSE 12, INCLUSIVE FORNECIMENTO DO MATERIAL PARA JUNTA (ANEL DE BORRACHA, LUBRIFICANTE) DIAMETRO DE (100X75)MM. (ADAPTADO DE SCO DR 05.50.1203)</t>
  </si>
  <si>
    <t>CURVA DE 22°30' DE PVC RIGIDO - PBA COM 1 PONTA E 1 BOLSA, CLASSE 12, DIAMETRO DE 50MM. (ADAPTADO DE SCO DR 05.50.0300)</t>
  </si>
  <si>
    <t>FORNECIMENTO DE CURVA 11º15' DE PVC JUNTA ELÁSTICA, PONTA / BOLSA, DIAM. = 50MM (ADAPTADO DE ORSE 7779)</t>
  </si>
  <si>
    <t>Descargas</t>
  </si>
  <si>
    <t>REGISTRO DE GAVETA DE FERRO FUNDIDO COM FLANGES; INCLUSIVE FORNECIMENTO DO MATERIAL PARA JUNTA DE CHUMBO E PARAFUSOS, COM DIAMETRO DE 50MM. (ADAPTADO DE SCO DR 15.15.0050)</t>
  </si>
  <si>
    <t>Hidrante</t>
  </si>
  <si>
    <t>ASSENTAMENTO E FORNECIMENTO DE TUBO DE PVC DEFOFO OU PRFV OU RPVC PARA REDE DE ÁGUA, DN 100, JUNTA ELÁSTICA INTEGRADA, INSTALADO EM LOCAL COM NÍVEL BAIXO DE INTERFERÊNCIAS (INCLUI FORNECIMENTO). (ADAPTADO DE SINAPI 105332)</t>
  </si>
  <si>
    <t>LUVA DE FERRO FUNDIDO DUCTIL, PINTADO INTERNA E EXTERNAMENTE COM TINTA BETUMINOSA, COM 2 BOLSAS, INCLUSIVE FORNECIMENTO DO MATERIAL PARA JUNTA (ANEL DE BORRACHA), COM DIAMETRO DE 100MM. (ADAPTADO DE SCO DR 10.15.0600)</t>
  </si>
  <si>
    <t>TUBO DE FERRO FUNDIDO, DUCTIL, CLASSE K-9, PN-10, FLANGE - FLANGE, COM DIAMETRO NOMINAL DE 100MM.  (ADAPTADO DE SCO DR 10.05.0053)</t>
  </si>
  <si>
    <t>REGISTRO DE GAVETA CHATO DE FERRO FUNDIDO DUCTIL, PINTADO INTERNA E EXTERNAMENTE COM TINTA BETUMINOSA, COM 2 FLANGES, INCLUSIVE FORNECIMENTO DO MATERIAL PARA JUNTA (ARRUELA DE BORRACHA, PARAFUSOS COM PORCA) COM DIAMETRO DE 100MM. (ADAPTADO DE SCO DR 15.10.0056)</t>
  </si>
  <si>
    <t>HIDRANTE DE COLUNA COMPLETO, PARA LINHA DE 100MM; INCLUSIVE PECAS COMPLEMENTARES ATE O INICIO DA TUBULACAO HORIZONTAL E FORNECIMENTO DO MATERIAL PARA REJUNTAMENTO. FORNECIMENTO E INSTALACAO. (ADAPTADO DE SCO IT 10.20.0050)</t>
  </si>
  <si>
    <t>TE DE FERRO FUNDIDO DUCTIL, PINTADO INTERNA E EXTERNAMENTE COM TINTA BETUMINOSA, COM 3 BOLSAS, INCLUSIVE FORNECIMENTO DO MATERIAL PARA JUNTA (ANEL DE BORRACHA), COM DIAMETRO NOMINAL DE (150X100)MM. (ADAPTADO DE SCO DR 10.15.0871)</t>
  </si>
  <si>
    <t>Medidor de Vazão</t>
  </si>
  <si>
    <t>JUNTA DE DESMONTAGEM TRAVADA AXIALMENTE COM TIRANTES, PN-10, DN 100 MM. (ADAPTADO DE ORSE 3109)</t>
  </si>
  <si>
    <t>SEINFRA-0065</t>
  </si>
  <si>
    <t>SEINFRA-0066</t>
  </si>
  <si>
    <t>SEINFRA-0067</t>
  </si>
  <si>
    <t>SEINFRA-0068</t>
  </si>
  <si>
    <t>SEINFRA-0069</t>
  </si>
  <si>
    <t>SEINFRA-0070</t>
  </si>
  <si>
    <t>SEINFRA-0071</t>
  </si>
  <si>
    <t>SEINFRA-0072</t>
  </si>
  <si>
    <t>SEINFRA-0073</t>
  </si>
  <si>
    <t>SEINFRA-0074</t>
  </si>
  <si>
    <t>SEINFRA-0075</t>
  </si>
  <si>
    <t>SEINFRA-0076</t>
  </si>
  <si>
    <t>SEINFRA-0077</t>
  </si>
  <si>
    <t>SEINFRA-0078</t>
  </si>
  <si>
    <t>SEINFRA-0079</t>
  </si>
  <si>
    <t>SEINFRA-0080</t>
  </si>
  <si>
    <t>SEINFRA-0081</t>
  </si>
  <si>
    <t>SEINFRA-0082</t>
  </si>
  <si>
    <t>SEINFRA-0083</t>
  </si>
  <si>
    <t>SEINFRA-0084</t>
  </si>
  <si>
    <t>SEINFRA-0085</t>
  </si>
  <si>
    <t>SEINFRA-0086</t>
  </si>
  <si>
    <t>SEINFRA-0087</t>
  </si>
  <si>
    <t>REGISTRO DE GAVETA BRUTO DIAMETRO 1". (ADAPTADO DE AGETOP CIVIL 080903)</t>
  </si>
  <si>
    <t>LUVA DE FERRO FUNDIDO DUCTIL, PINTADO INTERNA E EXTERNAMENTE COM TINTA BETUMINOSA, COM 2 BOLSAS, INCLUSIVE FORNECIMENTO DO MATERIAL PARA JUNTA (ANEL DE BORRACHA), COM DIAMETRO DE 150MM. (ADAPTADO DE SCO DR 10.15.0603)</t>
  </si>
  <si>
    <t>REDUCAO DE FERRO FUNDIDO DUCTIL, PINTADA INTERNA E EXTERNAMENTE COM TINTA BETUMINOSA, COM PONTA E BOLSA, INCLUSIVE FORNECIMENTO DO MATERIAL PARA JUNTA (ANEL DE BORRACHA), COM DIAMETRO NOMINAL DE (150X100)MM. (ADAPTADO DE SCO DR 10.15.0662)</t>
  </si>
  <si>
    <t>ORSE</t>
  </si>
  <si>
    <t>ARRUELA DE BORRACHA PARA JUNTA C/ FLANGE PN 10, D= 100MM, FORNECIMENTO</t>
  </si>
  <si>
    <t>PARAFUSO PARA FLANGES DN 100 MM, PN-10. (ADAPTADO DE ORSE 4213)</t>
  </si>
  <si>
    <t>SEINFRA-0088</t>
  </si>
  <si>
    <t>SEINFRA-0089</t>
  </si>
  <si>
    <t>SEINFRA-0090</t>
  </si>
  <si>
    <t>SEINFRA-0091</t>
  </si>
  <si>
    <t>SEINFRA-0092</t>
  </si>
  <si>
    <t>SEINFRA-0093</t>
  </si>
  <si>
    <t>SEINFRA-0094</t>
  </si>
  <si>
    <t>SEINFRA-0095</t>
  </si>
  <si>
    <t>SEINFRA-0096</t>
  </si>
  <si>
    <t>SEINFRA-0097</t>
  </si>
  <si>
    <t>SEINFRA-0098</t>
  </si>
  <si>
    <t>SEINFRA-0099</t>
  </si>
  <si>
    <t>SEINFRA-0100</t>
  </si>
  <si>
    <t>SEINFRA-0102</t>
  </si>
  <si>
    <t>SEINFRA-0103</t>
  </si>
  <si>
    <t>SEINFRA-0104</t>
  </si>
  <si>
    <t>HIDRÔMETRO EM FERRO FUNDIDO, DIÂMETRO 100 MM (4´). (ADAPTADO DE CPOS 45.03.030</t>
  </si>
  <si>
    <t>Controle de Alimentação</t>
  </si>
  <si>
    <t>EXTREMIDADE COM ABA DE VEDACAO DE FERRO FUNDIDO DUCTIL, PINTADA INTERNAMENTE E EXTERNAMENTE COM TINTA BETUMINOSA, COM 1 FLANGE E 1 PONTA, INCLUSIVE FORNECIMENTO DO MATERIAL PARA JUNTA (ARRUELA DE BORRACHA, PARAFUSOS COM PORCA), COM DIAMETRO DE 100MM. (ADAPTADO DE SCO 10.15.0400)</t>
  </si>
  <si>
    <t>REGISTRO DE GAVETA DE FERRO FUNDIDO COM FLANGES; INCLUSIVE FORNECIMENTO DO MATERIAL PARA JUNTA DE CHUMBO E PARAFUSOS, COM DIAMETRO DE 100MM. (ADAPTADO DE SCO DR 15.15.0056)</t>
  </si>
  <si>
    <t>TOCO DE FERRO FUNDIDO DUCTIL, PINTADO INTERNA E EXTERNAMENTE COM TINTA BETUMINOSA, COM 2 FLANGES, INCLUSIVE FORNECIMENTO DO MATERIAL PARA JUNTA (ARRUELA DE BORRACHA, PARAFUSOS COM PORCA), COMPRIMENTO DE 0,25M COM DIAMETRO DE 100MM. (ADAPTADO DE SCO DR 10.15.1053)</t>
  </si>
  <si>
    <t>FORNECIMENTO DE REDUÇÃO EXCENTRICA EM FERRO FUNDIDO, COM FLANGES PN 10 / 16, DIAM. =  100 X   50MM (ADAPTADO DE ORSE 11315 E 5282)</t>
  </si>
  <si>
    <t>VALVULA REDUTORA DE PRESSAO COM ROSCAS DE FERRO FUNDIDO DUCTIL, CLASSE 1MPA, COM DIAMETRO DE 2". (ADAPTADO DE SCO DR 15.30.0059)</t>
  </si>
  <si>
    <t>TOCO DE FERRO FUNDIDO DUCTIL, PINTADO INTERNA E EXTERNAMENTE COM TINTA BETUMINOSA, COM 2 FLANGES, INCLUSIVE FORNECIMENTO DO MATERIAL PARA JUNTA (ARRUELA DE BORRACHA, PARAFUSOS COM PORCA), COMPRIMENTO DE 0,50M COM DIAMETRO DE 100MM. (ADAPTADO DE SCO DR 10.15.1103)</t>
  </si>
  <si>
    <t>Reservatório Elevado</t>
  </si>
  <si>
    <t>BUCHA DE REDUÇÃO FERRO FUNDIDO D=150X100mm (6"X4"). (ADAPTADO DE SEINFRA-CE C0477)</t>
  </si>
  <si>
    <t>TUBO DE PVC RIGIDO - DEFOFO, PARA ADUCAO E DISTRIBUICAO DE AGUAS, COM DIAMETRO NOMINAL DE 150MM, INCLUSIVE ANEL DE BORRACHA. (ADAPTADO DE SCO DR 05.45.0203)</t>
  </si>
  <si>
    <t>FORNECIMENTO DE CURVA 45º COM BOLSAS, DE FERRO FUNDIDO, JUNTA ELÁSTICA, DIAM.=  150MM. (ADAPTADO DE ORSE 5483 E 5283)</t>
  </si>
  <si>
    <t>CURVA DE 45° DE FERRO FUNDIDO DUCTIL, PINTADA INTERNA E EXTERNAMENTE COM TINTA BETUMINOSA, COM 2 FLANGES, INCLUSIVE FORNECIMENTO DO MATERIAL PARA JUNTA (ARRUELA DE BORRACHA, PARAFUSOS COM PORCA), COM DIAMETRO DE 150MM. (ADAPTADO DE SCO DR 10.15.0259)</t>
  </si>
  <si>
    <t>TUBO DE FERRO FUNDIDO, DUCTIL, CLASSE K-9, PN-10, FLANGE - FLANGE, COM DIAMETRO NOMINAL DE 150MM. (ADAPTADO DE SCO DR 10.05.0056)</t>
  </si>
  <si>
    <t>REGISTRO DE GAVETA CHATO DE FERRO FUNDIDO DUCTIL, PINTADO INTERNA E EXTERNAMENTE COM TINTA BETUMINOSA, COM 2 FLANGES, INCLUSIVE FORNECIMENTO DO MATERIAL PARA JUNTA (ARRUELA DE BORRACHA, PARAFUSOS COM PORCA) COM DIAMETRO DE 150MM. (ADAPTADO DE SCO DR 15.10.0059)</t>
  </si>
  <si>
    <t>TE DE FERRO FUNDIDO DUCTIL, PINTADO INTERNA E EXTERNAMENTE COM TINTA BETUMINOSA, COM 3 FLANGES, INCLUSIVE FORNECIMENTO DO MATERIAL PARA JUNTA (ARRUELA DE BORRACHA, PARAFUSOS COM PORCA), COM DIAMETRO DE (150X150)MM. (ADAPTADO DE SCO DR 10.15.0918)</t>
  </si>
  <si>
    <t>FLANGE CEGO DE FERRO FUNDIDO DUCTIL, PINTADO INTERNA E EXTERNAMENTE COM TINTA BETUMINOSA, INCLUSIVE FORNECIMENTO DO MATERIAL PARA JUNTA (ARRUELA DE BORRACHA, PARAFUSOS COM PORCA), COM DIAMETRO DE 150MM. FORNECIMENTO E ASSENTAMENTO. (ADAPTADO DE SCO DR 10.15.0456)</t>
  </si>
  <si>
    <t>REGISTRO DE GAVETA CHATO DE FERRO FUNDIDO DUCTIL, PINTADO INTERNA E EXTERNAMENTE COM TINTA BETUMINOSA, COM 2 FLANGES, INCLUSIVE FORNECIMENTO DO MATERIAL PARA JUNTA (ARRUELA DE BORRACHA, PARAFUSOS COM PORCA) COM DIAMETRO DE 200MM. (ADAPTADO DE SCO DR 15.10.0062)</t>
  </si>
  <si>
    <t>TOCO DE FERRO FUNDIDO DUCTIL, PINTADO INTERNA E EXTERNAMENTE COM TINTA BETUMINOSA, COM 2 FLANGES, INCLUSIVE FORNECIMENTO DO MATERIAL PARA JUNTA (ARRUELA DE BORRACHA, PARAFUSOS COM PORCA), COMPRIMENTO DE 0,25M COM DIAMETRO DE 200MM. (ADAPTADO DE SCO DR 10.15.1059)</t>
  </si>
  <si>
    <t>JUNTA DE DESMONTAGEM TRAVADA AXIALMENTE COM TIRANTES, PN-10, DN 200 MM. (ADAPTADO DE ORSE 3109)</t>
  </si>
  <si>
    <t>TUBO DE FERRO FUNDIDO, DUCTIL, CLASSE K-9, PN-10, FLANGE - FLANGE, COM DIAMETRO NOMINAL DE 200MM. (ADAPTADO DE SCO DR 10.05.0059)</t>
  </si>
  <si>
    <t>CURVA DE 90° DE FERRO FUNDIDO DUCTIL, PINTADA INTERNA E EXTERNAMENTE COM TINTA BETUMINOSA, COM 2 FLANGES, INCLUSIVE FORNECIMENTO DO MATERIAL PARA JUNTA (ARRUELA DE BORRACHA, PARAFUSOS COM PORCA), COM DIAMETRO DE 200MM. (ADAPTADO DE SCO DR 10.15.0212)</t>
  </si>
  <si>
    <t>FORNECIMENTO DE TUBO EM FERRO FUNDIDO, PONTA E FLANGE PN 10, DIAM. =  200MM, L=1,00M, INCLUSO ASSENTAMENTO. (ADAPTADO DE ORSE 6550)</t>
  </si>
  <si>
    <t>JUNTA GIBAULT DE FERRO FUNDIDO DUCTIL, PINTADO INTERNA E EXTERNAMENTE COM TINTA BETUMINOSA, INCLUSIVE FORNECIMENTO DO MATERIAL PARA JUNTA (ANEL DE BORRACHA, LUVA, CONTRA-FLANGES E PARAFUSOS COM PORCA), COM DIAMETRO DE 200MM. (ADAPTADO DE SCO DR 10.15.0562)</t>
  </si>
  <si>
    <t>EXTREMIDADE COM ABA DE VEDACAO DE FERRO FUNDIDO DUCTIL, PINTADA INTERNAMENTE E EXTERNAMENTE COM TINTA BETUMINOSA, COM 1 FLANGE E 1 PONTA, INCLUSIVE FORNECIMENTO DO MATERIAL PARA JUNTA (ARRUELA DE BORRACHA, PARAFUSOS COM PORCA), COM DIAMETRO DE 200MM. FORNECIMENTO E ASSENTAMENTO. (ADAPTADO DE SCO DR 10.15.0406)</t>
  </si>
  <si>
    <t>ASSENTAMENTO DE VÁLVULA DE RETENÇÃO FLAP EM FERRO FUNDIDO, DIAM. =  200MM (ADAPTADO DE ORSE 6054)</t>
  </si>
  <si>
    <t>REDUCAO EXCENTRICA DE FERRO FUNDIDO DUCTIL, PINTADO INTERNA E EXTERNAMENTE COM TINTA BETUMINOSA, COM 2 FLANGES, INCLUSIVE FORNECIMENTO DO MATERIAL PARA JUNTA (ARRUELA DE BORRACHA, PARAFUSOS COM PORCA) COM DIAMETRO DE (200X150)MM. (ADAPTADO DE SCO DR 10.15.0765)</t>
  </si>
  <si>
    <t>REDUCAO EXCENTRICA DE FERRO FUNDIDO DUCTIL, PINTADO INTERNA E EXTERNAMENTE COM TINTA BETUMINOSA, COM 2 FLANGES, INCLUSIVE FORNECIMENTO DO MATERIAL PARA JUNTA (ARRUELA DE BORRACHA, PARAFUSOS COM PORCA) COM DIAMETRO DE (150X100)MM. FORNECIMENTO E ASSENTAMENTO. (ADAPTADO DE SCO DR 10.15.0762)</t>
  </si>
  <si>
    <t>Rede de Abastecimento</t>
  </si>
  <si>
    <t xml:space="preserve">LUVA EM AÇO GALVANIZADO DIÂMETRO 3/4"	</t>
  </si>
  <si>
    <t xml:space="preserve">TORNEIRA DE JARDIM COM BICO PARA MANGUEIRA DIÂMETRO DE 1/2" E 3/4"	</t>
  </si>
  <si>
    <t>071701</t>
  </si>
  <si>
    <t>080811</t>
  </si>
  <si>
    <t>FORNECIMENTO E ASSENTAMENTO DE JOELHO 90 DE FERRO GALVANIZADO DE   3/4" (ADAPTADO DE ORSE 895)</t>
  </si>
  <si>
    <t>TUBO PRETO DE AÇO-CARBONO, CLASSE SCH-40 - 3/4". (ADAPTADO DE SIURB 10007011)</t>
  </si>
  <si>
    <t xml:space="preserve">ADAPTADOR SOLDÁVEL CURTO C/ BOLSA E ROSCA PARA REGISTRO 25X3/4"	</t>
  </si>
  <si>
    <t>081066</t>
  </si>
  <si>
    <t xml:space="preserve">TE 90 GRAUS SOLDAVEL DIAMETRO 25 MM	</t>
  </si>
  <si>
    <t>081402</t>
  </si>
  <si>
    <t xml:space="preserve">JOELHO 90 GRAUS SOLDAVEL DIAMETRO 25 MM	</t>
  </si>
  <si>
    <t>081321</t>
  </si>
  <si>
    <t xml:space="preserve">TUBO SOLDAVEL PVC MARROM DIAM. 25 MM	</t>
  </si>
  <si>
    <t>081003</t>
  </si>
  <si>
    <t>UNIÃO, EM FERRO GALVANIZADO, DN 25 (1"). (ADAPTADO DE SINAPI 92892)</t>
  </si>
  <si>
    <t>CURVA DE 90° DE FERRO FUNDIDO DUCTIL, PINTADA INTERNA E EXTERNAMENTE COM TINTA BETUMINOSA, COM BOLSA, COM DIAMETRO DE 100MM. (ADAPTADO DE SCO DR 10.15.0206)</t>
  </si>
  <si>
    <t xml:space="preserve">REGISTRO DE GAVETA BRUTO DIAMETRO 3/4"	</t>
  </si>
  <si>
    <t>080902</t>
  </si>
  <si>
    <t xml:space="preserve">CURVA DE 90 GRAUS AÇO GALVANIZADO DIAM.3/4"	</t>
  </si>
  <si>
    <t>071151</t>
  </si>
  <si>
    <t>COLAR DE TOMADA, FoFo, COM TRAVAS, DE 150 MM X 3/4", PARA LIGAÇÃO PREDIAL DE ÁGUA. (ADAPTADO DE SINAPI 104034)</t>
  </si>
  <si>
    <t>Rede Interna Reservação</t>
  </si>
  <si>
    <t>ESCADA TIPO MARINHEIRO SEM GUARDA CORPO PADRÃO GOINFRA ( H &lt;= 3M)</t>
  </si>
  <si>
    <t>180703</t>
  </si>
  <si>
    <t>Diâmetro Tubos
(mm)</t>
  </si>
  <si>
    <t>Rede secundária</t>
  </si>
  <si>
    <t>Largura (m)</t>
  </si>
  <si>
    <t>Boca</t>
  </si>
  <si>
    <t>Fundo</t>
  </si>
  <si>
    <t>Média</t>
  </si>
  <si>
    <t>Reaterro Manual
(m³)</t>
  </si>
  <si>
    <t xml:space="preserve">REATERRO COM APILOAMENTO MANUAL (BLOCOS/SAPATAS)	</t>
  </si>
  <si>
    <t>050903</t>
  </si>
  <si>
    <t>CADASTRO DE REDES DE ÁGUA / ADUTORAS</t>
  </si>
  <si>
    <t>LOCAÇÃO E NIVELAMENTO DE REDES DE ÁGUA E ADUTORAS</t>
  </si>
  <si>
    <t>CARGA, TRANSPORTE E DESCARGA DE TUBOS E PEÇAS EM PVC DN 50MM ATÉ 15KM. (ADAPTADO DE SEINFRA-CE C0727)</t>
  </si>
  <si>
    <t>CARGA, TRANSPORTE E DESCARGA DE TUBOS E PEÇAS EM PVC DN 75MM ATÉ 15KM. (ADAPTADO DE SEINFRA-CE C0728)</t>
  </si>
  <si>
    <t>CARGA, TRANSPORTE E DESCARGA DE TUBOS E PEÇAS EM PVC DN 100MM ATÉ 15KM. (ADAPTADO DE SEINFRA-CE C0718)</t>
  </si>
  <si>
    <t>ESCORAMENTO DE VALA, TIPO PONTALETEAMENTO, COM PROFUNDIDADE DE 0 A 1,5 M, LARGURA MENOR QUE 1,5 M. (ADAPTADO DE SINAPI 101570)</t>
  </si>
  <si>
    <t>SEINFRA -0105</t>
  </si>
  <si>
    <t>Caixa de Alimentação</t>
  </si>
  <si>
    <t>Caixa Medidor de Vazão</t>
  </si>
  <si>
    <t xml:space="preserve">Caixa Medidor de Vazão
laje de fundo </t>
  </si>
  <si>
    <t>Caixa Medidor de Vazão
pilares de contenção</t>
  </si>
  <si>
    <t>Caixa Medidor de Vazão
cortina 1 e 2</t>
  </si>
  <si>
    <t>Caixa Medidor de Vazão
cortina 3 e 4</t>
  </si>
  <si>
    <t>Caixa Medidor de Vazão
laje de cobertura</t>
  </si>
  <si>
    <t>MURO EM ALVENARIA</t>
  </si>
  <si>
    <t>ESCAVACAO MANUAL DE VALAS &lt; 1 MTS. (OBRAS CIVIS)</t>
  </si>
  <si>
    <t>040101</t>
  </si>
  <si>
    <t>TIJOLO MACIÇO</t>
  </si>
  <si>
    <t>ALVENARIA DE TIJOLO COMUM 1/2 VEZ - ARGAMASSA (1CI : 2CH : 8ARML)</t>
  </si>
  <si>
    <t>100102</t>
  </si>
  <si>
    <t>180280</t>
  </si>
  <si>
    <t>180281</t>
  </si>
  <si>
    <t>PORTÃO DE ABRIR 02 FOLHAS DE TELA/TUBO FoGo 1.1/2" PT1/PT2 C/ FERRAGENS</t>
  </si>
  <si>
    <t>PORTÃO DE ABRIR 01 FOLHA TELA/TUBO FoGo 1.1/2" PT3 C/ FERRAGENS</t>
  </si>
  <si>
    <t>Passeio</t>
  </si>
  <si>
    <t>Veículos</t>
  </si>
  <si>
    <t>PASSEIO PROTECAO EM CONC.DESEMPEN.5 CM 1:2,5:3,5 (INCLUSO ESPELHO DE 30CM/ESCAVAÇÃO/REATERRO/APILOAMENTO/ATERRO INTERNO)</t>
  </si>
  <si>
    <t>220100</t>
  </si>
  <si>
    <t xml:space="preserve">PISO CONCRETO SEMI POLIDO COM LASTRO (BASE) E=7,0 CM </t>
  </si>
  <si>
    <t>220108</t>
  </si>
  <si>
    <t>COMPLEMENTARES</t>
  </si>
  <si>
    <t>PLANTIO GRAMA ESMERALDA PLACA C/ M.O. IRRIG., ADUBO,TERRA VEGETAL (O.C.) A&lt;11.000,00M2</t>
  </si>
  <si>
    <t>Jardim</t>
  </si>
  <si>
    <t>Limpeza</t>
  </si>
  <si>
    <t>LIMPEZA FINAL DE OBRA - (OBRAS CIVIS)</t>
  </si>
  <si>
    <t>TUBOS E CONEXÕES - REDE DE ABASTECIMENTO</t>
  </si>
  <si>
    <t>MOVIMENTO DE TERRA - REDE DE ABASTECIMENTO</t>
  </si>
  <si>
    <t>CAIXAS E POÇOS - REDE DE ABASTECIMENTO</t>
  </si>
  <si>
    <t>Dimensões da Caixa/Poço</t>
  </si>
  <si>
    <t>Dimensões+Alargamento</t>
  </si>
  <si>
    <t>Alarg.
(m)</t>
  </si>
  <si>
    <t xml:space="preserve">ESCAVACAO MECANICA	</t>
  </si>
  <si>
    <t>041004</t>
  </si>
  <si>
    <t>Escavação Mecânica</t>
  </si>
  <si>
    <t>Caixa/Poço Hidrante de Coluna</t>
  </si>
  <si>
    <t>Lastro de Brita</t>
  </si>
  <si>
    <t>Anel de Concreto 
D = 60 cm</t>
  </si>
  <si>
    <t>(m)</t>
  </si>
  <si>
    <t>Caixa/Poço Registro Bloqueio</t>
  </si>
  <si>
    <t>Anel de Concreto 
D = 120 cm</t>
  </si>
  <si>
    <t>Alveria Tijolo Maciço</t>
  </si>
  <si>
    <t>Caixa/Poço Descarga</t>
  </si>
  <si>
    <t>Anel de Concreto 
D = 90 cm</t>
  </si>
  <si>
    <t>Concreto Ciclópico</t>
  </si>
  <si>
    <t>Caixa/Poço By-Pass</t>
  </si>
  <si>
    <t>Lastro de Concreto</t>
  </si>
  <si>
    <t>Caixa/Poço de Infiltração</t>
  </si>
  <si>
    <t>CANTEIRO DE OBRAS</t>
  </si>
  <si>
    <t>ANCORAGEM - REDE DE ABASTECIMENTO</t>
  </si>
  <si>
    <t>Peças</t>
  </si>
  <si>
    <t>Diâmetro
(mm)</t>
  </si>
  <si>
    <t>Quantidade
(un)</t>
  </si>
  <si>
    <t>Formas
(m²)</t>
  </si>
  <si>
    <t>Concreto
(m³)</t>
  </si>
  <si>
    <t>Consumos Unitários Peças</t>
  </si>
  <si>
    <t>Curva 45°</t>
  </si>
  <si>
    <t>Curva 22°30'</t>
  </si>
  <si>
    <t>Curva 90°</t>
  </si>
  <si>
    <t>Tê</t>
  </si>
  <si>
    <t>DEMOLIÇÕES</t>
  </si>
  <si>
    <t>Tampa reservatório</t>
  </si>
  <si>
    <t>Fundo reservatório</t>
  </si>
  <si>
    <t>Lateral reservatório</t>
  </si>
  <si>
    <t>Pilares reservatório</t>
  </si>
  <si>
    <t>Vigas intermediárias reservatório</t>
  </si>
  <si>
    <t>Alt. / Compr.</t>
  </si>
  <si>
    <t>DEMOLIÇÃO DE LAJES, EM CONCRETO ARMADO, DE FORMA MECANIZADA COM MARTELETE, SEM REAPROVEITAMENTO. (ADAPTADO DE SINAPI 97629)</t>
  </si>
  <si>
    <t>DEMOLIÇÃO MANUAL DE ALAMBRADO - POSTE DE CONCRETO/TELA/VIGA COM TRANSPORTE ATE CAÇAMBA E CARGA</t>
  </si>
  <si>
    <t>020130</t>
  </si>
  <si>
    <t>Volume</t>
  </si>
  <si>
    <t>Empol. - 30%</t>
  </si>
  <si>
    <t>Empol. - 50%</t>
  </si>
  <si>
    <t>DEMOLIÇÃO PARCIAL DE PAVIMENTO ASFÁLTICO, DE FORMA MECANIZADA, SEM REAPROVEITAMENTO. (ADAPTADO DE SINAPI 97636)</t>
  </si>
  <si>
    <t>DEMOLIÇÃO DE PILARES E VIGAS EM CONCRETO ARMADO, DE FORMA MECANIZADA COM MARTELETE, SEM REAPROVEITAMENTO. (ADAPTADO DE SINAPI 97627)</t>
  </si>
  <si>
    <t>Rede de abastecimento</t>
  </si>
  <si>
    <t>Base reservatório</t>
  </si>
  <si>
    <t>Reservatório Fundações</t>
  </si>
  <si>
    <t>Rede de abastecimento - caixas</t>
  </si>
  <si>
    <t>Rede de abastecimento - pavimentação</t>
  </si>
  <si>
    <t>TRANSPORTE DE ENTULHO EM CAMINHÃO INCLUSO A CARGA MANUAL</t>
  </si>
  <si>
    <t>030101</t>
  </si>
  <si>
    <t>Ruas</t>
  </si>
  <si>
    <t>ASFALTOS</t>
  </si>
  <si>
    <t>PINTURA DE LIGAÇÃO (PAV.URB.)</t>
  </si>
  <si>
    <t>PRÉ-MISTURADO A FRIO - PMF (PAV.URB.)</t>
  </si>
  <si>
    <t>PRELIMINARES</t>
  </si>
  <si>
    <t>LIMPEZA MECÂNICA DE TERRENO</t>
  </si>
  <si>
    <t>020190</t>
  </si>
  <si>
    <t>LOCAÇÃO DE OBRAS DE PEQUENO PORTE COM CAVALETE, INCLUSO PINTURA (FACE INTERNA DO SARRAFO 10CM) E PIQUETE COM TESTEMUNHA</t>
  </si>
  <si>
    <t>020702</t>
  </si>
  <si>
    <t>Entulho Esp. = 7 cm</t>
  </si>
  <si>
    <t>020212</t>
  </si>
  <si>
    <t>BARRACÃO DE OBRAS PADRÃO GOINFRA ( BLOCOS,COBERTURAS, PASSARELAS E MÓVEIS), SEM ALOJAMENTO E LAVANDERIA , COM PINTURA, EM CONSONÂNCIA COM AS NR's, EM ESPECIAL A NR-18, INCLUSO INSTALAÇÕES ELÉTRICAS E HIDROSSANITÁRIAS - ( COM REAPROVEITAMENTO 1 VEZ ).</t>
  </si>
  <si>
    <t>DEPÓSITO PARA CIMENTO TIPO II COM PINTURA PADRÃO GOINFRA (3 ,30 X 3,30 M) A=10,89 M2 (C/ REAPROV. 1 VEZ ) - INCLUSO PALETES</t>
  </si>
  <si>
    <t>020303</t>
  </si>
  <si>
    <t>LIGAÇÃO PROVISÓRIA DE ÁGUA (INCLUSO RETIRADA DO ESGOTO SANITÁRIO) - PD. GOINFRA</t>
  </si>
  <si>
    <t>020400</t>
  </si>
  <si>
    <t>LIGAÇÃO PROVISÓRIA LUZ E FORÇA - PD. GOINFRA</t>
  </si>
  <si>
    <t>020501</t>
  </si>
  <si>
    <t>EPI/PGR/PCMSO/EXAMES/TREINAMENTOS/VISITAS - ÁREAS EDIFICADAS/COBERTAS/FECHADAS</t>
  </si>
  <si>
    <t>021602</t>
  </si>
  <si>
    <t>FERRAMENTAS (MANUAIS/ELÉTRICAS) E MATERIAL DE LIMPEZA PERMANENTE DA OBRA - ÁREAS EDIFICADAS/COBERTAS/FECHADAS</t>
  </si>
  <si>
    <t>020200</t>
  </si>
  <si>
    <t>PLACA DE OBRA PLOTADA EM CHAPA METÁLICA 26 , AFIXADA EM CAVALETES DE MADEIRA DE LEI (VIGOTAS 6X12CM) - PADRÃO GOINFRA</t>
  </si>
  <si>
    <t>021301</t>
  </si>
  <si>
    <t>ADMINISTRAÇÃO LOCAL</t>
  </si>
  <si>
    <t>Total de visitas por semana</t>
  </si>
  <si>
    <t>visitas</t>
  </si>
  <si>
    <t>Tempo de duração na obra</t>
  </si>
  <si>
    <t>horas</t>
  </si>
  <si>
    <t>Total de semanas no mês</t>
  </si>
  <si>
    <t>semanas</t>
  </si>
  <si>
    <t>Total de meses</t>
  </si>
  <si>
    <t>meses</t>
  </si>
  <si>
    <t>Total de horas efetivas</t>
  </si>
  <si>
    <t xml:space="preserve">ENGENHEIRO - (OBRAS CIVIS) </t>
  </si>
  <si>
    <t>Total de profissionais</t>
  </si>
  <si>
    <t xml:space="preserve">un </t>
  </si>
  <si>
    <t>ENCARREGADO - (OBRAS CIVIS)</t>
  </si>
  <si>
    <t>250103</t>
  </si>
  <si>
    <t xml:space="preserve">ALMOXARIFE - (OBRAS CIVIS) </t>
  </si>
  <si>
    <t>TÉCNICO EM SEGURANÇA DO TRABALHO (O. CIVIS)</t>
  </si>
  <si>
    <t>3.1</t>
  </si>
  <si>
    <t>3.2</t>
  </si>
  <si>
    <t>4.1</t>
  </si>
  <si>
    <t>4.2</t>
  </si>
  <si>
    <t>4.3</t>
  </si>
  <si>
    <t>4.4</t>
  </si>
  <si>
    <t>4.5</t>
  </si>
  <si>
    <t>5.1</t>
  </si>
  <si>
    <t>5.2</t>
  </si>
  <si>
    <t>5.3</t>
  </si>
  <si>
    <t>5.4</t>
  </si>
  <si>
    <t>5.5</t>
  </si>
  <si>
    <t>5.6</t>
  </si>
  <si>
    <t>5.7</t>
  </si>
  <si>
    <t>5.8</t>
  </si>
  <si>
    <t>5.9</t>
  </si>
  <si>
    <t>5.10</t>
  </si>
  <si>
    <t>5.11</t>
  </si>
  <si>
    <t>5.12</t>
  </si>
  <si>
    <t>6.1</t>
  </si>
  <si>
    <t>6.1.1</t>
  </si>
  <si>
    <t>6.1.2</t>
  </si>
  <si>
    <t>6.1.3</t>
  </si>
  <si>
    <t>6.1.4</t>
  </si>
  <si>
    <t>6.1.5</t>
  </si>
  <si>
    <t>6.1.6</t>
  </si>
  <si>
    <t>6.1.7</t>
  </si>
  <si>
    <t>6.1.8</t>
  </si>
  <si>
    <t>6.1.9</t>
  </si>
  <si>
    <t>6.2</t>
  </si>
  <si>
    <t>6.2.1</t>
  </si>
  <si>
    <t>6.2.2</t>
  </si>
  <si>
    <t>6.2.3</t>
  </si>
  <si>
    <t>6.2.4</t>
  </si>
  <si>
    <t>6.2.5</t>
  </si>
  <si>
    <t>6.2.6</t>
  </si>
  <si>
    <t>6.2.7</t>
  </si>
  <si>
    <t>6.3</t>
  </si>
  <si>
    <t>6.3.1</t>
  </si>
  <si>
    <t>6.3.2</t>
  </si>
  <si>
    <t>6.3.3</t>
  </si>
  <si>
    <t>6.3.4</t>
  </si>
  <si>
    <t>6.3.5</t>
  </si>
  <si>
    <t>6.3.6</t>
  </si>
  <si>
    <t>7.1</t>
  </si>
  <si>
    <t>7.1.1</t>
  </si>
  <si>
    <t>7.2</t>
  </si>
  <si>
    <t>7.2.1</t>
  </si>
  <si>
    <t>7.2.2</t>
  </si>
  <si>
    <t>7.2.3</t>
  </si>
  <si>
    <t>7.2.4</t>
  </si>
  <si>
    <t>7.2.5</t>
  </si>
  <si>
    <t>7.2.6</t>
  </si>
  <si>
    <t>7.3</t>
  </si>
  <si>
    <t>7.3.1</t>
  </si>
  <si>
    <t>7.3.2</t>
  </si>
  <si>
    <t>ALVENARIAS E PAINÉIS</t>
  </si>
  <si>
    <t>8.1</t>
  </si>
  <si>
    <t>8.2</t>
  </si>
  <si>
    <t>071171</t>
  </si>
  <si>
    <t>INSTALAÇÕES DE SPDA</t>
  </si>
  <si>
    <t>INSTALAÇÕES HIDRÁULICAS - REDE DE ABASTECIMENTO</t>
  </si>
  <si>
    <t xml:space="preserve">VIGIA DE OBRAS - (NOTURNO E NO SÁBADO/DOMINGO DIURNO) - O.C.	</t>
  </si>
  <si>
    <t>Fiscalização</t>
  </si>
  <si>
    <t>Obra</t>
  </si>
  <si>
    <t>Altura</t>
  </si>
  <si>
    <t>SEINFRA-0111</t>
  </si>
  <si>
    <t>SEINFRA-0112</t>
  </si>
  <si>
    <t>SEINFRA-0117</t>
  </si>
  <si>
    <t>SEINFRA-0107</t>
  </si>
  <si>
    <t>MURO DIVISÓRIO EM BLOCO DE CONCRETO COM ACABAMENTO APARENTE, ESP. 15 CM, ALTURA DE 220 CM, COM ESTACA BROCA, PROF.: 250 CM, FORMA EM CONTRA BARRANCO, INCLUSIVE ESCAVAÇÃO COM TRANSPORTE E RETIRADA DO MATERIAL ESCAVADO (EM CAÇAMBA)</t>
  </si>
  <si>
    <t xml:space="preserve">TRAÇO DE CONCRETO	</t>
  </si>
  <si>
    <t>050250</t>
  </si>
  <si>
    <t xml:space="preserve">CORPO DE PROVA	</t>
  </si>
  <si>
    <t>050251</t>
  </si>
  <si>
    <t>Realização de estudo de dosagem de concreto para definição do traço adequado para fabricação do concreto "in loco", tendo em vista a ausência de usinas de concreto na região.</t>
  </si>
  <si>
    <t>Total de estudos para traço de concreto</t>
  </si>
  <si>
    <t>De acordo com a NBR 12655, a quantidade de corpos de prova que devem ser moldados in loco deve ser de no mínimo dois por idade a ser testada. Além disso, a NBR 12655 também exige que os corpos de prova sejam moldados a cada 50 m³ de concreto ou um andar, no máximo. 
Desta forma foi considerado o ensaio de compressão de corpos de prova com 7 e 28 dias para cada 50 m³ de concreto produzido</t>
  </si>
  <si>
    <t>Volume total de concreto</t>
  </si>
  <si>
    <t>Volume para ensaio</t>
  </si>
  <si>
    <t>Quantidade de amostras</t>
  </si>
  <si>
    <t>Entrada Módulos</t>
  </si>
  <si>
    <t>6.3.8</t>
  </si>
  <si>
    <t>051055</t>
  </si>
  <si>
    <t>CONCRETO CICLÓPICO FCK = 15MPA, 30% PEDRA DE MÃO EM VOLUME REAL, INCLUSIVE LANÇAMENTO. (ADAPTADO DE SINAPI 102487)</t>
  </si>
  <si>
    <t>SEINFRA-0119</t>
  </si>
  <si>
    <t>SEINFRA-0122</t>
  </si>
  <si>
    <t>SEINFRA-0124</t>
  </si>
  <si>
    <t>ASSENTAMENTO DE TUBO/ANÉIS DE CONCRETO PARA CAIXAS/POÇOS DE INSPEÇÃO, DIÂMETRO DE 900 MM, JUNTA RÍGIDA, INSTALADO EM LOCAL COM BAIXO NÍVEL DE INTERFERÊNCIAS. (ADAPTADO DE SINAPI 92814)</t>
  </si>
  <si>
    <t>ASSENTAMENTO DE TUBO/ANÉIS DE CONCRETO PARA CAIXAS/POÇOS DE INSPEÇÃO, DIÂMETRO DE 600 MM, JUNTA RÍGIDA, INSTALADO EM LOCAL COM BAIXO NÍVEL DE INTERFERÊNCIAS. (ADAPTADO DE SINAPI 92811)</t>
  </si>
  <si>
    <t>ASSENTAMENTO DE TUBO/ANÉIS DE CONCRETO PARA CAIXAS/POÇOS DE INSPEÇÃO, DIÂMETRO DE 1200 MM, JUNTA RÍGIDA, INSTALADO EM LOCAL COM BAIXO NÍVEL DE INTERFERÊNCIAS. (ADAPTADO DE SINAPI 92817)</t>
  </si>
  <si>
    <t>SEINFRA-0125</t>
  </si>
  <si>
    <t>Laje excentrica
D = 120x60 cm</t>
  </si>
  <si>
    <t>COLOCAÇÃO E CHUMBAMENTO LAJE EXCENTRICA, DIÂM. 1200 MM. (ADAPTADO DE SEINFRA-CE C0815)</t>
  </si>
  <si>
    <t>SEINFRA-0126</t>
  </si>
  <si>
    <t>Tampa, Aduela e Anel
D = 80 cm</t>
  </si>
  <si>
    <t>COLOCAÇÃO E CHUMBAMENTO ADUELA E TAMPÃO. (ADAPTADO DE SEINFRA-CE C0815)</t>
  </si>
  <si>
    <t>SEINFRA-0127</t>
  </si>
  <si>
    <t>CURVA DE FERRO FUNDIDO, 90°, COM BOLSAS, DIAMETRO DE 150MM. (ADAPTADO DE SCO IT 15.20.0150)</t>
  </si>
  <si>
    <t>SEINFRA-0129</t>
  </si>
  <si>
    <t>TE DE FERRO FUNDIDO DUCTIL, PINTADO INTERNA E EXTERNAMENTE COM TINTA BETUMINOSA, COM 3 BOLSAS, INCLUSIVE FORNECIMENTO DO MATERIAL PARA JUNTA (ANEL DE BORRACHA), COM DIAMETRO NOMINAL DE (100X100)MM. (ADAPTADO DE SCO DR 10.15.0862)</t>
  </si>
  <si>
    <t>SEINFRA-0130</t>
  </si>
  <si>
    <t>Cubículo de quadros</t>
  </si>
  <si>
    <t>ALVENARIA TIJOLO CERÂMICO</t>
  </si>
  <si>
    <t>11,5X19X19 CM</t>
  </si>
  <si>
    <t xml:space="preserve">ALVENARIA DE TIJOLO FURADO 1/2 VEZ 11,5 X 19 X 19 - ARG. ( 1 CALH	</t>
  </si>
  <si>
    <t xml:space="preserve">PORTA DE ABRIR DE 02 FOLHAS EM VENEZIANA PF-5 C/FERRAGENS	</t>
  </si>
  <si>
    <t>IMPERMEABILIZAÇÃO</t>
  </si>
  <si>
    <t>Laje Cubículo</t>
  </si>
  <si>
    <t>PROTECAO MECANICA (1:3) E=2 CM</t>
  </si>
  <si>
    <t xml:space="preserve">MANTA ASFÁLTICA TIPO III - B ( 3 MM) </t>
  </si>
  <si>
    <t>REVESTIMENTO DE PAREDES</t>
  </si>
  <si>
    <t>REVESTIMENTOS</t>
  </si>
  <si>
    <t>Cubículo</t>
  </si>
  <si>
    <t>Cubículo
Interno</t>
  </si>
  <si>
    <t>Cubículo
Externo</t>
  </si>
  <si>
    <t>CHAPISCO COMUM</t>
  </si>
  <si>
    <t>EMBOÇO (1CI:4 ARML)</t>
  </si>
  <si>
    <t>REBOCO PAULISTA A-7 (1 CALH,4 ARMLC)</t>
  </si>
  <si>
    <t>PASTILHA PORCELANA C/ARGAMASSA FLEXIVEL</t>
  </si>
  <si>
    <t>EMASSAMENTO COM MASSA PVA DUAS DEMAOS</t>
  </si>
  <si>
    <t>PINTURA LATEX ACRILICA 2 DEMAOS C/SELADOR</t>
  </si>
  <si>
    <t>CUBÍCULO</t>
  </si>
  <si>
    <t>FORRO EM LAJE PRE-MOLDADA INCLUSO CAPEAMENTO/ARMADURA DE DISTRIBUIÇÃO/ESCORAMENTO E FORMA/DESFORMA</t>
  </si>
  <si>
    <t>061101</t>
  </si>
  <si>
    <t>PINTURA DE PAREDES E TETOS</t>
  </si>
  <si>
    <t>PLACA DE SINALIZACAO PARA OBRA NA VIA PUBLICA, TIPO CAVALETE ARTICULADO, CONFECCIONADO EM CHAPA PET 2,4MM, FUNDO, TEXTOS E SIMBOLOS EM VINIL AUTO ADESIVO, ESTRUTURA EM ACO TRATADO A BASE DE WASH PRIMER, PINTADO PELO PROCESSO ELETROSTATICO, NAS DIMENSOES DE 0,60M X 1,00M. FORNECIMENTO. (ADAPTADO DE SCO AD 20.25.0210)</t>
  </si>
  <si>
    <t>SEINFRA-0131</t>
  </si>
  <si>
    <t>Total de cavaletes</t>
  </si>
  <si>
    <t>SEINFRA-0132</t>
  </si>
  <si>
    <t>Total de cones</t>
  </si>
  <si>
    <t>CONE PLASTICO PARA SINALIZAÇÃO</t>
  </si>
  <si>
    <t>RESERVATÓRIO METÁLICO, CAPACIDADE 230 M3, INCLUSO TRANSPORTE, IÇAMENTO E MONTAGEM, CONFORME PROJETO</t>
  </si>
  <si>
    <t>SEINFRA-0133</t>
  </si>
  <si>
    <t>Equipamento</t>
  </si>
  <si>
    <t>Mobilizador</t>
  </si>
  <si>
    <t>FU
(A)</t>
  </si>
  <si>
    <t>DT
(C)</t>
  </si>
  <si>
    <t>Custo
(D=AxB/60)</t>
  </si>
  <si>
    <t>Quantidade
(E)</t>
  </si>
  <si>
    <t>Autopropelidos</t>
  </si>
  <si>
    <t>CAMINHÃO APLICADOR DE MATERIAL TERMOPLÁSTICO</t>
  </si>
  <si>
    <t>CAMINHÃO BASCULANTE 10 M3 - 15 T</t>
  </si>
  <si>
    <t>CAMINHÃO BASCULANTE 6 M3 - 10,5 T</t>
  </si>
  <si>
    <t>CAMINHÃO CARROCERIA MADEIRA - 15 T</t>
  </si>
  <si>
    <t>CAMINHÃO COM BATE ESTACAS HIDRÁULICO PARA DEFENSA</t>
  </si>
  <si>
    <t>CAMINHÃO COM DOLLY - 57 t</t>
  </si>
  <si>
    <t>CAMINHÃO DISTRIBUIDOR DE CIMENTO</t>
  </si>
  <si>
    <t>CAMINHÃO MUNCK (GUINDAUTO)</t>
  </si>
  <si>
    <t>CAMINHÃO PARA HIDROSSEMEADURA</t>
  </si>
  <si>
    <t>CAMINHÃO PARA PINTURA A FRIO COM DEMARCADOR DE FAIXAS</t>
  </si>
  <si>
    <t>CAMINHÃO TANQUE 10.000L</t>
  </si>
  <si>
    <t>CAMINHÃO TANQUE 6.000L</t>
  </si>
  <si>
    <t>CAMINHÃO TANQUE DISTRIBUIDOR DE ASFALTO</t>
  </si>
  <si>
    <t>USINA MÓVEL PARA MICRO REVESTIMENTO</t>
  </si>
  <si>
    <t>Rebocados</t>
  </si>
  <si>
    <t>CARREGADEIRA DE PNEUS CAT - 924 H OU EQUIVALENTE</t>
  </si>
  <si>
    <t>CARREGADEIRA DE PNEUS CAT - 950 H OU EQUIVALENTE</t>
  </si>
  <si>
    <t>ESCAVADEIRA HIDRÁULICA - 320DL OU EQUIVALENTE</t>
  </si>
  <si>
    <t>ESCAVADEIRA HIDRÁULICA - CAT 323DL OU EQUIVALENTE</t>
  </si>
  <si>
    <t>FRESADORA A FRIO - W 200 F OU EQUIVALENTE</t>
  </si>
  <si>
    <t>MINI-CARREGADEIRA DE PNEUS COM FRESADORA</t>
  </si>
  <si>
    <t>MINI-CARREGADEIRA DE PNEUS COM VASSOURA DE 1,8 m</t>
  </si>
  <si>
    <t>MOTONIVELADORA - CAT 120K OU EQUIVALENTE</t>
  </si>
  <si>
    <t>PERFURATRIZ HIDRÁULICA SOBRE ESTEIRAS PARA ESTACA RAIZ</t>
  </si>
  <si>
    <t>PERFURATRIZ SOBRE ESTEIRAS - CRAWLER DRILL OU EQUIVALENTE</t>
  </si>
  <si>
    <t>RECICLADORA DE PAVIMENTO À FRIO - CATERPILLAR RM-500 OU EQUIVALENTE</t>
  </si>
  <si>
    <t>RETRO ESCAVADEIRA DE PNEUS - CATERPILLAR 416E OU EQUIVALENTE</t>
  </si>
  <si>
    <t>ROLO COMPACTADOR DE PNEUS AUTOPROPELIDO - 27 T</t>
  </si>
  <si>
    <t>ROLO LISO TANDEN - 6/8 T - CA-150 OU EQUIVALENTE</t>
  </si>
  <si>
    <t>ROLO LISO VIBRATÓRIO AUTOPROPELIDO - CS533 E OU EQUIVALENTE</t>
  </si>
  <si>
    <t>ROLO PÉ DE CARNEIRO AUTOPROPELIDO - CA 250 OU EQUIVALENTE</t>
  </si>
  <si>
    <t>TANQUE DE ESTOCAGEM ASFALTO (30.000L)</t>
  </si>
  <si>
    <t>TRATOR DE PNEUS AGRÍCOLA - MF 4292 OU EQUIVALENTE</t>
  </si>
  <si>
    <t>TRATOR DE PNEUS COM ROÇADEIRA</t>
  </si>
  <si>
    <t>TRATOR ESTEIRAS COM LÂMINA - CAT D8 OU EQUIVALENTE</t>
  </si>
  <si>
    <t>TRATOR ESTEIRAS COM ESCARIFICADOR - CAT D8 OU EQUIVALENTE</t>
  </si>
  <si>
    <t>TRATOR ESTEIRAS COM LAMINA - CAT D4 OU EQUIVALENTE</t>
  </si>
  <si>
    <t>TRATOR ESTEIRAS COM LAMINA - CAT D6 OU EQUIVALENTE</t>
  </si>
  <si>
    <t>USINA DE ASFALTO A QUENTE 80 t/h</t>
  </si>
  <si>
    <t>USINA MISTURADORA DE SOLO 300 t/h</t>
  </si>
  <si>
    <t>USINA PRÉ-MISTURADO A FRIO 60 t/h</t>
  </si>
  <si>
    <t>VIBROACABADORA DE ASFALTO SOBRE ESTEIRAS</t>
  </si>
  <si>
    <t>Sub Total de Equipamento (D) :</t>
  </si>
  <si>
    <t>Mão de Obra</t>
  </si>
  <si>
    <t>Percentual mobilizado (G)</t>
  </si>
  <si>
    <t>Total
(GxHxI)</t>
  </si>
  <si>
    <t>-</t>
  </si>
  <si>
    <t>EFETIVO PESSOAL A SER MOBILIZADO</t>
  </si>
  <si>
    <t>Sub Total de Mão de Obra (J) :</t>
  </si>
  <si>
    <t>Custo por Mobilização (K=F+J) :</t>
  </si>
  <si>
    <t>Preço por Mobilização (M=K+L) :</t>
  </si>
  <si>
    <t>Total Mobilização / Desmobilização (2xM) :</t>
  </si>
  <si>
    <t>GOINFRA
RODOVIÁRIA</t>
  </si>
  <si>
    <t>MOBILIZAÇÃO / DESMOBILIZAÇÃO - CONFORME DEMONSTRATIVO</t>
  </si>
  <si>
    <t>Hora
Produtiva
(B)</t>
  </si>
  <si>
    <t>Total
(CxDxE)</t>
  </si>
  <si>
    <t>Custo
(H)</t>
  </si>
  <si>
    <t>Total de
operários 
(I)</t>
  </si>
  <si>
    <t>BDI:  (L) :</t>
  </si>
  <si>
    <t>KM</t>
  </si>
  <si>
    <t>DT =</t>
  </si>
  <si>
    <t>CANTINA - (OBRAS CIVIS)</t>
  </si>
  <si>
    <t>Banco</t>
  </si>
  <si>
    <t xml:space="preserve"> 0005 </t>
  </si>
  <si>
    <t>AGETOP CIVIL</t>
  </si>
  <si>
    <t>SERVENTE</t>
  </si>
  <si>
    <t xml:space="preserve"> 0037 </t>
  </si>
  <si>
    <t>VIGIA DE OBRA NOTURNO-SÁBADO/DOMINGO DIURNO (SALÁRIO X 1,5864)</t>
  </si>
  <si>
    <t xml:space="preserve"> 0002 </t>
  </si>
  <si>
    <t>ENCARREGADO</t>
  </si>
  <si>
    <t xml:space="preserve"> 0008 </t>
  </si>
  <si>
    <t>AJUDANTE</t>
  </si>
  <si>
    <t xml:space="preserve"> 0038 </t>
  </si>
  <si>
    <t>TÉCNICO EM SEGURANÇA DO TRABALHO</t>
  </si>
  <si>
    <t xml:space="preserve"> 0004 </t>
  </si>
  <si>
    <t>PEDREIRO</t>
  </si>
  <si>
    <t xml:space="preserve"> 0017 </t>
  </si>
  <si>
    <t>ALMOXARIFE/APONTADOR</t>
  </si>
  <si>
    <t xml:space="preserve"> 0006 </t>
  </si>
  <si>
    <t>ARMADOR</t>
  </si>
  <si>
    <t xml:space="preserve"> 0010 </t>
  </si>
  <si>
    <t>CARPINTEIRO</t>
  </si>
  <si>
    <t xml:space="preserve"> 0011 </t>
  </si>
  <si>
    <t>ENCANADOR</t>
  </si>
  <si>
    <t xml:space="preserve"> 0025 </t>
  </si>
  <si>
    <t>OFICIAL "B"</t>
  </si>
  <si>
    <t xml:space="preserve"> 48 </t>
  </si>
  <si>
    <t>Auxiliar topografia - SICRO</t>
  </si>
  <si>
    <t xml:space="preserve"> 70 </t>
  </si>
  <si>
    <t>Topógrafo - SICRO</t>
  </si>
  <si>
    <t xml:space="preserve"> 0030 </t>
  </si>
  <si>
    <t>AJUDANTE DE CARPINTEIRO</t>
  </si>
  <si>
    <t xml:space="preserve"> 0012 </t>
  </si>
  <si>
    <t>ELETRICISTA</t>
  </si>
  <si>
    <t xml:space="preserve"> 0032 </t>
  </si>
  <si>
    <t>OPERADOR DE BETONEIRA</t>
  </si>
  <si>
    <t xml:space="preserve"> 0018 </t>
  </si>
  <si>
    <t>PINTOR</t>
  </si>
  <si>
    <t xml:space="preserve"> 0019 </t>
  </si>
  <si>
    <t>JARDINEIRO</t>
  </si>
  <si>
    <t xml:space="preserve"> 0021 </t>
  </si>
  <si>
    <t>SERRALHEIRO</t>
  </si>
  <si>
    <t>Quantidade
Horas</t>
  </si>
  <si>
    <t xml:space="preserve">Total </t>
  </si>
  <si>
    <t>CAFE DA MANHA</t>
  </si>
  <si>
    <t>Total 
Profissionais</t>
  </si>
  <si>
    <t>PRAZO =</t>
  </si>
  <si>
    <t>O barracão de obras destina-se ao apoio logístico da obra e acomodação de funcionários, em consonância o que rege a NR-18.
No dimensionamento do barracão para este empreendimento  contempla: REFEITÓRIO, ÁREA DE LAZER, VESTIÁRIOS, BANHEIROS, AMBULATÓRIO, ESCRITÓRIOS E ALMOXARIFADO.
O cálculo é baseado na quantidade de funcionarios que a obra contemplará.</t>
  </si>
  <si>
    <t>Quantidade máxima de funcionários</t>
  </si>
  <si>
    <t>Dimensionamento dos banheiros</t>
  </si>
  <si>
    <t>Requisitos:</t>
  </si>
  <si>
    <t>01 conjunto de lavatório, vaso sanitário e mictório para cada 15 funcionários</t>
  </si>
  <si>
    <t>01 conjunto de chuveiro para cada 8 funcionários</t>
  </si>
  <si>
    <t>Estimativa de área:</t>
  </si>
  <si>
    <t>Vaso sanitário</t>
  </si>
  <si>
    <t>Masculino e Feminino (x2)</t>
  </si>
  <si>
    <t>Chuveiro</t>
  </si>
  <si>
    <t>Lavatório</t>
  </si>
  <si>
    <t>Mictório</t>
  </si>
  <si>
    <t xml:space="preserve">Masculino </t>
  </si>
  <si>
    <t>Dimensionamento do vestiário</t>
  </si>
  <si>
    <t>Área estimada</t>
  </si>
  <si>
    <t>m² por funcionário</t>
  </si>
  <si>
    <t>80% masculino</t>
  </si>
  <si>
    <t>20% feminino</t>
  </si>
  <si>
    <t>Dimensionamento do refeitório</t>
  </si>
  <si>
    <t>Dimensionamento da área de lazer</t>
  </si>
  <si>
    <t>Dimensionamento do ambulatório</t>
  </si>
  <si>
    <t>Dimensionamento do escritório</t>
  </si>
  <si>
    <t>Engenharia</t>
  </si>
  <si>
    <t xml:space="preserve">m² </t>
  </si>
  <si>
    <t>Estagiários e técnicos</t>
  </si>
  <si>
    <t>Área (x2)</t>
  </si>
  <si>
    <t>Banheiro</t>
  </si>
  <si>
    <t>Dimensionamento da portaria</t>
  </si>
  <si>
    <t>Portaria</t>
  </si>
  <si>
    <t>Dimensionamento do almoxarifado</t>
  </si>
  <si>
    <t>Almoxarifado</t>
  </si>
  <si>
    <t>Área Total</t>
  </si>
  <si>
    <t>0001</t>
  </si>
  <si>
    <t>ENGENHEIRO</t>
  </si>
  <si>
    <t xml:space="preserve"> 20031 </t>
  </si>
  <si>
    <t>AGETOP RODOVIARIA</t>
  </si>
  <si>
    <t xml:space="preserve"> 20026 </t>
  </si>
  <si>
    <t>OPERADOR DE EQUIPAMENTO PESADO</t>
  </si>
  <si>
    <t xml:space="preserve"> 20002 </t>
  </si>
  <si>
    <t>ENCARREGADO DE SERVIÇO</t>
  </si>
  <si>
    <t>Custo Médio</t>
  </si>
  <si>
    <t>Custo Total</t>
  </si>
  <si>
    <t>Área virtual</t>
  </si>
  <si>
    <t>MEMORIAL DE CÁLCULO E LEVANTAMENTOS</t>
  </si>
  <si>
    <t>Município da Obra</t>
  </si>
  <si>
    <t>Base de cálculo ISS do município</t>
  </si>
  <si>
    <t>ISS:</t>
  </si>
  <si>
    <t>Valor percentual adotado</t>
  </si>
  <si>
    <t>Limites das parcelas do BDI para obras do tipo acima selecionado.
Acórdão TCU 2622/2013</t>
  </si>
  <si>
    <t>Mín</t>
  </si>
  <si>
    <t>Med.</t>
  </si>
  <si>
    <t>Máx.</t>
  </si>
  <si>
    <r>
      <t xml:space="preserve">(AC) - </t>
    </r>
    <r>
      <rPr>
        <sz val="10"/>
        <rFont val="Arial Narrow"/>
        <family val="2"/>
      </rPr>
      <t>Administração Central</t>
    </r>
  </si>
  <si>
    <r>
      <t xml:space="preserve">(S) + (G) - </t>
    </r>
    <r>
      <rPr>
        <sz val="10"/>
        <rFont val="Arial Narrow"/>
        <family val="2"/>
      </rPr>
      <t>Seguro e Garantia</t>
    </r>
  </si>
  <si>
    <r>
      <t xml:space="preserve">(R) - </t>
    </r>
    <r>
      <rPr>
        <sz val="10"/>
        <rFont val="Arial Narrow"/>
        <family val="2"/>
      </rPr>
      <t>Risco</t>
    </r>
  </si>
  <si>
    <r>
      <t xml:space="preserve">(DF) - </t>
    </r>
    <r>
      <rPr>
        <sz val="10"/>
        <rFont val="Arial Narrow"/>
        <family val="2"/>
      </rPr>
      <t>Despesas Financeiras</t>
    </r>
  </si>
  <si>
    <r>
      <t xml:space="preserve">(L) - </t>
    </r>
    <r>
      <rPr>
        <sz val="10"/>
        <rFont val="Arial Narrow"/>
        <family val="2"/>
      </rPr>
      <t>Lucro</t>
    </r>
  </si>
  <si>
    <r>
      <t xml:space="preserve">(I1) - </t>
    </r>
    <r>
      <rPr>
        <sz val="10"/>
        <rFont val="Arial Narrow"/>
        <family val="2"/>
      </rPr>
      <t>PIS</t>
    </r>
  </si>
  <si>
    <r>
      <t xml:space="preserve">(I2) - </t>
    </r>
    <r>
      <rPr>
        <sz val="10"/>
        <rFont val="Arial Narrow"/>
        <family val="2"/>
      </rPr>
      <t>COFINS</t>
    </r>
  </si>
  <si>
    <r>
      <t xml:space="preserve">(I3) - </t>
    </r>
    <r>
      <rPr>
        <sz val="10"/>
        <rFont val="Arial Narrow"/>
        <family val="2"/>
      </rPr>
      <t>ISS</t>
    </r>
  </si>
  <si>
    <r>
      <t xml:space="preserve">(I4) - </t>
    </r>
    <r>
      <rPr>
        <sz val="10"/>
        <rFont val="Arial Narrow"/>
        <family val="2"/>
      </rPr>
      <t>Contribuição Previdenciária (CPRB)</t>
    </r>
  </si>
  <si>
    <t>BDI Adotado</t>
  </si>
  <si>
    <t>Limites do valor do BDI para obras do tipo acima selecionado.
Acórdão TCU 2622/2013</t>
  </si>
  <si>
    <t>O valores do BDI acima foram calculados com emprego da equação a seguir:</t>
  </si>
  <si>
    <t>Onde:</t>
  </si>
  <si>
    <t>AC - taxa de rateio da Administração Central</t>
  </si>
  <si>
    <t>DF - taxa das despesas financeiras</t>
  </si>
  <si>
    <t>R, S, G - taxa de risco, seguro e garantia do empreendimento</t>
  </si>
  <si>
    <t>I - taxa de tributos (onerado: I = COFINS+PIS+ISS / desonerado: I = COFINS+PIS+ISS+CPRB)</t>
  </si>
  <si>
    <t>L - taxa de lucro</t>
  </si>
  <si>
    <t>*Fonte da composição, valores de referência e fórmula do BDI: Acórdão 2622/2013-TCU-Plenário</t>
  </si>
  <si>
    <t>MATRINCHÃ - GO</t>
  </si>
  <si>
    <t>BONIFICAÇÃO DE DESPESAS INDIRETAS
BDI - DIFERENCIADO COM DESONERAÇÃO</t>
  </si>
  <si>
    <t>BONIFICAÇÃO DE DESPESAS INDIRETAS
BDI - NORMAL COM DESONERAÇÃO</t>
  </si>
  <si>
    <t>BONIFICAÇÃO DE DESPESAS INDIRETAS
BDI - DIFERENCIADO SEM DESONERAÇÃO</t>
  </si>
  <si>
    <t>Unidade</t>
  </si>
  <si>
    <t>Preço Unitário</t>
  </si>
  <si>
    <t>GOINFRA CIVIL</t>
  </si>
  <si>
    <t>und</t>
  </si>
  <si>
    <t>SINAPI</t>
  </si>
  <si>
    <t>Qtd</t>
  </si>
  <si>
    <t>Valor Unit</t>
  </si>
  <si>
    <t>Valor Unit com BDI</t>
  </si>
  <si>
    <t>Peso (%)</t>
  </si>
  <si>
    <t xml:space="preserve"> 1</t>
  </si>
  <si>
    <t xml:space="preserve"> 1.1 </t>
  </si>
  <si>
    <t xml:space="preserve"> 250101 </t>
  </si>
  <si>
    <t>ENGENHEIRO - (OBRAS CIVIS)</t>
  </si>
  <si>
    <t xml:space="preserve"> 1.2 </t>
  </si>
  <si>
    <t xml:space="preserve"> 1.3 </t>
  </si>
  <si>
    <t xml:space="preserve"> 250103 </t>
  </si>
  <si>
    <t xml:space="preserve"> 1.4 </t>
  </si>
  <si>
    <t xml:space="preserve"> 250105 </t>
  </si>
  <si>
    <t>ALMOXARIFE - (OBRAS CIVIS)</t>
  </si>
  <si>
    <t xml:space="preserve"> 250110 </t>
  </si>
  <si>
    <t>VIGIA DE OBRAS - (NOTURNO  E NO SÁBADO/DOMINGO DIURNO) - O.C.</t>
  </si>
  <si>
    <t xml:space="preserve"> 2</t>
  </si>
  <si>
    <t xml:space="preserve"> 2.1 </t>
  </si>
  <si>
    <t xml:space="preserve"> 020212 </t>
  </si>
  <si>
    <t>BARRACÃO DE OBRAS PADRÃO GOINFRA ( BLOCOS,COBERTURAS,PASSARELAS E MÓVEIS), SEM ALOJAMENTO E LAVANDERIA , COM PINTURA, EM CONSONÂNCIA COM AS NR</t>
  </si>
  <si>
    <t xml:space="preserve"> 2.2 </t>
  </si>
  <si>
    <t xml:space="preserve"> 020303 </t>
  </si>
  <si>
    <t>DEPÓSITO PARA CIMENTO TIPO II  COM PINTURA PADRÃO GOINFRA (3,30 X 3,30 M) A=10,89 M2 (C/ REAPROV. 1 VEZ ) - INCLUSO PALETES</t>
  </si>
  <si>
    <t xml:space="preserve"> 2.3 </t>
  </si>
  <si>
    <t xml:space="preserve"> 020400 </t>
  </si>
  <si>
    <t>Un</t>
  </si>
  <si>
    <t xml:space="preserve"> 2.4 </t>
  </si>
  <si>
    <t xml:space="preserve"> 020501 </t>
  </si>
  <si>
    <t xml:space="preserve"> 2.5 </t>
  </si>
  <si>
    <t xml:space="preserve"> 021602 </t>
  </si>
  <si>
    <t xml:space="preserve"> 2.6 </t>
  </si>
  <si>
    <t xml:space="preserve"> 020200 </t>
  </si>
  <si>
    <t xml:space="preserve"> 2.7 </t>
  </si>
  <si>
    <t xml:space="preserve"> 021301 </t>
  </si>
  <si>
    <t xml:space="preserve"> 2.8 </t>
  </si>
  <si>
    <t xml:space="preserve"> 271502 </t>
  </si>
  <si>
    <t>RE</t>
  </si>
  <si>
    <t xml:space="preserve"> 2.9 </t>
  </si>
  <si>
    <t xml:space="preserve"> 271500 </t>
  </si>
  <si>
    <t xml:space="preserve"> 3</t>
  </si>
  <si>
    <t xml:space="preserve"> 3.1 </t>
  </si>
  <si>
    <t xml:space="preserve"> 020190 </t>
  </si>
  <si>
    <t xml:space="preserve"> 3.2 </t>
  </si>
  <si>
    <t xml:space="preserve"> 020702 </t>
  </si>
  <si>
    <t xml:space="preserve"> 3.3 </t>
  </si>
  <si>
    <t xml:space="preserve"> 050250 </t>
  </si>
  <si>
    <t>TRAÇO DE CONCRETO</t>
  </si>
  <si>
    <t xml:space="preserve"> 3.4 </t>
  </si>
  <si>
    <t xml:space="preserve"> 050251 </t>
  </si>
  <si>
    <t>CORPO DE PROVA</t>
  </si>
  <si>
    <t xml:space="preserve"> 3.5 </t>
  </si>
  <si>
    <t xml:space="preserve"> SEINFRA-0131 </t>
  </si>
  <si>
    <t>Próprio</t>
  </si>
  <si>
    <t xml:space="preserve"> 3.6 </t>
  </si>
  <si>
    <t xml:space="preserve"> SEINFRA-0132 </t>
  </si>
  <si>
    <t xml:space="preserve"> 3.7 </t>
  </si>
  <si>
    <t xml:space="preserve"> 42301 </t>
  </si>
  <si>
    <t xml:space="preserve"> 4</t>
  </si>
  <si>
    <t xml:space="preserve"> 4.1 </t>
  </si>
  <si>
    <t xml:space="preserve"> SEINFRA-0111 </t>
  </si>
  <si>
    <t xml:space="preserve"> 4.2 </t>
  </si>
  <si>
    <t xml:space="preserve"> SEINFRA-0112 </t>
  </si>
  <si>
    <t xml:space="preserve"> 4.3 </t>
  </si>
  <si>
    <t xml:space="preserve"> 020130 </t>
  </si>
  <si>
    <t xml:space="preserve"> 4.4 </t>
  </si>
  <si>
    <t xml:space="preserve"> SEINFRA-0117 </t>
  </si>
  <si>
    <t xml:space="preserve"> 4.5 </t>
  </si>
  <si>
    <t xml:space="preserve"> 030101 </t>
  </si>
  <si>
    <t>TRANSPORTE DE ENTULHO EM CAMINHÃO  INCLUSO A CARGA MANUAL</t>
  </si>
  <si>
    <t xml:space="preserve"> 5</t>
  </si>
  <si>
    <t xml:space="preserve"> 5.1 </t>
  </si>
  <si>
    <t xml:space="preserve"> 040101 </t>
  </si>
  <si>
    <t xml:space="preserve"> 5.2 </t>
  </si>
  <si>
    <t xml:space="preserve"> 040103 </t>
  </si>
  <si>
    <t>ESCAVAÇAO MANUAL DE VALAS PROF. 1 A 2 M</t>
  </si>
  <si>
    <t xml:space="preserve"> 5.3 </t>
  </si>
  <si>
    <t xml:space="preserve"> 041004 </t>
  </si>
  <si>
    <t>ESCAVACAO MECANICA</t>
  </si>
  <si>
    <t xml:space="preserve"> 5.4 </t>
  </si>
  <si>
    <t xml:space="preserve"> 050901 </t>
  </si>
  <si>
    <t xml:space="preserve"> 5.5 </t>
  </si>
  <si>
    <t xml:space="preserve"> 041002 </t>
  </si>
  <si>
    <t xml:space="preserve"> 5.6 </t>
  </si>
  <si>
    <t xml:space="preserve"> 041146 </t>
  </si>
  <si>
    <t xml:space="preserve"> 5.7 </t>
  </si>
  <si>
    <t xml:space="preserve"> 041006 </t>
  </si>
  <si>
    <t>m3km</t>
  </si>
  <si>
    <t xml:space="preserve"> 5.8 </t>
  </si>
  <si>
    <t xml:space="preserve"> 051027 </t>
  </si>
  <si>
    <t xml:space="preserve"> 5.9 </t>
  </si>
  <si>
    <t xml:space="preserve"> 041013 </t>
  </si>
  <si>
    <t xml:space="preserve"> 5.10 </t>
  </si>
  <si>
    <t xml:space="preserve"> 050905 </t>
  </si>
  <si>
    <t xml:space="preserve"> 5.11 </t>
  </si>
  <si>
    <t xml:space="preserve"> 050903 </t>
  </si>
  <si>
    <t>REATERRO COM APILOAMENTO MANUAL (BLOCOS/SAPATAS)</t>
  </si>
  <si>
    <t xml:space="preserve"> 5.12 </t>
  </si>
  <si>
    <t xml:space="preserve"> SEINFRA-0105 </t>
  </si>
  <si>
    <t xml:space="preserve"> 6</t>
  </si>
  <si>
    <t xml:space="preserve"> 6.1</t>
  </si>
  <si>
    <t xml:space="preserve"> 6.1.1 </t>
  </si>
  <si>
    <t xml:space="preserve"> 051024 </t>
  </si>
  <si>
    <t xml:space="preserve"> 6.1.2 </t>
  </si>
  <si>
    <t xml:space="preserve"> 051009 </t>
  </si>
  <si>
    <t xml:space="preserve"> 6.1.3 </t>
  </si>
  <si>
    <t xml:space="preserve"> 052003 </t>
  </si>
  <si>
    <t>Kg</t>
  </si>
  <si>
    <t xml:space="preserve"> 6.1.4 </t>
  </si>
  <si>
    <t xml:space="preserve"> 052004 </t>
  </si>
  <si>
    <t xml:space="preserve"> 6.1.5 </t>
  </si>
  <si>
    <t xml:space="preserve"> 052005 </t>
  </si>
  <si>
    <t xml:space="preserve"> 6.1.6 </t>
  </si>
  <si>
    <t xml:space="preserve"> 052014 </t>
  </si>
  <si>
    <t xml:space="preserve"> 6.1.7 </t>
  </si>
  <si>
    <t xml:space="preserve"> 051030 </t>
  </si>
  <si>
    <t xml:space="preserve"> 6.1.8 </t>
  </si>
  <si>
    <t xml:space="preserve"> 051055 </t>
  </si>
  <si>
    <t xml:space="preserve"> 6.1.9 </t>
  </si>
  <si>
    <t xml:space="preserve"> SEINFRA-0022 </t>
  </si>
  <si>
    <t xml:space="preserve"> 6.2</t>
  </si>
  <si>
    <t xml:space="preserve"> 6.2.1 </t>
  </si>
  <si>
    <t xml:space="preserve"> SEINFRA-0023 </t>
  </si>
  <si>
    <t>ESTACA ESCAVADA MECANICAMENTE - Ø 400MM. (ADAPTADO DE ORSE 9950)</t>
  </si>
  <si>
    <t xml:space="preserve"> 6.2.2 </t>
  </si>
  <si>
    <t xml:space="preserve"> 6.2.3 </t>
  </si>
  <si>
    <t xml:space="preserve"> 052007 </t>
  </si>
  <si>
    <t xml:space="preserve"> 6.2.4 </t>
  </si>
  <si>
    <t xml:space="preserve"> 6.2.5 </t>
  </si>
  <si>
    <t xml:space="preserve"> 6.2.6 </t>
  </si>
  <si>
    <t xml:space="preserve"> SEINFRA-0024 </t>
  </si>
  <si>
    <t xml:space="preserve"> 6.3</t>
  </si>
  <si>
    <t xml:space="preserve"> 6.3.1 </t>
  </si>
  <si>
    <t xml:space="preserve"> 6.3.2 </t>
  </si>
  <si>
    <t xml:space="preserve"> 6.3.3 </t>
  </si>
  <si>
    <t xml:space="preserve"> 6.3.4 </t>
  </si>
  <si>
    <t xml:space="preserve"> 6.3.5 </t>
  </si>
  <si>
    <t xml:space="preserve"> 6.3.6 </t>
  </si>
  <si>
    <t xml:space="preserve"> 6.3.7 </t>
  </si>
  <si>
    <t xml:space="preserve"> 6.3.8 </t>
  </si>
  <si>
    <t xml:space="preserve"> SEINFRA-0119 </t>
  </si>
  <si>
    <t>CONCRETO CICLÓPICO FCK = 15MPA, 30% PEDRA DE MÃO EM VOLUME REAL, INCLUSIVE LANÇAMENTO.  (ADAPTADO DE SINAPI 102487)</t>
  </si>
  <si>
    <t xml:space="preserve"> 7</t>
  </si>
  <si>
    <t xml:space="preserve"> 7.1</t>
  </si>
  <si>
    <t xml:space="preserve"> 7.1.1 </t>
  </si>
  <si>
    <t xml:space="preserve"> 060214 </t>
  </si>
  <si>
    <t xml:space="preserve"> 7.2</t>
  </si>
  <si>
    <t xml:space="preserve"> 7.2.1 </t>
  </si>
  <si>
    <t xml:space="preserve"> 060303 </t>
  </si>
  <si>
    <t xml:space="preserve"> 7.2.2 </t>
  </si>
  <si>
    <t xml:space="preserve"> 060304 </t>
  </si>
  <si>
    <t xml:space="preserve"> 7.2.3 </t>
  </si>
  <si>
    <t xml:space="preserve"> 060305 </t>
  </si>
  <si>
    <t xml:space="preserve"> 7.2.4 </t>
  </si>
  <si>
    <t xml:space="preserve"> 060308 </t>
  </si>
  <si>
    <t xml:space="preserve"> 7.2.5 </t>
  </si>
  <si>
    <t xml:space="preserve"> 060310 </t>
  </si>
  <si>
    <t>ACO CA 50-A - 25,0 MM (1") - (OBRAS CIVIS)</t>
  </si>
  <si>
    <t xml:space="preserve"> 7.2.6 </t>
  </si>
  <si>
    <t xml:space="preserve"> 060314 </t>
  </si>
  <si>
    <t xml:space="preserve"> 7.3</t>
  </si>
  <si>
    <t xml:space="preserve"> 7.3.1 </t>
  </si>
  <si>
    <t xml:space="preserve"> 060517 </t>
  </si>
  <si>
    <t xml:space="preserve"> 7.3.2 </t>
  </si>
  <si>
    <t xml:space="preserve"> 060802 </t>
  </si>
  <si>
    <t>LANÇAMENTO/APLICAÇÃO/ADENSAMENTO DE CONCRETO EM ESTRUTURA - (O.C.)</t>
  </si>
  <si>
    <t xml:space="preserve"> 7.4</t>
  </si>
  <si>
    <t xml:space="preserve"> 7.4.1 </t>
  </si>
  <si>
    <t xml:space="preserve"> 061101 </t>
  </si>
  <si>
    <t xml:space="preserve"> 8</t>
  </si>
  <si>
    <t xml:space="preserve"> 8.1 </t>
  </si>
  <si>
    <t xml:space="preserve"> 100102 </t>
  </si>
  <si>
    <t>ALVENARIA DE TIJOLO COMUM 1/2 VEZ - ARGAMASSA (1CI</t>
  </si>
  <si>
    <t xml:space="preserve"> 8.2 </t>
  </si>
  <si>
    <t xml:space="preserve"> SEINFRA-0107 </t>
  </si>
  <si>
    <t xml:space="preserve"> 8.3 </t>
  </si>
  <si>
    <t xml:space="preserve"> 100155 </t>
  </si>
  <si>
    <t>ALVENARIA DE TIJOLO FURADO 1/2 VEZ 11,5 X 19 X 19 - ARG. ( 1 CALH</t>
  </si>
  <si>
    <t xml:space="preserve"> 9</t>
  </si>
  <si>
    <t xml:space="preserve"> 9.1</t>
  </si>
  <si>
    <t xml:space="preserve"> 9.1.1 </t>
  </si>
  <si>
    <t xml:space="preserve"> SEINFRA-0027 </t>
  </si>
  <si>
    <t xml:space="preserve"> 9.1.2 </t>
  </si>
  <si>
    <t xml:space="preserve"> 080840 </t>
  </si>
  <si>
    <t>TAMPA T-5 ARTICULADA 20X20</t>
  </si>
  <si>
    <t xml:space="preserve"> 9.1.3 </t>
  </si>
  <si>
    <t xml:space="preserve"> 180703 </t>
  </si>
  <si>
    <t xml:space="preserve"> 9.1.4 </t>
  </si>
  <si>
    <t xml:space="preserve"> 180280 </t>
  </si>
  <si>
    <t>PORTÃO DE ABRIR 02 FOLHAS DE TELA/TUBO FoGo 1.1/2" PT1/PT2 C/FERRAGENS</t>
  </si>
  <si>
    <t xml:space="preserve"> 9.1.5 </t>
  </si>
  <si>
    <t xml:space="preserve"> 180281 </t>
  </si>
  <si>
    <t>PORTÃO DE ABRIR 01 FOLHA TELA/TUBO FoGo 1.1/2" PT3 C/FERRAGENS</t>
  </si>
  <si>
    <t xml:space="preserve"> 9.1.6 </t>
  </si>
  <si>
    <t xml:space="preserve"> 180505 </t>
  </si>
  <si>
    <t>PORTA DE ABRIR DE 02 FOLHAS EM VENEZIANA PF-5 C/FERRAGENS</t>
  </si>
  <si>
    <t xml:space="preserve"> 10</t>
  </si>
  <si>
    <t xml:space="preserve"> 10.1</t>
  </si>
  <si>
    <t xml:space="preserve"> 10.1.1 </t>
  </si>
  <si>
    <t xml:space="preserve"> 120101 </t>
  </si>
  <si>
    <t xml:space="preserve"> 10.1.2 </t>
  </si>
  <si>
    <t xml:space="preserve"> 120207 </t>
  </si>
  <si>
    <t xml:space="preserve"> 10.2</t>
  </si>
  <si>
    <t xml:space="preserve"> 10.2.1 </t>
  </si>
  <si>
    <t xml:space="preserve"> 120107 </t>
  </si>
  <si>
    <t>MANTA ASFÁLTICA TIPO III - B ( 3 MM)</t>
  </si>
  <si>
    <t xml:space="preserve"> 11</t>
  </si>
  <si>
    <t xml:space="preserve"> 11.1</t>
  </si>
  <si>
    <t xml:space="preserve"> 11.1.1 </t>
  </si>
  <si>
    <t xml:space="preserve"> 200101 </t>
  </si>
  <si>
    <t xml:space="preserve"> 11.1.2 </t>
  </si>
  <si>
    <t xml:space="preserve"> 200201 </t>
  </si>
  <si>
    <t xml:space="preserve"> 11.1.3 </t>
  </si>
  <si>
    <t xml:space="preserve"> 200500 </t>
  </si>
  <si>
    <t xml:space="preserve"> 11.2</t>
  </si>
  <si>
    <t xml:space="preserve"> 11.2.1 </t>
  </si>
  <si>
    <t xml:space="preserve"> 201003 </t>
  </si>
  <si>
    <t xml:space="preserve"> 12</t>
  </si>
  <si>
    <t xml:space="preserve"> 12.1</t>
  </si>
  <si>
    <t xml:space="preserve"> 12.1.1 </t>
  </si>
  <si>
    <t xml:space="preserve"> 12.1.2 </t>
  </si>
  <si>
    <t xml:space="preserve"> 220100 </t>
  </si>
  <si>
    <t xml:space="preserve"> 12.1.3 </t>
  </si>
  <si>
    <t xml:space="preserve"> 220108 </t>
  </si>
  <si>
    <t>PISO CONCRETO SEMI POLIDO COM LASTRO (BASE) E=7,0 CM</t>
  </si>
  <si>
    <t xml:space="preserve"> 12.2</t>
  </si>
  <si>
    <t xml:space="preserve"> 12.2.1 </t>
  </si>
  <si>
    <t xml:space="preserve"> 44201 </t>
  </si>
  <si>
    <t xml:space="preserve"> 12.2.2 </t>
  </si>
  <si>
    <t xml:space="preserve"> 44205 </t>
  </si>
  <si>
    <t xml:space="preserve"> 13</t>
  </si>
  <si>
    <t xml:space="preserve"> 13.1</t>
  </si>
  <si>
    <t xml:space="preserve"> 13.1.1 </t>
  </si>
  <si>
    <t xml:space="preserve"> 261300 </t>
  </si>
  <si>
    <t xml:space="preserve"> 13.1.2 </t>
  </si>
  <si>
    <t xml:space="preserve"> 261000 </t>
  </si>
  <si>
    <t xml:space="preserve"> 13.2</t>
  </si>
  <si>
    <t>PINTURAS DE SUPERFÍCIES METÁLICAS</t>
  </si>
  <si>
    <t xml:space="preserve"> 13.2.1 </t>
  </si>
  <si>
    <t xml:space="preserve"> 261602 </t>
  </si>
  <si>
    <t>PINTURA TINTA ESMALTE PARA ESQUADRIAS DE FERRO C  FUNDO ANTICORROSIVO</t>
  </si>
  <si>
    <t xml:space="preserve"> 14</t>
  </si>
  <si>
    <t xml:space="preserve"> 14.1</t>
  </si>
  <si>
    <t xml:space="preserve"> 14.1.1 </t>
  </si>
  <si>
    <t xml:space="preserve"> 071201 </t>
  </si>
  <si>
    <t>ELETRODUTO DE PVC RIGIDO DIAMETRO 3/4"</t>
  </si>
  <si>
    <t xml:space="preserve"> 14.1.2 </t>
  </si>
  <si>
    <t xml:space="preserve"> 071212 </t>
  </si>
  <si>
    <t>ELETRODUTO EM AÇO GALVANIZADO A FOGO DIÂMETRO 1" - PESADO</t>
  </si>
  <si>
    <t xml:space="preserve"> 14.1.3 </t>
  </si>
  <si>
    <t xml:space="preserve"> 070581 </t>
  </si>
  <si>
    <t>CABO FLEXÍVEL PVC (70° C), 0,6/1 KV, 2,5 MM2</t>
  </si>
  <si>
    <t xml:space="preserve"> 14.1.4 </t>
  </si>
  <si>
    <t xml:space="preserve"> 070584 </t>
  </si>
  <si>
    <t>CABO FLEXÍVEL PVC (70° C), 0,6/1 KV, 10 MM2</t>
  </si>
  <si>
    <t xml:space="preserve"> 14.2</t>
  </si>
  <si>
    <t xml:space="preserve"> 14.2.1 </t>
  </si>
  <si>
    <t xml:space="preserve"> 072320 </t>
  </si>
  <si>
    <t>RELE FOTO ELETRICO COM BASE</t>
  </si>
  <si>
    <t xml:space="preserve"> 14.2.2 </t>
  </si>
  <si>
    <t xml:space="preserve"> 071702 </t>
  </si>
  <si>
    <t>LUVA  EM AÇO GALVANIZADO DIÂMETRO 1"</t>
  </si>
  <si>
    <t xml:space="preserve"> 14.2.3 </t>
  </si>
  <si>
    <t xml:space="preserve"> 071152 </t>
  </si>
  <si>
    <t>CURVA DE 90 GRAUS AÇO GALVANIZADO DIAM.1"</t>
  </si>
  <si>
    <t xml:space="preserve"> 14.2.4 </t>
  </si>
  <si>
    <t xml:space="preserve"> 070501 </t>
  </si>
  <si>
    <t>CABECOTE DE LIGA DE ALUMINIO DIAM. 1"</t>
  </si>
  <si>
    <t xml:space="preserve"> 14.2.5 </t>
  </si>
  <si>
    <t xml:space="preserve"> 070229 </t>
  </si>
  <si>
    <t>ARAME GALVANIZADO 12 BWG</t>
  </si>
  <si>
    <t xml:space="preserve"> 14.2.6 </t>
  </si>
  <si>
    <t xml:space="preserve"> 071741 </t>
  </si>
  <si>
    <t>LUVA PVC ROSQUEAVEL DIAMETRO 3/4"</t>
  </si>
  <si>
    <t xml:space="preserve"> 14.2.7 </t>
  </si>
  <si>
    <t xml:space="preserve"> SEINFRA-0028 </t>
  </si>
  <si>
    <t xml:space="preserve"> 14.2.8 </t>
  </si>
  <si>
    <t xml:space="preserve"> SEINFRA-0029 </t>
  </si>
  <si>
    <t xml:space="preserve"> 14.2.9 </t>
  </si>
  <si>
    <t xml:space="preserve"> 070372 </t>
  </si>
  <si>
    <t>BRACADEIRA METALICA TIPO "D" DIAM. 1"</t>
  </si>
  <si>
    <t xml:space="preserve"> 14.2.10 </t>
  </si>
  <si>
    <t xml:space="preserve"> 070204 </t>
  </si>
  <si>
    <t>ALÇA PRÉ-FORMADA DE DISTRIBUIÇÃO CA/CAA 4 AWG</t>
  </si>
  <si>
    <t xml:space="preserve"> 14.2.11 </t>
  </si>
  <si>
    <t xml:space="preserve"> 071480 </t>
  </si>
  <si>
    <t>ISOLADOR ROLDANA PORCELANA 72 X 72 MM</t>
  </si>
  <si>
    <t xml:space="preserve"> 14.2.12 </t>
  </si>
  <si>
    <t xml:space="preserve"> 070230 </t>
  </si>
  <si>
    <t>ARMACAO SECUNDARIA LEVE 1 ELEMENTO</t>
  </si>
  <si>
    <t xml:space="preserve"> 14.2.13 </t>
  </si>
  <si>
    <t xml:space="preserve"> 071805 </t>
  </si>
  <si>
    <t>PADRAO MONOFASICO, 10 MM2 H=7 METROS</t>
  </si>
  <si>
    <t xml:space="preserve"> 14.2.14 </t>
  </si>
  <si>
    <t xml:space="preserve"> 071032 </t>
  </si>
  <si>
    <t>CONECTOR TIPO PARAFUSO FENDIDO 10 MM2</t>
  </si>
  <si>
    <t xml:space="preserve"> 14.2.15 </t>
  </si>
  <si>
    <t xml:space="preserve"> 070422 </t>
  </si>
  <si>
    <t>BUCHA E ARRUELA METALICA DIAM. 1"</t>
  </si>
  <si>
    <t>PR</t>
  </si>
  <si>
    <t xml:space="preserve"> 14.2.16 </t>
  </si>
  <si>
    <t xml:space="preserve"> 085045 </t>
  </si>
  <si>
    <t>NIPLE DUPLO FERRO GALVANIZADO 1"</t>
  </si>
  <si>
    <t xml:space="preserve"> 14.2.17 </t>
  </si>
  <si>
    <t xml:space="preserve"> 081202 </t>
  </si>
  <si>
    <t>NIPLE COM ROSCA DIAMETRO 3/4"</t>
  </si>
  <si>
    <t xml:space="preserve"> 14.2.18 </t>
  </si>
  <si>
    <t xml:space="preserve"> 071141 </t>
  </si>
  <si>
    <t xml:space="preserve"> 14.2.19 </t>
  </si>
  <si>
    <t xml:space="preserve"> SEINFRA-0031 </t>
  </si>
  <si>
    <t xml:space="preserve"> 14.2.20 </t>
  </si>
  <si>
    <t xml:space="preserve"> 071171 </t>
  </si>
  <si>
    <t>DISJUNTOR MONOPOLAR DE 10 A 32-A</t>
  </si>
  <si>
    <t xml:space="preserve"> 14.2.21 </t>
  </si>
  <si>
    <t xml:space="preserve"> 071172 </t>
  </si>
  <si>
    <t>DISJUNTOR MONOPOLAR DE 35 A 50-A</t>
  </si>
  <si>
    <t xml:space="preserve"> 14.2.22 </t>
  </si>
  <si>
    <t xml:space="preserve"> 071184 </t>
  </si>
  <si>
    <t>DISPOSITIVO DE PROTEÇÃO CONTRA SURTOS (D.P.S.) 275V DE 8 A 40KA</t>
  </si>
  <si>
    <t xml:space="preserve"> 14.2.23 </t>
  </si>
  <si>
    <t xml:space="preserve"> 071640 </t>
  </si>
  <si>
    <t>LUMINÁRIA TIPO SINALIZADOR PARA 01 LÂMPADA</t>
  </si>
  <si>
    <t xml:space="preserve"> 14.2.24 </t>
  </si>
  <si>
    <t xml:space="preserve"> 071698 </t>
  </si>
  <si>
    <t>LUMINÁRIA LED TIPO PROJETOR RETANGULAR DE 80W A 100W</t>
  </si>
  <si>
    <t xml:space="preserve"> 14.2.25 </t>
  </si>
  <si>
    <t xml:space="preserve"> 070633 </t>
  </si>
  <si>
    <t>CAIXA DE PASSAGEM - ESCAVAÇÃO MANUAL / REATERRO/ APILOAMENTO DO FUNDO</t>
  </si>
  <si>
    <t xml:space="preserve"> 14.2.26 </t>
  </si>
  <si>
    <t xml:space="preserve"> 070634 </t>
  </si>
  <si>
    <t>CAIXA DE PASSAGEM -  TAMPA EM CONCRETO ARMADO 25 MPA E=5CM</t>
  </si>
  <si>
    <t xml:space="preserve"> 14.2.27 </t>
  </si>
  <si>
    <t xml:space="preserve"> 070635 </t>
  </si>
  <si>
    <t>CAIXA DE PASSAGEM -  ALVENARIA DE 1/2 VEZ COM REVESTIMENTO INTERNO EM REBOCO PAULISTA A-14</t>
  </si>
  <si>
    <t xml:space="preserve"> 14.2.28 </t>
  </si>
  <si>
    <t xml:space="preserve"> 070637 </t>
  </si>
  <si>
    <t xml:space="preserve"> 14.2.29 </t>
  </si>
  <si>
    <t xml:space="preserve"> SEINFRA-0030 </t>
  </si>
  <si>
    <t xml:space="preserve"> 14.2.30 </t>
  </si>
  <si>
    <t xml:space="preserve"> 071995 </t>
  </si>
  <si>
    <t>POSTE - ENGASTAMENTO SIMPLES PARA POSTE DE CONCRETO SEÇÃO DUPLO "T"</t>
  </si>
  <si>
    <t xml:space="preserve"> 14.2.31 </t>
  </si>
  <si>
    <t xml:space="preserve"> 072080 </t>
  </si>
  <si>
    <t>POSTE/TRAFO - CAMINHÃO MUNCK 12 TON. (MÍNIMO 4H/DIA)</t>
  </si>
  <si>
    <t xml:space="preserve"> 14.2.32 </t>
  </si>
  <si>
    <t xml:space="preserve"> 071761 </t>
  </si>
  <si>
    <t>MURETA DE MEDIÇÃO EM ALVENARIA 1 1/2 V.(35CM) REBOCADA, C/ PINTURA ACRÍLICA E LAJE EM CONCRETO 20MPA MALHA 8.0MM CADA 10CM REVESTIDA C/ARGAMASSA 1</t>
  </si>
  <si>
    <t xml:space="preserve"> 15</t>
  </si>
  <si>
    <t xml:space="preserve"> 15.1</t>
  </si>
  <si>
    <t xml:space="preserve"> 15.1.1 </t>
  </si>
  <si>
    <t xml:space="preserve"> 071202 </t>
  </si>
  <si>
    <t>ELETRODUTO DE PVC RIGIDO DIAMETRO 1"</t>
  </si>
  <si>
    <t xml:space="preserve"> 15.1.2 </t>
  </si>
  <si>
    <t xml:space="preserve"> 070541 </t>
  </si>
  <si>
    <t>CABO DE COBRE NU 16 MM2 (6,94 M/KG)</t>
  </si>
  <si>
    <t xml:space="preserve"> 15.1.3 </t>
  </si>
  <si>
    <t xml:space="preserve"> 070543 </t>
  </si>
  <si>
    <t>CABO DE COBRE NU 35 MM2</t>
  </si>
  <si>
    <t xml:space="preserve"> 15.1.4 </t>
  </si>
  <si>
    <t xml:space="preserve"> 070544 </t>
  </si>
  <si>
    <t>CABO DE COBRE NU 50 MM2</t>
  </si>
  <si>
    <t xml:space="preserve"> 15.2</t>
  </si>
  <si>
    <t xml:space="preserve"> 15.2.1 </t>
  </si>
  <si>
    <t xml:space="preserve"> 071833 </t>
  </si>
  <si>
    <t>PARA RAIOS DISTRIBUIDOR POLIMÉRICO ÓXIDO DE ZINCO S/CENTELHADOR C/ DESLIGAMENTO AUTOMÁTICO 15KV,10KA</t>
  </si>
  <si>
    <t xml:space="preserve"> 15.2.2 </t>
  </si>
  <si>
    <t xml:space="preserve"> 15.2.3 </t>
  </si>
  <si>
    <t xml:space="preserve"> 082379 </t>
  </si>
  <si>
    <t>TUBO FERRO GALVANIZADO 2.1/2"</t>
  </si>
  <si>
    <t xml:space="preserve"> 15.2.4 </t>
  </si>
  <si>
    <t xml:space="preserve"> 070356 </t>
  </si>
  <si>
    <t>BRACADEIRA METALICA TIPO "U" DIAM. 2.1/2"</t>
  </si>
  <si>
    <t xml:space="preserve"> 15.2.5 </t>
  </si>
  <si>
    <t xml:space="preserve"> 071471 </t>
  </si>
  <si>
    <t>ISOLADOR DE BAQUELITE SIMPLES COM SUPORTE E BRAÇADEIRA METÁLICA 1.1/2"</t>
  </si>
  <si>
    <t xml:space="preserve"> 15.2.6 </t>
  </si>
  <si>
    <t xml:space="preserve"> 071142 </t>
  </si>
  <si>
    <t>CURVA DE 90 GRAUS DE PVC RIGIDO DIAM. 1"</t>
  </si>
  <si>
    <t xml:space="preserve"> 15.2.7 </t>
  </si>
  <si>
    <t xml:space="preserve"> 070255 </t>
  </si>
  <si>
    <t>ATERRAMENTO - SOLDA EXOTÉRMICA - CARTUCHO 90 G</t>
  </si>
  <si>
    <t xml:space="preserve"> 15.2.8 </t>
  </si>
  <si>
    <t xml:space="preserve"> SEINFRA-0032 </t>
  </si>
  <si>
    <t xml:space="preserve"> 15.2.9 </t>
  </si>
  <si>
    <t xml:space="preserve"> 071381 </t>
  </si>
  <si>
    <t>HASTE REV.COBRE(COPPERWELD)  5/8" X 3,00 M C/CONECTOR</t>
  </si>
  <si>
    <t xml:space="preserve"> 15.2.10 </t>
  </si>
  <si>
    <t xml:space="preserve"> 072520 </t>
  </si>
  <si>
    <t>TERMINAL DE PRESSAO 16 MM2</t>
  </si>
  <si>
    <t xml:space="preserve"> 15.2.11 </t>
  </si>
  <si>
    <t xml:space="preserve"> 072528 </t>
  </si>
  <si>
    <t>TERMINAL DE PRESSAO 35 MM2</t>
  </si>
  <si>
    <t xml:space="preserve"> 15.2.12 </t>
  </si>
  <si>
    <t xml:space="preserve"> 071036 </t>
  </si>
  <si>
    <t>CONECTOR TIPO PARAFUSO FENDIDO 50 MM2</t>
  </si>
  <si>
    <t xml:space="preserve"> 16</t>
  </si>
  <si>
    <t xml:space="preserve"> 16.1 </t>
  </si>
  <si>
    <t xml:space="preserve"> SEINFRA-0033 </t>
  </si>
  <si>
    <t>CURVA DE 90° DE PVC RÍGIDO - PBA COM 1 PONTA E 1 BOLSA, CLASSE 12, INCLUSIVE FORNECIMENTO DO MATERIAL PARA JUNTA , DN 50 MM. (ADAPTADO DE  SCO DR 05.50.0450)</t>
  </si>
  <si>
    <t xml:space="preserve"> 16.2 </t>
  </si>
  <si>
    <t xml:space="preserve"> SEINFRA-0034 </t>
  </si>
  <si>
    <t xml:space="preserve"> 16.3 </t>
  </si>
  <si>
    <t xml:space="preserve"> SEINFRA-0035 </t>
  </si>
  <si>
    <t xml:space="preserve"> 16.4 </t>
  </si>
  <si>
    <t xml:space="preserve"> SEINFRA-0036 </t>
  </si>
  <si>
    <t xml:space="preserve"> 16.5 </t>
  </si>
  <si>
    <t xml:space="preserve"> SEINFRA-0037 </t>
  </si>
  <si>
    <t xml:space="preserve"> 16.6 </t>
  </si>
  <si>
    <t xml:space="preserve"> SEINFRA-0038 </t>
  </si>
  <si>
    <t xml:space="preserve"> 16.7 </t>
  </si>
  <si>
    <t xml:space="preserve"> SEINFRA-0039 </t>
  </si>
  <si>
    <t xml:space="preserve"> 16.8 </t>
  </si>
  <si>
    <t xml:space="preserve"> SEINFRA-0040 </t>
  </si>
  <si>
    <t xml:space="preserve"> 16.9 </t>
  </si>
  <si>
    <t xml:space="preserve"> SEINFRA-0041 </t>
  </si>
  <si>
    <t xml:space="preserve"> 16.10 </t>
  </si>
  <si>
    <t xml:space="preserve"> SEINFRA-0042 </t>
  </si>
  <si>
    <t xml:space="preserve"> 16.11 </t>
  </si>
  <si>
    <t xml:space="preserve"> SEINFRA-0043 </t>
  </si>
  <si>
    <t xml:space="preserve"> 16.12 </t>
  </si>
  <si>
    <t xml:space="preserve"> SEINFRA-0044 </t>
  </si>
  <si>
    <t xml:space="preserve"> 16.13 </t>
  </si>
  <si>
    <t xml:space="preserve"> SEINFRA-0046 </t>
  </si>
  <si>
    <t xml:space="preserve"> 16.14 </t>
  </si>
  <si>
    <t xml:space="preserve"> SEINFRA-0047 </t>
  </si>
  <si>
    <t xml:space="preserve"> 16.15 </t>
  </si>
  <si>
    <t xml:space="preserve"> SEINFRA-0048 </t>
  </si>
  <si>
    <t xml:space="preserve"> 16.16 </t>
  </si>
  <si>
    <t xml:space="preserve"> SEINFRA-0049 </t>
  </si>
  <si>
    <t xml:space="preserve"> 16.17 </t>
  </si>
  <si>
    <t xml:space="preserve"> SEINFRA-0050 </t>
  </si>
  <si>
    <t xml:space="preserve"> 16.18 </t>
  </si>
  <si>
    <t xml:space="preserve"> SEINFRA-0051 </t>
  </si>
  <si>
    <t xml:space="preserve"> 16.19 </t>
  </si>
  <si>
    <t xml:space="preserve"> SEINFRA-0053 </t>
  </si>
  <si>
    <t xml:space="preserve"> 16.20 </t>
  </si>
  <si>
    <t xml:space="preserve"> SEINFRA-0054 </t>
  </si>
  <si>
    <t xml:space="preserve"> 16.21 </t>
  </si>
  <si>
    <t xml:space="preserve"> SEINFRA-0055 </t>
  </si>
  <si>
    <t xml:space="preserve"> 16.22 </t>
  </si>
  <si>
    <t xml:space="preserve"> SEINFRA-0056 </t>
  </si>
  <si>
    <t xml:space="preserve"> 16.23 </t>
  </si>
  <si>
    <t xml:space="preserve"> SEINFRA-0057 </t>
  </si>
  <si>
    <t xml:space="preserve"> 16.24 </t>
  </si>
  <si>
    <t xml:space="preserve"> SEINFRA-0058 </t>
  </si>
  <si>
    <t xml:space="preserve"> 16.25 </t>
  </si>
  <si>
    <t xml:space="preserve"> SEINFRA-0059 </t>
  </si>
  <si>
    <t xml:space="preserve"> 16.26 </t>
  </si>
  <si>
    <t xml:space="preserve"> SEINFRA-0060 </t>
  </si>
  <si>
    <t xml:space="preserve"> 16.27 </t>
  </si>
  <si>
    <t xml:space="preserve"> SEINFRA-0061 </t>
  </si>
  <si>
    <t>TUBO DE FERRO FUNDIDO, DUCTIL, CLASSE K-9, PN-10, FLANGE - FLANGE, COM DIAMETRO NOMINAL DE 100MM. (ADAPTADO DE SCO DR 10.05.0053)</t>
  </si>
  <si>
    <t xml:space="preserve"> 16.28 </t>
  </si>
  <si>
    <t xml:space="preserve"> SEINFRA-0062 </t>
  </si>
  <si>
    <t xml:space="preserve"> 16.29 </t>
  </si>
  <si>
    <t xml:space="preserve"> SEINFRA-0063 </t>
  </si>
  <si>
    <t xml:space="preserve"> 16.30 </t>
  </si>
  <si>
    <t xml:space="preserve"> SEINFRA-0064 </t>
  </si>
  <si>
    <t xml:space="preserve"> 16.31 </t>
  </si>
  <si>
    <t xml:space="preserve"> SEINFRA-0065 </t>
  </si>
  <si>
    <t xml:space="preserve"> 16.32 </t>
  </si>
  <si>
    <t xml:space="preserve"> SEINFRA-0066 </t>
  </si>
  <si>
    <t xml:space="preserve"> 16.33 </t>
  </si>
  <si>
    <t xml:space="preserve"> SEINFRA-0067 </t>
  </si>
  <si>
    <t xml:space="preserve"> 16.34 </t>
  </si>
  <si>
    <t xml:space="preserve"> SEINFRA-0068 </t>
  </si>
  <si>
    <t xml:space="preserve"> 16.35 </t>
  </si>
  <si>
    <t xml:space="preserve"> 4213 </t>
  </si>
  <si>
    <t xml:space="preserve"> 16.36 </t>
  </si>
  <si>
    <t xml:space="preserve"> SEINFRA-0069 </t>
  </si>
  <si>
    <t xml:space="preserve"> 16.37 </t>
  </si>
  <si>
    <t xml:space="preserve"> SEINFRA-0070 </t>
  </si>
  <si>
    <t xml:space="preserve"> 16.38 </t>
  </si>
  <si>
    <t xml:space="preserve"> SEINFRA-0071 </t>
  </si>
  <si>
    <t>REGISTRO DE GAVETA DE FERRO FUNDIDO COM FLANGES; INCLUSIVE FORNECIMENTO DO MATERIAL PARA JUNTA DE CHUMBO E PARAFUSOS, COM DIAMETRO DE 100MM. ASSENTAMENTO, SEM FORNECIMENTO. (ADAPTADO DE SCO DR 15.15.0056)</t>
  </si>
  <si>
    <t xml:space="preserve"> 16.39 </t>
  </si>
  <si>
    <t xml:space="preserve"> SEINFRA-0072 </t>
  </si>
  <si>
    <t xml:space="preserve"> 16.40 </t>
  </si>
  <si>
    <t xml:space="preserve"> SEINFRA-0073 </t>
  </si>
  <si>
    <t xml:space="preserve"> 16.41 </t>
  </si>
  <si>
    <t xml:space="preserve"> SEINFRA-0074 </t>
  </si>
  <si>
    <t xml:space="preserve"> 16.42 </t>
  </si>
  <si>
    <t xml:space="preserve"> SEINFRA-0075 </t>
  </si>
  <si>
    <t xml:space="preserve"> 16.43 </t>
  </si>
  <si>
    <t xml:space="preserve"> SEINFRA-0076 </t>
  </si>
  <si>
    <t xml:space="preserve"> 16.44 </t>
  </si>
  <si>
    <t xml:space="preserve"> SEINFRA-0077 </t>
  </si>
  <si>
    <t xml:space="preserve"> 16.45 </t>
  </si>
  <si>
    <t xml:space="preserve"> SEINFRA-0078 </t>
  </si>
  <si>
    <t xml:space="preserve"> 16.46 </t>
  </si>
  <si>
    <t xml:space="preserve"> SEINFRA-0079 </t>
  </si>
  <si>
    <t xml:space="preserve"> 16.47 </t>
  </si>
  <si>
    <t xml:space="preserve"> SEINFRA-0080 </t>
  </si>
  <si>
    <t>TUBO DE FERRO FUNDIDO, DUCTIL, CLASSE K-9, PN-10, FLANGE - FLANGE, COM DIAMETRO NOMINAL DE 150MM. (ADAPTADO DE SCO 10.05.0056)</t>
  </si>
  <si>
    <t xml:space="preserve"> 16.48 </t>
  </si>
  <si>
    <t xml:space="preserve"> SEINFRA-0081 </t>
  </si>
  <si>
    <t xml:space="preserve"> 16.49 </t>
  </si>
  <si>
    <t xml:space="preserve"> SEINFRA-0082 </t>
  </si>
  <si>
    <t xml:space="preserve"> 16.50 </t>
  </si>
  <si>
    <t xml:space="preserve"> SEINFRA-0083 </t>
  </si>
  <si>
    <t xml:space="preserve"> 16.51 </t>
  </si>
  <si>
    <t xml:space="preserve"> SEINFRA-0084 </t>
  </si>
  <si>
    <t xml:space="preserve"> 16.52 </t>
  </si>
  <si>
    <t xml:space="preserve"> SEINFRA-0085 </t>
  </si>
  <si>
    <t xml:space="preserve"> 16.53 </t>
  </si>
  <si>
    <t xml:space="preserve"> SEINFRA-0086 </t>
  </si>
  <si>
    <t xml:space="preserve"> 16.54 </t>
  </si>
  <si>
    <t xml:space="preserve"> SEINFRA-0087 </t>
  </si>
  <si>
    <t xml:space="preserve"> 16.55 </t>
  </si>
  <si>
    <t xml:space="preserve"> SEINFRA-0088 </t>
  </si>
  <si>
    <t xml:space="preserve"> 16.56 </t>
  </si>
  <si>
    <t xml:space="preserve"> SEINFRA-0089 </t>
  </si>
  <si>
    <t>CURVA DE 90O DE FERRO FUNDIDO DUCTIL, PINTADA INTERNA E EXTERNAMENTE COM TINTA BETUMINOSA, COM 2 FLANGES, INCLUSIVE FORNECIMENTO DO MATERIAL PARA JUNTA (ARRUELA DE BORRACHA, PARAFUSOS COM PORCA), COM DIAMETRO DE 200MM. (ADAPTADO DE SCO DR 10.15.0212)</t>
  </si>
  <si>
    <t xml:space="preserve"> 16.57 </t>
  </si>
  <si>
    <t xml:space="preserve"> SEINFRA-0090 </t>
  </si>
  <si>
    <t xml:space="preserve"> 16.58 </t>
  </si>
  <si>
    <t xml:space="preserve"> SEINFRA-0091 </t>
  </si>
  <si>
    <t xml:space="preserve"> 16.59 </t>
  </si>
  <si>
    <t xml:space="preserve"> SEINFRA-0092 </t>
  </si>
  <si>
    <t xml:space="preserve"> 16.60 </t>
  </si>
  <si>
    <t xml:space="preserve"> SEINFRA-0093 </t>
  </si>
  <si>
    <t xml:space="preserve"> 16.61 </t>
  </si>
  <si>
    <t xml:space="preserve"> SEINFRA-0094 </t>
  </si>
  <si>
    <t xml:space="preserve"> 16.62 </t>
  </si>
  <si>
    <t xml:space="preserve"> SEINFRA-0095 </t>
  </si>
  <si>
    <t xml:space="preserve"> 16.63 </t>
  </si>
  <si>
    <t xml:space="preserve"> SEINFRA-0096 </t>
  </si>
  <si>
    <t>CURVA DE 90O DE FERRO FUNDIDO DUCTIL, PINTADA INTERNA E EXTERNAMENTE COM TINTA BETUMINOSA, COM BOLSA, COM DIAMETRO DE 100MM. (ADAPTADO DE SCO DR 10.15.0206)</t>
  </si>
  <si>
    <t xml:space="preserve"> 16.64 </t>
  </si>
  <si>
    <t xml:space="preserve"> 071701 </t>
  </si>
  <si>
    <t>LUVA EM AÇO GALVANIZADO DIÂMETRO 3/4"</t>
  </si>
  <si>
    <t xml:space="preserve"> 16.65 </t>
  </si>
  <si>
    <t xml:space="preserve"> 080811 </t>
  </si>
  <si>
    <t>TORNEIRA DE JARDIM COM BICO PARA MANGUEIRA DIÂMETRO DE 1/2" E 3/4"</t>
  </si>
  <si>
    <t xml:space="preserve"> 16.66 </t>
  </si>
  <si>
    <t xml:space="preserve"> SEINFRA-0097 </t>
  </si>
  <si>
    <t xml:space="preserve"> 16.67 </t>
  </si>
  <si>
    <t xml:space="preserve"> SEINFRA-0098 </t>
  </si>
  <si>
    <t xml:space="preserve"> 16.68 </t>
  </si>
  <si>
    <t xml:space="preserve"> 081066 </t>
  </si>
  <si>
    <t>ADAPTADOR SOLDÁVEL CURTO C/ BOLSA E ROSCA PARA REGISTRO 25X3/4"</t>
  </si>
  <si>
    <t xml:space="preserve"> 16.69 </t>
  </si>
  <si>
    <t xml:space="preserve"> 081402 </t>
  </si>
  <si>
    <t>TE 90 GRAUS SOLDAVEL DIAMETRO 25 MM</t>
  </si>
  <si>
    <t xml:space="preserve"> 16.70 </t>
  </si>
  <si>
    <t xml:space="preserve"> 081321 </t>
  </si>
  <si>
    <t>JOELHO 90 GRAUS SOLDAVEL DIAMETRO 25 MM</t>
  </si>
  <si>
    <t xml:space="preserve"> 16.71 </t>
  </si>
  <si>
    <t xml:space="preserve"> 081003 </t>
  </si>
  <si>
    <t>TUBO SOLDAVEL PVC MARROM DIAM. 25 MM</t>
  </si>
  <si>
    <t xml:space="preserve"> 16.72 </t>
  </si>
  <si>
    <t xml:space="preserve"> SEINFRA-0099 </t>
  </si>
  <si>
    <t xml:space="preserve"> 16.73 </t>
  </si>
  <si>
    <t xml:space="preserve"> 080902 </t>
  </si>
  <si>
    <t>REGISTRO DE GAVETA BRUTO DIAMETRO 3/4"</t>
  </si>
  <si>
    <t xml:space="preserve"> 16.74 </t>
  </si>
  <si>
    <t xml:space="preserve"> 071151 </t>
  </si>
  <si>
    <t>CURVA DE 90 GRAUS AÇO GALVANIZADO DIAM.3/4"</t>
  </si>
  <si>
    <t xml:space="preserve"> 16.75 </t>
  </si>
  <si>
    <t xml:space="preserve"> SEINFRA-0100 </t>
  </si>
  <si>
    <t xml:space="preserve"> 16.76 </t>
  </si>
  <si>
    <t xml:space="preserve"> 5109 </t>
  </si>
  <si>
    <t xml:space="preserve"> 16.77 </t>
  </si>
  <si>
    <t xml:space="preserve"> 6098 </t>
  </si>
  <si>
    <t xml:space="preserve"> 16.78 </t>
  </si>
  <si>
    <t xml:space="preserve"> SEINFRA-0102 </t>
  </si>
  <si>
    <t xml:space="preserve"> 16.79 </t>
  </si>
  <si>
    <t xml:space="preserve"> SEINFRA-0103 </t>
  </si>
  <si>
    <t xml:space="preserve"> 16.80 </t>
  </si>
  <si>
    <t xml:space="preserve"> SEINFRA-0104 </t>
  </si>
  <si>
    <t xml:space="preserve"> 16.81 </t>
  </si>
  <si>
    <t xml:space="preserve"> SEINFRA-0129 </t>
  </si>
  <si>
    <t xml:space="preserve"> 16.82 </t>
  </si>
  <si>
    <t xml:space="preserve"> SEINFRA-0130 </t>
  </si>
  <si>
    <t xml:space="preserve"> 16.83 </t>
  </si>
  <si>
    <t xml:space="preserve"> SEINFRA-0122 </t>
  </si>
  <si>
    <t xml:space="preserve"> 16.84 </t>
  </si>
  <si>
    <t xml:space="preserve"> SEINFRA-0124 </t>
  </si>
  <si>
    <t xml:space="preserve"> 16.85 </t>
  </si>
  <si>
    <t xml:space="preserve"> SEINFRA-0125 </t>
  </si>
  <si>
    <t xml:space="preserve"> 16.86 </t>
  </si>
  <si>
    <t xml:space="preserve"> SEINFRA-0126 </t>
  </si>
  <si>
    <t xml:space="preserve"> 16.87 </t>
  </si>
  <si>
    <t xml:space="preserve"> SEINFRA-0127 </t>
  </si>
  <si>
    <t xml:space="preserve"> 16.88 </t>
  </si>
  <si>
    <t xml:space="preserve"> SEINFRA-0133 </t>
  </si>
  <si>
    <t xml:space="preserve"> 17</t>
  </si>
  <si>
    <t xml:space="preserve"> 17.1 </t>
  </si>
  <si>
    <t xml:space="preserve"> 270210 </t>
  </si>
  <si>
    <t xml:space="preserve"> 17.2 </t>
  </si>
  <si>
    <t xml:space="preserve"> 270501 </t>
  </si>
  <si>
    <t>Total sem BDI</t>
  </si>
  <si>
    <t>Total do BDI</t>
  </si>
  <si>
    <t>Total Geral</t>
  </si>
  <si>
    <t>ENCARGOS SOCIAIS HORISTAS:</t>
  </si>
  <si>
    <t>ENCARGOS SOCIAIS MENSALISTAS:</t>
  </si>
  <si>
    <t>BDI OBRA:</t>
  </si>
  <si>
    <t>BASE:</t>
  </si>
  <si>
    <t>BDI DIFERENCIADO:</t>
  </si>
  <si>
    <t>LOCAIS:</t>
  </si>
  <si>
    <t>CONSIDERADO 50% DA ÁREA</t>
  </si>
  <si>
    <t>Verificação do atendimento ao Acórdão TCU 2622/2013, que rege o percentual de administração local</t>
  </si>
  <si>
    <t>CONSTRUÇÃO DE REDES DE ABASTECIMENTO DE ÁGUA, COLETA DE ESGOTO E CONSTRUÇÕES CORRELATAS</t>
  </si>
  <si>
    <t>1° Quartil</t>
  </si>
  <si>
    <t>2° Quartil</t>
  </si>
  <si>
    <t>3° Quartil</t>
  </si>
  <si>
    <t>Resultado Orçamento</t>
  </si>
  <si>
    <t>ORÇAMENTO SINTÉTICO
SEM DESONERAÇÃO</t>
  </si>
  <si>
    <t>ORÇAMENTO SINTÉTICO
COM DESONERAÇÃO</t>
  </si>
  <si>
    <t>CÁLCULO DE VANTAJOSIDADE</t>
  </si>
  <si>
    <t>VANTAJOSIDADE</t>
  </si>
  <si>
    <t>O cálculo de vantajosidade se baseia na comparação direta entre os valores totais do orçamento e a escolha pelo que representa o menor valor, para tanto temos:</t>
  </si>
  <si>
    <t>% de Diferença (a / b)</t>
  </si>
  <si>
    <t>a. Orçamento com desoneração:</t>
  </si>
  <si>
    <t>b. Orçamento sem desoneração:</t>
  </si>
  <si>
    <t>ORÇAMENTO COM DESONERAÇÃO</t>
  </si>
  <si>
    <t>Porcent.</t>
  </si>
  <si>
    <t>Insumo</t>
  </si>
  <si>
    <t xml:space="preserve"> 0001 </t>
  </si>
  <si>
    <t>MES</t>
  </si>
  <si>
    <t>MO sem LS =&gt;</t>
  </si>
  <si>
    <t>LS =&gt;</t>
  </si>
  <si>
    <t>MO com LS =&gt;</t>
  </si>
  <si>
    <t>Valor do BDI =&gt;</t>
  </si>
  <si>
    <t>Valor com BDI =&gt;</t>
  </si>
  <si>
    <t xml:space="preserve"> 0020 </t>
  </si>
  <si>
    <t>CALHEIRO</t>
  </si>
  <si>
    <t xml:space="preserve"> 0023 </t>
  </si>
  <si>
    <t>APLICADOR DE EPOXI</t>
  </si>
  <si>
    <t xml:space="preserve"> H264 </t>
  </si>
  <si>
    <t>VASO SANITARIO CONVENCIONAL</t>
  </si>
  <si>
    <t>Material</t>
  </si>
  <si>
    <t xml:space="preserve"> 2788 </t>
  </si>
  <si>
    <t>COMPRESSOR DE 1,5HP-70L-140LB COM PISTOLA DE RESERVATÓRIO SUPERIOR E MANGUEIRA (MANUTENÇÃO E DEPRECIAÇÃO DO EQUIPAMENTO) - PREÇO DO EQUIPAMENTO NOVO DIVIDIDO POR 1.000</t>
  </si>
  <si>
    <t xml:space="preserve"> 2782 </t>
  </si>
  <si>
    <t>GASOLINA</t>
  </si>
  <si>
    <t>l</t>
  </si>
  <si>
    <t xml:space="preserve"> 3948 </t>
  </si>
  <si>
    <t>EXTINTOR DE PÓ ABC (6 KG) -  CAPACIDADE EXTINTORA 3A 20 BC COM PRESILHA/SETA E SUPORTE</t>
  </si>
  <si>
    <t xml:space="preserve"> 2779 </t>
  </si>
  <si>
    <t>COMPACTADOR DE PLACA VIBRATÓRIA A GASOLINA POTÊNCIA 3HP</t>
  </si>
  <si>
    <t xml:space="preserve"> 2804 </t>
  </si>
  <si>
    <t>AREIA GROSSA</t>
  </si>
  <si>
    <t xml:space="preserve"> 2842 </t>
  </si>
  <si>
    <t>TINTA LATEX ACRÍLICA 2ª LINHA/ECONÔMICA</t>
  </si>
  <si>
    <t xml:space="preserve"> 2866 </t>
  </si>
  <si>
    <t>FOGÃO A GÁS DE 6 BOCAS, ESMALTEC, DAKO, CONTINENTAL OU EQUIVALENTE</t>
  </si>
  <si>
    <t xml:space="preserve"> 2867 </t>
  </si>
  <si>
    <t>BOTIJÃO DE GÁS P13 (VASILHAME + GÁS LIQUEFEITO)</t>
  </si>
  <si>
    <t xml:space="preserve"> 2864 </t>
  </si>
  <si>
    <t>GELADEIRA FROST FREE DE APROXIMADAMENTE 300L CONSUL,ELETROLUX OU EQUIVALENTE</t>
  </si>
  <si>
    <t xml:space="preserve"> 2861 </t>
  </si>
  <si>
    <t>ÁLCOOL GEL ( D=1,00)</t>
  </si>
  <si>
    <t xml:space="preserve"> 2862 </t>
  </si>
  <si>
    <t>SABONETE LÍQUIDO (D= 1,00)</t>
  </si>
  <si>
    <t xml:space="preserve"> 2859 </t>
  </si>
  <si>
    <t>PACOTE COM 1.000 FOLHAS DUAS DOBRAS DE PAPEL TOALHA INTERFOLHAS BRANCA</t>
  </si>
  <si>
    <t>PAC</t>
  </si>
  <si>
    <t xml:space="preserve"> 2860 </t>
  </si>
  <si>
    <t>SUPORTE DISPENSER - PARA SABONETE OU ÁLCOOL</t>
  </si>
  <si>
    <t xml:space="preserve"> 2857 </t>
  </si>
  <si>
    <t>PORTA COPOS DESCARTÁVEIS PARA COPOS DE 300ML</t>
  </si>
  <si>
    <t xml:space="preserve"> 2858 </t>
  </si>
  <si>
    <t>SUPORTE PARA PAPEL TOALHA INTERFOLHA</t>
  </si>
  <si>
    <t xml:space="preserve"> 2855 </t>
  </si>
  <si>
    <t>SACO PLÁSTICO PARA LIXO DE 50 LITROS</t>
  </si>
  <si>
    <t xml:space="preserve"> 2856 </t>
  </si>
  <si>
    <t>PACOTE COM 100 UNIDADES DE COPO DESCARTÁVEL DE 300ML</t>
  </si>
  <si>
    <t xml:space="preserve"> 2846 </t>
  </si>
  <si>
    <t>DOBRADIÇA DE PRESSÃO PARA ARMÁRIO DE MADEIRA</t>
  </si>
  <si>
    <t xml:space="preserve"> 2847 </t>
  </si>
  <si>
    <t>CHAPA GALVANIZADA Nº 26</t>
  </si>
  <si>
    <t xml:space="preserve"> 2853 </t>
  </si>
  <si>
    <t>SUPORTE PARA ROLO DE PAPEL HIGIÊNICO 300 A 600M EM ABS</t>
  </si>
  <si>
    <t xml:space="preserve"> 2854 </t>
  </si>
  <si>
    <t>ROLO DE PAPEL HIGIÊNICO INDUSTRIAL DE 500M</t>
  </si>
  <si>
    <t>RL</t>
  </si>
  <si>
    <t xml:space="preserve"> 2868 </t>
  </si>
  <si>
    <t>TELEVISÃO LED PLANA 32 POLEGADAS DA SAMSUNG, PHILCO OU EQUIVALENTE</t>
  </si>
  <si>
    <t xml:space="preserve"> 1860 </t>
  </si>
  <si>
    <t>PREGO 15x15</t>
  </si>
  <si>
    <t xml:space="preserve"> 1861 </t>
  </si>
  <si>
    <t>PREGO 18x24</t>
  </si>
  <si>
    <t xml:space="preserve"> 1858 </t>
  </si>
  <si>
    <t>PONTALETE 3x3"</t>
  </si>
  <si>
    <t xml:space="preserve"> H401 </t>
  </si>
  <si>
    <t>PORTA GRELHA QUADRADO BRANCO DIAM. 150 mm (ESGOTO)</t>
  </si>
  <si>
    <t xml:space="preserve"> 2491 </t>
  </si>
  <si>
    <t>PARAFUSO DIAM.3/8" - 10 CM</t>
  </si>
  <si>
    <t xml:space="preserve"> H581 </t>
  </si>
  <si>
    <t>PIA MARMORE/GRANITO SINTÉTICO 1,00 X 0,54 M (DIMENSÕES APROXIMADAS)</t>
  </si>
  <si>
    <t xml:space="preserve"> H311 </t>
  </si>
  <si>
    <t>LUVA SOLDAVEL COM ROSCA 25 X 3/4"</t>
  </si>
  <si>
    <t xml:space="preserve"> 1704 </t>
  </si>
  <si>
    <t>MADEIRA DE LEI PARA TELHADO (ANGELIM VERMELHO)</t>
  </si>
  <si>
    <t xml:space="preserve"> H164 </t>
  </si>
  <si>
    <t xml:space="preserve"> H165 </t>
  </si>
  <si>
    <t>JOELHO 90 GRAUS SOLDAVEL DIAMETRO 32 MM</t>
  </si>
  <si>
    <t xml:space="preserve"> H181 </t>
  </si>
  <si>
    <t>ANEL DE VEDAÇÃO PARA VASO SANITÁRIO</t>
  </si>
  <si>
    <t xml:space="preserve"> 2384 </t>
  </si>
  <si>
    <t>LIXA PARA MADEIRA Nº 240</t>
  </si>
  <si>
    <t xml:space="preserve"> H177 </t>
  </si>
  <si>
    <t>LAVATÓRIO MÉDIO SEM COLUNA</t>
  </si>
  <si>
    <t xml:space="preserve"> H178 </t>
  </si>
  <si>
    <t>LIGACAO FLEXIVEL (ENGATE) PVC 1/2"</t>
  </si>
  <si>
    <t xml:space="preserve"> 3337 </t>
  </si>
  <si>
    <t>INTERRUPTOR SIMPLES (1 SECAO) - (SUPORTE+MÓDULO+ESPELHO)</t>
  </si>
  <si>
    <t xml:space="preserve"> 3334 </t>
  </si>
  <si>
    <t>INTERRUPTOR INTERMEDIARIO (FOUR-WAY) - (SUPORTE+MÓDULOS+ESPELHO)</t>
  </si>
  <si>
    <t xml:space="preserve"> 3335 </t>
  </si>
  <si>
    <t>INTERRUPTOR PARALELO DUPLO (2 SECOES) - (SUPORTE+MÓDULOS+ESPELHO)</t>
  </si>
  <si>
    <t xml:space="preserve"> H363 </t>
  </si>
  <si>
    <t>GRELHA QUADRADO BRANCA 150 MM - (ESGOTO)</t>
  </si>
  <si>
    <t xml:space="preserve"> 2699 </t>
  </si>
  <si>
    <t>FUNDO BRANCO FOSCO</t>
  </si>
  <si>
    <t xml:space="preserve"> H265 </t>
  </si>
  <si>
    <t>PARAFUSO DE FIXACAO PARA LAVATORIO COM BUCHA PLASTICA 8 MM</t>
  </si>
  <si>
    <t xml:space="preserve"> 3314 </t>
  </si>
  <si>
    <t>FIO ISOLADO 750 V, PIRASTIC 2,5 MM2</t>
  </si>
  <si>
    <t xml:space="preserve"> 3321 </t>
  </si>
  <si>
    <t>FITA ISOLANTE, ROLO DE 5,00 M</t>
  </si>
  <si>
    <t xml:space="preserve"> 2380 </t>
  </si>
  <si>
    <t>ESCORA ROLIÇA (TIPO EUCALIPTO)</t>
  </si>
  <si>
    <t xml:space="preserve"> 3259 </t>
  </si>
  <si>
    <t xml:space="preserve"> H350 </t>
  </si>
  <si>
    <t>CURVA 45° DIAMETRO 40 MM (ESGOTO)</t>
  </si>
  <si>
    <t xml:space="preserve"> H336 </t>
  </si>
  <si>
    <t>CORPO CAIXA SIFONADA 150 X 150 X 50 MM</t>
  </si>
  <si>
    <t xml:space="preserve"> H338 </t>
  </si>
  <si>
    <t>CORPO CAIXA SIFONADA 250 X 172 X 50 MM</t>
  </si>
  <si>
    <t xml:space="preserve"> 1225 </t>
  </si>
  <si>
    <t>CONJUNTO VEDAÇÃO (ARRUELA E BUCHA) PARA TELHA FIBROCIMENTO</t>
  </si>
  <si>
    <t xml:space="preserve"> 1694 </t>
  </si>
  <si>
    <t>COMPENSADO RESINADO COLA FENÓLICA 10 MM 2,20X1,10 M</t>
  </si>
  <si>
    <t xml:space="preserve"> 1702 </t>
  </si>
  <si>
    <t>COMPENSADO PLASTIFICADO 17 MM 2,20X1,10 M</t>
  </si>
  <si>
    <t xml:space="preserve"> 1703 </t>
  </si>
  <si>
    <t>COMPENSADO PLASTIFICADO 12 MM 2,20X1,10 M</t>
  </si>
  <si>
    <t xml:space="preserve"> 1215 </t>
  </si>
  <si>
    <t>CIMENTO PORTLAND CPII-32</t>
  </si>
  <si>
    <t xml:space="preserve"> 2372 </t>
  </si>
  <si>
    <t>CHAPA PERFILADA Nº 18</t>
  </si>
  <si>
    <t xml:space="preserve"> H145 </t>
  </si>
  <si>
    <t>CHUVEIRO ELETRICO EM PVC (3 TEMPERATURAS)</t>
  </si>
  <si>
    <t xml:space="preserve"> 3138 </t>
  </si>
  <si>
    <t>CAIXA METALICA RETANGULAR 4"X2"X2"</t>
  </si>
  <si>
    <t xml:space="preserve"> 1218 </t>
  </si>
  <si>
    <t>CAIBRO 5x6 CM</t>
  </si>
  <si>
    <t xml:space="preserve"> H676 </t>
  </si>
  <si>
    <t>CAIXA D'ÁGUA POLIETILENO 1000 LTS. COM TAMPA</t>
  </si>
  <si>
    <t xml:space="preserve"> H585 </t>
  </si>
  <si>
    <t>CAIXA DE DESCARGA (PVC) 9 LITROS</t>
  </si>
  <si>
    <t xml:space="preserve"> 3135 </t>
  </si>
  <si>
    <t>CAIXA DE PASSAGEM METALICA OCTOGONAL FUNDO MOVEL SIMPLES 2"</t>
  </si>
  <si>
    <t xml:space="preserve"> H134 </t>
  </si>
  <si>
    <t>BUCHA DE REDUÇÃO SOLDAVEL CURTA 32 X 25 MM</t>
  </si>
  <si>
    <t xml:space="preserve"> 2386 </t>
  </si>
  <si>
    <t>BRITA Nº 1</t>
  </si>
  <si>
    <t xml:space="preserve"> 2497 </t>
  </si>
  <si>
    <t>BRITA Nº 2</t>
  </si>
  <si>
    <t xml:space="preserve"> 3065 </t>
  </si>
  <si>
    <t>BRACADEIRA METALICA TIPO "D" DIÂMETRO 3/4"</t>
  </si>
  <si>
    <t xml:space="preserve"> H117 </t>
  </si>
  <si>
    <t>BRAÇO METÁLICO PARA CHUVEIRO 30 CM</t>
  </si>
  <si>
    <t xml:space="preserve"> 2493 </t>
  </si>
  <si>
    <t>ARRUELA PARA PARAFUSO 3/8"</t>
  </si>
  <si>
    <t xml:space="preserve"> H687 </t>
  </si>
  <si>
    <t>BEBEDOURO (PURIFICADOR) ELÉTRICO DE PRESSÃO (IBBL BAG 40 OU EQUIVALENTE)</t>
  </si>
  <si>
    <t xml:space="preserve"> H111 </t>
  </si>
  <si>
    <t>ADESIVO PLASTICO - BISNAGA 75 G</t>
  </si>
  <si>
    <t xml:space="preserve"> H102 </t>
  </si>
  <si>
    <t>ADAPTADOR SOLDÁVEL CURTO COM BOLSA E ROSCA PARA REGISTRO 32X1"</t>
  </si>
  <si>
    <t xml:space="preserve"> H108 </t>
  </si>
  <si>
    <t>ADAPTADOR SOLDÁVEL LONGO COM FLANGES LIVRES PARA CAIXA D'ÁGUA 32X1"</t>
  </si>
  <si>
    <t xml:space="preserve"> H631 </t>
  </si>
  <si>
    <t>TUBO DE DESPEJO PARA VÁLVULA (PIA/TANQUE)</t>
  </si>
  <si>
    <t xml:space="preserve"> 3923 </t>
  </si>
  <si>
    <t>ELETRODUTO PVC FLEXÍVEL (MANGUEIRA CORRUGADA LEVE) DIAM. 25MM</t>
  </si>
  <si>
    <t xml:space="preserve"> H284 </t>
  </si>
  <si>
    <t>TUBO SOLDAVEL PARA ESGOTO DIAMETRO 100 MM</t>
  </si>
  <si>
    <t xml:space="preserve"> H261 </t>
  </si>
  <si>
    <t>VALVULA PARA LAVATORIO PVC 1"</t>
  </si>
  <si>
    <t xml:space="preserve"> H262 </t>
  </si>
  <si>
    <t>VALVULA PARA PIA TIPO AMERICANA DIAMETRO 3.1/2" (METALICA)</t>
  </si>
  <si>
    <t xml:space="preserve"> H272 </t>
  </si>
  <si>
    <t>UNIAO SOLDAVEL DIAMETRO 32 MM</t>
  </si>
  <si>
    <t xml:space="preserve"> H258 </t>
  </si>
  <si>
    <t>VALVULA 1" PARA MICTORIO TIPO COCHO (PVC)</t>
  </si>
  <si>
    <t xml:space="preserve"> H248 </t>
  </si>
  <si>
    <t xml:space="preserve"> H285 </t>
  </si>
  <si>
    <t>TUBO SOLDAVEL PARA ESGOTO DIAMETRO 40 MM</t>
  </si>
  <si>
    <t xml:space="preserve"> H286 </t>
  </si>
  <si>
    <t>TUBO SOLDAVEL PARA ESGOTO DIAMETRO 50 MM</t>
  </si>
  <si>
    <t xml:space="preserve"> 3475 </t>
  </si>
  <si>
    <t>TOMADA HEXAGONAL 2P + T - 10A - 250V (SUPORTE+MÓDULO+ESPELHO)</t>
  </si>
  <si>
    <t xml:space="preserve"> H239 </t>
  </si>
  <si>
    <t>TUBO DE DESCIDA PARA CAIXA DE DESCARGA (LONGO 1.1/4")</t>
  </si>
  <si>
    <t xml:space="preserve"> H241 </t>
  </si>
  <si>
    <t>TUBO DE LIGACAO PVC CROMADO DE 1.1/2"</t>
  </si>
  <si>
    <t xml:space="preserve"> H237 </t>
  </si>
  <si>
    <t>TORNEIRA DE MESA PARA LAVATORIO DIAMETRO 1/2"</t>
  </si>
  <si>
    <t xml:space="preserve"> H238 </t>
  </si>
  <si>
    <t>TORNEIRA DE PAREDE PARA PIA OU BEBEDOURO DIÂMETRO 1/2" E 3/4"</t>
  </si>
  <si>
    <t xml:space="preserve"> 3477 </t>
  </si>
  <si>
    <t>TOMADA HEXAGONAL 2P + T - 20A - 250V (SUPORTE+MÓDULO+ESPELHO)</t>
  </si>
  <si>
    <t xml:space="preserve"> H440 </t>
  </si>
  <si>
    <t>TORNEIRA DE BOIA DIAMETRO 3/4" (20 MM)</t>
  </si>
  <si>
    <t xml:space="preserve"> 1273 </t>
  </si>
  <si>
    <t>TINTA EPOXI COM CATALISADOR</t>
  </si>
  <si>
    <t xml:space="preserve"> 2055 </t>
  </si>
  <si>
    <t>TINTA ESMALTE</t>
  </si>
  <si>
    <t xml:space="preserve"> H606 </t>
  </si>
  <si>
    <t>TAMPA CEGA REDONDA BRANCA PVC 250 MM</t>
  </si>
  <si>
    <t xml:space="preserve"> H587 </t>
  </si>
  <si>
    <t>ASSENTO SIMPLES EM POLIPROPILENO PARA VASO SANITÁRIO</t>
  </si>
  <si>
    <t xml:space="preserve"> 2024 </t>
  </si>
  <si>
    <t>TELHA VOGATEX 4 MM (L=0,50 M)</t>
  </si>
  <si>
    <t xml:space="preserve"> H221 </t>
  </si>
  <si>
    <t xml:space="preserve"> 3602 </t>
  </si>
  <si>
    <t>SOQUETE ANTIVIBRATORIO PARA LAMPADA TUBULAR</t>
  </si>
  <si>
    <t xml:space="preserve"> 2023 </t>
  </si>
  <si>
    <t>TABUA PARA FORMA (30CM)</t>
  </si>
  <si>
    <t xml:space="preserve"> 3774 </t>
  </si>
  <si>
    <t>SIRENE ELETROMECANICA METALICA ALCANCE 500 M</t>
  </si>
  <si>
    <t xml:space="preserve"> H215 </t>
  </si>
  <si>
    <t>SOLUCAO LIMPADORA 200 CM3 (FRASCO PLASTICO)</t>
  </si>
  <si>
    <t xml:space="preserve"> 1970 </t>
  </si>
  <si>
    <t>DILUENTE AGUARRÁS</t>
  </si>
  <si>
    <t xml:space="preserve"> H212 </t>
  </si>
  <si>
    <t>SIFAO METALICO P/PIA 1.1/2X2"</t>
  </si>
  <si>
    <t xml:space="preserve"> H539 </t>
  </si>
  <si>
    <t>SIFAO FLEXIVEL UNIVERSAL (SANFONADO) EM PVC PARA LAVATORIO</t>
  </si>
  <si>
    <t xml:space="preserve"> 1967 </t>
  </si>
  <si>
    <t>RIPAO DE MADEIRA 15 CM</t>
  </si>
  <si>
    <t xml:space="preserve"> 1968 </t>
  </si>
  <si>
    <t>SARRAFO DE MADEIRA 10 CM</t>
  </si>
  <si>
    <t xml:space="preserve"> H266 </t>
  </si>
  <si>
    <t>REGISTRO DE PRESSAO C/CANOPLA CROMADO 1/2"</t>
  </si>
  <si>
    <t xml:space="preserve"> 1964 </t>
  </si>
  <si>
    <t>RIPA DE MADEIRA 5x1</t>
  </si>
  <si>
    <t xml:space="preserve"> 3422 </t>
  </si>
  <si>
    <t>QUADRO DE DISTRIBUICAO DE EMBUTIR EM PVC SB-12E</t>
  </si>
  <si>
    <t xml:space="preserve"> H198 </t>
  </si>
  <si>
    <t>REGISTRO DE GAVETA C/CANOPLA DIAM.1.1/4"</t>
  </si>
  <si>
    <t xml:space="preserve"> 1862 </t>
  </si>
  <si>
    <t>PREGO 19x27</t>
  </si>
  <si>
    <t xml:space="preserve"> 1892 </t>
  </si>
  <si>
    <t>PREGO GALVANIZADO 18 X 27 (TELHEIRO)</t>
  </si>
  <si>
    <t xml:space="preserve"> 1863 </t>
  </si>
  <si>
    <t>PREGO 18x30</t>
  </si>
  <si>
    <t xml:space="preserve"> H249 </t>
  </si>
  <si>
    <t>TUBO SOLDAVEL PVC MARROM DIAM. 32 MM</t>
  </si>
  <si>
    <t xml:space="preserve"> 4057 </t>
  </si>
  <si>
    <t>CALHA DE SOBREPOR PARA 2 LAMPADAS TUBULARES 120 CM 15/20 W</t>
  </si>
  <si>
    <t xml:space="preserve"> 4053 </t>
  </si>
  <si>
    <t>LÂMPADA TUBULAR LED, BASE G13, BIVOLT 8/10 W, 900 A 1000 LUMENS, LUZ BRANCA</t>
  </si>
  <si>
    <t xml:space="preserve"> 4056 </t>
  </si>
  <si>
    <t>CALHA DE SOBREPOR PARA 2 LAMPADAS TUBULARES 60 CM 8/10 W</t>
  </si>
  <si>
    <t xml:space="preserve"> 0104 </t>
  </si>
  <si>
    <t>AREIA MÉDIA</t>
  </si>
  <si>
    <t xml:space="preserve"> 2256 </t>
  </si>
  <si>
    <t>CADEADO SIMPLES EM LATÃO Nº 30</t>
  </si>
  <si>
    <t xml:space="preserve"> 1696 </t>
  </si>
  <si>
    <t>COMPENSADO RESINADO COLA FENÓLICA 12 MM 2,20X1,10 M</t>
  </si>
  <si>
    <t xml:space="preserve"> 2516 </t>
  </si>
  <si>
    <t>CORRENTE EM AÇO GALVANIZADO COM ELO CURTO DIAMETRO 4 MM</t>
  </si>
  <si>
    <t xml:space="preserve"> 1265 </t>
  </si>
  <si>
    <t>DOBRADIÇA FERRO POLIDO 3.1/2 x 3" COM PARAFUSO</t>
  </si>
  <si>
    <t xml:space="preserve"> 3350 </t>
  </si>
  <si>
    <t>ISOLADOR ROLDANA PVC MEDIO (102)</t>
  </si>
  <si>
    <t xml:space="preserve"> 1674 </t>
  </si>
  <si>
    <t>LIXA PARA PAREDE Nº 100</t>
  </si>
  <si>
    <t xml:space="preserve"> H229 </t>
  </si>
  <si>
    <t>TE DE REDUCAO 90 GRAUS SOLDAVEL 32 X 25 MM</t>
  </si>
  <si>
    <t xml:space="preserve"> H319 </t>
  </si>
  <si>
    <t>LUVA SOLDAVEL 25 MM</t>
  </si>
  <si>
    <t xml:space="preserve"> H320 </t>
  </si>
  <si>
    <t>LUVA SOLDAVEL 32 MM</t>
  </si>
  <si>
    <t xml:space="preserve"> 2033 </t>
  </si>
  <si>
    <t>TIJOLO COMUM MACIÇO (4,5x9x19cm)</t>
  </si>
  <si>
    <t xml:space="preserve"> 2034 </t>
  </si>
  <si>
    <t>TIJOLO FURADO 9x19x19 CM</t>
  </si>
  <si>
    <t xml:space="preserve"> 2054 </t>
  </si>
  <si>
    <t>TINTA GRAFITE</t>
  </si>
  <si>
    <t xml:space="preserve"> 2051 </t>
  </si>
  <si>
    <t>TINTA LATEX ACRILICA - SEMI BRILHO</t>
  </si>
  <si>
    <t xml:space="preserve"> H484 </t>
  </si>
  <si>
    <t>TORNEIRA DE JARDIM DIAMETRO 1/2 E 3/4" COM BICO</t>
  </si>
  <si>
    <t xml:space="preserve"> 2294 </t>
  </si>
  <si>
    <t>SELADOR ACRILICO</t>
  </si>
  <si>
    <t xml:space="preserve"> 1973 </t>
  </si>
  <si>
    <t>ADITIVO IMPERMEABILIZANTE DE PEGA NORMAL PARA ARGAMASSA E CONCRETO REF.: SIKA 1 / VEDACIT (D=1,00) OU EQUIVALENTE</t>
  </si>
  <si>
    <t xml:space="preserve"> H214 </t>
  </si>
  <si>
    <t>SOLUCAO LIMPADORA 1000 CM3 (FRASCO PLASTICO)</t>
  </si>
  <si>
    <t xml:space="preserve"> H559 </t>
  </si>
  <si>
    <t>REGISTRO DE ESFERA DIAM. 1" (METAL)</t>
  </si>
  <si>
    <t xml:space="preserve"> 1672 </t>
  </si>
  <si>
    <t>LIXA PARA FERRO Nº 100</t>
  </si>
  <si>
    <t xml:space="preserve"> H444 </t>
  </si>
  <si>
    <t>JOELHO DE REDUÇÃO 90 GRAUS SOLDAVEL DIAM. 32 MM X 25 MM</t>
  </si>
  <si>
    <t xml:space="preserve"> H158 </t>
  </si>
  <si>
    <t>JOELHO 90 GRAUS SOLD.C/BUCHA LATAO DIAM. 25 X 3/4"</t>
  </si>
  <si>
    <t xml:space="preserve"> H665 </t>
  </si>
  <si>
    <t>KIT CAVALETE (D=25MM P/ HIDRÔMETROS 1,5 M3; 3 M3 E 5 M3) +  CAIXA PADRÃO "A" DA SANEAGO</t>
  </si>
  <si>
    <t xml:space="preserve"> H689 </t>
  </si>
  <si>
    <t>FITA VEDAROSCA 18 MM</t>
  </si>
  <si>
    <t xml:space="preserve"> 1221 </t>
  </si>
  <si>
    <t>CAL HIDRATADA</t>
  </si>
  <si>
    <t xml:space="preserve"> 2437 </t>
  </si>
  <si>
    <t>AÇO CA-50 - 6,3 MM (1/4")</t>
  </si>
  <si>
    <t xml:space="preserve"> H112 </t>
  </si>
  <si>
    <t>ADESIVO PLASTICO - FRASCO 850 G</t>
  </si>
  <si>
    <t xml:space="preserve"> 2426 </t>
  </si>
  <si>
    <t>ARAME GALVANIZADO Nº 12 BWG</t>
  </si>
  <si>
    <t xml:space="preserve"> 0102 </t>
  </si>
  <si>
    <t>ARAME RECOZIDO 18 BWG</t>
  </si>
  <si>
    <t xml:space="preserve"> 2502 </t>
  </si>
  <si>
    <t>AREIA FINA</t>
  </si>
  <si>
    <t xml:space="preserve"> 4050 </t>
  </si>
  <si>
    <t>LÂMPADA BULBO LED, BASE E27, BIVOLT 12/15 W, 1000 A 1400 LUMENS, LUZ BRANCA</t>
  </si>
  <si>
    <t xml:space="preserve"> 2133 </t>
  </si>
  <si>
    <t>VIGOTA DE MADEIRA 6x12</t>
  </si>
  <si>
    <t xml:space="preserve"> 3604 </t>
  </si>
  <si>
    <t>SOQUETE INDUSTRIAL 1570 PARA USO AO TEMPO</t>
  </si>
  <si>
    <t xml:space="preserve"> 3459 </t>
  </si>
  <si>
    <t>TAMPA TIPO DZ ATE 63A</t>
  </si>
  <si>
    <t xml:space="preserve"> 2425 </t>
  </si>
  <si>
    <t>PARAFUSO 12,5 X 130 C/PORCA E ARRUELA</t>
  </si>
  <si>
    <t xml:space="preserve"> 3389 </t>
  </si>
  <si>
    <t>PARAFUSO DE AJUSTE TIPO DZ ATE 63A</t>
  </si>
  <si>
    <t xml:space="preserve"> 3751 </t>
  </si>
  <si>
    <t>RELE DE FALTA DE FASE 380 V - 60 HZ</t>
  </si>
  <si>
    <t xml:space="preserve"> 3764 </t>
  </si>
  <si>
    <t>RELE DE SOBRECORRENTE 16 - 36A</t>
  </si>
  <si>
    <t xml:space="preserve"> 3742 </t>
  </si>
  <si>
    <t>QUADRO DE DISTRIBUICAO DE EMBUTIR EM PVC CB 12E - 80A</t>
  </si>
  <si>
    <t xml:space="preserve"> 3106 </t>
  </si>
  <si>
    <t>CABO FLEXÍVEL, PVC (70° C), 450/750 V, 16 MM2</t>
  </si>
  <si>
    <t xml:space="preserve"> 2255 </t>
  </si>
  <si>
    <t>CADEADO SIMPLES EM LATÃO Nº 20</t>
  </si>
  <si>
    <t xml:space="preserve"> 3131 </t>
  </si>
  <si>
    <t>CAIXA DE PASSAGEM METALICA DE EMBUTIR 40X40X15 CM</t>
  </si>
  <si>
    <t xml:space="preserve"> 3174 </t>
  </si>
  <si>
    <t>CHAVE TRIPOLAR TIPO PACCO 63A</t>
  </si>
  <si>
    <t xml:space="preserve"> 3215 </t>
  </si>
  <si>
    <t>CONTATOR TRIPOLAR - 25A, 500V NOMINAL, COMANDO 220V, CATEGORIA AC-3.</t>
  </si>
  <si>
    <t xml:space="preserve"> 3261 </t>
  </si>
  <si>
    <t>DISJUNTOR TRIPOLAR 40 A 50A</t>
  </si>
  <si>
    <t xml:space="preserve"> 3262 </t>
  </si>
  <si>
    <t>DISJUNTOR TRIPOLAR DE 10 A 35-A</t>
  </si>
  <si>
    <t xml:space="preserve"> 3269 </t>
  </si>
  <si>
    <t>DISJUNTOR TRIPOLAR DE 60 A 100-A</t>
  </si>
  <si>
    <t xml:space="preserve"> 3313 </t>
  </si>
  <si>
    <t>FIO ISOLADO 750 V, PIRASTIC 10 MM2</t>
  </si>
  <si>
    <t xml:space="preserve"> 3318 </t>
  </si>
  <si>
    <t>FITA DE AUTO FUSAO, ROLO DE 10,00 M</t>
  </si>
  <si>
    <t xml:space="preserve"> 3320 </t>
  </si>
  <si>
    <t>FITA ISOLANTE, ROLO DE 20,00 M</t>
  </si>
  <si>
    <t xml:space="preserve"> 3323 </t>
  </si>
  <si>
    <t>FUSIVEL DZ RETARDADO DE 35A A 63A</t>
  </si>
  <si>
    <t xml:space="preserve"> 3329 </t>
  </si>
  <si>
    <t>HASTE COPPERWELD  5/8" X 2,40 M COM CONECTOR</t>
  </si>
  <si>
    <t xml:space="preserve"> 3752 </t>
  </si>
  <si>
    <t>INTERRUPTOR PARA QUADRO DE COMANDO</t>
  </si>
  <si>
    <t xml:space="preserve"> 3349 </t>
  </si>
  <si>
    <t>ISOLADOR ROLDANA PVC GRANDE (103)</t>
  </si>
  <si>
    <t xml:space="preserve"> 3939 </t>
  </si>
  <si>
    <t>DISPOSITIVO DE PROTEÇÃO CONTRA SURTOS(DPS) 275V DE 8 A 40KA</t>
  </si>
  <si>
    <t xml:space="preserve"> 3022 </t>
  </si>
  <si>
    <t>BASE DZ DE 25A A 63A</t>
  </si>
  <si>
    <t xml:space="preserve"> 3042 </t>
  </si>
  <si>
    <t>BOTOEIRA "LIGA-DESLIGA" PARA INSTALAÇÃO EM PORTA DE QUADRO</t>
  </si>
  <si>
    <t xml:space="preserve"> 2538 </t>
  </si>
  <si>
    <t>EPI/PGR/PCMSO / EXAMES/TREINAMENTOS/VISITAS  (COMP. AUXILIAR)</t>
  </si>
  <si>
    <t xml:space="preserve"> 2758 </t>
  </si>
  <si>
    <t>FERRAMENTAS/EQUIPAMENTOS E MATERIAL DE LIMPEZA PERMANENTE (COMPOSIÇÃO AUXILIAR )</t>
  </si>
  <si>
    <t xml:space="preserve"> 1893 </t>
  </si>
  <si>
    <t>PARAFUSO 8x110 MM</t>
  </si>
  <si>
    <t xml:space="preserve"> 1374 </t>
  </si>
  <si>
    <t>CHAPA DE EMENDA PARA MADEIRAMENTO</t>
  </si>
  <si>
    <t xml:space="preserve"> 1890 </t>
  </si>
  <si>
    <t>PLACA DE OBRA PLOTADA NA CHAPA 26 (0,50 MM)</t>
  </si>
  <si>
    <t xml:space="preserve"> 1941 </t>
  </si>
  <si>
    <t>REFEICAO</t>
  </si>
  <si>
    <t xml:space="preserve"> 2537 </t>
  </si>
  <si>
    <t>CAFÉ DA MANHA (COMP. AUXILIAR)**</t>
  </si>
  <si>
    <t xml:space="preserve"> 2433 </t>
  </si>
  <si>
    <t>LIMPEZA MECANICA DO TERRENO (O. RODOV.)</t>
  </si>
  <si>
    <t xml:space="preserve"> 2756 </t>
  </si>
  <si>
    <t xml:space="preserve"> 2757 </t>
  </si>
  <si>
    <t>AD</t>
  </si>
  <si>
    <t xml:space="preserve"> MAT031480 </t>
  </si>
  <si>
    <t>SCO</t>
  </si>
  <si>
    <t>Placa de sinalizacao para obra em via publica tipo cavalete articulado, confeccionada em chapa de Pet 2,4mm, fundo, textos e simbolos em vinil auto-adesivo com 5 anos de garantia, estrutura em aco tratado a base de wash primer, pintado pelo processo eletrostatico, dimensao 0,60 x 1,00m</t>
  </si>
  <si>
    <t>SERP - SERVIÇOS PRELIMINARES</t>
  </si>
  <si>
    <t xml:space="preserve"> 00013244 </t>
  </si>
  <si>
    <t>CONE DE SINALIZACAO EM PVC RIGIDO COM FAIXA REFLETIVA, H = 70 / 76 CM</t>
  </si>
  <si>
    <t>Custo Horário de Execução =&gt;</t>
  </si>
  <si>
    <t>Fator de Influencia da Chuva - FIC =&gt;</t>
  </si>
  <si>
    <t>Custo do FIC =&gt;</t>
  </si>
  <si>
    <t>Produção de Equipe =&gt;</t>
  </si>
  <si>
    <t>Custo Unitário de Execução =&gt;</t>
  </si>
  <si>
    <t>G</t>
  </si>
  <si>
    <t>Outros Tipos</t>
  </si>
  <si>
    <t>Custo Horário</t>
  </si>
  <si>
    <t>S0006</t>
  </si>
  <si>
    <t>Custo unitário total dos outros insumos =&gt;</t>
  </si>
  <si>
    <t>Composição Auxiliar</t>
  </si>
  <si>
    <t xml:space="preserve"> SEINFRA-0109 </t>
  </si>
  <si>
    <t>MARTELO DEMOLIDOR ELÉTRICO, COM POTÊNCIA DE 2.000 W, 1.000 IMPACTOS POR MINUTO, PESO DE 30 KG -  CHI DIURNO. (ADAPTADO DE SINAPI 102274)</t>
  </si>
  <si>
    <t>CHOR - CUSTOS HORÁRIOS DE MÁQUINAS E EQUIPAMENTOS</t>
  </si>
  <si>
    <t>CHI</t>
  </si>
  <si>
    <t xml:space="preserve"> SEINFRA-0110 </t>
  </si>
  <si>
    <t>MARTELO DEMOLIDOR ELÉTRICO, COM POTÊNCIA DE 2.000 W, 1.000 IMPACTOS POR MINUTO, PESO DE 30 KG - CHP DIURNO. (ADAPTADO DE SINAPI 102275)</t>
  </si>
  <si>
    <t>CHP</t>
  </si>
  <si>
    <t xml:space="preserve"> 91285 </t>
  </si>
  <si>
    <t>CORTADORA DE PISO COM MOTOR 4 TEMPOS A GASOLINA, POTÊNCIA DE 13 HP, COM DISCO DE CORTE DIAMANTADO SEGMENTADO PARA CONCRETO, DIÂMETRO DE 350 MM, FURO DE 1" (14 X 1") - CHI DIURNO. AF_08/2015</t>
  </si>
  <si>
    <t xml:space="preserve"> SEINFRA-0113 </t>
  </si>
  <si>
    <t>ESCAVADEIRA HIDRÁULICA SOBRE ESTEIRAS, CAÇAMBA 0,80 M3, PESO OPERACIONAL 17 T, POTENCIA BRUTA 111 HP - CHP DIURNO. (ADAPTADO DE SINAPI 5631)</t>
  </si>
  <si>
    <t xml:space="preserve"> SEINFRA-0116 </t>
  </si>
  <si>
    <t>CORTADORA DE PISO COM MOTOR 4 TEMPOS A GASOLINA, POTÊNCIA DE 13 HP, COM DISCO DE CORTE DIAMANTADO SEGMENTADO PARA CONCRETO, DIÂMETRO DE 350 MM, FURO DE 1" (14 X 1") - CHP DIURNO. (ADAPTADO DE SINAPI 91283)</t>
  </si>
  <si>
    <t xml:space="preserve"> SEINFRA-0114 </t>
  </si>
  <si>
    <t>ESCAVADEIRA HIDRÁULICA SOBRE ESTEIRAS, CAÇAMBA 0,80 M3, PESO OPERACIONAL 17 T, POTENCIA BRUTA 111 HP - CHI DIURNO. (ADAPTADO DE SINAPI 5632)</t>
  </si>
  <si>
    <t xml:space="preserve"> 1220 </t>
  </si>
  <si>
    <t>CAMINHAO BASCULANTE 6 M3 - POR HORA (O. RODOV.) (0,3HP+0,7HI)</t>
  </si>
  <si>
    <t xml:space="preserve"> 2453 </t>
  </si>
  <si>
    <t>ESCAVACAO MECANICA (O. RODOV.)</t>
  </si>
  <si>
    <t xml:space="preserve"> 5003 </t>
  </si>
  <si>
    <t>FORNECIMENTO DE SOLO PARA ATERRO</t>
  </si>
  <si>
    <t xml:space="preserve"> 2409 </t>
  </si>
  <si>
    <t>TRANSPORTE DE MATERIAL ESCAVADO EM CAMINHÃO BASCULANTE (M3XKM) (O. RODOV.)</t>
  </si>
  <si>
    <t xml:space="preserve"> 2387 </t>
  </si>
  <si>
    <t>BRITA Nº 0</t>
  </si>
  <si>
    <t xml:space="preserve"> 5002 </t>
  </si>
  <si>
    <t>COMPACTADOR MECÂNICO DE SOLO DE PERCUSSÃO (SOQUETE) À GASOLINA - 4,5 HP</t>
  </si>
  <si>
    <t>ESCO - ESCORAMENTO</t>
  </si>
  <si>
    <t xml:space="preserve"> 00005061 </t>
  </si>
  <si>
    <t>PREGO DE ACO POLIDO COM CABECA 18 X 27 (2 1/2 X 10)</t>
  </si>
  <si>
    <t xml:space="preserve"> 00006189 </t>
  </si>
  <si>
    <t>TABUA NAO APARELHADA *2,5 X 30* CM, EM MACARANDUBA/MASSARANDUBA, ANGELIM OU EQUIVALENTE DA REGIAO - BRUTA</t>
  </si>
  <si>
    <t xml:space="preserve"> 00021138 </t>
  </si>
  <si>
    <t>MOURAO ROLICO DE MADEIRA TRATADA, D = 8 A 11 CM, H = 2,20 M, EM EUCALIPTO OU EQUIVALENTE DA REGIAO (PARA CERCA)</t>
  </si>
  <si>
    <t xml:space="preserve"> 1263 </t>
  </si>
  <si>
    <t>DESMOLDANTE PARA CONCRETO</t>
  </si>
  <si>
    <t xml:space="preserve"> 2438 </t>
  </si>
  <si>
    <t>AÇO CA-50 - 8,0 MM (5/16")</t>
  </si>
  <si>
    <t xml:space="preserve"> 2439 </t>
  </si>
  <si>
    <t>AÇO CA-50 10,0 MM (3/8")</t>
  </si>
  <si>
    <t xml:space="preserve"> 2448 </t>
  </si>
  <si>
    <t>AÇO CA-60 B - 5,0 MM</t>
  </si>
  <si>
    <t xml:space="preserve"> 2980 </t>
  </si>
  <si>
    <t>CANALETA CONCRETO ESTRUTURAL 14 X 19 X 39 CM, FBK = 14 MPA (NBR 6136)</t>
  </si>
  <si>
    <t xml:space="preserve"> 10370 </t>
  </si>
  <si>
    <t>Escavação mecânica a trado Ø 400mm para estaca escavada</t>
  </si>
  <si>
    <t>Serviços</t>
  </si>
  <si>
    <t xml:space="preserve"> 2441 </t>
  </si>
  <si>
    <t>AÇO CA 50 A - 16,0 MM (5/8")</t>
  </si>
  <si>
    <t>FUES - FUNDAÇÕES E ESTRUTURAS</t>
  </si>
  <si>
    <t xml:space="preserve"> SEINFRA-0025 </t>
  </si>
  <si>
    <t>MARTELO DEMOLIDOR ELÉTRICO, COM POTÊNCIA DE 2.000 W, 1.000 IMPACTOS POR MINUTO, PESO DE 30 KG - CHP DIURNO. AF_01/2021. (ADAPTADO DE SINAPI 102275)</t>
  </si>
  <si>
    <t xml:space="preserve"> SEINFRA-0026 </t>
  </si>
  <si>
    <t xml:space="preserve">MARTELO DEMOLIDOR ELÉTRICO, COM POTÊNCIA DE 2.000 W, 1.000 IMPACTOS POR MINUTO, PESO DE 30 KG -  CHI DIURNO. AF_01/2021. (ADAPTADO DE SINAPI 102274) </t>
  </si>
  <si>
    <t xml:space="preserve"> 90587 </t>
  </si>
  <si>
    <t>VIBRADOR DE IMERSÃO, DIÂMETRO DE PONTEIRA 45MM, MOTOR ELÉTRICO TRIFÁSICO POTÊNCIA DE 2 CV - CHI DIURNO. AF_06/2015</t>
  </si>
  <si>
    <t xml:space="preserve"> 051015 </t>
  </si>
  <si>
    <t>PREPARO COM BETONEIRA E TRANSPORTE MANUAL  DE CONCRETO FCK=15 MPA - (O.C.)</t>
  </si>
  <si>
    <t xml:space="preserve"> SEINFRA-0121 </t>
  </si>
  <si>
    <t>VIBRADOR DE IMERSÃO, DIÂMETRO DE PONTEIRA 45MM, MOTOR ELÉTRICO TRIFÁSICO POTÊNCIA DE 2 CV - CHP DIURNO. (ADAPTADO DE SINAPI 90586)</t>
  </si>
  <si>
    <t xml:space="preserve"> 1867 </t>
  </si>
  <si>
    <t>PEDRA MARROADA</t>
  </si>
  <si>
    <t xml:space="preserve"> 0105 </t>
  </si>
  <si>
    <t>ARAME GALVANIZADO Nº 14 BWG</t>
  </si>
  <si>
    <t xml:space="preserve"> 2442 </t>
  </si>
  <si>
    <t>AÇO CA-50 - 20,0 MM (3/4")</t>
  </si>
  <si>
    <t xml:space="preserve"> 2444 </t>
  </si>
  <si>
    <t>AÇO CA-50 - 25,0 MM (1")</t>
  </si>
  <si>
    <t xml:space="preserve"> 2149 </t>
  </si>
  <si>
    <t>VIBRADOR 2 HP COM MANGOTE 32MM E MANGUEIRA DE 5M ( MANUTENÇÃO E DEPRECIAÇÃO DO EQUIPAMENTO) - PREÇO DO EQUIPAMENTO NOVO DIVIDIDO POR 1.000</t>
  </si>
  <si>
    <t xml:space="preserve"> 1673 </t>
  </si>
  <si>
    <t>LAJE VOLTERRANA (CONVENCIONAL) PRE-MOLDADA COM EPS PARA FORRO</t>
  </si>
  <si>
    <t>PARE - PAREDES/PAINEIS</t>
  </si>
  <si>
    <t xml:space="preserve"> SEINFRA-0108 </t>
  </si>
  <si>
    <t>ALVENARIA DE VEDAÇÃO DE BLOCOS  VAZADOS DE CONCRETO APARENTE DE 14X19X39 CM (ESPESSURA 14 CM) E ARGAMASSA DE ASSENTAMENTO COM PREPARO EM BETONEIRA. (ADAPTADO DE SINAPI 103338)</t>
  </si>
  <si>
    <t xml:space="preserve"> 050301 </t>
  </si>
  <si>
    <t>ESTACA A TRADO DIAM.25 CM SEM FERRO</t>
  </si>
  <si>
    <t xml:space="preserve"> 060192 </t>
  </si>
  <si>
    <t>FORMA DE TABUA CINTA/PILAR SOBRE/ENTRE ALVENARIA U=8 VEZES</t>
  </si>
  <si>
    <t xml:space="preserve">PREPARO COM BETONEIRA E TRANSPORTE MANUAL DE CONCRETO FCK=25 MPA </t>
  </si>
  <si>
    <t xml:space="preserve"> 060801 </t>
  </si>
  <si>
    <t>LANÇAMENTO/APLICAÇÃO/ADENSAMENTO MANUAL DE CONCRETO - (OBRAS CIVIS)</t>
  </si>
  <si>
    <t xml:space="preserve"> 2821 </t>
  </si>
  <si>
    <t>TIJOLO FURADO 11,5X19X19 CM</t>
  </si>
  <si>
    <t xml:space="preserve"> 3226 </t>
  </si>
  <si>
    <t>Chapa aço grossa preta 3/8"(9,53mm) 74,48 kg/m2</t>
  </si>
  <si>
    <t xml:space="preserve"> H486 </t>
  </si>
  <si>
    <t>TAMPA T-5 ARTICULADA 20 X 20 CM</t>
  </si>
  <si>
    <t xml:space="preserve"> 2793 </t>
  </si>
  <si>
    <t>FERRO CHATO 3/8" X 3"</t>
  </si>
  <si>
    <t xml:space="preserve"> 2794 </t>
  </si>
  <si>
    <t>FERRO CHATO 1/2" X 4"</t>
  </si>
  <si>
    <t xml:space="preserve"> 2795 </t>
  </si>
  <si>
    <t>PARABOLT 6,3MMX82,5MM</t>
  </si>
  <si>
    <t xml:space="preserve"> 2940 </t>
  </si>
  <si>
    <t>FABRICAÇÃO / MONTAGEM</t>
  </si>
  <si>
    <t xml:space="preserve"> 2417 </t>
  </si>
  <si>
    <t>MASSA PLASTICA</t>
  </si>
  <si>
    <t xml:space="preserve"> 2246 </t>
  </si>
  <si>
    <t>ELETRODO 2.5 OK</t>
  </si>
  <si>
    <t xml:space="preserve"> 1264 </t>
  </si>
  <si>
    <t>DISCO DE DESBASTE 7/8" PARA CONCRETO/FERRO (1/4" X 7")</t>
  </si>
  <si>
    <t xml:space="preserve"> 1334 </t>
  </si>
  <si>
    <t>DISCO DE CORTE DIAM. 5/8"- 10"</t>
  </si>
  <si>
    <t xml:space="preserve"> 1120 </t>
  </si>
  <si>
    <t>AÇO CA-25</t>
  </si>
  <si>
    <t xml:space="preserve"> 2374 </t>
  </si>
  <si>
    <t>FERRO REDONDO 3/8" (CHEIO)</t>
  </si>
  <si>
    <t xml:space="preserve"> 2529 </t>
  </si>
  <si>
    <t>FECHO FIO REDONDO 4" ZINCADO C/PARAFUSO REF.: SOPRANO OU EQUIVALENTE</t>
  </si>
  <si>
    <t xml:space="preserve"> 2672 </t>
  </si>
  <si>
    <t>TELA ARAME 5X5 CM FIO 12</t>
  </si>
  <si>
    <t xml:space="preserve"> H690 </t>
  </si>
  <si>
    <t>TUBO FERRO GALVANIZADO 1.1/2"</t>
  </si>
  <si>
    <t xml:space="preserve"> 2889 </t>
  </si>
  <si>
    <t xml:space="preserve"> 2481 </t>
  </si>
  <si>
    <t>CHAPA DE AÇO 1/4"</t>
  </si>
  <si>
    <t xml:space="preserve"> 2890 </t>
  </si>
  <si>
    <t xml:space="preserve"> 1377 </t>
  </si>
  <si>
    <t>FECHADURA TIPO ALAVANCA 6236 E LAFONTE /8766 E-17 IMAB OU EQUIVALENTE</t>
  </si>
  <si>
    <t xml:space="preserve"> 2930 </t>
  </si>
  <si>
    <t xml:space="preserve"> 2814 </t>
  </si>
  <si>
    <t>FECHO QUEBRA UNHA REF.: LA FONTE 400/20 / RODRIGUES 6010 OU EQUIVALENTE</t>
  </si>
  <si>
    <t xml:space="preserve"> 2974 </t>
  </si>
  <si>
    <t>PRIMER PARA MANTA ASFÁLTICA</t>
  </si>
  <si>
    <t xml:space="preserve"> 1541 </t>
  </si>
  <si>
    <t>MANTA ASFÁLTICA TIPO III-B 3MM</t>
  </si>
  <si>
    <t xml:space="preserve"> 2975 </t>
  </si>
  <si>
    <t>GÁS DE COZINHA - GLP</t>
  </si>
  <si>
    <t xml:space="preserve"> 0028 </t>
  </si>
  <si>
    <t>AZULEJISTA</t>
  </si>
  <si>
    <t xml:space="preserve"> 2501 </t>
  </si>
  <si>
    <t>PASTILHA DE PORCELANA 5X5 CM</t>
  </si>
  <si>
    <t xml:space="preserve"> 2690 </t>
  </si>
  <si>
    <t>ARGAMASSA DE REJUNTAMENTO</t>
  </si>
  <si>
    <t xml:space="preserve"> 2692 </t>
  </si>
  <si>
    <t>ARGAMASSA DE CIMENTO COLA FLEXIVEL (EXTERIOR) - ACIII</t>
  </si>
  <si>
    <t xml:space="preserve"> 1540 </t>
  </si>
  <si>
    <t>EMULSÃO ASFÁLTICA À BASE D'ÁGUA REF.: NEUTROL (ISOL 2) / IGOL 2 OU EQUIVALENTE</t>
  </si>
  <si>
    <t xml:space="preserve"> 1896 </t>
  </si>
  <si>
    <t>POLIMENTO DE PISO GRANITINA/CONCRETO/ASSOALHO (COM POLITRIZ) - COMP. AUXILIAR**</t>
  </si>
  <si>
    <t xml:space="preserve"> 2388 </t>
  </si>
  <si>
    <t>PEDRISCO (DIAM. BRITA 0)</t>
  </si>
  <si>
    <t>Equipamentos</t>
  </si>
  <si>
    <t>Utilização</t>
  </si>
  <si>
    <t>Custo Operacional</t>
  </si>
  <si>
    <t>Operativa</t>
  </si>
  <si>
    <t>Improdutiva</t>
  </si>
  <si>
    <t>VASSOURA MECÂNICA REBOCÁVEL</t>
  </si>
  <si>
    <t>Custo Horário de Equipamentos =&gt;</t>
  </si>
  <si>
    <t>Salário Hora</t>
  </si>
  <si>
    <t>Custo Horário da Mão de Obra =&gt;</t>
  </si>
  <si>
    <t>Adc.M.O. - Ferramentas (0,0%) =&gt;</t>
  </si>
  <si>
    <t>D</t>
  </si>
  <si>
    <t>Atividades Auxiliares</t>
  </si>
  <si>
    <t>Atividade Auxiliar</t>
  </si>
  <si>
    <t>USINAGEM DE PRÉ-MISTURADO A FRIO - PMF</t>
  </si>
  <si>
    <t>Custo Total das Atividades =&gt;</t>
  </si>
  <si>
    <t xml:space="preserve"> 1706 </t>
  </si>
  <si>
    <t>MASSA CORRIDA PVA</t>
  </si>
  <si>
    <t xml:space="preserve"> 2212 </t>
  </si>
  <si>
    <t>ZARCAO/CROMATO DE ZINCO</t>
  </si>
  <si>
    <t xml:space="preserve"> 3286 </t>
  </si>
  <si>
    <t xml:space="preserve"> 3270 </t>
  </si>
  <si>
    <t xml:space="preserve"> 3118 </t>
  </si>
  <si>
    <t>CABO FLEXÍVEL PVC (70° C), 0,6/1 KV, SINTENAX 2,5 MM2</t>
  </si>
  <si>
    <t xml:space="preserve"> 3114 </t>
  </si>
  <si>
    <t>CABO FLEXÍVEL PVC (70° C), 0,6/1 KV, SINTENAX 10 MM2</t>
  </si>
  <si>
    <t xml:space="preserve"> 3637 </t>
  </si>
  <si>
    <t xml:space="preserve"> 3360 </t>
  </si>
  <si>
    <t>LUVA EM AÇO GALVANIZADO A FOGO DIAMETRO 1"</t>
  </si>
  <si>
    <t xml:space="preserve"> 3250 </t>
  </si>
  <si>
    <t>CURVA DE 90 GRAUS AÇO GALVANIZADO DIAM. 1"</t>
  </si>
  <si>
    <t xml:space="preserve"> 3085 </t>
  </si>
  <si>
    <t xml:space="preserve"> 3385 </t>
  </si>
  <si>
    <t>INEL - INSTALAÇÃO ELÉTRICA/ELETRIFICAÇÃO E ILUMINAÇÃO EXTERNA</t>
  </si>
  <si>
    <t xml:space="preserve"> 00002560 </t>
  </si>
  <si>
    <t>CONDULETE DE ALUMINIO TIPO C, PARA ELETRODUTO ROSCAVEL DE 1", COM TAMPA CEGA</t>
  </si>
  <si>
    <t xml:space="preserve"> 3070 </t>
  </si>
  <si>
    <t>BUCHA DE NYLON S-6</t>
  </si>
  <si>
    <t xml:space="preserve"> 00002586 </t>
  </si>
  <si>
    <t>CONDULETE DE ALUMINIO TIPO T, PARA ELETRODUTO ROSCAVEL DE 1", COM TAMPA CEGA</t>
  </si>
  <si>
    <t xml:space="preserve"> 3058 </t>
  </si>
  <si>
    <t>BRAÇADEIRA METÁLICA TIPO "D" DIÂMETRO 1"</t>
  </si>
  <si>
    <t xml:space="preserve"> 3713 </t>
  </si>
  <si>
    <t xml:space="preserve"> 3347 </t>
  </si>
  <si>
    <t>ISOLADOR ROLDANA PORCELANA 72 X 72</t>
  </si>
  <si>
    <t xml:space="preserve"> 3003 </t>
  </si>
  <si>
    <t>ARMAÇÃO SECUNDÁRIA LEVE 1 ELEMENTO</t>
  </si>
  <si>
    <t xml:space="preserve"> 3725 </t>
  </si>
  <si>
    <t>PADRAO MONOFASICO 10 MM2 H=7 METROS</t>
  </si>
  <si>
    <t xml:space="preserve"> 3200 </t>
  </si>
  <si>
    <t xml:space="preserve"> 3072 </t>
  </si>
  <si>
    <t xml:space="preserve"> H627 </t>
  </si>
  <si>
    <t>NIPLE DUPLO DE FERRO GALVANIZADO 1"</t>
  </si>
  <si>
    <t xml:space="preserve"> H190 </t>
  </si>
  <si>
    <t xml:space="preserve"> 3246 </t>
  </si>
  <si>
    <t xml:space="preserve"> 072630 </t>
  </si>
  <si>
    <t>TRILHO OU SUPORTE PARA BORNE TERMINAL</t>
  </si>
  <si>
    <t xml:space="preserve"> 070266 </t>
  </si>
  <si>
    <t>BARRA DE COBRE 1/2" X 3/16" (0,5216 KG/M)</t>
  </si>
  <si>
    <t xml:space="preserve"> 00039795 </t>
  </si>
  <si>
    <t>QUADRO DE DISTRIBUICAO, SEM BARRAMENTO, EM PVC, DE EMBUTIR, PARA 6 DISJUNTORES NEMA OU 8 DISJUNTORES DIN</t>
  </si>
  <si>
    <t xml:space="preserve"> 3260 </t>
  </si>
  <si>
    <t xml:space="preserve"> 3650 </t>
  </si>
  <si>
    <t xml:space="preserve"> 4066 </t>
  </si>
  <si>
    <t>PROJETOR LED (REFLETOR), CORPO EM ALUMÍNIO, POTÊNCIA ENTRE 80W E 100W, FLUXO LUMINOSO MÍNIMO DE 9.500 LUMENS, TCC &gt;= 5000K, IP&gt;=65; VIDA ÚTIL MÍN.: 25.000 H</t>
  </si>
  <si>
    <t xml:space="preserve"> 3947 </t>
  </si>
  <si>
    <t>POSTE DE CONCRETO DT 7/150</t>
  </si>
  <si>
    <t xml:space="preserve"> 3679 </t>
  </si>
  <si>
    <t>LOCAÇÃO DE CAMINHAO MUNCK 12 TON. ( MÍNIMO 4 HORAS)</t>
  </si>
  <si>
    <t xml:space="preserve"> 3279 </t>
  </si>
  <si>
    <t xml:space="preserve"> 3099 </t>
  </si>
  <si>
    <t>CABO DE COBRE NU 16 MM2</t>
  </si>
  <si>
    <t xml:space="preserve"> 3775 </t>
  </si>
  <si>
    <t xml:space="preserve"> 3778 </t>
  </si>
  <si>
    <t xml:space="preserve"> 3916 </t>
  </si>
  <si>
    <t>PARA RAIOS DISTRIBUIDOR POLIMÉRICO ÓXIDO DE ZINCO S/CENTELHADOR C/ DESLIGAMENTO AUTOMÁTICO 15KV 10KA</t>
  </si>
  <si>
    <t xml:space="preserve"> H695 </t>
  </si>
  <si>
    <t xml:space="preserve"> 3053 </t>
  </si>
  <si>
    <t>BRACADEIRA METALICA TIPO "U" DIÂMETRO 2.1/2"</t>
  </si>
  <si>
    <t xml:space="preserve"> 3781 </t>
  </si>
  <si>
    <t xml:space="preserve"> 3240 </t>
  </si>
  <si>
    <t xml:space="preserve"> 3978 </t>
  </si>
  <si>
    <t>CARTUCHO PARA SOLDA EXOTÉRMICA 90 G</t>
  </si>
  <si>
    <t xml:space="preserve"> 4080 </t>
  </si>
  <si>
    <t>MOLDE DE GRAFITE PARA CONEXÃO EXOTÉRMICA</t>
  </si>
  <si>
    <t>INHI - INSTALAÇÕES HIDROS SANITÁRIAS</t>
  </si>
  <si>
    <t xml:space="preserve"> 00034643 </t>
  </si>
  <si>
    <t>CAIXA DE INSPECAO PARA ATERRAMENTO E PARA RAIOS, EM POLIPROPILENO, DIAMETRO = 300 MM X ALTURA = 400 MM</t>
  </si>
  <si>
    <t xml:space="preserve"> 3330 </t>
  </si>
  <si>
    <t>HASTE COPPERWELD  5/8" X 3,00 M COM CONECTOR</t>
  </si>
  <si>
    <t xml:space="preserve"> 3464 </t>
  </si>
  <si>
    <t xml:space="preserve"> 3467 </t>
  </si>
  <si>
    <t xml:space="preserve"> 3208 </t>
  </si>
  <si>
    <t>DR</t>
  </si>
  <si>
    <t xml:space="preserve"> 00001845 </t>
  </si>
  <si>
    <t>CURVA PVC PBA, JE, PB, 90 GRAUS, DN 50 / DE 60 MM, PARA REDE DE AGUA</t>
  </si>
  <si>
    <t xml:space="preserve"> MAT094300 </t>
  </si>
  <si>
    <t>Pasta lubrificante com 5Kg</t>
  </si>
  <si>
    <t xml:space="preserve"> MAT003300 </t>
  </si>
  <si>
    <t>Anel de borracha para tubulacao de PVC rigido, diametro nominal de 50mm</t>
  </si>
  <si>
    <t xml:space="preserve"> MAT003400 </t>
  </si>
  <si>
    <t>Anel de borracha para tubulacao de PVC rigido, diametro nominal de 100mm</t>
  </si>
  <si>
    <t xml:space="preserve"> MAT129800 </t>
  </si>
  <si>
    <t>Te de PVC rigido, 90o, PBA, BBB, diametro nominal de 100mm</t>
  </si>
  <si>
    <t xml:space="preserve"> MAT003350 </t>
  </si>
  <si>
    <t>Anel de borracha para tubulacao de PVC rigido, diametro nominal de 75mm</t>
  </si>
  <si>
    <t xml:space="preserve"> MAT118500 </t>
  </si>
  <si>
    <t>Reducao de PVC rigido, PBA, PB, diametro nominal de (100x75)mm</t>
  </si>
  <si>
    <t xml:space="preserve"> MAT118450 </t>
  </si>
  <si>
    <t>Reducao de PVC rigido, PBA, PB, diametro nominal de (100x50)mm</t>
  </si>
  <si>
    <t xml:space="preserve"> MAT131350 </t>
  </si>
  <si>
    <t>Te de reducao de PVC rigido, 90o, PBA, BBB, diametro nominal de (75x50)mm</t>
  </si>
  <si>
    <t xml:space="preserve"> MAT118400 </t>
  </si>
  <si>
    <t>Reducao de PVC rigido, PBA, PB, diametro nominal de (75x50)mm</t>
  </si>
  <si>
    <t xml:space="preserve"> MAT085450 </t>
  </si>
  <si>
    <t>Luva simples de PVC rigido, PBA, diametro nominal de 50mm</t>
  </si>
  <si>
    <t xml:space="preserve"> MAT129700 </t>
  </si>
  <si>
    <t>Te de PVC rigido, 90o, PBA, BBB, diametro nominal de 50mm</t>
  </si>
  <si>
    <t xml:space="preserve"> MAT131400 </t>
  </si>
  <si>
    <t>Te de reducao de PVC rigido, 90o, PBA, BBB, diametro nominal de (100x50)mm</t>
  </si>
  <si>
    <t xml:space="preserve"> MAT083850 </t>
  </si>
  <si>
    <t>Luva de correr de PVC rigido, PBA, diametro nominal de 100mm</t>
  </si>
  <si>
    <t xml:space="preserve"> MAT028450 </t>
  </si>
  <si>
    <t>Cap de PVC rigido, PBA, diametro nominal de 100mm</t>
  </si>
  <si>
    <t xml:space="preserve"> MAT045250 </t>
  </si>
  <si>
    <t>Curva de PVC rigido, 90o, PBA, PB, diametro nominal de 100mm</t>
  </si>
  <si>
    <t xml:space="preserve"> MAT045000 </t>
  </si>
  <si>
    <t>Curva de PVC rigido, 45o, PBA, PB, diametro nominal de 50mm</t>
  </si>
  <si>
    <t xml:space="preserve"> MAT085500 </t>
  </si>
  <si>
    <t>Luva simples de PVC rigido, PBA, diametro nominal de 75mm</t>
  </si>
  <si>
    <t xml:space="preserve"> MAT129750 </t>
  </si>
  <si>
    <t>Te de PVC rigido, 90o, PBA, BBB, diametro nominal de 75mm</t>
  </si>
  <si>
    <t xml:space="preserve"> MAT028350 </t>
  </si>
  <si>
    <t>Cap de PVC rigido, PBA, diametro nominal de 50mm</t>
  </si>
  <si>
    <t xml:space="preserve"> MAT028400 </t>
  </si>
  <si>
    <t>Cap de PVC rigido, PBA, diametro nominal de 75mm</t>
  </si>
  <si>
    <t>ASTU - ASSENTAMENTO DE TUBOS E PECAS</t>
  </si>
  <si>
    <t xml:space="preserve"> 00020078 </t>
  </si>
  <si>
    <t>PASTA LUBRIFICANTE PARA TUBOS E CONEXOES COM JUNTA ELASTICA, EMBALAGEM DE *400* GR (USO EM PVC, ACO, POLIETILENO E OUTROS)</t>
  </si>
  <si>
    <t xml:space="preserve"> 00036375 </t>
  </si>
  <si>
    <t>TUBO PVC PBA JEI, CLASSE 15, DN 50 MM, PARA REDE DE AGUA (NBR 5647)</t>
  </si>
  <si>
    <t xml:space="preserve"> 00036376 </t>
  </si>
  <si>
    <t>TUBO PVC PBA JEI, CLASSE 15, DN 75 MM, PARA REDE DE AGUA (NBR 5647)</t>
  </si>
  <si>
    <t xml:space="preserve"> 00036377 </t>
  </si>
  <si>
    <t>TUBO PVC PBA JEI, CLASSE 15, DN 100 MM, PARA REDE DE AGUA (NBR 5647)</t>
  </si>
  <si>
    <t xml:space="preserve"> MAT044850 </t>
  </si>
  <si>
    <t>Curva de PVC rigido, 22o 30', PBA, PB, diametro nominal de 50mm</t>
  </si>
  <si>
    <t xml:space="preserve"> 5169 </t>
  </si>
  <si>
    <t>Anel de borracha p/ tubo ou conexão de pvc je, d=   50mm</t>
  </si>
  <si>
    <t xml:space="preserve"> 7475 </t>
  </si>
  <si>
    <t>Curva 11º15' de pvc je, ponta / bolsa, d= 50mm</t>
  </si>
  <si>
    <t xml:space="preserve"> MAT033300 </t>
  </si>
  <si>
    <t>Chumbo em lingote, nacional</t>
  </si>
  <si>
    <t xml:space="preserve"> MAT093950 </t>
  </si>
  <si>
    <t>Parafuso para flange, medindo: (5/8"x3 1/2")</t>
  </si>
  <si>
    <t xml:space="preserve"> 5632 </t>
  </si>
  <si>
    <t>Registro gaveta fofo, c/ bolsas p/ tubo de pvc, cunha borracha, volante, pn 10, tipo euro 24, d=   50mm</t>
  </si>
  <si>
    <t xml:space="preserve"> 00009825 </t>
  </si>
  <si>
    <t>TUBO PVC DEFOFO, JEI, 1 MPA, DN 100 MM, PARA REDE DE AGUA (NBR 7665)</t>
  </si>
  <si>
    <t xml:space="preserve"> MAT084000 </t>
  </si>
  <si>
    <t>Luva de ferro fundido ductil, JGS, BB, diametro nominal de 100mm</t>
  </si>
  <si>
    <t xml:space="preserve"> MAT144400 </t>
  </si>
  <si>
    <t>Tubo de ferro fundido ductil, com flages, PN10, diametro nominal de 100mm, TFL10, Saint-Gobain ou similar</t>
  </si>
  <si>
    <t xml:space="preserve"> MAT007000 </t>
  </si>
  <si>
    <t>Arruela de borracha natural ou sintetica, PN-10, diametro nominal de 100mm</t>
  </si>
  <si>
    <t xml:space="preserve"> MAT092750 </t>
  </si>
  <si>
    <t>Parafuso de aco galvanizado com porca, para tubo de ferro fundido flangeado, medindo: (16x80)mm</t>
  </si>
  <si>
    <t xml:space="preserve"> MAT120050 </t>
  </si>
  <si>
    <t>Registro de gaveta chato de ferro fundido, FF, PN-10, diametro nominal de 100mm</t>
  </si>
  <si>
    <t>IT</t>
  </si>
  <si>
    <t xml:space="preserve"> MAT033250 </t>
  </si>
  <si>
    <t>Chumbo em lencol com espessura de 2mm</t>
  </si>
  <si>
    <t xml:space="preserve"> MAT047000 </t>
  </si>
  <si>
    <t>Curva dissimetrica de ferro fundido, FF, para hidrante, de: (100x100)mm</t>
  </si>
  <si>
    <t xml:space="preserve"> MAT054750 </t>
  </si>
  <si>
    <t>Estopa</t>
  </si>
  <si>
    <t xml:space="preserve"> MAT066800 </t>
  </si>
  <si>
    <t>Hidrante de coluna de 100mm, completo, com registro cunha de borracha</t>
  </si>
  <si>
    <t xml:space="preserve"> MAT130900 </t>
  </si>
  <si>
    <t>Te de reducao de ferro fundido, BBB, JGS, diametro nominal de (150x100)mm</t>
  </si>
  <si>
    <t>Talha manual 2,0 t, elev.= 5,0 m ("koch" ou equivalente)</t>
  </si>
  <si>
    <t xml:space="preserve"> I9826 </t>
  </si>
  <si>
    <t>SEINFRA</t>
  </si>
  <si>
    <t>JUNTA DE DESMONTAGEM TRAVADA AXIALMENTE PN10 DN 100</t>
  </si>
  <si>
    <t xml:space="preserve"> I10472 </t>
  </si>
  <si>
    <t>REGISTRO TAP 1’’</t>
  </si>
  <si>
    <t xml:space="preserve"> MAT084050 </t>
  </si>
  <si>
    <t>Luva de ferro fundido ductil, JGS, BB, diametro nominal de 150mm</t>
  </si>
  <si>
    <t xml:space="preserve"> MAT118050 </t>
  </si>
  <si>
    <t>Reducao de ferro fundido, PB, JE, diametro nominal de (150x100)mm</t>
  </si>
  <si>
    <t>Fornecimento de Peças de Montagem e de Intervenção, em Ferro Fundido</t>
  </si>
  <si>
    <t xml:space="preserve"> 5197 </t>
  </si>
  <si>
    <t>Arruela de borracha para junta c/ flange pn 10, d=  100mm</t>
  </si>
  <si>
    <t xml:space="preserve"> 5244 </t>
  </si>
  <si>
    <t>Parafuso e porca para junta c/ flange d x l = 16 x  80mm</t>
  </si>
  <si>
    <t xml:space="preserve"> O.05.000.063505 </t>
  </si>
  <si>
    <t>CPOS</t>
  </si>
  <si>
    <t>Hidrômetro tipo Woltmann em ferro fundido de 100mm (4´), flangeado inclusive acessórios de fixação</t>
  </si>
  <si>
    <t xml:space="preserve"> MAT152300 </t>
  </si>
  <si>
    <t>Volante de ferro fundido ductil para registros e valvulas, diametro nominal de 100mm, referencia no 36, Barbara ou similar</t>
  </si>
  <si>
    <t xml:space="preserve"> MAT055950 </t>
  </si>
  <si>
    <t>Extremidade de ferro fundido, PF, PN-10, com aba de vedacao, diametro nominal de 100mm</t>
  </si>
  <si>
    <t xml:space="preserve"> MAT138750 </t>
  </si>
  <si>
    <t>Toco de ferro fundido, FF, largura de 0,25m, PN-10, diametro nominal de 100mm</t>
  </si>
  <si>
    <t xml:space="preserve"> 12174 </t>
  </si>
  <si>
    <t>Redução excentrica em fofo, c/ flanges pn 10 / 16, d=  100 x   50mm</t>
  </si>
  <si>
    <t xml:space="preserve"> 00004229 </t>
  </si>
  <si>
    <t>GRAXA LUBRIFICANTE A BASE DE LITIO, DE MULTIPLAS APLICACOES E CONTENDO ADITIVOS DE EXTREMA PRESSAO (GRAU DE VISCOSIDADE NLGI 2)</t>
  </si>
  <si>
    <t xml:space="preserve"> MAT150350 </t>
  </si>
  <si>
    <t>Valvula redutora de pressao de ferro fundido, com roscas, 1MPa, diametro nominal de 2"</t>
  </si>
  <si>
    <t xml:space="preserve"> MAT139000 </t>
  </si>
  <si>
    <t>Toco de ferro fundido, FF, largura de 0,50m, PN-10, diametro nominal de 100mm</t>
  </si>
  <si>
    <t>TUBOS E CONEXÕES DE FERRO FUNDIDO</t>
  </si>
  <si>
    <t xml:space="preserve"> I0323 </t>
  </si>
  <si>
    <t>BUCHA REDUÇÃO FERRO FUNDIDO 150X100MM</t>
  </si>
  <si>
    <t xml:space="preserve"> I1350 </t>
  </si>
  <si>
    <t>LUBRIFICANTE PARA TUBO DE FERRO FUNDIDO</t>
  </si>
  <si>
    <t xml:space="preserve"> I0079 </t>
  </si>
  <si>
    <t>ANEL DE BORRACHA P/TUBO PVC REFORÇADO DE 150MM</t>
  </si>
  <si>
    <t xml:space="preserve"> MAT003500 </t>
  </si>
  <si>
    <t>Anel de borracha para tubos coletor de esgoto, diametro nominal de 150mm</t>
  </si>
  <si>
    <t xml:space="preserve"> MAT145000 </t>
  </si>
  <si>
    <t>Tubo de PVC rigido DEFoFo, para aducao e distribuicao de agua, vara com 6m, diametro nominal de 150mm</t>
  </si>
  <si>
    <t xml:space="preserve"> 5174 </t>
  </si>
  <si>
    <t>Anel de borracha p/ tubo ou conexão em fofo je, d=  150mm</t>
  </si>
  <si>
    <t xml:space="preserve"> 5346 </t>
  </si>
  <si>
    <t>Curva 45º, em fofo, c/ flanges pn 10 / 16, d=  150mm</t>
  </si>
  <si>
    <t>Tirfor 1,6 t - 20m de cabo</t>
  </si>
  <si>
    <t xml:space="preserve"> MAT144450 </t>
  </si>
  <si>
    <t>Tubo de ferro fundido ductil, com flages, PN10, diametro nominal de 150mm, TFL10, Saint-Gobain ou similar</t>
  </si>
  <si>
    <t xml:space="preserve"> MAT007050 </t>
  </si>
  <si>
    <t>Arruela de borracha natural ou sintetica, PN-10, diametro nominal de 150mm</t>
  </si>
  <si>
    <t xml:space="preserve"> MAT092800 </t>
  </si>
  <si>
    <t>Parafuso de aco galvanizado com porca, para tubo de ferro fundido flangeado, medindo: (20x90)mm</t>
  </si>
  <si>
    <t xml:space="preserve"> MAT120100 </t>
  </si>
  <si>
    <t>Registro de gaveta chato de ferro fundido, FF, PN-10, diametro nominal de 150mm</t>
  </si>
  <si>
    <t xml:space="preserve"> MAT044300 </t>
  </si>
  <si>
    <t>Curva de ferro fundido, 45o, FF, PN-10, diametro nominal de 150mm</t>
  </si>
  <si>
    <t xml:space="preserve"> MAT128950 </t>
  </si>
  <si>
    <t>Te de ferro fundido, FFF, PN-10, diametro nominal de (150x150)mm</t>
  </si>
  <si>
    <t xml:space="preserve"> MAT060700 </t>
  </si>
  <si>
    <t>Flange cego de ferro fundido ductil, PN-10, diametro nominal de 150mm</t>
  </si>
  <si>
    <t xml:space="preserve"> MAT120150 </t>
  </si>
  <si>
    <t>Registro de gaveta chato de ferro fundido, FF, PN-10, diametro nominal de 200mm</t>
  </si>
  <si>
    <t xml:space="preserve"> MAT007100 </t>
  </si>
  <si>
    <t>Arruela de borracha natural ou sintetica, PN-10, diametro nominal de 200mm</t>
  </si>
  <si>
    <t xml:space="preserve"> MAT138850 </t>
  </si>
  <si>
    <t>Toco de ferro fundido, FF, largura de 0,25m, PN-10, diametro nominal de 200mm</t>
  </si>
  <si>
    <t xml:space="preserve"> I4006 </t>
  </si>
  <si>
    <t>JUNTA DE DESMONTAGEM TRAVADA AXIALMENTE PN10 DN200</t>
  </si>
  <si>
    <t xml:space="preserve"> MAT144500 </t>
  </si>
  <si>
    <t>Tubo de ferro fundido ductil, com flages, PN10, diametro nominal de 200mm, TFL10, Saint-Gobain ou similar</t>
  </si>
  <si>
    <t xml:space="preserve"> MAT044700 </t>
  </si>
  <si>
    <t>Curva de ferro fundido, 90o, FF, PN-10, diametro nominal de 200mm</t>
  </si>
  <si>
    <t xml:space="preserve"> 5199 </t>
  </si>
  <si>
    <t>Arruela de borracha para junta c/ flange pn 10, d=  200mm</t>
  </si>
  <si>
    <t xml:space="preserve"> 5245 </t>
  </si>
  <si>
    <t>Parafuso e porca para junta c/ flange d x l = 20 x  90mm</t>
  </si>
  <si>
    <t xml:space="preserve"> 5876 </t>
  </si>
  <si>
    <t>TUBO EM FOFO, PONTA E FLANGE PN 10, D=  200MM, L=1,00M</t>
  </si>
  <si>
    <t xml:space="preserve"> MAT076150 </t>
  </si>
  <si>
    <t>Junta Gibault de ferro fundido, diametro nominal de 200mm</t>
  </si>
  <si>
    <t xml:space="preserve"> MAT056050 </t>
  </si>
  <si>
    <t>Extremidade de ferro fundido, PF, PN-10, com aba de vedacao, diametro nominal de 200mm</t>
  </si>
  <si>
    <t xml:space="preserve"> M013100009 </t>
  </si>
  <si>
    <t>EMBASA</t>
  </si>
  <si>
    <t>VALVULA FLAP FoFo PN 10 DN 200</t>
  </si>
  <si>
    <t>PC</t>
  </si>
  <si>
    <t xml:space="preserve"> I4072 </t>
  </si>
  <si>
    <t>REDUÇÃO EXCÊNTRICA C/ FLANGES DN 250 x 150 PN10</t>
  </si>
  <si>
    <t xml:space="preserve"> MAT118800 </t>
  </si>
  <si>
    <t>Reducao excentrica de ferro fundido, FF, PN-10, diametro nominal de (150x100)mm</t>
  </si>
  <si>
    <t xml:space="preserve"> 5359 </t>
  </si>
  <si>
    <t>Curva 90º c/ bolsas, em fofo, je, d=  100mm</t>
  </si>
  <si>
    <t xml:space="preserve"> 3367 </t>
  </si>
  <si>
    <t>LUVA EM AÇO GALVANIZADO A FOGO DIAMETRO 3/4"</t>
  </si>
  <si>
    <t xml:space="preserve"> 00003456/SINAPI </t>
  </si>
  <si>
    <t>Cotovelo 90 graus de ferro galvanizado, com rosca bsp, de 3/4"</t>
  </si>
  <si>
    <t>Edificação</t>
  </si>
  <si>
    <t xml:space="preserve"> 73202 </t>
  </si>
  <si>
    <t>SIURB</t>
  </si>
  <si>
    <t>TUBO DE AÇO CARBONO PRETO COM COSTURA (SCH-40) - 3/4"</t>
  </si>
  <si>
    <t xml:space="preserve"> 79640 </t>
  </si>
  <si>
    <t>FITA DE TEFLON - 3/4"</t>
  </si>
  <si>
    <t xml:space="preserve"> H101 </t>
  </si>
  <si>
    <t>ADAPTADOR SOLDÁVEL CURTO COM BOLSA E ROSCA PARA REGISTRO 25X3/4"</t>
  </si>
  <si>
    <t xml:space="preserve"> 00003148 </t>
  </si>
  <si>
    <t>FITA VEDA ROSCA EM ROLOS DE 18 MM X 50 M (L X C)</t>
  </si>
  <si>
    <t xml:space="preserve"> 00007307 </t>
  </si>
  <si>
    <t>FUNDO ANTICORROSIVO PARA METAIS FERROSOS (ZARCAO)</t>
  </si>
  <si>
    <t>L</t>
  </si>
  <si>
    <t xml:space="preserve"> 00009886 </t>
  </si>
  <si>
    <t>UNIAO DE FERRO GALVANIZADO, COM ROSCA BSP, COM ASSENTO PLANO, DE 1"</t>
  </si>
  <si>
    <t xml:space="preserve"> H192 </t>
  </si>
  <si>
    <t xml:space="preserve"> 3254 </t>
  </si>
  <si>
    <t>CURVA DE 90 GRAUS AÇO GALVANIZADO DIAM. 3/4"</t>
  </si>
  <si>
    <t>LIPR - LIGAÇÕES PREDIAIS ÁGUA/ESGOTO/ENERGIA/TELEFONE</t>
  </si>
  <si>
    <t xml:space="preserve"> I2928 </t>
  </si>
  <si>
    <t>COLAR DE TOMADA FoFo P/TUBOS PVC / DEFoFo DN 150 x 3/4"</t>
  </si>
  <si>
    <t>Serviços Iniciais</t>
  </si>
  <si>
    <t xml:space="preserve"> 2480 </t>
  </si>
  <si>
    <t>Pick-up, capacidade 1,2 t</t>
  </si>
  <si>
    <t xml:space="preserve"> 6442 </t>
  </si>
  <si>
    <t>Nível ótico de precisão</t>
  </si>
  <si>
    <t xml:space="preserve"> 6443 </t>
  </si>
  <si>
    <t>TEODOLITO</t>
  </si>
  <si>
    <t>Conversão InfoWOrca</t>
  </si>
  <si>
    <t>CARGA, TRANSPORTE E DESCARGA DE TUBOS E CONEXÕES</t>
  </si>
  <si>
    <t xml:space="preserve"> I0703 </t>
  </si>
  <si>
    <t>CAMINHÃO C/CARROCERIA DE MADEIRA HP 136 (CHP)</t>
  </si>
  <si>
    <t xml:space="preserve"> MAT044650 </t>
  </si>
  <si>
    <t>Curva de ferro fundido, 90o, FF, PN-10, diametro nominal de 150mm</t>
  </si>
  <si>
    <t xml:space="preserve"> MAT129150 </t>
  </si>
  <si>
    <t>Te de ferro fundido, BBB, JGS, diametro nominal de (100x100)mm</t>
  </si>
  <si>
    <t xml:space="preserve"> SEINFRA-0123 </t>
  </si>
  <si>
    <t>ARGAMASSA TRAÇO 1:3 (EM VOLUME DE CIMENTO E AREIA MÉDIA ÚMIDA), PREPARO MANUAL. (ADAPTADO DE SINAPI 88629)</t>
  </si>
  <si>
    <t>SEDI - SERVIÇOS DIVERSOS</t>
  </si>
  <si>
    <t xml:space="preserve"> 00012532 </t>
  </si>
  <si>
    <t>ANEL EM CONCRETO ARMADO, LISO, PARA POCOS DE INSPECAO, SEM FUNDO, DIAMETRO INTERNO DE 0,60 M E ALTURA DE 0,50 M</t>
  </si>
  <si>
    <t xml:space="preserve"> 00007756 </t>
  </si>
  <si>
    <t>TUBO DE CONCRETO ARMADO PARA AGUAS PLUVIAIS, CLASSE PA-1, COM ENCAIXE PONTA E BOLSA, DIAMETRO NOMINAL DE 900 MM</t>
  </si>
  <si>
    <t xml:space="preserve"> 00012551 </t>
  </si>
  <si>
    <t>ANEL EM CONCRETO ARMADO, LISO, PARA POCOS DE VISITA, POCOS DE INSPECAO, FOSSAS SEPTICAS E SUMIDOUROS, SEM FUNDO, DIAMETRO INTERNO DE 1,20 M E ALTURA DE 0,50 M</t>
  </si>
  <si>
    <t>MANUTENÇÃO EM REDE DE ESGOTO</t>
  </si>
  <si>
    <t xml:space="preserve"> I0705 </t>
  </si>
  <si>
    <t>CAMINHÃO COMERC. EQUIP. C/GUINDASTE (CHP)</t>
  </si>
  <si>
    <t xml:space="preserve"> 00011649 </t>
  </si>
  <si>
    <t>LAJE PRE-MOLDADA DE TRANSICAO EXCENTRICA EM CONCRETO ARMADO, DN 1200 MM, FURO CIRCULAR DN 600 MM, ESPESSURA 12 CM</t>
  </si>
  <si>
    <t xml:space="preserve"> 00043423 </t>
  </si>
  <si>
    <t>ANEL EM CONCRETO ARMADO, LISO, PARA POCOS DE INSPECAO, SEM FUNDO, DIAMETRO INTERNO DE 0,60 M E ALTURA DE 0,20 M</t>
  </si>
  <si>
    <t xml:space="preserve"> I7403 </t>
  </si>
  <si>
    <t>TAMPA DE CONCRETO P/ POÇO D=0,60m</t>
  </si>
  <si>
    <t>SEES - SERVIÇOS ESPECIAIS</t>
  </si>
  <si>
    <t xml:space="preserve"> S0008 </t>
  </si>
  <si>
    <t>RESERVATÓRIO METÁLICO, CAPACIDADE 230 M3, CONFORME PROJETO</t>
  </si>
  <si>
    <t xml:space="preserve"> 2057 </t>
  </si>
  <si>
    <t>TERRA VEGETAL</t>
  </si>
  <si>
    <t xml:space="preserve"> 1440 </t>
  </si>
  <si>
    <t>ADUBO MINERAL NPK (4/14/8)</t>
  </si>
  <si>
    <t xml:space="preserve"> 2775 </t>
  </si>
  <si>
    <t>GRAMA ESMERALDA EM PLACAS</t>
  </si>
  <si>
    <t xml:space="preserve"> 2840 </t>
  </si>
  <si>
    <t>DETERGENTE AMONIACAL (D=1,01 KG/L)</t>
  </si>
  <si>
    <t xml:space="preserve"> 0110 </t>
  </si>
  <si>
    <t>ÁCIDO MURIÁTICO (D=1,2 KG/L)</t>
  </si>
  <si>
    <t xml:space="preserve"> 1971 </t>
  </si>
  <si>
    <t>SABAO EM PO</t>
  </si>
  <si>
    <t>Composições Auxiliares</t>
  </si>
  <si>
    <t xml:space="preserve"> 3017 </t>
  </si>
  <si>
    <t xml:space="preserve"> 3481 </t>
  </si>
  <si>
    <t xml:space="preserve"> SEINFRA-0106 </t>
  </si>
  <si>
    <t>ARGAMASSA TRAÇO 1:2:8 (EM VOLUME DE CIMENTO, CAL E AREIA MÉDIA ÚMIDA) PARA EMBOÇO/MASSA ÚNICA/ASSENTAMENTO DE ALVENARIA DE VEDAÇÃO, PREPARO MECÂNICO COM BETONEIRA 400 L. (ADAPTADO DE SINAPI 87292)</t>
  </si>
  <si>
    <t xml:space="preserve"> 00034547 </t>
  </si>
  <si>
    <t>TELA DE ACO SOLDADA GALVANIZADA/ZINCADA PARA ALVENARIA, FIO D = *1,20 A 1,70* MM, MALHA 15 X 15 MM, (C X L) *50 X 12* CM</t>
  </si>
  <si>
    <t xml:space="preserve"> 00037395 </t>
  </si>
  <si>
    <t>PINO DE ACO COM FURO, HASTE = 27 MM (ACAO DIRETA)</t>
  </si>
  <si>
    <t>CENTO</t>
  </si>
  <si>
    <t xml:space="preserve"> 2879 </t>
  </si>
  <si>
    <t>BLOCO CONCRETO ESTRUTURAL 14 X 19 X 39 CM FBK  = 4,5 MPA (NBR 6136)</t>
  </si>
  <si>
    <t xml:space="preserve"> 88830 </t>
  </si>
  <si>
    <t>BETONEIRA CAPACIDADE NOMINAL DE 400 L, CAPACIDADE DE MISTURA 280 L, MOTOR ELÉTRICO TRIFÁSICO POTÊNCIA DE 2 CV, SEM CARREGADOR - CHP DIURNO. AF_05/2023</t>
  </si>
  <si>
    <t xml:space="preserve"> 88831 </t>
  </si>
  <si>
    <t>BETONEIRA CAPACIDADE NOMINAL DE 400 L, CAPACIDADE DE MISTURA 280 L, MOTOR ELÉTRICO TRIFÁSICO POTÊNCIA DE 2 CV, SEM CARREGADOR - CHI DIURNO. AF_05/2023</t>
  </si>
  <si>
    <t xml:space="preserve"> 88826 </t>
  </si>
  <si>
    <t>BETONEIRA CAPACIDADE NOMINAL DE 400 L, CAPACIDADE DE MISTURA 280 L, MOTOR ELÉTRICO TRIFÁSICO POTÊNCIA DE 2 CV, SEM CARREGADOR - DEPRECIAÇÃO. AF_05/2023</t>
  </si>
  <si>
    <t xml:space="preserve"> 88827 </t>
  </si>
  <si>
    <t>BETONEIRA CAPACIDADE NOMINAL DE 400 L, CAPACIDADE DE MISTURA 280 L, MOTOR ELÉTRICO TRIFÁSICO POTÊNCIA DE 2 CV, SEM CARREGADOR - JUROS. AF_05/2023</t>
  </si>
  <si>
    <t xml:space="preserve"> 88828 </t>
  </si>
  <si>
    <t>BETONEIRA CAPACIDADE NOMINAL DE 400 L, CAPACIDADE DE MISTURA 280 L, MOTOR ELÉTRICO TRIFÁSICO POTÊNCIA DE 2 CV, SEM CARREGADOR - MANUTENÇÃO. AF_05/2023</t>
  </si>
  <si>
    <t xml:space="preserve"> 88829 </t>
  </si>
  <si>
    <t>BETONEIRA CAPACIDADE NOMINAL DE 400 L, CAPACIDADE DE MISTURA 280 L, MOTOR ELÉTRICO TRIFÁSICO POTÊNCIA DE 2 CV, SEM CARREGADOR - MATERIAIS NA OPERAÇÃO. AF_05/2023</t>
  </si>
  <si>
    <t xml:space="preserve"> 00010535 </t>
  </si>
  <si>
    <t>BETONEIRA CAPACIDADE NOMINAL 400 L, CAPACIDADE DE MISTURA 280 L, MOTOR ELETRICO TRIFASICO 220/380 V POTENCIA 2 CV, SEM CARREGADOR</t>
  </si>
  <si>
    <t>Equipamento para Aquisição Permanente</t>
  </si>
  <si>
    <t xml:space="preserve"> 00002705 </t>
  </si>
  <si>
    <t>ENERGIA ELETRICA ATE 2000 KWH INDUSTRIAL, SEM DEMANDA</t>
  </si>
  <si>
    <t>Franquia</t>
  </si>
  <si>
    <t>KWH</t>
  </si>
  <si>
    <t xml:space="preserve"> 91279 </t>
  </si>
  <si>
    <t>CORTADORA DE PISO COM MOTOR 4 TEMPOS A GASOLINA, POTÊNCIA DE 13 HP, COM DISCO DE CORTE DIAMANTADO SEGMENTADO PARA CONCRETO, DIÂMETRO DE 350 MM, FURO DE 1" (14 X 1") - DEPRECIAÇÃO. AF_08/2015</t>
  </si>
  <si>
    <t xml:space="preserve"> 91280 </t>
  </si>
  <si>
    <t>CORTADORA DE PISO COM MOTOR 4 TEMPOS A GASOLINA, POTÊNCIA DE 13 HP, COM DISCO DE CORTE DIAMANTADO SEGMENTADO PARA CONCRETO, DIÂMETRO DE 350 MM, FURO DE 1" (14 X 1") - JUROS. AF_08/2015</t>
  </si>
  <si>
    <t xml:space="preserve"> 91281 </t>
  </si>
  <si>
    <t>CORTADORA DE PISO COM MOTOR 4 TEMPOS A GASOLINA, POTÊNCIA DE 13 HP, COM DISCO DE CORTE DIAMANTADO SEGMENTADO PARA CONCRETO, DIÂMETRO DE 350 MM, FURO DE 1" (14 X 1") - MANUTENÇÃO. AF_08/2015</t>
  </si>
  <si>
    <t xml:space="preserve"> SEINFRA-0115 </t>
  </si>
  <si>
    <t>CORTADORA DE PISO COM MOTOR 4 TEMPOS A GASOLINA, POTÊNCIA DE 13 HP, COM DISCO DE CORTE DIAMANTADO SEGMENTADO PARA CONCRETO, DIÂMETRO DE 350 MM, FURO DE 1" (14 X 1") - MATERIAIS NA OPERAÇÃO. (ADAPTADO DE SINAPI 91282)</t>
  </si>
  <si>
    <t xml:space="preserve"> 00011280 </t>
  </si>
  <si>
    <t>CORTADEIRA DE PISO DE CONCRETO E ASFALTO, PARA DISCO PADRAO DE DIAMETRO 350 MM (14") OU 450 MM (18"), MOTOR A GASOLINA, POTENCIA 13 HP, SEM DISCO</t>
  </si>
  <si>
    <t xml:space="preserve"> 00013887 </t>
  </si>
  <si>
    <t>DISCO DE CORTE DIAMANTADO SEGMENTADO PARA CONCRETO, DIAMETRO DE 350 MM, FURO DE 1" (14 X 1 ")</t>
  </si>
  <si>
    <t xml:space="preserve"> 5627 </t>
  </si>
  <si>
    <t>ESCAVADEIRA HIDRÁULICA SOBRE ESTEIRAS, CAÇAMBA 0,80 M3, PESO OPERACIONAL 17 T, POTENCIA BRUTA 111 HP - DEPRECIAÇÃO. AF_06/2014</t>
  </si>
  <si>
    <t xml:space="preserve"> 5628 </t>
  </si>
  <si>
    <t>ESCAVADEIRA HIDRÁULICA SOBRE ESTEIRAS, CAÇAMBA 0,80 M3, PESO OPERACIONAL 17 T, POTENCIA BRUTA 111 HP - JUROS. AF_06/2014</t>
  </si>
  <si>
    <t xml:space="preserve"> 5629 </t>
  </si>
  <si>
    <t>ESCAVADEIRA HIDRÁULICA SOBRE ESTEIRAS, CAÇAMBA 0,80 M3, PESO OPERACIONAL 17 T, POTENCIA BRUTA 111 HP - MANUTENÇÃO. AF_06/2014</t>
  </si>
  <si>
    <t xml:space="preserve"> 5630 </t>
  </si>
  <si>
    <t>ESCAVADEIRA HIDRÁULICA SOBRE ESTEIRAS, CAÇAMBA 0,80 M3, PESO OPERACIONAL 17 T, POTENCIA BRUTA 111 HP - MATERIAIS NA OPERAÇÃO. AF_06/2014</t>
  </si>
  <si>
    <t xml:space="preserve"> 00010685 </t>
  </si>
  <si>
    <t>ESCAVADEIRA HIDRAULICA SOBRE ESTEIRAS, CACAMBA 0,80M3, PESO OPERACIONAL 17T, POTENCIA BRUTA 111HP</t>
  </si>
  <si>
    <t xml:space="preserve"> 00004221 </t>
  </si>
  <si>
    <t>OLEO DIESEL COMBUSTIVEL COMUM METROPOLITANO S-10 OU S-500</t>
  </si>
  <si>
    <t xml:space="preserve"> 102270 </t>
  </si>
  <si>
    <t>MARTELO DEMOLIDOR ELÉTRICO, COM POTÊNCIA DE 2.000 W, 1.000 IMPACTOS POR MINUTO, PESO DE 30 KG - DEPRECIAÇÃO. AF_01/2021</t>
  </si>
  <si>
    <t xml:space="preserve"> 102271 </t>
  </si>
  <si>
    <t>MARTELO DEMOLIDOR ELÉTRICO, COM POTÊNCIA DE 2.000 W, 1.000 IMPACTOS POR MINUTO, PESO DE 30 KG - JUROS. AF_01/2021</t>
  </si>
  <si>
    <t xml:space="preserve"> 102272 </t>
  </si>
  <si>
    <t>MARTELO DEMOLIDOR ELÉTRICO, COM POTÊNCIA DE 2.000 W, 1.000 IMPACTOS POR MINUTO, PESO DE 30 KG - MANUTENÇÃO. AF_01/2021</t>
  </si>
  <si>
    <t xml:space="preserve"> 102273 </t>
  </si>
  <si>
    <t>MARTELO DEMOLIDOR ELÉTRICO, COM POTÊNCIA DE 2.000 W, 1.000 IMPACTOS POR MINUTO, PESO DE 30 KG - MATERIAIS NA OPERAÇÃO. AF_01/2021</t>
  </si>
  <si>
    <t xml:space="preserve"> SEINFRA-0118 </t>
  </si>
  <si>
    <t>MARTELO DEMOLIDOR ELÉTRICO, COM POTÊNCIA DE 2.000 W, 1.000 IMPACTOS POR MINUTO, PESO DE 30 KG - MATERIAIS NA OPERAÇÃO. (ADAPTADO DE SINAPI 102273)</t>
  </si>
  <si>
    <t xml:space="preserve"> 00040703 </t>
  </si>
  <si>
    <t>MARTELO DEMOLIDOR ELETRICO, COM POTENCIA DE 2.000 W, FREQUENCIA DE 1.000 IMPACTOS POR MINUTO, FORCA DE IMPACTO ENTRE 60 E 65 J, PESO DE 30 KG</t>
  </si>
  <si>
    <t xml:space="preserve"> 1317 </t>
  </si>
  <si>
    <t>ENERGIA ELETRICA KWH (B3-DEMAIS CLASSES)</t>
  </si>
  <si>
    <t>kwh</t>
  </si>
  <si>
    <t xml:space="preserve"> 42491 </t>
  </si>
  <si>
    <t>CARREGADEIRA DE PNEUS CAT - 950 H  OU EQUIVALENTE</t>
  </si>
  <si>
    <t>GRUPO GERADOR 145 / 160 kVA</t>
  </si>
  <si>
    <t>C</t>
  </si>
  <si>
    <t>BRITA - COMERCIAL (BC)</t>
  </si>
  <si>
    <t>BRITA PÓ DE PEDRA (BC)</t>
  </si>
  <si>
    <t>Custo Total do Material =&gt;</t>
  </si>
  <si>
    <t xml:space="preserve"> 90582 </t>
  </si>
  <si>
    <t>VIBRADOR DE IMERSÃO, DIÂMETRO DE PONTEIRA 45MM, MOTOR ELÉTRICO TRIFÁSICO POTÊNCIA DE 2 CV - DEPRECIAÇÃO. AF_06/2015</t>
  </si>
  <si>
    <t xml:space="preserve"> 90583 </t>
  </si>
  <si>
    <t>VIBRADOR DE IMERSÃO, DIÂMETRO DE PONTEIRA 45MM, MOTOR ELÉTRICO TRIFÁSICO POTÊNCIA DE 2 CV - JUROS. AF_06/2015</t>
  </si>
  <si>
    <t xml:space="preserve"> 90584 </t>
  </si>
  <si>
    <t>VIBRADOR DE IMERSÃO, DIÂMETRO DE PONTEIRA 45MM, MOTOR ELÉTRICO TRIFÁSICO POTÊNCIA DE 2 CV - MANUTENÇÃO. AF_06/2015</t>
  </si>
  <si>
    <t xml:space="preserve"> SEINFRA-0120 </t>
  </si>
  <si>
    <t>VIBRADOR DE IMERSÃO, DIÂMETRO DE PONTEIRA 45MM, MOTOR ELÉTRICO TRIFÁSICO POTÊNCIA DE 2 CV - MATERIAIS NA OPERAÇÃO. (ADAPTADO DE SINAPI 90585)</t>
  </si>
  <si>
    <t xml:space="preserve"> 00013896 </t>
  </si>
  <si>
    <t>VIBRADOR DE IMERSAO, DIAMETRO DA PONTEIRA DE *45* MM, COM MOTOR ELETRICO TRIFASICO DE 2 HP (2 CV)</t>
  </si>
  <si>
    <t xml:space="preserve"> 1 </t>
  </si>
  <si>
    <t xml:space="preserve"> 2 </t>
  </si>
  <si>
    <t xml:space="preserve"> 3 </t>
  </si>
  <si>
    <t xml:space="preserve"> 4 </t>
  </si>
  <si>
    <t xml:space="preserve"> 5 </t>
  </si>
  <si>
    <t xml:space="preserve"> 6 </t>
  </si>
  <si>
    <t xml:space="preserve"> 7 </t>
  </si>
  <si>
    <t xml:space="preserve"> 8 </t>
  </si>
  <si>
    <t xml:space="preserve"> 9 </t>
  </si>
  <si>
    <t xml:space="preserve"> 10 </t>
  </si>
  <si>
    <t xml:space="preserve"> 11 </t>
  </si>
  <si>
    <t xml:space="preserve"> 12 </t>
  </si>
  <si>
    <t xml:space="preserve"> 13 </t>
  </si>
  <si>
    <t xml:space="preserve"> 14 </t>
  </si>
  <si>
    <t xml:space="preserve"> 15 </t>
  </si>
  <si>
    <t xml:space="preserve"> 16 </t>
  </si>
  <si>
    <t xml:space="preserve"> 17 </t>
  </si>
  <si>
    <t>ORÇAMENTO SEM DESONERAÇÃO</t>
  </si>
  <si>
    <t/>
  </si>
  <si>
    <t>Valor  Unit</t>
  </si>
  <si>
    <t>Peso Acumulado (%)</t>
  </si>
  <si>
    <t>GOINFRA RODOVIARIA</t>
  </si>
  <si>
    <t>CORTINA CANALETA CONCRETO 14X19X39 PARA SER CHEIA CONCRETO ARMADO (0,0568M3/M2) - EXCLUSO O CONCRETO. (ADAPTADO DE GOINFRA CIVIL 110106)</t>
  </si>
  <si>
    <t>POSTE DE CONCRETO DT 7/150 - SEM FUNDAÇÃO/CONCRETO. (ADAPTADO DE GOINFRA CIVIL 072001)</t>
  </si>
  <si>
    <t>REGISTRO DE GAVETA BRUTO DIAMETRO 1". (ADAPTADO DE GOINFRA CIVIL 080903)</t>
  </si>
  <si>
    <t>DESCRIÇÃO</t>
  </si>
  <si>
    <r>
      <rPr>
        <b/>
        <sz val="10"/>
        <rFont val="Arial Narrow"/>
        <family val="2"/>
      </rPr>
      <t>COM</t>
    </r>
    <r>
      <rPr>
        <sz val="10"/>
        <rFont val="Arial Narrow"/>
        <family val="2"/>
      </rPr>
      <t xml:space="preserve"> </t>
    </r>
    <r>
      <rPr>
        <b/>
        <sz val="10"/>
        <rFont val="Arial Narrow"/>
        <family val="2"/>
      </rPr>
      <t>DESONERAÇÃO</t>
    </r>
  </si>
  <si>
    <r>
      <rPr>
        <b/>
        <sz val="10"/>
        <rFont val="Arial Narrow"/>
        <family val="2"/>
      </rPr>
      <t>SEM</t>
    </r>
    <r>
      <rPr>
        <sz val="10"/>
        <rFont val="Arial Narrow"/>
        <family val="2"/>
      </rPr>
      <t xml:space="preserve"> </t>
    </r>
    <r>
      <rPr>
        <b/>
        <sz val="10"/>
        <rFont val="Arial Narrow"/>
        <family val="2"/>
      </rPr>
      <t>DESONERAÇÃO</t>
    </r>
  </si>
  <si>
    <r>
      <rPr>
        <b/>
        <sz val="10"/>
        <rFont val="Arial Narrow"/>
        <family val="2"/>
      </rPr>
      <t>HORISTA
%</t>
    </r>
  </si>
  <si>
    <r>
      <rPr>
        <b/>
        <sz val="10"/>
        <rFont val="Arial Narrow"/>
        <family val="2"/>
      </rPr>
      <t>MENSALISTA
%</t>
    </r>
  </si>
  <si>
    <r>
      <rPr>
        <b/>
        <sz val="10"/>
        <rFont val="Arial Narrow"/>
        <family val="2"/>
      </rPr>
      <t>GRUPO</t>
    </r>
    <r>
      <rPr>
        <sz val="10"/>
        <rFont val="Arial Narrow"/>
        <family val="2"/>
      </rPr>
      <t xml:space="preserve"> </t>
    </r>
    <r>
      <rPr>
        <b/>
        <sz val="10"/>
        <rFont val="Arial Narrow"/>
        <family val="2"/>
      </rPr>
      <t>A</t>
    </r>
  </si>
  <si>
    <t>A1</t>
  </si>
  <si>
    <t>INSS</t>
  </si>
  <si>
    <t>A2</t>
  </si>
  <si>
    <t>SESI</t>
  </si>
  <si>
    <t>A3</t>
  </si>
  <si>
    <t>SENAI</t>
  </si>
  <si>
    <t>A4</t>
  </si>
  <si>
    <t>INCRA</t>
  </si>
  <si>
    <t>A5</t>
  </si>
  <si>
    <t>SEBRAE</t>
  </si>
  <si>
    <t>A6</t>
  </si>
  <si>
    <t>Salário Educação</t>
  </si>
  <si>
    <t>A7</t>
  </si>
  <si>
    <t>Seguro Contra Acidentes de Trabalho</t>
  </si>
  <si>
    <t>A8</t>
  </si>
  <si>
    <t>FGTS</t>
  </si>
  <si>
    <t>A9</t>
  </si>
  <si>
    <t>SECONCI</t>
  </si>
  <si>
    <r>
      <rPr>
        <b/>
        <sz val="10"/>
        <rFont val="Arial Narrow"/>
        <family val="2"/>
      </rPr>
      <t>GRUPO</t>
    </r>
    <r>
      <rPr>
        <sz val="10"/>
        <rFont val="Arial Narrow"/>
        <family val="2"/>
      </rPr>
      <t xml:space="preserve"> </t>
    </r>
    <r>
      <rPr>
        <b/>
        <sz val="10"/>
        <rFont val="Arial Narrow"/>
        <family val="2"/>
      </rPr>
      <t>B</t>
    </r>
  </si>
  <si>
    <t>Repouso Semanal Remunerado</t>
  </si>
  <si>
    <t>Não incide</t>
  </si>
  <si>
    <t>Feriados</t>
  </si>
  <si>
    <t>Auxílio - Enfermidade</t>
  </si>
  <si>
    <t>13º Salário</t>
  </si>
  <si>
    <t>B5</t>
  </si>
  <si>
    <t>Licença Paternidade</t>
  </si>
  <si>
    <t>B6</t>
  </si>
  <si>
    <t>Faltas Justificadas</t>
  </si>
  <si>
    <t>B7</t>
  </si>
  <si>
    <t>Dias de Chuvas</t>
  </si>
  <si>
    <t>B8</t>
  </si>
  <si>
    <t>Auxílio Acidente de Trabalho</t>
  </si>
  <si>
    <t>B9</t>
  </si>
  <si>
    <t>Férias Gozadas</t>
  </si>
  <si>
    <t>B10</t>
  </si>
  <si>
    <t>Salário Maternidade</t>
  </si>
  <si>
    <r>
      <rPr>
        <b/>
        <sz val="10"/>
        <rFont val="Arial Narrow"/>
        <family val="2"/>
      </rPr>
      <t>GRUPO</t>
    </r>
    <r>
      <rPr>
        <sz val="10"/>
        <rFont val="Arial Narrow"/>
        <family val="2"/>
      </rPr>
      <t xml:space="preserve"> </t>
    </r>
    <r>
      <rPr>
        <b/>
        <sz val="10"/>
        <rFont val="Arial Narrow"/>
        <family val="2"/>
      </rPr>
      <t>C</t>
    </r>
  </si>
  <si>
    <t>C1</t>
  </si>
  <si>
    <t>Aviso Prévio Indenizado</t>
  </si>
  <si>
    <t>C2</t>
  </si>
  <si>
    <t>Aviso Prévio Trabalhado</t>
  </si>
  <si>
    <t>C3</t>
  </si>
  <si>
    <t>Férias Indenizadas</t>
  </si>
  <si>
    <t>C4</t>
  </si>
  <si>
    <t>Depósito Rescisão Sem Justa Causa</t>
  </si>
  <si>
    <t>C5</t>
  </si>
  <si>
    <t>Indenização Adicional</t>
  </si>
  <si>
    <r>
      <rPr>
        <b/>
        <sz val="10"/>
        <rFont val="Arial Narrow"/>
        <family val="2"/>
      </rPr>
      <t>GRUPO</t>
    </r>
    <r>
      <rPr>
        <sz val="10"/>
        <rFont val="Arial Narrow"/>
        <family val="2"/>
      </rPr>
      <t xml:space="preserve"> </t>
    </r>
    <r>
      <rPr>
        <b/>
        <sz val="10"/>
        <rFont val="Arial Narrow"/>
        <family val="2"/>
      </rPr>
      <t>D</t>
    </r>
  </si>
  <si>
    <t>D1</t>
  </si>
  <si>
    <t>Reincidência de Grupo A sobre Grupo B</t>
  </si>
  <si>
    <t>D2</t>
  </si>
  <si>
    <t>Reincidência de Grupo A sobre Aviso Prévio Trabalhado e Reincidência do FGTS sobre Aviso
Prévio Indenizado</t>
  </si>
  <si>
    <t>TOTAL(A+B+C+D)</t>
  </si>
  <si>
    <t>FONTE: SINAPI - INFORMAÇÃO DIAS DE CHUVA – INMET</t>
  </si>
  <si>
    <t>DEMONSTRATIVO DE ENCARGOS SOCIAIS</t>
  </si>
  <si>
    <t>RUAS DIVERSAS</t>
  </si>
  <si>
    <t>MATRINCHÃ</t>
  </si>
  <si>
    <t>04/11/2024</t>
  </si>
  <si>
    <t>00</t>
  </si>
  <si>
    <t>04 MESES</t>
  </si>
  <si>
    <t>GOINFRA CIVIL-06/2024, GOINFRA RODOVIÁRIA-06/2024, SINAPI-08/2024, ORSE-06/2024, SENFRA-CE-028, SCO-08/2024, CPOS-06/2024, EMBASA-05/2024, SIURB-01/2024</t>
  </si>
  <si>
    <t>PRAZO :</t>
  </si>
  <si>
    <t>PRAZO:</t>
  </si>
  <si>
    <t>MAPA DE COTAÇÃO</t>
  </si>
  <si>
    <t>EMPRESA:</t>
  </si>
  <si>
    <t>LE RESERVATÓRIOS METÁLICOS</t>
  </si>
  <si>
    <t>PROENGE</t>
  </si>
  <si>
    <t>TECNOBOMBAS</t>
  </si>
  <si>
    <t>VALOR ADOTADO</t>
  </si>
  <si>
    <t>CNPJ:</t>
  </si>
  <si>
    <t>26.385.261/0001-60</t>
  </si>
  <si>
    <t>08.760.146/0001-47</t>
  </si>
  <si>
    <t>00.819.295/0001-22</t>
  </si>
  <si>
    <t>CONTATO:</t>
  </si>
  <si>
    <t>ANA CLÁUDIA</t>
  </si>
  <si>
    <t>RAFAEL</t>
  </si>
  <si>
    <t>TELEFONE:</t>
  </si>
  <si>
    <t>(17) 99108-1925</t>
  </si>
  <si>
    <t>(62) 3952-0035</t>
  </si>
  <si>
    <t>(62) 4012-2800</t>
  </si>
  <si>
    <t>UND</t>
  </si>
  <si>
    <t>QUANT</t>
  </si>
  <si>
    <t>VL. UNIT</t>
  </si>
  <si>
    <t>VL. TOTAL</t>
  </si>
  <si>
    <t>FORNECIMENTO DE RESERVATÓRIO METÁLICO, CAP.: 230 M3</t>
  </si>
  <si>
    <t>GUINDASTE 30 T - MÍNIMO 10H/DIA (GOINFRA RODOVIÁRIA 40193) - CONSIDERADO PARA AS PROPOSTAS QUE NÃO ESTAVAM COM O IÇAMENTO INCLUSO</t>
  </si>
  <si>
    <t>TOTAL BRUTO</t>
  </si>
  <si>
    <t>DETERMINAÇÃO DO COEFICIENTE DE VARIAÇÃO DO PREÇO</t>
  </si>
  <si>
    <t>Numero de amostras</t>
  </si>
  <si>
    <t>O "Manual de Orientação: Pesqusa de Preços - 4ª Edição", orienta que:</t>
  </si>
  <si>
    <t>Portanto:</t>
  </si>
  <si>
    <t xml:space="preserve">                                                                     =</t>
  </si>
  <si>
    <t>ORÇAMENTO</t>
  </si>
  <si>
    <t>RESPONSÁVEL:</t>
  </si>
  <si>
    <t>ENGENHEIRO CIVIL THIAGO ALVES SILVA</t>
  </si>
  <si>
    <t>ART:</t>
  </si>
  <si>
    <t>CREA:</t>
  </si>
  <si>
    <t>1004804750D-GO</t>
  </si>
  <si>
    <t>MAPA DE COTAÇÕES</t>
  </si>
  <si>
    <t>BDI</t>
  </si>
  <si>
    <t>Valor Total sem BDI</t>
  </si>
  <si>
    <t>Valor Total com BDI</t>
  </si>
  <si>
    <t>ORÇAMENTO COM MELHOR VANTAJOSIDADE:</t>
  </si>
  <si>
    <t>DEMOLIÇÃO DO RESERVATÓRIO EXISTENTE, EXECUÇÃO DE RESERVATÓRIO METÁLICO ELEVADO E REESTRUTURAÇÃO (COM AMPLIAÇÃO) DA REDE DE DISTRIBUIÇÃO DE ÁGUA TRATADA EXISTENTE NO MUNICÍPIO DE MATRINCHÃ</t>
  </si>
  <si>
    <t>BONIFICAÇÃO DE DESPESAS INDIRETAS
BDI - NORMAL SEM DESONERAÇÃO</t>
  </si>
  <si>
    <t>Composições Principais</t>
  </si>
  <si>
    <t>COMPOSIÇÃO DE PREÇOS UNITÁRIOS
SEM DESONERAÇÃO</t>
  </si>
  <si>
    <t>CRONOGRAMA FISICO-FINANCEIRO
SEM DESONERAÇÃO</t>
  </si>
  <si>
    <t>CURVA ABC DE SERVIÇOS
SEM DESONERAÇÃO</t>
  </si>
  <si>
    <t>ORÇAMENTO RESUMO
SEM DESONERAÇÃO</t>
  </si>
  <si>
    <t>561.222,73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</si>
</sst>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3" formatCode="_-* #,##0.00_-;\-* #,##0.00_-;_-* &quot;-&quot;??_-;_-@_-"/>
    <numFmt numFmtId="164" formatCode="_(* #,##0.00_);_(* \(#,##0.00\);_(* &quot;-&quot;??_);_(@_)"/>
    <numFmt numFmtId="165" formatCode=";;;"/>
    <numFmt numFmtId="166" formatCode="#.##000"/>
    <numFmt numFmtId="167" formatCode="#,#00"/>
    <numFmt numFmtId="168" formatCode="%#,#00"/>
    <numFmt numFmtId="169" formatCode="#,"/>
    <numFmt numFmtId="170" formatCode="_([$€-2]* #,##0.00_);_([$€-2]* \(#,##0.00\);_([$€-2]* &quot;-&quot;??_)"/>
    <numFmt numFmtId="171" formatCode="_(&quot;R$ &quot;* #,##0.00_);_(&quot;R$ &quot;* \(#,##0.00\);_(&quot;R$ &quot;* &quot;-&quot;??_);_(@_)"/>
    <numFmt numFmtId="172" formatCode="[$-416]mmmm\-yy;@"/>
    <numFmt numFmtId="173" formatCode="0.0000"/>
    <numFmt numFmtId="174" formatCode="&quot;Parede&quot;\ 0"/>
    <numFmt numFmtId="175" formatCode="0_);\(0\)"/>
    <numFmt numFmtId="176" formatCode="0.000"/>
    <numFmt numFmtId="177" formatCode="#,##0.0000"/>
    <numFmt numFmtId="178" formatCode="#,##0.00_ ;\-#,##0.00\ "/>
    <numFmt numFmtId="179" formatCode="0.0%"/>
    <numFmt numFmtId="180" formatCode="#,##0.0000000"/>
    <numFmt numFmtId="181" formatCode="0.0000%"/>
  </numFmts>
  <fonts count="77" x14ac:knownFonts="1">
    <font>
      <sz val="11"/>
      <color theme="1"/>
      <name val="Calibri"/>
      <family val="2"/>
      <scheme val="minor"/>
    </font>
    <font>
      <sz val="10"/>
      <color theme="1"/>
      <name val="Arial Narrow"/>
      <family val="2"/>
    </font>
    <font>
      <sz val="11"/>
      <color theme="1"/>
      <name val="Calibri"/>
      <family val="2"/>
      <scheme val="minor"/>
    </font>
    <font>
      <sz val="11"/>
      <name val="Arial Narrow"/>
      <family val="2"/>
    </font>
    <font>
      <sz val="11"/>
      <name val="Arial Narrow"/>
      <family val="2"/>
    </font>
    <font>
      <sz val="1"/>
      <color indexed="8"/>
      <name val="Courier"/>
      <family val="3"/>
    </font>
    <font>
      <sz val="10"/>
      <name val="Arial"/>
      <family val="2"/>
    </font>
    <font>
      <sz val="9"/>
      <name val="Arial"/>
      <family val="2"/>
    </font>
    <font>
      <b/>
      <sz val="11"/>
      <name val="Times New Roman"/>
      <family val="1"/>
    </font>
    <font>
      <sz val="9"/>
      <name val="Times New Roman"/>
      <family val="1"/>
    </font>
    <font>
      <b/>
      <sz val="1"/>
      <color indexed="8"/>
      <name val="Courier"/>
      <family val="3"/>
    </font>
    <font>
      <b/>
      <sz val="12"/>
      <color indexed="10"/>
      <name val="Arial"/>
      <family val="2"/>
    </font>
    <font>
      <sz val="10"/>
      <color indexed="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0"/>
      <color theme="1"/>
      <name val="Arial"/>
      <family val="2"/>
    </font>
    <font>
      <b/>
      <sz val="11"/>
      <color indexed="63"/>
      <name val="Calibri"/>
      <family val="2"/>
    </font>
    <font>
      <sz val="11"/>
      <color indexed="10"/>
      <name val="Calibri"/>
      <family val="2"/>
    </font>
    <font>
      <i/>
      <sz val="11"/>
      <color indexed="23"/>
      <name val="Calibri"/>
      <family val="2"/>
    </font>
    <font>
      <b/>
      <sz val="11"/>
      <color indexed="56"/>
      <name val="Calibri"/>
      <family val="2"/>
    </font>
    <font>
      <b/>
      <sz val="18"/>
      <color indexed="56"/>
      <name val="Cambria"/>
      <family val="2"/>
    </font>
    <font>
      <sz val="10"/>
      <name val="Arial Narrow"/>
      <family val="2"/>
    </font>
    <font>
      <b/>
      <sz val="10"/>
      <name val="Arial Narrow"/>
      <family val="2"/>
    </font>
    <font>
      <sz val="9"/>
      <name val="Arial Narrow"/>
      <family val="2"/>
    </font>
    <font>
      <sz val="10"/>
      <color theme="1"/>
      <name val="Arial Narrow"/>
      <family val="2"/>
    </font>
    <font>
      <b/>
      <sz val="10"/>
      <color rgb="FFFF0000"/>
      <name val="Arial Narrow"/>
      <family val="2"/>
    </font>
    <font>
      <b/>
      <sz val="10"/>
      <color theme="1"/>
      <name val="Arial Narrow"/>
      <family val="2"/>
    </font>
    <font>
      <b/>
      <sz val="10"/>
      <color rgb="FF000000"/>
      <name val="Arial Narrow"/>
      <family val="2"/>
    </font>
    <font>
      <sz val="10"/>
      <color rgb="FF000000"/>
      <name val="Arial Narrow"/>
      <family val="2"/>
    </font>
    <font>
      <b/>
      <sz val="11"/>
      <color theme="1"/>
      <name val="Arial Narrow"/>
      <family val="2"/>
    </font>
    <font>
      <i/>
      <sz val="10"/>
      <name val="Arial Narrow"/>
      <family val="2"/>
    </font>
    <font>
      <b/>
      <i/>
      <sz val="10"/>
      <name val="Arial Narrow"/>
      <family val="2"/>
    </font>
    <font>
      <sz val="10"/>
      <color rgb="FFFF0000"/>
      <name val="Arial Narrow"/>
      <family val="2"/>
    </font>
    <font>
      <sz val="8"/>
      <color theme="1"/>
      <name val="Arial Narrow"/>
      <family val="2"/>
    </font>
    <font>
      <b/>
      <sz val="8"/>
      <color rgb="FFFF0000"/>
      <name val="Arial Narrow"/>
      <family val="2"/>
    </font>
    <font>
      <b/>
      <sz val="8"/>
      <color theme="1"/>
      <name val="Arial Narrow"/>
      <family val="2"/>
    </font>
    <font>
      <sz val="8"/>
      <name val="Arial Narrow"/>
      <family val="2"/>
    </font>
    <font>
      <b/>
      <sz val="8"/>
      <name val="Arial Narrow"/>
      <family val="2"/>
    </font>
    <font>
      <sz val="8"/>
      <color rgb="FFFF0000"/>
      <name val="Arial Narrow"/>
      <family val="2"/>
    </font>
    <font>
      <b/>
      <sz val="9"/>
      <color theme="1"/>
      <name val="Arial Narrow"/>
      <family val="2"/>
    </font>
    <font>
      <sz val="9"/>
      <color theme="1"/>
      <name val="Arial Narrow"/>
      <family val="2"/>
    </font>
    <font>
      <sz val="9"/>
      <color rgb="FFFF0000"/>
      <name val="Arial Narrow"/>
      <family val="2"/>
    </font>
    <font>
      <sz val="11"/>
      <color theme="1"/>
      <name val="Arial Narrow"/>
      <family val="2"/>
    </font>
    <font>
      <b/>
      <sz val="11"/>
      <name val="Arial Narrow"/>
      <family val="2"/>
    </font>
    <font>
      <sz val="12"/>
      <color theme="1"/>
      <name val="Arial Narrow"/>
      <family val="2"/>
    </font>
    <font>
      <sz val="8"/>
      <name val="Calibri"/>
      <family val="2"/>
      <scheme val="minor"/>
    </font>
    <font>
      <sz val="9"/>
      <name val="Calibri"/>
      <family val="2"/>
      <scheme val="minor"/>
    </font>
    <font>
      <b/>
      <sz val="9"/>
      <name val="Calibri"/>
      <family val="2"/>
      <scheme val="minor"/>
    </font>
    <font>
      <sz val="9"/>
      <color theme="1"/>
      <name val="Calibri"/>
      <family val="2"/>
      <scheme val="minor"/>
    </font>
    <font>
      <b/>
      <sz val="9"/>
      <color rgb="FFFF0000"/>
      <name val="Calibri"/>
      <family val="2"/>
      <scheme val="minor"/>
    </font>
    <font>
      <b/>
      <sz val="9"/>
      <color theme="1"/>
      <name val="Calibri"/>
      <family val="2"/>
      <scheme val="minor"/>
    </font>
    <font>
      <b/>
      <sz val="9"/>
      <name val="Arial Narrow"/>
      <family val="2"/>
    </font>
    <font>
      <b/>
      <sz val="11"/>
      <color theme="1"/>
      <name val="Calibri"/>
      <family val="2"/>
      <scheme val="minor"/>
    </font>
    <font>
      <b/>
      <i/>
      <sz val="10"/>
      <color theme="1"/>
      <name val="Arial Narrow"/>
      <family val="2"/>
    </font>
    <font>
      <sz val="10"/>
      <color theme="3"/>
      <name val="Arial Narrow"/>
      <family val="2"/>
    </font>
    <font>
      <b/>
      <sz val="20"/>
      <name val="Arial Narrow"/>
      <family val="2"/>
    </font>
    <font>
      <sz val="10"/>
      <color indexed="8"/>
      <name val="Arial Narrow"/>
      <family val="2"/>
    </font>
    <font>
      <sz val="10"/>
      <color theme="0" tint="-0.499984740745262"/>
      <name val="Arial Narrow"/>
      <family val="2"/>
    </font>
    <font>
      <sz val="10"/>
      <color rgb="FF000000"/>
      <name val="Times New Roman"/>
      <family val="1"/>
    </font>
    <font>
      <sz val="12"/>
      <color theme="1"/>
      <name val="Arial"/>
      <family val="2"/>
    </font>
    <font>
      <b/>
      <sz val="11"/>
      <name val="Arial"/>
      <family val="1"/>
    </font>
    <font>
      <b/>
      <sz val="10"/>
      <name val="Arial"/>
      <family val="1"/>
    </font>
    <font>
      <sz val="10"/>
      <name val="Arial"/>
      <family val="1"/>
    </font>
    <font>
      <i/>
      <sz val="8"/>
      <name val="Arial Narrow"/>
      <family val="2"/>
    </font>
    <font>
      <b/>
      <sz val="12"/>
      <name val="Arial Narrow"/>
      <family val="2"/>
    </font>
    <font>
      <sz val="12"/>
      <name val="Arial Narrow"/>
      <family val="2"/>
    </font>
    <font>
      <b/>
      <sz val="12"/>
      <color rgb="FFFF0000"/>
      <name val="Arial Narrow"/>
      <family val="2"/>
    </font>
    <font>
      <sz val="10"/>
      <color rgb="FF000000"/>
      <name val="Arial"/>
      <family val="2"/>
    </font>
    <font>
      <b/>
      <sz val="14"/>
      <name val="Arial Narrow"/>
      <family val="2"/>
    </font>
    <font>
      <b/>
      <sz val="11"/>
      <color rgb="FFFF0000"/>
      <name val="Aptos Narrow"/>
      <family val="2"/>
    </font>
  </fonts>
  <fills count="38">
    <fill>
      <patternFill patternType="none"/>
    </fill>
    <fill>
      <patternFill patternType="gray125"/>
    </fill>
    <fill>
      <patternFill patternType="solid">
        <fgColor indexed="26"/>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bgColor indexed="64"/>
      </patternFill>
    </fill>
    <fill>
      <patternFill patternType="solid">
        <fgColor rgb="FF0070C0"/>
        <bgColor indexed="64"/>
      </patternFill>
    </fill>
    <fill>
      <patternFill patternType="solid">
        <fgColor theme="0" tint="-0.249977111117893"/>
        <bgColor indexed="64"/>
      </patternFill>
    </fill>
    <fill>
      <patternFill patternType="solid">
        <fgColor rgb="FFC0C0C0"/>
        <bgColor rgb="FFC0C0C0"/>
      </patternFill>
    </fill>
    <fill>
      <patternFill patternType="solid">
        <fgColor theme="0" tint="-0.14999847407452621"/>
        <bgColor rgb="FFC0C0C0"/>
      </patternFill>
    </fill>
    <fill>
      <patternFill patternType="solid">
        <fgColor rgb="FFFFFFFF"/>
      </patternFill>
    </fill>
    <fill>
      <patternFill patternType="solid">
        <fgColor rgb="FFDEE2E3"/>
      </patternFill>
    </fill>
    <fill>
      <patternFill patternType="solid">
        <fgColor theme="0" tint="-0.34998626667073579"/>
        <bgColor indexed="64"/>
      </patternFill>
    </fill>
    <fill>
      <patternFill patternType="solid">
        <fgColor rgb="FFEFEFEF"/>
      </patternFill>
    </fill>
    <fill>
      <patternFill patternType="solid">
        <fgColor rgb="FFD6D6D6"/>
      </patternFill>
    </fill>
  </fills>
  <borders count="238">
    <border>
      <left/>
      <right/>
      <top/>
      <bottom/>
      <diagonal/>
    </border>
    <border>
      <left/>
      <right/>
      <top style="thin">
        <color indexed="64"/>
      </top>
      <bottom/>
      <diagonal/>
    </border>
    <border>
      <left style="medium">
        <color indexed="64"/>
      </left>
      <right style="hair">
        <color indexed="64"/>
      </right>
      <top style="hair">
        <color indexed="64"/>
      </top>
      <bottom style="hair">
        <color indexed="64"/>
      </bottom>
      <diagonal/>
    </border>
    <border>
      <left/>
      <right/>
      <top style="thin">
        <color indexed="64"/>
      </top>
      <bottom style="double">
        <color indexed="64"/>
      </bottom>
      <diagonal/>
    </border>
    <border>
      <left style="thin">
        <color indexed="64"/>
      </left>
      <right style="thin">
        <color indexed="64"/>
      </right>
      <top/>
      <bottom/>
      <diagonal/>
    </border>
    <border>
      <left/>
      <right style="thin">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hair">
        <color indexed="64"/>
      </top>
      <bottom style="hair">
        <color indexed="64"/>
      </bottom>
      <diagonal/>
    </border>
    <border>
      <left/>
      <right/>
      <top style="medium">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style="thin">
        <color indexed="64"/>
      </right>
      <top style="hair">
        <color indexed="64"/>
      </top>
      <bottom style="hair">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medium">
        <color indexed="64"/>
      </left>
      <right style="thin">
        <color theme="0" tint="-0.34998626667073579"/>
      </right>
      <top style="hair">
        <color theme="0" tint="-0.34998626667073579"/>
      </top>
      <bottom style="hair">
        <color theme="0" tint="-0.34998626667073579"/>
      </bottom>
      <diagonal/>
    </border>
    <border>
      <left style="thin">
        <color theme="0" tint="-0.34998626667073579"/>
      </left>
      <right style="thin">
        <color theme="0" tint="-0.34998626667073579"/>
      </right>
      <top style="hair">
        <color theme="0" tint="-0.34998626667073579"/>
      </top>
      <bottom style="hair">
        <color theme="0" tint="-0.34998626667073579"/>
      </bottom>
      <diagonal/>
    </border>
    <border>
      <left style="thin">
        <color theme="0" tint="-0.34998626667073579"/>
      </left>
      <right style="medium">
        <color indexed="64"/>
      </right>
      <top style="hair">
        <color theme="0" tint="-0.34998626667073579"/>
      </top>
      <bottom style="hair">
        <color theme="0" tint="-0.34998626667073579"/>
      </bottom>
      <diagonal/>
    </border>
    <border>
      <left style="thin">
        <color theme="0" tint="-0.34998626667073579"/>
      </left>
      <right/>
      <top style="hair">
        <color theme="0" tint="-0.34998626667073579"/>
      </top>
      <bottom style="hair">
        <color theme="0" tint="-0.34998626667073579"/>
      </bottom>
      <diagonal/>
    </border>
    <border>
      <left/>
      <right/>
      <top style="hair">
        <color theme="0" tint="-0.34998626667073579"/>
      </top>
      <bottom style="hair">
        <color theme="0" tint="-0.34998626667073579"/>
      </bottom>
      <diagonal/>
    </border>
    <border>
      <left/>
      <right style="thin">
        <color theme="0" tint="-0.34998626667073579"/>
      </right>
      <top style="hair">
        <color theme="0" tint="-0.34998626667073579"/>
      </top>
      <bottom style="hair">
        <color theme="0" tint="-0.34998626667073579"/>
      </bottom>
      <diagonal/>
    </border>
    <border>
      <left style="thin">
        <color theme="0" tint="-0.34998626667073579"/>
      </left>
      <right/>
      <top style="hair">
        <color theme="0" tint="-0.34998626667073579"/>
      </top>
      <bottom style="medium">
        <color indexed="64"/>
      </bottom>
      <diagonal/>
    </border>
    <border>
      <left/>
      <right/>
      <top style="hair">
        <color theme="0" tint="-0.34998626667073579"/>
      </top>
      <bottom style="medium">
        <color indexed="64"/>
      </bottom>
      <diagonal/>
    </border>
    <border>
      <left/>
      <right style="thin">
        <color theme="0" tint="-0.34998626667073579"/>
      </right>
      <top style="hair">
        <color theme="0" tint="-0.34998626667073579"/>
      </top>
      <bottom style="medium">
        <color indexed="64"/>
      </bottom>
      <diagonal/>
    </border>
    <border>
      <left style="medium">
        <color indexed="64"/>
      </left>
      <right style="thin">
        <color theme="0" tint="-0.34998626667073579"/>
      </right>
      <top style="hair">
        <color theme="0" tint="-0.34998626667073579"/>
      </top>
      <bottom style="medium">
        <color indexed="64"/>
      </bottom>
      <diagonal/>
    </border>
    <border>
      <left style="thin">
        <color theme="0" tint="-0.34998626667073579"/>
      </left>
      <right style="thin">
        <color theme="0" tint="-0.34998626667073579"/>
      </right>
      <top style="hair">
        <color theme="0" tint="-0.34998626667073579"/>
      </top>
      <bottom style="medium">
        <color indexed="64"/>
      </bottom>
      <diagonal/>
    </border>
    <border>
      <left style="thin">
        <color theme="0" tint="-0.34998626667073579"/>
      </left>
      <right style="medium">
        <color indexed="64"/>
      </right>
      <top style="hair">
        <color theme="0" tint="-0.34998626667073579"/>
      </top>
      <bottom style="medium">
        <color indexed="64"/>
      </bottom>
      <diagonal/>
    </border>
    <border>
      <left style="medium">
        <color indexed="64"/>
      </left>
      <right style="thin">
        <color theme="0" tint="-0.34998626667073579"/>
      </right>
      <top style="medium">
        <color indexed="64"/>
      </top>
      <bottom style="thin">
        <color theme="0" tint="-0.34998626667073579"/>
      </bottom>
      <diagonal/>
    </border>
    <border>
      <left style="thin">
        <color theme="0" tint="-0.34998626667073579"/>
      </left>
      <right style="thin">
        <color theme="0" tint="-0.34998626667073579"/>
      </right>
      <top style="medium">
        <color indexed="64"/>
      </top>
      <bottom style="thin">
        <color theme="0" tint="-0.34998626667073579"/>
      </bottom>
      <diagonal/>
    </border>
    <border>
      <left style="thin">
        <color theme="0" tint="-0.34998626667073579"/>
      </left>
      <right style="medium">
        <color indexed="64"/>
      </right>
      <top style="medium">
        <color indexed="64"/>
      </top>
      <bottom style="thin">
        <color theme="0" tint="-0.34998626667073579"/>
      </bottom>
      <diagonal/>
    </border>
    <border>
      <left style="medium">
        <color indexed="64"/>
      </left>
      <right style="thin">
        <color theme="0" tint="-0.34998626667073579"/>
      </right>
      <top style="thin">
        <color theme="0" tint="-0.34998626667073579"/>
      </top>
      <bottom style="medium">
        <color indexed="64"/>
      </bottom>
      <diagonal/>
    </border>
    <border>
      <left style="thin">
        <color theme="0" tint="-0.34998626667073579"/>
      </left>
      <right style="thin">
        <color theme="0" tint="-0.34998626667073579"/>
      </right>
      <top style="thin">
        <color theme="0" tint="-0.34998626667073579"/>
      </top>
      <bottom style="medium">
        <color indexed="64"/>
      </bottom>
      <diagonal/>
    </border>
    <border>
      <left style="thin">
        <color theme="0" tint="-0.34998626667073579"/>
      </left>
      <right style="medium">
        <color indexed="64"/>
      </right>
      <top style="thin">
        <color theme="0" tint="-0.34998626667073579"/>
      </top>
      <bottom style="medium">
        <color indexed="64"/>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medium">
        <color indexed="64"/>
      </bottom>
      <diagonal/>
    </border>
    <border>
      <left style="thin">
        <color theme="0" tint="-0.34998626667073579"/>
      </left>
      <right style="thin">
        <color theme="0" tint="-0.34998626667073579"/>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theme="0" tint="-0.34998626667073579"/>
      </right>
      <top/>
      <bottom style="hair">
        <color theme="0" tint="-0.34998626667073579"/>
      </bottom>
      <diagonal/>
    </border>
    <border>
      <left style="thin">
        <color theme="0" tint="-0.34998626667073579"/>
      </left>
      <right style="thin">
        <color theme="0" tint="-0.34998626667073579"/>
      </right>
      <top/>
      <bottom style="hair">
        <color theme="0" tint="-0.34998626667073579"/>
      </bottom>
      <diagonal/>
    </border>
    <border>
      <left/>
      <right/>
      <top/>
      <bottom style="hair">
        <color theme="0" tint="-0.34998626667073579"/>
      </bottom>
      <diagonal/>
    </border>
    <border>
      <left style="thin">
        <color theme="0" tint="-0.34998626667073579"/>
      </left>
      <right/>
      <top/>
      <bottom style="hair">
        <color theme="0" tint="-0.34998626667073579"/>
      </bottom>
      <diagonal/>
    </border>
    <border>
      <left/>
      <right style="thin">
        <color theme="0" tint="-0.34998626667073579"/>
      </right>
      <top/>
      <bottom style="hair">
        <color theme="0" tint="-0.34998626667073579"/>
      </bottom>
      <diagonal/>
    </border>
    <border>
      <left style="thin">
        <color theme="0" tint="-0.34998626667073579"/>
      </left>
      <right style="medium">
        <color indexed="64"/>
      </right>
      <top/>
      <bottom style="hair">
        <color theme="0" tint="-0.34998626667073579"/>
      </bottom>
      <diagonal/>
    </border>
    <border>
      <left style="medium">
        <color indexed="64"/>
      </left>
      <right style="thin">
        <color theme="0" tint="-0.34998626667073579"/>
      </right>
      <top style="medium">
        <color indexed="64"/>
      </top>
      <bottom style="medium">
        <color indexed="64"/>
      </bottom>
      <diagonal/>
    </border>
    <border>
      <left style="thin">
        <color theme="0" tint="-0.34998626667073579"/>
      </left>
      <right style="thin">
        <color theme="0" tint="-0.34998626667073579"/>
      </right>
      <top style="medium">
        <color indexed="64"/>
      </top>
      <bottom style="medium">
        <color indexed="64"/>
      </bottom>
      <diagonal/>
    </border>
    <border>
      <left style="thin">
        <color theme="0" tint="-0.34998626667073579"/>
      </left>
      <right style="thin">
        <color theme="0" tint="-0.34998626667073579"/>
      </right>
      <top style="hair">
        <color theme="0" tint="-0.34998626667073579"/>
      </top>
      <bottom/>
      <diagonal/>
    </border>
    <border>
      <left style="medium">
        <color theme="0" tint="-0.34998626667073579"/>
      </left>
      <right style="thin">
        <color theme="0" tint="-0.34998626667073579"/>
      </right>
      <top style="medium">
        <color theme="0" tint="-0.34998626667073579"/>
      </top>
      <bottom style="thin">
        <color theme="0" tint="-0.34998626667073579"/>
      </bottom>
      <diagonal/>
    </border>
    <border>
      <left style="thin">
        <color theme="0" tint="-0.34998626667073579"/>
      </left>
      <right style="thin">
        <color theme="0" tint="-0.34998626667073579"/>
      </right>
      <top style="medium">
        <color theme="0" tint="-0.34998626667073579"/>
      </top>
      <bottom style="thin">
        <color theme="0" tint="-0.34998626667073579"/>
      </bottom>
      <diagonal/>
    </border>
    <border>
      <left style="thin">
        <color theme="0" tint="-0.34998626667073579"/>
      </left>
      <right style="medium">
        <color theme="0" tint="-0.34998626667073579"/>
      </right>
      <top style="medium">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theme="0" tint="-0.34998626667073579"/>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thin">
        <color theme="0" tint="-0.34998626667073579"/>
      </left>
      <right/>
      <top style="medium">
        <color theme="0" tint="-0.34998626667073579"/>
      </top>
      <bottom style="thin">
        <color theme="0" tint="-0.34998626667073579"/>
      </bottom>
      <diagonal/>
    </border>
    <border>
      <left/>
      <right style="thin">
        <color theme="0" tint="-0.34998626667073579"/>
      </right>
      <top style="medium">
        <color theme="0" tint="-0.34998626667073579"/>
      </top>
      <bottom style="thin">
        <color theme="0" tint="-0.34998626667073579"/>
      </bottom>
      <diagonal/>
    </border>
    <border>
      <left style="medium">
        <color theme="0" tint="-0.34998626667073579"/>
      </left>
      <right style="thin">
        <color theme="0" tint="-0.34998626667073579"/>
      </right>
      <top style="medium">
        <color theme="0" tint="-0.34998626667073579"/>
      </top>
      <bottom style="hair">
        <color theme="0" tint="-0.34998626667073579"/>
      </bottom>
      <diagonal/>
    </border>
    <border>
      <left style="thin">
        <color theme="0" tint="-0.34998626667073579"/>
      </left>
      <right style="thin">
        <color theme="0" tint="-0.34998626667073579"/>
      </right>
      <top style="medium">
        <color theme="0" tint="-0.34998626667073579"/>
      </top>
      <bottom style="hair">
        <color theme="0" tint="-0.34998626667073579"/>
      </bottom>
      <diagonal/>
    </border>
    <border>
      <left style="thin">
        <color theme="0" tint="-0.34998626667073579"/>
      </left>
      <right style="medium">
        <color theme="0" tint="-0.34998626667073579"/>
      </right>
      <top style="medium">
        <color theme="0" tint="-0.34998626667073579"/>
      </top>
      <bottom style="hair">
        <color theme="0" tint="-0.34998626667073579"/>
      </bottom>
      <diagonal/>
    </border>
    <border>
      <left style="medium">
        <color theme="0" tint="-0.34998626667073579"/>
      </left>
      <right style="thin">
        <color theme="0" tint="-0.34998626667073579"/>
      </right>
      <top style="hair">
        <color theme="0" tint="-0.34998626667073579"/>
      </top>
      <bottom style="hair">
        <color theme="0" tint="-0.34998626667073579"/>
      </bottom>
      <diagonal/>
    </border>
    <border>
      <left style="thin">
        <color theme="0" tint="-0.34998626667073579"/>
      </left>
      <right style="medium">
        <color theme="0" tint="-0.34998626667073579"/>
      </right>
      <top style="hair">
        <color theme="0" tint="-0.34998626667073579"/>
      </top>
      <bottom style="hair">
        <color theme="0" tint="-0.34998626667073579"/>
      </bottom>
      <diagonal/>
    </border>
    <border>
      <left style="medium">
        <color theme="0" tint="-0.34998626667073579"/>
      </left>
      <right style="thin">
        <color theme="0" tint="-0.34998626667073579"/>
      </right>
      <top style="hair">
        <color theme="0" tint="-0.34998626667073579"/>
      </top>
      <bottom style="medium">
        <color theme="0" tint="-0.34998626667073579"/>
      </bottom>
      <diagonal/>
    </border>
    <border>
      <left style="thin">
        <color theme="0" tint="-0.34998626667073579"/>
      </left>
      <right style="thin">
        <color theme="0" tint="-0.34998626667073579"/>
      </right>
      <top style="hair">
        <color theme="0" tint="-0.34998626667073579"/>
      </top>
      <bottom style="medium">
        <color theme="0" tint="-0.34998626667073579"/>
      </bottom>
      <diagonal/>
    </border>
    <border>
      <left style="thin">
        <color theme="0" tint="-0.34998626667073579"/>
      </left>
      <right style="medium">
        <color theme="0" tint="-0.34998626667073579"/>
      </right>
      <top style="hair">
        <color theme="0" tint="-0.34998626667073579"/>
      </top>
      <bottom style="medium">
        <color theme="0" tint="-0.34998626667073579"/>
      </bottom>
      <diagonal/>
    </border>
    <border>
      <left style="thin">
        <color theme="0" tint="-0.34998626667073579"/>
      </left>
      <right style="thin">
        <color theme="0" tint="-0.34998626667073579"/>
      </right>
      <top style="medium">
        <color theme="0" tint="-0.34998626667073579"/>
      </top>
      <bottom style="medium">
        <color theme="0" tint="-0.34998626667073579"/>
      </bottom>
      <diagonal/>
    </border>
    <border>
      <left style="thin">
        <color theme="0" tint="-0.34998626667073579"/>
      </left>
      <right style="medium">
        <color theme="0" tint="-0.34998626667073579"/>
      </right>
      <top style="medium">
        <color theme="0" tint="-0.34998626667073579"/>
      </top>
      <bottom style="medium">
        <color theme="0" tint="-0.34998626667073579"/>
      </bottom>
      <diagonal/>
    </border>
    <border>
      <left style="medium">
        <color theme="0" tint="-0.34998626667073579"/>
      </left>
      <right/>
      <top style="medium">
        <color theme="0" tint="-0.34998626667073579"/>
      </top>
      <bottom style="medium">
        <color theme="0" tint="-0.34998626667073579"/>
      </bottom>
      <diagonal/>
    </border>
    <border>
      <left/>
      <right/>
      <top style="medium">
        <color theme="0" tint="-0.34998626667073579"/>
      </top>
      <bottom style="medium">
        <color theme="0" tint="-0.34998626667073579"/>
      </bottom>
      <diagonal/>
    </border>
    <border>
      <left/>
      <right style="thin">
        <color theme="0" tint="-0.34998626667073579"/>
      </right>
      <top style="medium">
        <color theme="0" tint="-0.34998626667073579"/>
      </top>
      <bottom style="medium">
        <color theme="0" tint="-0.34998626667073579"/>
      </bottom>
      <diagonal/>
    </border>
    <border>
      <left/>
      <right/>
      <top style="medium">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medium">
        <color theme="0" tint="-0.34998626667073579"/>
      </bottom>
      <diagonal/>
    </border>
    <border>
      <left style="thin">
        <color theme="0" tint="-0.34998626667073579"/>
      </left>
      <right style="thin">
        <color theme="0" tint="-0.34998626667073579"/>
      </right>
      <top style="medium">
        <color theme="0" tint="-0.34998626667073579"/>
      </top>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medium">
        <color theme="0" tint="-0.34998626667073579"/>
      </left>
      <right/>
      <top style="hair">
        <color theme="0" tint="-0.34998626667073579"/>
      </top>
      <bottom style="medium">
        <color theme="0" tint="-0.34998626667073579"/>
      </bottom>
      <diagonal/>
    </border>
    <border>
      <left/>
      <right style="thin">
        <color theme="0" tint="-0.34998626667073579"/>
      </right>
      <top style="hair">
        <color theme="0" tint="-0.34998626667073579"/>
      </top>
      <bottom style="medium">
        <color theme="0" tint="-0.34998626667073579"/>
      </bottom>
      <diagonal/>
    </border>
    <border>
      <left/>
      <right style="thin">
        <color theme="0" tint="-0.34998626667073579"/>
      </right>
      <top style="medium">
        <color theme="0" tint="-0.34998626667073579"/>
      </top>
      <bottom style="hair">
        <color theme="0" tint="-0.34998626667073579"/>
      </bottom>
      <diagonal/>
    </border>
    <border>
      <left style="medium">
        <color theme="0" tint="-0.34998626667073579"/>
      </left>
      <right/>
      <top style="hair">
        <color theme="0" tint="-0.34998626667073579"/>
      </top>
      <bottom style="hair">
        <color theme="0" tint="-0.34998626667073579"/>
      </bottom>
      <diagonal/>
    </border>
    <border>
      <left style="thin">
        <color theme="0" tint="-0.34998626667073579"/>
      </left>
      <right style="medium">
        <color theme="0" tint="-0.34998626667073579"/>
      </right>
      <top style="hair">
        <color theme="0" tint="-0.34998626667073579"/>
      </top>
      <bottom/>
      <diagonal/>
    </border>
    <border>
      <left style="medium">
        <color theme="0" tint="-0.34998626667073579"/>
      </left>
      <right style="thin">
        <color theme="0" tint="-0.34998626667073579"/>
      </right>
      <top style="medium">
        <color theme="0" tint="-0.34998626667073579"/>
      </top>
      <bottom style="medium">
        <color theme="0" tint="-0.34998626667073579"/>
      </bottom>
      <diagonal/>
    </border>
    <border>
      <left style="medium">
        <color theme="0" tint="-0.34998626667073579"/>
      </left>
      <right style="thin">
        <color theme="0" tint="-0.34998626667073579"/>
      </right>
      <top style="hair">
        <color theme="0" tint="-0.34998626667073579"/>
      </top>
      <bottom/>
      <diagonal/>
    </border>
    <border>
      <left style="medium">
        <color theme="0" tint="-0.34998626667073579"/>
      </left>
      <right/>
      <top style="medium">
        <color theme="0" tint="-0.34998626667073579"/>
      </top>
      <bottom/>
      <diagonal/>
    </border>
    <border>
      <left/>
      <right style="thin">
        <color theme="0" tint="-0.34998626667073579"/>
      </right>
      <top style="medium">
        <color theme="0" tint="-0.34998626667073579"/>
      </top>
      <bottom/>
      <diagonal/>
    </border>
    <border>
      <left/>
      <right/>
      <top style="medium">
        <color theme="0" tint="-0.34998626667073579"/>
      </top>
      <bottom style="hair">
        <color theme="0" tint="-0.34998626667073579"/>
      </bottom>
      <diagonal/>
    </border>
    <border>
      <left style="medium">
        <color theme="0" tint="-0.34998626667073579"/>
      </left>
      <right/>
      <top/>
      <bottom style="medium">
        <color theme="0" tint="-0.34998626667073579"/>
      </bottom>
      <diagonal/>
    </border>
    <border>
      <left/>
      <right style="thin">
        <color theme="0" tint="-0.34998626667073579"/>
      </right>
      <top/>
      <bottom style="medium">
        <color theme="0" tint="-0.34998626667073579"/>
      </bottom>
      <diagonal/>
    </border>
    <border>
      <left/>
      <right/>
      <top style="hair">
        <color theme="0" tint="-0.34998626667073579"/>
      </top>
      <bottom style="medium">
        <color theme="0" tint="-0.34998626667073579"/>
      </bottom>
      <diagonal/>
    </border>
    <border>
      <left style="medium">
        <color theme="0" tint="-0.34998626667073579"/>
      </left>
      <right/>
      <top style="medium">
        <color theme="0" tint="-0.34998626667073579"/>
      </top>
      <bottom style="hair">
        <color theme="0" tint="-0.34998626667073579"/>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medium">
        <color indexed="64"/>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theme="0" tint="-0.34998626667073579"/>
      </left>
      <right style="thin">
        <color theme="0" tint="-0.34998626667073579"/>
      </right>
      <top/>
      <bottom style="thin">
        <color theme="0" tint="-0.34998626667073579"/>
      </bottom>
      <diagonal/>
    </border>
    <border>
      <left/>
      <right style="thin">
        <color theme="0" tint="-0.34998626667073579"/>
      </right>
      <top style="thin">
        <color theme="0" tint="-0.34998626667073579"/>
      </top>
      <bottom style="medium">
        <color theme="0" tint="-0.34998626667073579"/>
      </bottom>
      <diagonal/>
    </border>
    <border>
      <left style="medium">
        <color theme="0" tint="-0.24994659260841701"/>
      </left>
      <right style="thin">
        <color theme="0" tint="-0.24994659260841701"/>
      </right>
      <top style="medium">
        <color theme="0" tint="-0.24994659260841701"/>
      </top>
      <bottom style="hair">
        <color theme="0" tint="-0.24994659260841701"/>
      </bottom>
      <diagonal/>
    </border>
    <border>
      <left style="thin">
        <color theme="0" tint="-0.24994659260841701"/>
      </left>
      <right style="thin">
        <color theme="0" tint="-0.24994659260841701"/>
      </right>
      <top style="medium">
        <color theme="0" tint="-0.24994659260841701"/>
      </top>
      <bottom style="hair">
        <color theme="0" tint="-0.24994659260841701"/>
      </bottom>
      <diagonal/>
    </border>
    <border>
      <left style="thin">
        <color theme="0" tint="-0.24994659260841701"/>
      </left>
      <right style="medium">
        <color theme="0" tint="-0.24994659260841701"/>
      </right>
      <top style="medium">
        <color theme="0" tint="-0.24994659260841701"/>
      </top>
      <bottom style="hair">
        <color theme="0" tint="-0.24994659260841701"/>
      </bottom>
      <diagonal/>
    </border>
    <border>
      <left style="medium">
        <color theme="0" tint="-0.24994659260841701"/>
      </left>
      <right style="thin">
        <color theme="0" tint="-0.24994659260841701"/>
      </right>
      <top style="hair">
        <color theme="0" tint="-0.24994659260841701"/>
      </top>
      <bottom style="hair">
        <color theme="0" tint="-0.24994659260841701"/>
      </bottom>
      <diagonal/>
    </border>
    <border>
      <left style="thin">
        <color theme="0" tint="-0.24994659260841701"/>
      </left>
      <right style="thin">
        <color theme="0" tint="-0.24994659260841701"/>
      </right>
      <top style="hair">
        <color theme="0" tint="-0.24994659260841701"/>
      </top>
      <bottom style="hair">
        <color theme="0" tint="-0.24994659260841701"/>
      </bottom>
      <diagonal/>
    </border>
    <border>
      <left style="thin">
        <color theme="0" tint="-0.24994659260841701"/>
      </left>
      <right style="medium">
        <color theme="0" tint="-0.24994659260841701"/>
      </right>
      <top style="hair">
        <color theme="0" tint="-0.24994659260841701"/>
      </top>
      <bottom style="hair">
        <color theme="0" tint="-0.24994659260841701"/>
      </bottom>
      <diagonal/>
    </border>
    <border>
      <left style="medium">
        <color theme="0" tint="-0.24994659260841701"/>
      </left>
      <right style="thin">
        <color theme="0" tint="-0.24994659260841701"/>
      </right>
      <top style="hair">
        <color theme="0" tint="-0.24994659260841701"/>
      </top>
      <bottom style="medium">
        <color theme="0" tint="-0.24994659260841701"/>
      </bottom>
      <diagonal/>
    </border>
    <border>
      <left style="thin">
        <color theme="0" tint="-0.24994659260841701"/>
      </left>
      <right style="thin">
        <color theme="0" tint="-0.24994659260841701"/>
      </right>
      <top style="hair">
        <color theme="0" tint="-0.24994659260841701"/>
      </top>
      <bottom style="medium">
        <color theme="0" tint="-0.24994659260841701"/>
      </bottom>
      <diagonal/>
    </border>
    <border>
      <left style="thin">
        <color theme="0" tint="-0.24994659260841701"/>
      </left>
      <right style="medium">
        <color theme="0" tint="-0.24994659260841701"/>
      </right>
      <top style="hair">
        <color theme="0" tint="-0.24994659260841701"/>
      </top>
      <bottom style="medium">
        <color theme="0" tint="-0.24994659260841701"/>
      </bottom>
      <diagonal/>
    </border>
    <border>
      <left style="medium">
        <color theme="0" tint="-0.24994659260841701"/>
      </left>
      <right style="thin">
        <color theme="0" tint="-0.24994659260841701"/>
      </right>
      <top/>
      <bottom style="hair">
        <color theme="0" tint="-0.24994659260841701"/>
      </bottom>
      <diagonal/>
    </border>
    <border>
      <left style="thin">
        <color theme="0" tint="-0.24994659260841701"/>
      </left>
      <right style="thin">
        <color theme="0" tint="-0.24994659260841701"/>
      </right>
      <top/>
      <bottom style="hair">
        <color theme="0" tint="-0.24994659260841701"/>
      </bottom>
      <diagonal/>
    </border>
    <border>
      <left style="thin">
        <color theme="0" tint="-0.24994659260841701"/>
      </left>
      <right style="medium">
        <color theme="0" tint="-0.24994659260841701"/>
      </right>
      <top/>
      <bottom style="hair">
        <color theme="0" tint="-0.24994659260841701"/>
      </bottom>
      <diagonal/>
    </border>
    <border>
      <left style="medium">
        <color theme="0" tint="-0.24994659260841701"/>
      </left>
      <right style="medium">
        <color theme="0" tint="-0.24994659260841701"/>
      </right>
      <top style="medium">
        <color theme="0" tint="-0.24994659260841701"/>
      </top>
      <bottom style="hair">
        <color theme="0" tint="-0.24994659260841701"/>
      </bottom>
      <diagonal/>
    </border>
    <border>
      <left style="medium">
        <color theme="0" tint="-0.24994659260841701"/>
      </left>
      <right style="medium">
        <color theme="0" tint="-0.24994659260841701"/>
      </right>
      <top style="hair">
        <color theme="0" tint="-0.24994659260841701"/>
      </top>
      <bottom style="hair">
        <color theme="0" tint="-0.24994659260841701"/>
      </bottom>
      <diagonal/>
    </border>
    <border>
      <left style="medium">
        <color theme="0" tint="-0.24994659260841701"/>
      </left>
      <right style="medium">
        <color theme="0" tint="-0.24994659260841701"/>
      </right>
      <top style="hair">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medium">
        <color theme="0" tint="-0.24994659260841701"/>
      </top>
      <bottom style="thin">
        <color theme="0" tint="-0.24994659260841701"/>
      </bottom>
      <diagonal/>
    </border>
    <border>
      <left style="medium">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medium">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medium">
        <color theme="0" tint="-0.24994659260841701"/>
      </right>
      <top style="thin">
        <color theme="0" tint="-0.24994659260841701"/>
      </top>
      <bottom style="medium">
        <color theme="0" tint="-0.24994659260841701"/>
      </bottom>
      <diagonal/>
    </border>
    <border>
      <left/>
      <right style="thin">
        <color theme="0" tint="-0.24994659260841701"/>
      </right>
      <top style="medium">
        <color theme="0" tint="-0.24994659260841701"/>
      </top>
      <bottom style="hair">
        <color theme="0" tint="-0.24994659260841701"/>
      </bottom>
      <diagonal/>
    </border>
    <border>
      <left/>
      <right style="thin">
        <color theme="0" tint="-0.24994659260841701"/>
      </right>
      <top style="hair">
        <color theme="0" tint="-0.24994659260841701"/>
      </top>
      <bottom style="medium">
        <color theme="0" tint="-0.24994659260841701"/>
      </bottom>
      <diagonal/>
    </border>
    <border>
      <left/>
      <right style="thin">
        <color theme="0" tint="-0.24994659260841701"/>
      </right>
      <top style="hair">
        <color theme="0" tint="-0.24994659260841701"/>
      </top>
      <bottom style="hair">
        <color theme="0" tint="-0.24994659260841701"/>
      </bottom>
      <diagonal/>
    </border>
    <border>
      <left style="medium">
        <color theme="0" tint="-0.34998626667073579"/>
      </left>
      <right style="thin">
        <color theme="0" tint="-0.34998626667073579"/>
      </right>
      <top/>
      <bottom/>
      <diagonal/>
    </border>
    <border>
      <left style="thin">
        <color theme="0" tint="-0.34998626667073579"/>
      </left>
      <right style="medium">
        <color theme="0" tint="-0.34998626667073579"/>
      </right>
      <top/>
      <bottom/>
      <diagonal/>
    </border>
    <border>
      <left style="thin">
        <color theme="0" tint="-0.34998626667073579"/>
      </left>
      <right/>
      <top/>
      <bottom style="medium">
        <color theme="0" tint="-0.34998626667073579"/>
      </bottom>
      <diagonal/>
    </border>
    <border>
      <left/>
      <right/>
      <top style="thin">
        <color theme="0" tint="-0.34998626667073579"/>
      </top>
      <bottom style="thin">
        <color theme="0" tint="-0.34998626667073579"/>
      </bottom>
      <diagonal/>
    </border>
    <border>
      <left style="thin">
        <color theme="0" tint="-0.34998626667073579"/>
      </left>
      <right style="medium">
        <color theme="0" tint="-0.34998626667073579"/>
      </right>
      <top style="medium">
        <color theme="0" tint="-0.34998626667073579"/>
      </top>
      <bottom/>
      <diagonal/>
    </border>
    <border>
      <left style="thin">
        <color theme="0" tint="-0.34998626667073579"/>
      </left>
      <right style="medium">
        <color theme="0" tint="-0.34998626667073579"/>
      </right>
      <top/>
      <bottom style="medium">
        <color theme="0" tint="-0.34998626667073579"/>
      </bottom>
      <diagonal/>
    </border>
    <border>
      <left style="thin">
        <color theme="0" tint="-0.24994659260841701"/>
      </left>
      <right style="thin">
        <color theme="0" tint="-0.24994659260841701"/>
      </right>
      <top style="thin">
        <color theme="0" tint="-0.24994659260841701"/>
      </top>
      <bottom style="hair">
        <color theme="0" tint="-0.24994659260841701"/>
      </bottom>
      <diagonal/>
    </border>
    <border>
      <left style="thin">
        <color theme="0" tint="-0.24994659260841701"/>
      </left>
      <right style="thin">
        <color theme="0" tint="-0.24994659260841701"/>
      </right>
      <top style="hair">
        <color theme="0" tint="-0.24994659260841701"/>
      </top>
      <bottom style="thin">
        <color theme="0" tint="-0.24994659260841701"/>
      </bottom>
      <diagonal/>
    </border>
    <border>
      <left style="thin">
        <color theme="0" tint="-0.24994659260841701"/>
      </left>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thin">
        <color theme="0" tint="-0.24994659260841701"/>
      </left>
      <right/>
      <top style="hair">
        <color theme="0" tint="-0.24994659260841701"/>
      </top>
      <bottom style="thin">
        <color theme="0" tint="-0.24994659260841701"/>
      </bottom>
      <diagonal/>
    </border>
    <border>
      <left/>
      <right/>
      <top style="hair">
        <color theme="0" tint="-0.24994659260841701"/>
      </top>
      <bottom style="thin">
        <color theme="0" tint="-0.24994659260841701"/>
      </bottom>
      <diagonal/>
    </border>
    <border>
      <left/>
      <right style="thin">
        <color theme="0" tint="-0.24994659260841701"/>
      </right>
      <top style="hair">
        <color theme="0" tint="-0.24994659260841701"/>
      </top>
      <bottom style="thin">
        <color theme="0" tint="-0.24994659260841701"/>
      </bottom>
      <diagonal/>
    </border>
    <border>
      <left/>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medium">
        <color theme="0" tint="-0.24994659260841701"/>
      </left>
      <right/>
      <top style="hair">
        <color theme="0" tint="-0.24994659260841701"/>
      </top>
      <bottom style="hair">
        <color theme="0" tint="-0.24994659260841701"/>
      </bottom>
      <diagonal/>
    </border>
    <border>
      <left style="medium">
        <color theme="0" tint="-0.24994659260841701"/>
      </left>
      <right/>
      <top style="hair">
        <color theme="0" tint="-0.24994659260841701"/>
      </top>
      <bottom style="medium">
        <color theme="0" tint="-0.24994659260841701"/>
      </bottom>
      <diagonal/>
    </border>
    <border>
      <left/>
      <right/>
      <top style="hair">
        <color theme="0" tint="-0.24994659260841701"/>
      </top>
      <bottom style="medium">
        <color theme="0" tint="-0.24994659260841701"/>
      </bottom>
      <diagonal/>
    </border>
    <border>
      <left style="thin">
        <color theme="0" tint="-0.24994659260841701"/>
      </left>
      <right/>
      <top style="medium">
        <color theme="0" tint="-0.24994659260841701"/>
      </top>
      <bottom style="hair">
        <color theme="0" tint="-0.24994659260841701"/>
      </bottom>
      <diagonal/>
    </border>
    <border>
      <left/>
      <right style="medium">
        <color theme="0" tint="-0.24994659260841701"/>
      </right>
      <top style="hair">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medium">
        <color theme="0" tint="-0.24994659260841701"/>
      </bottom>
      <diagonal/>
    </border>
    <border>
      <left style="thin">
        <color theme="0" tint="-0.24994659260841701"/>
      </left>
      <right style="thin">
        <color theme="0" tint="-0.24994659260841701"/>
      </right>
      <top style="medium">
        <color theme="0" tint="-0.24994659260841701"/>
      </top>
      <bottom style="medium">
        <color theme="0" tint="-0.24994659260841701"/>
      </bottom>
      <diagonal/>
    </border>
    <border>
      <left style="thin">
        <color theme="0" tint="-0.24994659260841701"/>
      </left>
      <right style="medium">
        <color theme="0" tint="-0.24994659260841701"/>
      </right>
      <top style="medium">
        <color theme="0" tint="-0.24994659260841701"/>
      </top>
      <bottom style="medium">
        <color theme="0" tint="-0.24994659260841701"/>
      </bottom>
      <diagonal/>
    </border>
    <border>
      <left style="medium">
        <color theme="0" tint="-0.24994659260841701"/>
      </left>
      <right style="thin">
        <color theme="0" tint="-0.24994659260841701"/>
      </right>
      <top/>
      <bottom style="medium">
        <color theme="0" tint="-0.24994659260841701"/>
      </bottom>
      <diagonal/>
    </border>
    <border>
      <left style="thin">
        <color theme="0" tint="-0.24994659260841701"/>
      </left>
      <right style="thin">
        <color theme="0" tint="-0.24994659260841701"/>
      </right>
      <top/>
      <bottom style="medium">
        <color theme="0" tint="-0.24994659260841701"/>
      </bottom>
      <diagonal/>
    </border>
    <border>
      <left style="thin">
        <color theme="0" tint="-0.24994659260841701"/>
      </left>
      <right style="medium">
        <color theme="0" tint="-0.24994659260841701"/>
      </right>
      <top/>
      <bottom style="medium">
        <color theme="0" tint="-0.24994659260841701"/>
      </bottom>
      <diagonal/>
    </border>
    <border>
      <left style="thin">
        <color rgb="FFCCCCCC"/>
      </left>
      <right style="thin">
        <color rgb="FFCCCCCC"/>
      </right>
      <top style="thin">
        <color rgb="FFCCCCCC"/>
      </top>
      <bottom style="thin">
        <color rgb="FFCCCCCC"/>
      </bottom>
      <diagonal/>
    </border>
    <border>
      <left style="thin">
        <color indexed="64"/>
      </left>
      <right style="thin">
        <color indexed="64"/>
      </right>
      <top style="thin">
        <color indexed="64"/>
      </top>
      <bottom style="thin">
        <color indexed="64"/>
      </bottom>
      <diagonal/>
    </border>
    <border>
      <left/>
      <right/>
      <top style="thick">
        <color rgb="FF000000"/>
      </top>
      <bottom/>
      <diagonal/>
    </border>
    <border>
      <left/>
      <right style="medium">
        <color theme="0" tint="-0.34998626667073579"/>
      </right>
      <top style="thin">
        <color theme="0" tint="-0.34998626667073579"/>
      </top>
      <bottom style="thin">
        <color theme="0" tint="-0.34998626667073579"/>
      </bottom>
      <diagonal/>
    </border>
    <border>
      <left style="medium">
        <color theme="0" tint="-0.34998626667073579"/>
      </left>
      <right/>
      <top style="thin">
        <color theme="0" tint="-0.34998626667073579"/>
      </top>
      <bottom style="thin">
        <color theme="0" tint="-0.34998626667073579"/>
      </bottom>
      <diagonal/>
    </border>
    <border>
      <left/>
      <right style="medium">
        <color theme="0" tint="-0.34998626667073579"/>
      </right>
      <top style="medium">
        <color theme="0" tint="-0.34998626667073579"/>
      </top>
      <bottom style="thin">
        <color theme="0" tint="-0.34998626667073579"/>
      </bottom>
      <diagonal/>
    </border>
    <border>
      <left style="medium">
        <color theme="0" tint="-0.34998626667073579"/>
      </left>
      <right/>
      <top style="medium">
        <color theme="0" tint="-0.34998626667073579"/>
      </top>
      <bottom style="thin">
        <color theme="0" tint="-0.34998626667073579"/>
      </bottom>
      <diagonal/>
    </border>
    <border>
      <left style="thin">
        <color theme="0" tint="-0.34998626667073579"/>
      </left>
      <right/>
      <top style="thin">
        <color theme="0" tint="-0.34998626667073579"/>
      </top>
      <bottom style="medium">
        <color theme="0" tint="-0.34998626667073579"/>
      </bottom>
      <diagonal/>
    </border>
    <border>
      <left/>
      <right style="medium">
        <color theme="0" tint="-0.34998626667073579"/>
      </right>
      <top style="thin">
        <color theme="0" tint="-0.34998626667073579"/>
      </top>
      <bottom style="medium">
        <color theme="0" tint="-0.34998626667073579"/>
      </bottom>
      <diagonal/>
    </border>
    <border>
      <left style="medium">
        <color theme="0" tint="-0.34998626667073579"/>
      </left>
      <right/>
      <top style="thin">
        <color theme="0" tint="-0.34998626667073579"/>
      </top>
      <bottom style="medium">
        <color theme="0" tint="-0.34998626667073579"/>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thin">
        <color rgb="FFCCCCCC"/>
      </right>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theme="0" tint="-0.34998626667073579"/>
      </right>
      <top style="medium">
        <color indexed="64"/>
      </top>
      <bottom style="hair">
        <color theme="0" tint="-0.34998626667073579"/>
      </bottom>
      <diagonal/>
    </border>
    <border>
      <left style="thin">
        <color theme="0" tint="-0.34998626667073579"/>
      </left>
      <right style="thin">
        <color theme="0" tint="-0.34998626667073579"/>
      </right>
      <top style="medium">
        <color indexed="64"/>
      </top>
      <bottom style="hair">
        <color theme="0" tint="-0.34998626667073579"/>
      </bottom>
      <diagonal/>
    </border>
    <border>
      <left style="medium">
        <color indexed="64"/>
      </left>
      <right/>
      <top style="medium">
        <color indexed="64"/>
      </top>
      <bottom style="hair">
        <color theme="0" tint="-0.34998626667073579"/>
      </bottom>
      <diagonal/>
    </border>
    <border>
      <left/>
      <right/>
      <top style="medium">
        <color indexed="64"/>
      </top>
      <bottom style="hair">
        <color theme="0" tint="-0.34998626667073579"/>
      </bottom>
      <diagonal/>
    </border>
    <border>
      <left/>
      <right style="medium">
        <color indexed="64"/>
      </right>
      <top style="medium">
        <color indexed="64"/>
      </top>
      <bottom style="hair">
        <color theme="0" tint="-0.34998626667073579"/>
      </bottom>
      <diagonal/>
    </border>
    <border>
      <left style="medium">
        <color indexed="64"/>
      </left>
      <right style="medium">
        <color indexed="64"/>
      </right>
      <top style="medium">
        <color indexed="64"/>
      </top>
      <bottom/>
      <diagonal/>
    </border>
    <border>
      <left style="medium">
        <color indexed="64"/>
      </left>
      <right/>
      <top style="hair">
        <color theme="0" tint="-0.34998626667073579"/>
      </top>
      <bottom style="hair">
        <color theme="0" tint="-0.34998626667073579"/>
      </bottom>
      <diagonal/>
    </border>
    <border>
      <left/>
      <right style="medium">
        <color indexed="64"/>
      </right>
      <top style="hair">
        <color theme="0" tint="-0.34998626667073579"/>
      </top>
      <bottom style="hair">
        <color theme="0" tint="-0.34998626667073579"/>
      </bottom>
      <diagonal/>
    </border>
    <border>
      <left style="medium">
        <color indexed="64"/>
      </left>
      <right style="medium">
        <color indexed="64"/>
      </right>
      <top/>
      <bottom/>
      <diagonal/>
    </border>
    <border>
      <left style="medium">
        <color indexed="64"/>
      </left>
      <right style="thin">
        <color theme="0" tint="-0.24994659260841701"/>
      </right>
      <top style="hair">
        <color theme="0" tint="-0.34998626667073579"/>
      </top>
      <bottom style="medium">
        <color indexed="64"/>
      </bottom>
      <diagonal/>
    </border>
    <border>
      <left style="medium">
        <color indexed="64"/>
      </left>
      <right style="thin">
        <color theme="0" tint="-0.24994659260841701"/>
      </right>
      <top style="hair">
        <color theme="0" tint="-0.34998626667073579"/>
      </top>
      <bottom style="hair">
        <color theme="0" tint="-0.34998626667073579"/>
      </bottom>
      <diagonal/>
    </border>
    <border>
      <left style="medium">
        <color indexed="64"/>
      </left>
      <right style="medium">
        <color indexed="64"/>
      </right>
      <top style="hair">
        <color theme="0" tint="-0.34998626667073579"/>
      </top>
      <bottom/>
      <diagonal/>
    </border>
    <border>
      <left style="medium">
        <color indexed="64"/>
      </left>
      <right style="medium">
        <color indexed="64"/>
      </right>
      <top/>
      <bottom style="hair">
        <color theme="0" tint="-0.34998626667073579"/>
      </bottom>
      <diagonal/>
    </border>
    <border>
      <left style="medium">
        <color indexed="64"/>
      </left>
      <right style="medium">
        <color indexed="64"/>
      </right>
      <top style="hair">
        <color theme="0" tint="-0.34998626667073579"/>
      </top>
      <bottom style="hair">
        <color theme="0" tint="-0.34998626667073579"/>
      </bottom>
      <diagonal/>
    </border>
    <border>
      <left style="medium">
        <color indexed="64"/>
      </left>
      <right style="medium">
        <color indexed="64"/>
      </right>
      <top style="hair">
        <color theme="0" tint="-0.34998626667073579"/>
      </top>
      <bottom style="medium">
        <color indexed="64"/>
      </bottom>
      <diagonal/>
    </border>
    <border>
      <left/>
      <right/>
      <top style="thin">
        <color theme="0" tint="-0.34998626667073579"/>
      </top>
      <bottom style="medium">
        <color theme="0" tint="-0.34998626667073579"/>
      </bottom>
      <diagonal/>
    </border>
  </borders>
  <cellStyleXfs count="206">
    <xf numFmtId="0" fontId="0" fillId="0" borderId="0"/>
    <xf numFmtId="43" fontId="2" fillId="0" borderId="0" applyFont="0" applyFill="0" applyBorder="0" applyAlignment="0" applyProtection="0"/>
    <xf numFmtId="0" fontId="3" fillId="0" borderId="0"/>
    <xf numFmtId="0" fontId="5" fillId="0" borderId="0">
      <protection locked="0"/>
    </xf>
    <xf numFmtId="170" fontId="6" fillId="0" borderId="0" applyFont="0" applyFill="0" applyBorder="0" applyAlignment="0" applyProtection="0"/>
    <xf numFmtId="167" fontId="5" fillId="0" borderId="0">
      <protection locked="0"/>
    </xf>
    <xf numFmtId="0" fontId="7" fillId="0" borderId="0"/>
    <xf numFmtId="0" fontId="6" fillId="0" borderId="0"/>
    <xf numFmtId="0" fontId="6" fillId="0" borderId="0"/>
    <xf numFmtId="0" fontId="6" fillId="0" borderId="0"/>
    <xf numFmtId="0" fontId="6" fillId="0" borderId="0"/>
    <xf numFmtId="168" fontId="5" fillId="0" borderId="0">
      <protection locked="0"/>
    </xf>
    <xf numFmtId="166" fontId="5" fillId="0" borderId="0">
      <protection locked="0"/>
    </xf>
    <xf numFmtId="9" fontId="4" fillId="0" borderId="0" applyFont="0" applyFill="0" applyBorder="0" applyAlignment="0" applyProtection="0"/>
    <xf numFmtId="9" fontId="6" fillId="0" borderId="0" applyFont="0" applyFill="0" applyBorder="0" applyAlignment="0" applyProtection="0"/>
    <xf numFmtId="164" fontId="4" fillId="0" borderId="0" applyFont="0" applyFill="0" applyBorder="0" applyAlignment="0" applyProtection="0"/>
    <xf numFmtId="4" fontId="8" fillId="0" borderId="1">
      <alignment vertical="center"/>
    </xf>
    <xf numFmtId="4" fontId="9" fillId="0" borderId="0">
      <alignment vertical="center"/>
    </xf>
    <xf numFmtId="169" fontId="10" fillId="0" borderId="0">
      <protection locked="0"/>
    </xf>
    <xf numFmtId="169" fontId="10" fillId="0" borderId="0">
      <protection locked="0"/>
    </xf>
    <xf numFmtId="49" fontId="11" fillId="2" borderId="2">
      <alignment horizontal="left" vertical="center" indent="1"/>
    </xf>
    <xf numFmtId="169" fontId="5" fillId="0" borderId="3">
      <protection locked="0"/>
    </xf>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164" fontId="4" fillId="0" borderId="0" applyFont="0" applyFill="0" applyBorder="0" applyAlignment="0" applyProtection="0"/>
    <xf numFmtId="0" fontId="4" fillId="0" borderId="0"/>
    <xf numFmtId="0" fontId="6" fillId="0" borderId="0"/>
    <xf numFmtId="0" fontId="4" fillId="0" borderId="0"/>
    <xf numFmtId="164" fontId="4" fillId="0" borderId="0" applyFont="0" applyFill="0" applyBorder="0" applyAlignment="0" applyProtection="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2" fontId="13" fillId="4" borderId="0" applyNumberFormat="0" applyBorder="0" applyAlignment="0" applyProtection="0"/>
    <xf numFmtId="172" fontId="13" fillId="5" borderId="0" applyNumberFormat="0" applyBorder="0" applyAlignment="0" applyProtection="0"/>
    <xf numFmtId="172" fontId="13" fillId="6" borderId="0" applyNumberFormat="0" applyBorder="0" applyAlignment="0" applyProtection="0"/>
    <xf numFmtId="172" fontId="13" fillId="7" borderId="0" applyNumberFormat="0" applyBorder="0" applyAlignment="0" applyProtection="0"/>
    <xf numFmtId="172" fontId="13" fillId="8" borderId="0" applyNumberFormat="0" applyBorder="0" applyAlignment="0" applyProtection="0"/>
    <xf numFmtId="172" fontId="13" fillId="9" borderId="0" applyNumberFormat="0" applyBorder="0" applyAlignment="0" applyProtection="0"/>
    <xf numFmtId="172" fontId="13" fillId="10" borderId="0" applyNumberFormat="0" applyBorder="0" applyAlignment="0" applyProtection="0"/>
    <xf numFmtId="172" fontId="13" fillId="11" borderId="0" applyNumberFormat="0" applyBorder="0" applyAlignment="0" applyProtection="0"/>
    <xf numFmtId="172" fontId="13" fillId="12" borderId="0" applyNumberFormat="0" applyBorder="0" applyAlignment="0" applyProtection="0"/>
    <xf numFmtId="172" fontId="13" fillId="7" borderId="0" applyNumberFormat="0" applyBorder="0" applyAlignment="0" applyProtection="0"/>
    <xf numFmtId="172" fontId="13" fillId="10" borderId="0" applyNumberFormat="0" applyBorder="0" applyAlignment="0" applyProtection="0"/>
    <xf numFmtId="172" fontId="13" fillId="13" borderId="0" applyNumberFormat="0" applyBorder="0" applyAlignment="0" applyProtection="0"/>
    <xf numFmtId="172" fontId="14" fillId="14" borderId="0" applyNumberFormat="0" applyBorder="0" applyAlignment="0" applyProtection="0"/>
    <xf numFmtId="172" fontId="14" fillId="11" borderId="0" applyNumberFormat="0" applyBorder="0" applyAlignment="0" applyProtection="0"/>
    <xf numFmtId="172" fontId="14" fillId="12" borderId="0" applyNumberFormat="0" applyBorder="0" applyAlignment="0" applyProtection="0"/>
    <xf numFmtId="172" fontId="14" fillId="15" borderId="0" applyNumberFormat="0" applyBorder="0" applyAlignment="0" applyProtection="0"/>
    <xf numFmtId="172" fontId="14" fillId="16" borderId="0" applyNumberFormat="0" applyBorder="0" applyAlignment="0" applyProtection="0"/>
    <xf numFmtId="172" fontId="14" fillId="17" borderId="0" applyNumberFormat="0" applyBorder="0" applyAlignment="0" applyProtection="0"/>
    <xf numFmtId="172" fontId="15" fillId="6" borderId="0" applyNumberFormat="0" applyBorder="0" applyAlignment="0" applyProtection="0"/>
    <xf numFmtId="172" fontId="16" fillId="18" borderId="12" applyNumberFormat="0" applyAlignment="0" applyProtection="0"/>
    <xf numFmtId="172" fontId="17" fillId="19" borderId="13" applyNumberFormat="0" applyAlignment="0" applyProtection="0"/>
    <xf numFmtId="172" fontId="18" fillId="0" borderId="14" applyNumberFormat="0" applyFill="0" applyAlignment="0" applyProtection="0"/>
    <xf numFmtId="172" fontId="5" fillId="0" borderId="0">
      <protection locked="0"/>
    </xf>
    <xf numFmtId="172" fontId="14" fillId="20" borderId="0" applyNumberFormat="0" applyBorder="0" applyAlignment="0" applyProtection="0"/>
    <xf numFmtId="172" fontId="14" fillId="21" borderId="0" applyNumberFormat="0" applyBorder="0" applyAlignment="0" applyProtection="0"/>
    <xf numFmtId="172" fontId="14" fillId="22" borderId="0" applyNumberFormat="0" applyBorder="0" applyAlignment="0" applyProtection="0"/>
    <xf numFmtId="172" fontId="14" fillId="15" borderId="0" applyNumberFormat="0" applyBorder="0" applyAlignment="0" applyProtection="0"/>
    <xf numFmtId="172" fontId="14" fillId="16" borderId="0" applyNumberFormat="0" applyBorder="0" applyAlignment="0" applyProtection="0"/>
    <xf numFmtId="172" fontId="14" fillId="23" borderId="0" applyNumberFormat="0" applyBorder="0" applyAlignment="0" applyProtection="0"/>
    <xf numFmtId="172" fontId="19" fillId="9" borderId="12" applyNumberFormat="0" applyAlignment="0" applyProtection="0"/>
    <xf numFmtId="172" fontId="6" fillId="0" borderId="0" applyFont="0" applyFill="0" applyBorder="0" applyAlignment="0" applyProtection="0"/>
    <xf numFmtId="172" fontId="20" fillId="5" borderId="0" applyNumberFormat="0" applyBorder="0" applyAlignment="0" applyProtection="0"/>
    <xf numFmtId="165" fontId="6" fillId="0" borderId="0" applyFont="0" applyFill="0" applyBorder="0" applyAlignment="0" applyProtection="0"/>
    <xf numFmtId="165" fontId="6" fillId="0" borderId="0" applyFont="0" applyFill="0" applyBorder="0" applyAlignment="0" applyProtection="0"/>
    <xf numFmtId="171" fontId="4" fillId="0" borderId="0" applyFont="0" applyFill="0" applyBorder="0" applyAlignment="0" applyProtection="0"/>
    <xf numFmtId="172" fontId="21" fillId="24" borderId="0" applyNumberFormat="0" applyBorder="0" applyAlignment="0" applyProtection="0"/>
    <xf numFmtId="172" fontId="4" fillId="0" borderId="0"/>
    <xf numFmtId="172" fontId="4" fillId="0" borderId="0"/>
    <xf numFmtId="172" fontId="4" fillId="0" borderId="0"/>
    <xf numFmtId="172" fontId="4" fillId="0" borderId="0"/>
    <xf numFmtId="172" fontId="12" fillId="0" borderId="0"/>
    <xf numFmtId="172" fontId="6" fillId="0" borderId="0"/>
    <xf numFmtId="172" fontId="4" fillId="0" borderId="0"/>
    <xf numFmtId="172" fontId="6" fillId="0" borderId="0"/>
    <xf numFmtId="0" fontId="6" fillId="0" borderId="0"/>
    <xf numFmtId="0" fontId="22" fillId="0" borderId="0"/>
    <xf numFmtId="172" fontId="6" fillId="25" borderId="15" applyNumberFormat="0" applyFont="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72" fontId="23" fillId="18" borderId="16" applyNumberFormat="0" applyAlignment="0" applyProtection="0"/>
    <xf numFmtId="164" fontId="6" fillId="0" borderId="0" applyFont="0" applyFill="0" applyBorder="0" applyAlignment="0" applyProtection="0"/>
    <xf numFmtId="164" fontId="4" fillId="0" borderId="0" applyFont="0" applyFill="0" applyBorder="0" applyAlignment="0" applyProtection="0"/>
    <xf numFmtId="167" fontId="4" fillId="0" borderId="0" applyFill="0" applyBorder="0" applyAlignment="0" applyProtection="0"/>
    <xf numFmtId="169" fontId="6"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72" fontId="24" fillId="0" borderId="0" applyNumberFormat="0" applyFill="0" applyBorder="0" applyAlignment="0" applyProtection="0"/>
    <xf numFmtId="172" fontId="25" fillId="0" borderId="0" applyNumberFormat="0" applyFill="0" applyBorder="0" applyAlignment="0" applyProtection="0"/>
    <xf numFmtId="172" fontId="26" fillId="0" borderId="17" applyNumberFormat="0" applyFill="0" applyAlignment="0" applyProtection="0"/>
    <xf numFmtId="172" fontId="26" fillId="0" borderId="0" applyNumberFormat="0" applyFill="0" applyBorder="0" applyAlignment="0" applyProtection="0"/>
    <xf numFmtId="172" fontId="27" fillId="0" borderId="0" applyNumberFormat="0" applyFill="0" applyBorder="0" applyAlignment="0" applyProtection="0"/>
    <xf numFmtId="173" fontId="7" fillId="0" borderId="0"/>
    <xf numFmtId="9" fontId="6" fillId="0" borderId="0" applyFont="0" applyFill="0" applyBorder="0" applyAlignment="0" applyProtection="0"/>
    <xf numFmtId="173" fontId="7" fillId="0" borderId="0"/>
    <xf numFmtId="173" fontId="7" fillId="0" borderId="0"/>
    <xf numFmtId="173" fontId="4" fillId="0" borderId="0"/>
    <xf numFmtId="173" fontId="7" fillId="0" borderId="0"/>
    <xf numFmtId="173" fontId="7"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64" fontId="4" fillId="0" borderId="0" applyFont="0" applyFill="0" applyBorder="0" applyAlignment="0" applyProtection="0"/>
    <xf numFmtId="0" fontId="4" fillId="0" borderId="0"/>
    <xf numFmtId="164" fontId="4" fillId="0" borderId="0" applyFont="0" applyFill="0" applyBorder="0" applyAlignment="0" applyProtection="0"/>
    <xf numFmtId="173" fontId="4" fillId="0" borderId="0"/>
    <xf numFmtId="9"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171" fontId="4" fillId="0" borderId="0" applyFont="0" applyFill="0" applyBorder="0" applyAlignment="0" applyProtection="0"/>
    <xf numFmtId="173" fontId="7" fillId="0" borderId="0"/>
    <xf numFmtId="0" fontId="4" fillId="0" borderId="0"/>
    <xf numFmtId="43" fontId="6" fillId="0" borderId="0" applyFont="0" applyFill="0" applyBorder="0" applyAlignment="0" applyProtection="0"/>
    <xf numFmtId="9" fontId="2" fillId="0" borderId="0" applyFont="0" applyFill="0" applyBorder="0" applyAlignment="0" applyProtection="0"/>
    <xf numFmtId="0" fontId="28" fillId="0" borderId="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164" fontId="3" fillId="0" borderId="0" applyFont="0" applyFill="0" applyBorder="0" applyAlignment="0" applyProtection="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71" fontId="3" fillId="0" borderId="0" applyFont="0" applyFill="0" applyBorder="0" applyAlignment="0" applyProtection="0"/>
    <xf numFmtId="172" fontId="3" fillId="0" borderId="0"/>
    <xf numFmtId="172" fontId="3" fillId="0" borderId="0"/>
    <xf numFmtId="172" fontId="3" fillId="0" borderId="0"/>
    <xf numFmtId="172" fontId="3" fillId="0" borderId="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7" fontId="3" fillId="0" borderId="0" applyFill="0" applyBorder="0" applyAlignment="0" applyProtection="0"/>
    <xf numFmtId="164" fontId="3" fillId="0" borderId="0" applyFont="0" applyFill="0" applyBorder="0" applyAlignment="0" applyProtection="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64" fontId="3" fillId="0" borderId="0" applyFont="0" applyFill="0" applyBorder="0" applyAlignment="0" applyProtection="0"/>
    <xf numFmtId="0" fontId="3" fillId="0" borderId="0"/>
    <xf numFmtId="164" fontId="3" fillId="0" borderId="0" applyFont="0" applyFill="0" applyBorder="0" applyAlignment="0" applyProtection="0"/>
    <xf numFmtId="173" fontId="3" fillId="0" borderId="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71" fontId="3" fillId="0" borderId="0" applyFont="0" applyFill="0" applyBorder="0" applyAlignment="0" applyProtection="0"/>
    <xf numFmtId="0" fontId="3" fillId="0" borderId="0"/>
    <xf numFmtId="0" fontId="6" fillId="0" borderId="0"/>
    <xf numFmtId="0" fontId="6" fillId="0" borderId="0"/>
    <xf numFmtId="0" fontId="65" fillId="0" borderId="0"/>
    <xf numFmtId="164" fontId="66" fillId="0" borderId="0" applyFont="0" applyFill="0" applyBorder="0" applyAlignment="0" applyProtection="0"/>
    <xf numFmtId="0" fontId="2" fillId="0" borderId="0"/>
    <xf numFmtId="164" fontId="6" fillId="0" borderId="0" applyFont="0" applyFill="0" applyBorder="0" applyAlignment="0" applyProtection="0"/>
  </cellStyleXfs>
  <cellXfs count="958">
    <xf numFmtId="0" fontId="0" fillId="0" borderId="0" xfId="0"/>
    <xf numFmtId="172" fontId="28" fillId="0" borderId="0" xfId="92" applyFont="1" applyAlignment="1">
      <alignment horizontal="left" vertical="center"/>
    </xf>
    <xf numFmtId="172" fontId="29" fillId="0" borderId="0" xfId="92" applyFont="1" applyAlignment="1">
      <alignment vertical="center"/>
    </xf>
    <xf numFmtId="172" fontId="28" fillId="0" borderId="0" xfId="92" applyFont="1" applyAlignment="1">
      <alignment horizontal="right" vertical="center"/>
    </xf>
    <xf numFmtId="172" fontId="29" fillId="0" borderId="0" xfId="92" applyFont="1" applyAlignment="1">
      <alignment horizontal="center" vertical="center"/>
    </xf>
    <xf numFmtId="172" fontId="28" fillId="0" borderId="0" xfId="92" applyFont="1" applyAlignment="1">
      <alignment vertical="center"/>
    </xf>
    <xf numFmtId="172" fontId="29" fillId="0" borderId="0" xfId="92" applyFont="1" applyAlignment="1">
      <alignment horizontal="left" vertical="center"/>
    </xf>
    <xf numFmtId="0" fontId="33" fillId="3" borderId="0" xfId="0" applyFont="1" applyFill="1" applyAlignment="1">
      <alignment vertical="center"/>
    </xf>
    <xf numFmtId="0" fontId="31" fillId="3" borderId="0" xfId="0" applyFont="1" applyFill="1" applyAlignment="1">
      <alignment vertical="center"/>
    </xf>
    <xf numFmtId="4" fontId="28" fillId="0" borderId="0" xfId="200" applyNumberFormat="1" applyFont="1" applyAlignment="1">
      <alignment vertical="center"/>
    </xf>
    <xf numFmtId="4" fontId="29" fillId="0" borderId="0" xfId="200" applyNumberFormat="1" applyFont="1" applyAlignment="1">
      <alignment vertical="center"/>
    </xf>
    <xf numFmtId="0" fontId="31" fillId="0" borderId="0" xfId="0" applyFont="1" applyAlignment="1">
      <alignment vertical="center"/>
    </xf>
    <xf numFmtId="175" fontId="29" fillId="3" borderId="25" xfId="9" applyNumberFormat="1" applyFont="1" applyFill="1" applyBorder="1" applyAlignment="1">
      <alignment horizontal="center" vertical="center"/>
    </xf>
    <xf numFmtId="0" fontId="29" fillId="3" borderId="28" xfId="9" quotePrefix="1" applyFont="1" applyFill="1" applyBorder="1" applyAlignment="1">
      <alignment vertical="center"/>
    </xf>
    <xf numFmtId="0" fontId="29" fillId="3" borderId="29" xfId="9" applyFont="1" applyFill="1" applyBorder="1" applyAlignment="1">
      <alignment vertical="center"/>
    </xf>
    <xf numFmtId="0" fontId="29" fillId="3" borderId="30" xfId="9" applyFont="1" applyFill="1" applyBorder="1" applyAlignment="1">
      <alignment vertical="center"/>
    </xf>
    <xf numFmtId="0" fontId="29" fillId="3" borderId="26" xfId="9" applyFont="1" applyFill="1" applyBorder="1" applyAlignment="1">
      <alignment horizontal="center" vertical="center"/>
    </xf>
    <xf numFmtId="4" fontId="28" fillId="3" borderId="26" xfId="26" applyNumberFormat="1" applyFont="1" applyFill="1" applyBorder="1" applyAlignment="1">
      <alignment vertical="center"/>
    </xf>
    <xf numFmtId="4" fontId="32" fillId="28" borderId="27" xfId="26" applyNumberFormat="1" applyFont="1" applyFill="1" applyBorder="1" applyAlignment="1">
      <alignment vertical="center"/>
    </xf>
    <xf numFmtId="175" fontId="29" fillId="3" borderId="25" xfId="9" quotePrefix="1" applyNumberFormat="1" applyFont="1" applyFill="1" applyBorder="1" applyAlignment="1">
      <alignment horizontal="center" vertical="center"/>
    </xf>
    <xf numFmtId="0" fontId="28" fillId="3" borderId="28" xfId="9" quotePrefix="1" applyFont="1" applyFill="1" applyBorder="1" applyAlignment="1">
      <alignment vertical="center"/>
    </xf>
    <xf numFmtId="0" fontId="28" fillId="3" borderId="29" xfId="9" applyFont="1" applyFill="1" applyBorder="1" applyAlignment="1">
      <alignment vertical="center"/>
    </xf>
    <xf numFmtId="0" fontId="28" fillId="3" borderId="26" xfId="9" applyFont="1" applyFill="1" applyBorder="1" applyAlignment="1">
      <alignment horizontal="center" vertical="center"/>
    </xf>
    <xf numFmtId="175" fontId="28" fillId="3" borderId="25" xfId="9" quotePrefix="1" applyNumberFormat="1" applyFont="1" applyFill="1" applyBorder="1" applyAlignment="1">
      <alignment horizontal="center" vertical="center"/>
    </xf>
    <xf numFmtId="0" fontId="29" fillId="3" borderId="29" xfId="9" quotePrefix="1" applyFont="1" applyFill="1" applyBorder="1" applyAlignment="1">
      <alignment vertical="center"/>
    </xf>
    <xf numFmtId="0" fontId="28" fillId="3" borderId="31" xfId="9" quotePrefix="1" applyFont="1" applyFill="1" applyBorder="1" applyAlignment="1">
      <alignment vertical="center"/>
    </xf>
    <xf numFmtId="0" fontId="28" fillId="3" borderId="32" xfId="9" applyFont="1" applyFill="1" applyBorder="1" applyAlignment="1">
      <alignment vertical="center"/>
    </xf>
    <xf numFmtId="0" fontId="28" fillId="3" borderId="35" xfId="9" applyFont="1" applyFill="1" applyBorder="1" applyAlignment="1">
      <alignment horizontal="center" vertical="center"/>
    </xf>
    <xf numFmtId="4" fontId="28" fillId="3" borderId="35" xfId="26" applyNumberFormat="1" applyFont="1" applyFill="1" applyBorder="1" applyAlignment="1">
      <alignment vertical="center"/>
    </xf>
    <xf numFmtId="4" fontId="32" fillId="28" borderId="36" xfId="26" applyNumberFormat="1" applyFont="1" applyFill="1" applyBorder="1" applyAlignment="1">
      <alignment vertical="center"/>
    </xf>
    <xf numFmtId="0" fontId="28" fillId="0" borderId="0" xfId="145" applyAlignment="1">
      <alignment vertical="center"/>
    </xf>
    <xf numFmtId="0" fontId="28" fillId="3" borderId="0" xfId="145" applyFill="1" applyAlignment="1">
      <alignment vertical="center"/>
    </xf>
    <xf numFmtId="164" fontId="28" fillId="0" borderId="0" xfId="190" applyFont="1" applyFill="1" applyBorder="1" applyAlignment="1">
      <alignment vertical="center" wrapText="1"/>
    </xf>
    <xf numFmtId="164" fontId="28" fillId="0" borderId="0" xfId="190" applyFont="1" applyBorder="1" applyAlignment="1">
      <alignment vertical="center" wrapText="1"/>
    </xf>
    <xf numFmtId="0" fontId="28" fillId="3" borderId="0" xfId="7" applyFont="1" applyFill="1" applyAlignment="1">
      <alignment vertical="center"/>
    </xf>
    <xf numFmtId="0" fontId="37" fillId="3" borderId="0" xfId="10" applyFont="1" applyFill="1" applyAlignment="1">
      <alignment vertical="center"/>
    </xf>
    <xf numFmtId="1" fontId="37" fillId="3" borderId="0" xfId="10" applyNumberFormat="1" applyFont="1" applyFill="1" applyAlignment="1">
      <alignment horizontal="center" vertical="center"/>
    </xf>
    <xf numFmtId="4" fontId="37" fillId="3" borderId="0" xfId="10" applyNumberFormat="1" applyFont="1" applyFill="1" applyAlignment="1">
      <alignment vertical="center"/>
    </xf>
    <xf numFmtId="4" fontId="38" fillId="3" borderId="0" xfId="10" applyNumberFormat="1" applyFont="1" applyFill="1" applyAlignment="1">
      <alignment vertical="center"/>
    </xf>
    <xf numFmtId="172" fontId="32" fillId="0" borderId="0" xfId="92" applyFont="1" applyAlignment="1">
      <alignment vertical="center"/>
    </xf>
    <xf numFmtId="0" fontId="28" fillId="3" borderId="29" xfId="9" applyFont="1" applyFill="1" applyBorder="1" applyAlignment="1" applyProtection="1">
      <alignment vertical="center"/>
      <protection locked="0"/>
    </xf>
    <xf numFmtId="0" fontId="28" fillId="3" borderId="30" xfId="9" applyFont="1" applyFill="1" applyBorder="1" applyAlignment="1" applyProtection="1">
      <alignment vertical="center"/>
      <protection locked="0"/>
    </xf>
    <xf numFmtId="43" fontId="28" fillId="0" borderId="0" xfId="1" applyFont="1" applyBorder="1" applyAlignment="1">
      <alignment horizontal="right" vertical="center"/>
    </xf>
    <xf numFmtId="0" fontId="29" fillId="3" borderId="0" xfId="8" applyFont="1" applyFill="1" applyAlignment="1">
      <alignment vertical="center"/>
    </xf>
    <xf numFmtId="0" fontId="29" fillId="3" borderId="0" xfId="9" quotePrefix="1" applyFont="1" applyFill="1" applyAlignment="1">
      <alignment vertical="center"/>
    </xf>
    <xf numFmtId="0" fontId="28" fillId="3" borderId="0" xfId="9" quotePrefix="1" applyFont="1" applyFill="1" applyAlignment="1">
      <alignment vertical="center"/>
    </xf>
    <xf numFmtId="4" fontId="31" fillId="3" borderId="0" xfId="0" applyNumberFormat="1" applyFont="1" applyFill="1" applyAlignment="1">
      <alignment vertical="center"/>
    </xf>
    <xf numFmtId="4" fontId="31" fillId="0" borderId="0" xfId="0" applyNumberFormat="1" applyFont="1" applyAlignment="1">
      <alignment vertical="center"/>
    </xf>
    <xf numFmtId="0" fontId="28" fillId="0" borderId="0" xfId="0" applyFont="1" applyAlignment="1">
      <alignment horizontal="left" vertical="center"/>
    </xf>
    <xf numFmtId="43" fontId="28" fillId="0" borderId="0" xfId="1" applyFont="1" applyFill="1" applyAlignment="1" applyProtection="1">
      <alignment vertical="center"/>
    </xf>
    <xf numFmtId="172" fontId="28" fillId="0" borderId="0" xfId="92" applyFont="1" applyAlignment="1">
      <alignment horizontal="center" vertical="center"/>
    </xf>
    <xf numFmtId="175" fontId="28" fillId="3" borderId="34" xfId="9" quotePrefix="1" applyNumberFormat="1" applyFont="1" applyFill="1" applyBorder="1" applyAlignment="1">
      <alignment horizontal="center" vertical="center"/>
    </xf>
    <xf numFmtId="4" fontId="32" fillId="0" borderId="0" xfId="200" quotePrefix="1" applyNumberFormat="1" applyFont="1" applyAlignment="1">
      <alignment horizontal="center" vertical="center"/>
    </xf>
    <xf numFmtId="4" fontId="32" fillId="0" borderId="0" xfId="200" applyNumberFormat="1" applyFont="1" applyAlignment="1">
      <alignment vertical="center"/>
    </xf>
    <xf numFmtId="43" fontId="28" fillId="0" borderId="0" xfId="1" applyFont="1" applyFill="1" applyAlignment="1" applyProtection="1">
      <alignment horizontal="right" vertical="center"/>
    </xf>
    <xf numFmtId="43" fontId="29" fillId="0" borderId="0" xfId="1" applyFont="1" applyFill="1" applyAlignment="1" applyProtection="1">
      <alignment horizontal="center" vertical="center"/>
    </xf>
    <xf numFmtId="175" fontId="29" fillId="3" borderId="49" xfId="9" quotePrefix="1" applyNumberFormat="1" applyFont="1" applyFill="1" applyBorder="1" applyAlignment="1">
      <alignment horizontal="center" vertical="center"/>
    </xf>
    <xf numFmtId="0" fontId="29" fillId="3" borderId="52" xfId="9" quotePrefix="1" applyFont="1" applyFill="1" applyBorder="1" applyAlignment="1">
      <alignment vertical="center"/>
    </xf>
    <xf numFmtId="0" fontId="29" fillId="3" borderId="51" xfId="9" applyFont="1" applyFill="1" applyBorder="1" applyAlignment="1">
      <alignment vertical="center"/>
    </xf>
    <xf numFmtId="0" fontId="29" fillId="3" borderId="51" xfId="9" quotePrefix="1" applyFont="1" applyFill="1" applyBorder="1" applyAlignment="1">
      <alignment vertical="center"/>
    </xf>
    <xf numFmtId="0" fontId="29" fillId="3" borderId="53" xfId="9" applyFont="1" applyFill="1" applyBorder="1" applyAlignment="1">
      <alignment vertical="center"/>
    </xf>
    <xf numFmtId="0" fontId="29" fillId="3" borderId="50" xfId="9" applyFont="1" applyFill="1" applyBorder="1" applyAlignment="1">
      <alignment horizontal="center" vertical="center"/>
    </xf>
    <xf numFmtId="4" fontId="28" fillId="3" borderId="50" xfId="26" applyNumberFormat="1" applyFont="1" applyFill="1" applyBorder="1" applyAlignment="1">
      <alignment vertical="center"/>
    </xf>
    <xf numFmtId="4" fontId="32" fillId="28" borderId="54" xfId="26" applyNumberFormat="1" applyFont="1" applyFill="1" applyBorder="1" applyAlignment="1">
      <alignment vertical="center"/>
    </xf>
    <xf numFmtId="172" fontId="32" fillId="0" borderId="0" xfId="92" applyFont="1" applyAlignment="1">
      <alignment horizontal="left" vertical="center"/>
    </xf>
    <xf numFmtId="43" fontId="42" fillId="3" borderId="0" xfId="1" applyFont="1" applyFill="1" applyBorder="1" applyAlignment="1">
      <alignment horizontal="center" vertical="center" wrapText="1"/>
    </xf>
    <xf numFmtId="0" fontId="39" fillId="3" borderId="0" xfId="0" applyFont="1" applyFill="1" applyAlignment="1">
      <alignment vertical="center"/>
    </xf>
    <xf numFmtId="0" fontId="1" fillId="3" borderId="0" xfId="0" applyFont="1" applyFill="1" applyAlignment="1">
      <alignment vertical="center"/>
    </xf>
    <xf numFmtId="4" fontId="1" fillId="3" borderId="0" xfId="0" applyNumberFormat="1" applyFont="1" applyFill="1" applyAlignment="1">
      <alignment vertical="center"/>
    </xf>
    <xf numFmtId="0" fontId="1" fillId="0" borderId="0" xfId="0" applyFont="1" applyAlignment="1">
      <alignment vertical="center"/>
    </xf>
    <xf numFmtId="0" fontId="49" fillId="0" borderId="0" xfId="0" applyFont="1" applyAlignment="1">
      <alignment vertical="center"/>
    </xf>
    <xf numFmtId="0" fontId="3" fillId="0" borderId="0" xfId="0" applyFont="1" applyAlignment="1">
      <alignment vertical="center"/>
    </xf>
    <xf numFmtId="0" fontId="49" fillId="0" borderId="0" xfId="0" applyFont="1"/>
    <xf numFmtId="0" fontId="49" fillId="0" borderId="24" xfId="0" applyFont="1" applyBorder="1" applyAlignment="1">
      <alignment vertical="center"/>
    </xf>
    <xf numFmtId="0" fontId="49" fillId="0" borderId="5" xfId="0" applyFont="1" applyBorder="1" applyAlignment="1">
      <alignment vertical="center"/>
    </xf>
    <xf numFmtId="0" fontId="49" fillId="0" borderId="4" xfId="0" applyFont="1" applyBorder="1" applyAlignment="1">
      <alignment vertical="center"/>
    </xf>
    <xf numFmtId="0" fontId="49" fillId="0" borderId="0" xfId="0" applyFont="1" applyAlignment="1">
      <alignment horizontal="center" vertical="center"/>
    </xf>
    <xf numFmtId="0" fontId="49" fillId="3" borderId="0" xfId="0" applyFont="1" applyFill="1" applyAlignment="1">
      <alignment vertical="center"/>
    </xf>
    <xf numFmtId="0" fontId="36" fillId="27" borderId="20" xfId="0" applyFont="1" applyFill="1" applyBorder="1" applyAlignment="1">
      <alignment horizontal="left" vertical="center"/>
    </xf>
    <xf numFmtId="0" fontId="53" fillId="3" borderId="0" xfId="145" applyFont="1" applyFill="1" applyAlignment="1">
      <alignment vertical="center"/>
    </xf>
    <xf numFmtId="1" fontId="53" fillId="3" borderId="0" xfId="145" applyNumberFormat="1" applyFont="1" applyFill="1" applyAlignment="1">
      <alignment horizontal="center" vertical="center"/>
    </xf>
    <xf numFmtId="4" fontId="53" fillId="3" borderId="0" xfId="145" applyNumberFormat="1" applyFont="1" applyFill="1" applyAlignment="1">
      <alignment vertical="center"/>
    </xf>
    <xf numFmtId="4" fontId="54" fillId="3" borderId="0" xfId="145" applyNumberFormat="1" applyFont="1" applyFill="1" applyAlignment="1">
      <alignment vertical="center"/>
    </xf>
    <xf numFmtId="0" fontId="55" fillId="3" borderId="0" xfId="0" applyFont="1" applyFill="1" applyAlignment="1">
      <alignment vertical="center"/>
    </xf>
    <xf numFmtId="4" fontId="55" fillId="3" borderId="57" xfId="0" applyNumberFormat="1" applyFont="1" applyFill="1" applyBorder="1" applyAlignment="1">
      <alignment vertical="center"/>
    </xf>
    <xf numFmtId="1" fontId="57" fillId="3" borderId="57" xfId="0" applyNumberFormat="1" applyFont="1" applyFill="1" applyBorder="1" applyAlignment="1">
      <alignment horizontal="center" vertical="center"/>
    </xf>
    <xf numFmtId="4" fontId="55" fillId="3" borderId="26" xfId="0" applyNumberFormat="1" applyFont="1" applyFill="1" applyBorder="1" applyAlignment="1">
      <alignment vertical="center"/>
    </xf>
    <xf numFmtId="1" fontId="55" fillId="3" borderId="26" xfId="0" applyNumberFormat="1" applyFont="1" applyFill="1" applyBorder="1" applyAlignment="1">
      <alignment horizontal="center" vertical="center"/>
    </xf>
    <xf numFmtId="0" fontId="28" fillId="3" borderId="0" xfId="0" applyFont="1" applyFill="1" applyAlignment="1">
      <alignment vertical="center"/>
    </xf>
    <xf numFmtId="0" fontId="30" fillId="3" borderId="0" xfId="145" applyFont="1" applyFill="1" applyAlignment="1">
      <alignment vertical="center"/>
    </xf>
    <xf numFmtId="4" fontId="30" fillId="3" borderId="0" xfId="145" applyNumberFormat="1" applyFont="1" applyFill="1" applyAlignment="1">
      <alignment vertical="center"/>
    </xf>
    <xf numFmtId="4" fontId="58" fillId="3" borderId="0" xfId="145" applyNumberFormat="1" applyFont="1" applyFill="1" applyAlignment="1">
      <alignment vertical="center"/>
    </xf>
    <xf numFmtId="1" fontId="28" fillId="0" borderId="70" xfId="200" applyNumberFormat="1" applyFont="1" applyBorder="1" applyAlignment="1">
      <alignment horizontal="center" vertical="center"/>
    </xf>
    <xf numFmtId="4" fontId="28" fillId="0" borderId="70" xfId="200" applyNumberFormat="1" applyFont="1" applyBorder="1" applyAlignment="1">
      <alignment horizontal="center" vertical="center"/>
    </xf>
    <xf numFmtId="1" fontId="28" fillId="0" borderId="26" xfId="200" applyNumberFormat="1" applyFont="1" applyBorder="1" applyAlignment="1">
      <alignment horizontal="center" vertical="center"/>
    </xf>
    <xf numFmtId="4" fontId="28" fillId="0" borderId="26" xfId="200" applyNumberFormat="1" applyFont="1" applyBorder="1" applyAlignment="1">
      <alignment horizontal="center" vertical="center"/>
    </xf>
    <xf numFmtId="1" fontId="28" fillId="0" borderId="75" xfId="200" applyNumberFormat="1" applyFont="1" applyBorder="1" applyAlignment="1">
      <alignment horizontal="center" vertical="center"/>
    </xf>
    <xf numFmtId="4" fontId="28" fillId="0" borderId="75" xfId="200" applyNumberFormat="1" applyFont="1" applyBorder="1" applyAlignment="1">
      <alignment horizontal="center" vertical="center"/>
    </xf>
    <xf numFmtId="4" fontId="29" fillId="27" borderId="65" xfId="200" applyNumberFormat="1" applyFont="1" applyFill="1" applyBorder="1" applyAlignment="1">
      <alignment horizontal="center" vertical="center"/>
    </xf>
    <xf numFmtId="4" fontId="28" fillId="3" borderId="70" xfId="0" applyNumberFormat="1" applyFont="1" applyFill="1" applyBorder="1" applyAlignment="1">
      <alignment horizontal="center" vertical="center"/>
    </xf>
    <xf numFmtId="4" fontId="28" fillId="3" borderId="71" xfId="0" applyNumberFormat="1" applyFont="1" applyFill="1" applyBorder="1" applyAlignment="1">
      <alignment horizontal="center" vertical="center"/>
    </xf>
    <xf numFmtId="4" fontId="28" fillId="3" borderId="26" xfId="0" applyNumberFormat="1" applyFont="1" applyFill="1" applyBorder="1" applyAlignment="1">
      <alignment horizontal="center" vertical="center"/>
    </xf>
    <xf numFmtId="4" fontId="28" fillId="3" borderId="73" xfId="0" applyNumberFormat="1" applyFont="1" applyFill="1" applyBorder="1" applyAlignment="1">
      <alignment horizontal="center" vertical="center"/>
    </xf>
    <xf numFmtId="4" fontId="28" fillId="3" borderId="75" xfId="0" applyNumberFormat="1" applyFont="1" applyFill="1" applyBorder="1" applyAlignment="1">
      <alignment horizontal="center" vertical="center"/>
    </xf>
    <xf numFmtId="4" fontId="28" fillId="3" borderId="76" xfId="0" applyNumberFormat="1" applyFont="1" applyFill="1" applyBorder="1" applyAlignment="1">
      <alignment horizontal="center" vertical="center"/>
    </xf>
    <xf numFmtId="4" fontId="29" fillId="27" borderId="77" xfId="200" applyNumberFormat="1" applyFont="1" applyFill="1" applyBorder="1" applyAlignment="1">
      <alignment horizontal="center" vertical="center"/>
    </xf>
    <xf numFmtId="4" fontId="29" fillId="27" borderId="77" xfId="0" applyNumberFormat="1" applyFont="1" applyFill="1" applyBorder="1" applyAlignment="1">
      <alignment horizontal="center" vertical="center"/>
    </xf>
    <xf numFmtId="4" fontId="29" fillId="27" borderId="66" xfId="200" applyNumberFormat="1" applyFont="1" applyFill="1" applyBorder="1" applyAlignment="1">
      <alignment horizontal="center" vertical="center"/>
    </xf>
    <xf numFmtId="2" fontId="28" fillId="0" borderId="70" xfId="200" applyNumberFormat="1" applyFont="1" applyBorder="1" applyAlignment="1">
      <alignment horizontal="center" vertical="center"/>
    </xf>
    <xf numFmtId="2" fontId="28" fillId="3" borderId="70" xfId="0" applyNumberFormat="1" applyFont="1" applyFill="1" applyBorder="1" applyAlignment="1">
      <alignment horizontal="center" vertical="center"/>
    </xf>
    <xf numFmtId="2" fontId="28" fillId="3" borderId="71" xfId="0" applyNumberFormat="1" applyFont="1" applyFill="1" applyBorder="1" applyAlignment="1">
      <alignment horizontal="center" vertical="center"/>
    </xf>
    <xf numFmtId="2" fontId="28" fillId="0" borderId="26" xfId="200" applyNumberFormat="1" applyFont="1" applyBorder="1" applyAlignment="1">
      <alignment horizontal="center" vertical="center"/>
    </xf>
    <xf numFmtId="2" fontId="28" fillId="3" borderId="26" xfId="0" applyNumberFormat="1" applyFont="1" applyFill="1" applyBorder="1" applyAlignment="1">
      <alignment horizontal="center" vertical="center"/>
    </xf>
    <xf numFmtId="2" fontId="28" fillId="3" borderId="73" xfId="0" applyNumberFormat="1" applyFont="1" applyFill="1" applyBorder="1" applyAlignment="1">
      <alignment horizontal="center" vertical="center"/>
    </xf>
    <xf numFmtId="2" fontId="28" fillId="0" borderId="71" xfId="200" applyNumberFormat="1" applyFont="1" applyBorder="1" applyAlignment="1">
      <alignment horizontal="center" vertical="center"/>
    </xf>
    <xf numFmtId="2" fontId="28" fillId="0" borderId="73" xfId="200" applyNumberFormat="1" applyFont="1" applyBorder="1" applyAlignment="1">
      <alignment horizontal="center" vertical="center"/>
    </xf>
    <xf numFmtId="4" fontId="29" fillId="27" borderId="78" xfId="200" applyNumberFormat="1" applyFont="1" applyFill="1" applyBorder="1" applyAlignment="1">
      <alignment horizontal="center" vertical="center"/>
    </xf>
    <xf numFmtId="176" fontId="28" fillId="0" borderId="70" xfId="200" applyNumberFormat="1" applyFont="1" applyBorder="1" applyAlignment="1">
      <alignment horizontal="center" vertical="center"/>
    </xf>
    <xf numFmtId="176" fontId="28" fillId="0" borderId="26" xfId="200" applyNumberFormat="1" applyFont="1" applyBorder="1" applyAlignment="1">
      <alignment horizontal="center" vertical="center"/>
    </xf>
    <xf numFmtId="0" fontId="57" fillId="3" borderId="0" xfId="0" applyFont="1" applyFill="1" applyAlignment="1">
      <alignment horizontal="center" vertical="center"/>
    </xf>
    <xf numFmtId="0" fontId="40" fillId="3" borderId="0" xfId="0" applyFont="1" applyFill="1" applyAlignment="1">
      <alignment horizontal="justify" vertical="center"/>
    </xf>
    <xf numFmtId="4" fontId="55" fillId="3" borderId="73" xfId="0" applyNumberFormat="1" applyFont="1" applyFill="1" applyBorder="1" applyAlignment="1">
      <alignment vertical="center"/>
    </xf>
    <xf numFmtId="4" fontId="55" fillId="3" borderId="92" xfId="0" applyNumberFormat="1" applyFont="1" applyFill="1" applyBorder="1" applyAlignment="1">
      <alignment vertical="center"/>
    </xf>
    <xf numFmtId="4" fontId="56" fillId="27" borderId="77" xfId="0" applyNumberFormat="1" applyFont="1" applyFill="1" applyBorder="1" applyAlignment="1">
      <alignment vertical="center"/>
    </xf>
    <xf numFmtId="4" fontId="56" fillId="27" borderId="78" xfId="0" applyNumberFormat="1" applyFont="1" applyFill="1" applyBorder="1" applyAlignment="1">
      <alignment vertical="center"/>
    </xf>
    <xf numFmtId="0" fontId="55" fillId="3" borderId="69" xfId="0" applyFont="1" applyFill="1" applyBorder="1" applyAlignment="1">
      <alignment vertical="center"/>
    </xf>
    <xf numFmtId="0" fontId="57" fillId="3" borderId="70" xfId="0" applyFont="1" applyFill="1" applyBorder="1" applyAlignment="1">
      <alignment vertical="center"/>
    </xf>
    <xf numFmtId="0" fontId="55" fillId="3" borderId="70" xfId="0" applyFont="1" applyFill="1" applyBorder="1" applyAlignment="1">
      <alignment vertical="center"/>
    </xf>
    <xf numFmtId="43" fontId="40" fillId="3" borderId="26" xfId="1" applyFont="1" applyFill="1" applyBorder="1" applyAlignment="1">
      <alignment horizontal="center" vertical="center" wrapText="1"/>
    </xf>
    <xf numFmtId="43" fontId="42" fillId="3" borderId="26" xfId="1" applyFont="1" applyFill="1" applyBorder="1" applyAlignment="1">
      <alignment horizontal="center" vertical="center" wrapText="1"/>
    </xf>
    <xf numFmtId="43" fontId="42" fillId="3" borderId="73" xfId="1" applyFont="1" applyFill="1" applyBorder="1" applyAlignment="1">
      <alignment horizontal="center" vertical="center" wrapText="1"/>
    </xf>
    <xf numFmtId="43" fontId="40" fillId="3" borderId="26" xfId="1" applyFont="1" applyFill="1" applyBorder="1" applyAlignment="1">
      <alignment vertical="center"/>
    </xf>
    <xf numFmtId="43" fontId="42" fillId="3" borderId="26" xfId="1" applyFont="1" applyFill="1" applyBorder="1" applyAlignment="1">
      <alignment vertical="center"/>
    </xf>
    <xf numFmtId="43" fontId="42" fillId="3" borderId="73" xfId="1" applyFont="1" applyFill="1" applyBorder="1" applyAlignment="1">
      <alignment vertical="center"/>
    </xf>
    <xf numFmtId="43" fontId="44" fillId="3" borderId="26" xfId="1" applyFont="1" applyFill="1" applyBorder="1" applyAlignment="1">
      <alignment horizontal="center" vertical="center" wrapText="1"/>
    </xf>
    <xf numFmtId="43" fontId="41" fillId="3" borderId="26" xfId="1" applyFont="1" applyFill="1" applyBorder="1" applyAlignment="1">
      <alignment horizontal="center" vertical="center" wrapText="1"/>
    </xf>
    <xf numFmtId="43" fontId="45" fillId="3" borderId="75" xfId="1" applyFont="1" applyFill="1" applyBorder="1" applyAlignment="1">
      <alignment horizontal="center" vertical="center" wrapText="1"/>
    </xf>
    <xf numFmtId="43" fontId="41" fillId="3" borderId="75" xfId="1" applyFont="1" applyFill="1" applyBorder="1" applyAlignment="1">
      <alignment horizontal="center" vertical="center" wrapText="1"/>
    </xf>
    <xf numFmtId="43" fontId="41" fillId="3" borderId="76" xfId="1" applyFont="1" applyFill="1" applyBorder="1" applyAlignment="1">
      <alignment horizontal="center" vertical="center" wrapText="1"/>
    </xf>
    <xf numFmtId="0" fontId="28" fillId="0" borderId="0" xfId="145" applyAlignment="1">
      <alignment horizontal="center" vertical="center"/>
    </xf>
    <xf numFmtId="43" fontId="43" fillId="3" borderId="26" xfId="1" applyFont="1" applyFill="1" applyBorder="1" applyAlignment="1">
      <alignment horizontal="center" vertical="center" wrapText="1"/>
    </xf>
    <xf numFmtId="0" fontId="43" fillId="3" borderId="26" xfId="1" applyNumberFormat="1" applyFont="1" applyFill="1" applyBorder="1" applyAlignment="1">
      <alignment horizontal="center" vertical="center"/>
    </xf>
    <xf numFmtId="43" fontId="43" fillId="3" borderId="26" xfId="1" applyFont="1" applyFill="1" applyBorder="1" applyAlignment="1">
      <alignment vertical="center"/>
    </xf>
    <xf numFmtId="0" fontId="54" fillId="27" borderId="77" xfId="145" applyFont="1" applyFill="1" applyBorder="1" applyAlignment="1">
      <alignment horizontal="center" vertical="center" wrapText="1"/>
    </xf>
    <xf numFmtId="1" fontId="54" fillId="27" borderId="77" xfId="145" applyNumberFormat="1" applyFont="1" applyFill="1" applyBorder="1" applyAlignment="1">
      <alignment horizontal="center" vertical="center" wrapText="1"/>
    </xf>
    <xf numFmtId="4" fontId="54" fillId="27" borderId="77" xfId="145" applyNumberFormat="1" applyFont="1" applyFill="1" applyBorder="1" applyAlignment="1">
      <alignment horizontal="center" vertical="center" wrapText="1"/>
    </xf>
    <xf numFmtId="4" fontId="54" fillId="27" borderId="78" xfId="145" applyNumberFormat="1" applyFont="1" applyFill="1" applyBorder="1" applyAlignment="1">
      <alignment horizontal="center" vertical="center" wrapText="1"/>
    </xf>
    <xf numFmtId="43" fontId="42" fillId="27" borderId="65" xfId="1" applyFont="1" applyFill="1" applyBorder="1" applyAlignment="1">
      <alignment horizontal="center" vertical="center"/>
    </xf>
    <xf numFmtId="0" fontId="40" fillId="3" borderId="73" xfId="0" applyFont="1" applyFill="1" applyBorder="1" applyAlignment="1">
      <alignment horizontal="center" vertical="center"/>
    </xf>
    <xf numFmtId="43" fontId="42" fillId="3" borderId="75" xfId="1" applyFont="1" applyFill="1" applyBorder="1" applyAlignment="1">
      <alignment horizontal="center" vertical="center" wrapText="1"/>
    </xf>
    <xf numFmtId="0" fontId="40" fillId="3" borderId="76" xfId="0" applyFont="1" applyFill="1" applyBorder="1" applyAlignment="1">
      <alignment horizontal="center" vertical="center"/>
    </xf>
    <xf numFmtId="4" fontId="32" fillId="27" borderId="59" xfId="0" applyNumberFormat="1" applyFont="1" applyFill="1" applyBorder="1" applyAlignment="1">
      <alignment horizontal="center" vertical="center"/>
    </xf>
    <xf numFmtId="43" fontId="40" fillId="27" borderId="62" xfId="1" applyFont="1" applyFill="1" applyBorder="1" applyAlignment="1">
      <alignment vertical="center"/>
    </xf>
    <xf numFmtId="43" fontId="40" fillId="27" borderId="62" xfId="1" applyFont="1" applyFill="1" applyBorder="1" applyAlignment="1">
      <alignment horizontal="center" vertical="center" wrapText="1"/>
    </xf>
    <xf numFmtId="43" fontId="40" fillId="27" borderId="65" xfId="1" applyFont="1" applyFill="1" applyBorder="1" applyAlignment="1">
      <alignment horizontal="center" vertical="center" wrapText="1"/>
    </xf>
    <xf numFmtId="0" fontId="42" fillId="3" borderId="101" xfId="0" applyFont="1" applyFill="1" applyBorder="1" applyAlignment="1">
      <alignment vertical="center"/>
    </xf>
    <xf numFmtId="0" fontId="42" fillId="3" borderId="97" xfId="0" applyFont="1" applyFill="1" applyBorder="1" applyAlignment="1">
      <alignment vertical="center"/>
    </xf>
    <xf numFmtId="0" fontId="42" fillId="3" borderId="90" xfId="0" applyFont="1" applyFill="1" applyBorder="1" applyAlignment="1">
      <alignment vertical="center"/>
    </xf>
    <xf numFmtId="0" fontId="40" fillId="3" borderId="0" xfId="0" applyFont="1" applyFill="1" applyAlignment="1">
      <alignment horizontal="center" vertical="center"/>
    </xf>
    <xf numFmtId="0" fontId="29" fillId="0" borderId="0" xfId="145" applyFont="1" applyAlignment="1">
      <alignment horizontal="center" vertical="center"/>
    </xf>
    <xf numFmtId="4" fontId="29" fillId="3" borderId="70" xfId="200" applyNumberFormat="1" applyFont="1" applyFill="1" applyBorder="1" applyAlignment="1">
      <alignment vertical="center"/>
    </xf>
    <xf numFmtId="4" fontId="28" fillId="3" borderId="70" xfId="200" applyNumberFormat="1" applyFont="1" applyFill="1" applyBorder="1" applyAlignment="1">
      <alignment vertical="center"/>
    </xf>
    <xf numFmtId="4" fontId="33" fillId="27" borderId="59" xfId="0" applyNumberFormat="1" applyFont="1" applyFill="1" applyBorder="1" applyAlignment="1">
      <alignment horizontal="center" vertical="center" wrapText="1"/>
    </xf>
    <xf numFmtId="0" fontId="33" fillId="27" borderId="60" xfId="0" applyFont="1" applyFill="1" applyBorder="1" applyAlignment="1">
      <alignment horizontal="center" vertical="center"/>
    </xf>
    <xf numFmtId="0" fontId="1" fillId="3" borderId="0" xfId="0" applyFont="1" applyFill="1" applyAlignment="1">
      <alignment horizontal="center" vertical="center"/>
    </xf>
    <xf numFmtId="0" fontId="29" fillId="0" borderId="0" xfId="0" applyFont="1" applyAlignment="1">
      <alignment vertical="center"/>
    </xf>
    <xf numFmtId="0" fontId="28" fillId="0" borderId="0" xfId="0" applyFont="1" applyAlignment="1">
      <alignment vertical="center"/>
    </xf>
    <xf numFmtId="4" fontId="28" fillId="0" borderId="0" xfId="0" applyNumberFormat="1" applyFont="1" applyAlignment="1">
      <alignment vertical="center"/>
    </xf>
    <xf numFmtId="164" fontId="28" fillId="29" borderId="115" xfId="22" applyFont="1" applyFill="1" applyBorder="1" applyAlignment="1">
      <alignment vertical="center"/>
    </xf>
    <xf numFmtId="164" fontId="28" fillId="29" borderId="18" xfId="22" applyFont="1" applyFill="1" applyBorder="1" applyAlignment="1">
      <alignment vertical="center"/>
    </xf>
    <xf numFmtId="0" fontId="28" fillId="26" borderId="104" xfId="0" applyFont="1" applyFill="1" applyBorder="1" applyAlignment="1">
      <alignment horizontal="center" vertical="center"/>
    </xf>
    <xf numFmtId="0" fontId="28" fillId="26" borderId="127" xfId="0" applyFont="1" applyFill="1" applyBorder="1" applyAlignment="1">
      <alignment vertical="center"/>
    </xf>
    <xf numFmtId="0" fontId="28" fillId="26" borderId="126" xfId="0" applyFont="1" applyFill="1" applyBorder="1" applyAlignment="1">
      <alignment horizontal="center" vertical="center"/>
    </xf>
    <xf numFmtId="0" fontId="28" fillId="26" borderId="121" xfId="0" applyFont="1" applyFill="1" applyBorder="1" applyAlignment="1">
      <alignment vertical="center"/>
    </xf>
    <xf numFmtId="0" fontId="28" fillId="30" borderId="104" xfId="0" applyFont="1" applyFill="1" applyBorder="1" applyAlignment="1">
      <alignment horizontal="right" vertical="center"/>
    </xf>
    <xf numFmtId="0" fontId="28" fillId="30" borderId="127" xfId="0" applyFont="1" applyFill="1" applyBorder="1" applyAlignment="1">
      <alignment vertical="center"/>
    </xf>
    <xf numFmtId="0" fontId="28" fillId="30" borderId="109" xfId="0" applyFont="1" applyFill="1" applyBorder="1" applyAlignment="1">
      <alignment horizontal="right" vertical="center"/>
    </xf>
    <xf numFmtId="0" fontId="28" fillId="30" borderId="136" xfId="0" applyFont="1" applyFill="1" applyBorder="1" applyAlignment="1">
      <alignment vertical="center"/>
    </xf>
    <xf numFmtId="43" fontId="28" fillId="0" borderId="0" xfId="0" applyNumberFormat="1" applyFont="1" applyAlignment="1">
      <alignment vertical="center"/>
    </xf>
    <xf numFmtId="164" fontId="28" fillId="29" borderId="114" xfId="22" applyFont="1" applyFill="1" applyBorder="1" applyAlignment="1">
      <alignment vertical="center"/>
    </xf>
    <xf numFmtId="164" fontId="28" fillId="29" borderId="10" xfId="22" applyFont="1" applyFill="1" applyBorder="1" applyAlignment="1">
      <alignment vertical="center"/>
    </xf>
    <xf numFmtId="0" fontId="1" fillId="0" borderId="0" xfId="0" applyFont="1" applyAlignment="1">
      <alignment horizontal="center" vertical="center"/>
    </xf>
    <xf numFmtId="43" fontId="1" fillId="0" borderId="0" xfId="1" applyFont="1" applyAlignment="1">
      <alignment vertical="center"/>
    </xf>
    <xf numFmtId="43" fontId="1" fillId="3" borderId="0" xfId="1" applyFont="1" applyFill="1" applyBorder="1" applyAlignment="1">
      <alignment vertical="center"/>
    </xf>
    <xf numFmtId="0" fontId="1" fillId="27" borderId="63" xfId="0" applyFont="1" applyFill="1" applyBorder="1" applyAlignment="1">
      <alignment horizontal="center" vertical="center"/>
    </xf>
    <xf numFmtId="4" fontId="1" fillId="27" borderId="63" xfId="0" applyNumberFormat="1" applyFont="1" applyFill="1" applyBorder="1" applyAlignment="1">
      <alignment horizontal="center" vertical="center"/>
    </xf>
    <xf numFmtId="0" fontId="1" fillId="27" borderId="63" xfId="0" applyFont="1" applyFill="1" applyBorder="1" applyAlignment="1">
      <alignment horizontal="center" vertical="center" wrapText="1"/>
    </xf>
    <xf numFmtId="0" fontId="1" fillId="27" borderId="66" xfId="0" applyFont="1" applyFill="1" applyBorder="1" applyAlignment="1">
      <alignment horizontal="center" vertical="center"/>
    </xf>
    <xf numFmtId="0" fontId="1" fillId="3" borderId="70" xfId="0" applyFont="1" applyFill="1" applyBorder="1" applyAlignment="1">
      <alignment vertical="center"/>
    </xf>
    <xf numFmtId="0" fontId="1" fillId="3" borderId="71" xfId="0" applyFont="1" applyFill="1" applyBorder="1" applyAlignment="1">
      <alignment horizontal="center" vertical="center"/>
    </xf>
    <xf numFmtId="4" fontId="58" fillId="27" borderId="59" xfId="200" applyNumberFormat="1" applyFont="1" applyFill="1" applyBorder="1" applyAlignment="1">
      <alignment horizontal="center" vertical="center" wrapText="1"/>
    </xf>
    <xf numFmtId="4" fontId="58" fillId="27" borderId="65" xfId="200" applyNumberFormat="1" applyFont="1" applyFill="1" applyBorder="1" applyAlignment="1">
      <alignment horizontal="center" vertical="center"/>
    </xf>
    <xf numFmtId="4" fontId="58" fillId="27" borderId="65" xfId="200" applyNumberFormat="1" applyFont="1" applyFill="1" applyBorder="1" applyAlignment="1">
      <alignment horizontal="center" vertical="center" wrapText="1"/>
    </xf>
    <xf numFmtId="0" fontId="30" fillId="3" borderId="0" xfId="145" applyFont="1" applyFill="1" applyAlignment="1">
      <alignment horizontal="center" vertical="center"/>
    </xf>
    <xf numFmtId="0" fontId="28" fillId="3" borderId="0" xfId="145" applyFill="1" applyAlignment="1">
      <alignment horizontal="center" vertical="center"/>
    </xf>
    <xf numFmtId="4" fontId="28" fillId="3" borderId="0" xfId="145" applyNumberFormat="1" applyFill="1" applyAlignment="1">
      <alignment vertical="center"/>
    </xf>
    <xf numFmtId="0" fontId="30" fillId="3" borderId="0" xfId="0" applyFont="1" applyFill="1" applyAlignment="1">
      <alignment vertical="center"/>
    </xf>
    <xf numFmtId="4" fontId="58" fillId="27" borderId="66" xfId="200" applyNumberFormat="1" applyFont="1" applyFill="1" applyBorder="1" applyAlignment="1">
      <alignment horizontal="center" vertical="center"/>
    </xf>
    <xf numFmtId="4" fontId="32" fillId="27" borderId="78" xfId="0" applyNumberFormat="1" applyFont="1" applyFill="1" applyBorder="1" applyAlignment="1">
      <alignment horizontal="center" vertical="center"/>
    </xf>
    <xf numFmtId="43" fontId="28" fillId="3" borderId="0" xfId="1" applyFont="1" applyFill="1" applyAlignment="1">
      <alignment horizontal="center" vertical="center"/>
    </xf>
    <xf numFmtId="0" fontId="28" fillId="3" borderId="0" xfId="145" quotePrefix="1" applyFill="1" applyAlignment="1">
      <alignment horizontal="center" vertical="center"/>
    </xf>
    <xf numFmtId="175" fontId="29" fillId="3" borderId="29" xfId="9" applyNumberFormat="1" applyFont="1" applyFill="1" applyBorder="1" applyAlignment="1">
      <alignment horizontal="center" vertical="center"/>
    </xf>
    <xf numFmtId="175" fontId="29" fillId="3" borderId="29" xfId="9" quotePrefix="1" applyNumberFormat="1" applyFont="1" applyFill="1" applyBorder="1" applyAlignment="1">
      <alignment horizontal="center" vertical="center"/>
    </xf>
    <xf numFmtId="175" fontId="28" fillId="3" borderId="29" xfId="9" quotePrefix="1" applyNumberFormat="1" applyFont="1" applyFill="1" applyBorder="1" applyAlignment="1">
      <alignment horizontal="center" vertical="center"/>
    </xf>
    <xf numFmtId="175" fontId="28" fillId="3" borderId="32" xfId="9" quotePrefix="1" applyNumberFormat="1" applyFont="1" applyFill="1" applyBorder="1" applyAlignment="1">
      <alignment horizontal="center" vertical="center"/>
    </xf>
    <xf numFmtId="175" fontId="29" fillId="3" borderId="51" xfId="9" quotePrefix="1" applyNumberFormat="1" applyFont="1" applyFill="1" applyBorder="1" applyAlignment="1">
      <alignment horizontal="center" vertical="center"/>
    </xf>
    <xf numFmtId="175" fontId="29" fillId="3" borderId="26" xfId="9" applyNumberFormat="1" applyFont="1" applyFill="1" applyBorder="1" applyAlignment="1">
      <alignment horizontal="center" vertical="center"/>
    </xf>
    <xf numFmtId="175" fontId="29" fillId="3" borderId="26" xfId="9" quotePrefix="1" applyNumberFormat="1" applyFont="1" applyFill="1" applyBorder="1" applyAlignment="1">
      <alignment horizontal="center" vertical="center"/>
    </xf>
    <xf numFmtId="175" fontId="28" fillId="3" borderId="26" xfId="9" quotePrefix="1" applyNumberFormat="1" applyFont="1" applyFill="1" applyBorder="1" applyAlignment="1">
      <alignment horizontal="center" vertical="center"/>
    </xf>
    <xf numFmtId="175" fontId="28" fillId="3" borderId="35" xfId="9" quotePrefix="1" applyNumberFormat="1" applyFont="1" applyFill="1" applyBorder="1" applyAlignment="1">
      <alignment horizontal="center" vertical="center"/>
    </xf>
    <xf numFmtId="0" fontId="40" fillId="3" borderId="29" xfId="0" applyFont="1" applyFill="1" applyBorder="1" applyAlignment="1">
      <alignment vertical="center"/>
    </xf>
    <xf numFmtId="0" fontId="40" fillId="3" borderId="30" xfId="0" applyFont="1" applyFill="1" applyBorder="1" applyAlignment="1">
      <alignment vertical="center"/>
    </xf>
    <xf numFmtId="0" fontId="40" fillId="3" borderId="29" xfId="0" quotePrefix="1" applyFont="1" applyFill="1" applyBorder="1" applyAlignment="1">
      <alignment horizontal="center" vertical="center"/>
    </xf>
    <xf numFmtId="0" fontId="40" fillId="3" borderId="91" xfId="0" applyFont="1" applyFill="1" applyBorder="1" applyAlignment="1">
      <alignment horizontal="center" vertical="center"/>
    </xf>
    <xf numFmtId="0" fontId="47" fillId="3" borderId="30" xfId="0" applyFont="1" applyFill="1" applyBorder="1" applyAlignment="1">
      <alignment vertical="center" wrapText="1"/>
    </xf>
    <xf numFmtId="0" fontId="47" fillId="3" borderId="29" xfId="0" applyFont="1" applyFill="1" applyBorder="1" applyAlignment="1">
      <alignment vertical="center" wrapText="1"/>
    </xf>
    <xf numFmtId="0" fontId="47" fillId="3" borderId="91" xfId="0" applyFont="1" applyFill="1" applyBorder="1" applyAlignment="1">
      <alignment horizontal="center" vertical="center" wrapText="1"/>
    </xf>
    <xf numFmtId="0" fontId="47" fillId="3" borderId="29" xfId="0" applyFont="1" applyFill="1" applyBorder="1" applyAlignment="1">
      <alignment vertical="center"/>
    </xf>
    <xf numFmtId="0" fontId="47" fillId="3" borderId="29" xfId="0" quotePrefix="1" applyFont="1" applyFill="1" applyBorder="1" applyAlignment="1">
      <alignment horizontal="center" vertical="center" wrapText="1"/>
    </xf>
    <xf numFmtId="0" fontId="47" fillId="3" borderId="29" xfId="0" applyFont="1" applyFill="1" applyBorder="1" applyAlignment="1">
      <alignment horizontal="center" vertical="center" wrapText="1"/>
    </xf>
    <xf numFmtId="0" fontId="28" fillId="3" borderId="26" xfId="9" quotePrefix="1" applyFont="1" applyFill="1" applyBorder="1" applyAlignment="1">
      <alignment horizontal="center" vertical="center"/>
    </xf>
    <xf numFmtId="43" fontId="28" fillId="3" borderId="0" xfId="145" applyNumberFormat="1" applyFill="1" applyAlignment="1">
      <alignment vertical="center"/>
    </xf>
    <xf numFmtId="0" fontId="0" fillId="0" borderId="0" xfId="0" applyAlignment="1">
      <alignment vertical="center"/>
    </xf>
    <xf numFmtId="0" fontId="59" fillId="0" borderId="0" xfId="0" applyFont="1" applyAlignment="1">
      <alignment horizontal="center" vertical="center"/>
    </xf>
    <xf numFmtId="0" fontId="0" fillId="0" borderId="0" xfId="0" applyAlignment="1">
      <alignment horizontal="center" vertical="center"/>
    </xf>
    <xf numFmtId="43" fontId="0" fillId="0" borderId="0" xfId="1" applyFont="1" applyAlignment="1">
      <alignment vertical="center"/>
    </xf>
    <xf numFmtId="0" fontId="36" fillId="0" borderId="0" xfId="0" applyFont="1" applyAlignment="1">
      <alignment vertical="center"/>
    </xf>
    <xf numFmtId="0" fontId="55" fillId="0" borderId="0" xfId="0" applyFont="1"/>
    <xf numFmtId="0" fontId="1" fillId="0" borderId="143" xfId="0" applyFont="1" applyBorder="1" applyAlignment="1">
      <alignment horizontal="center" vertical="center"/>
    </xf>
    <xf numFmtId="0" fontId="1" fillId="0" borderId="144" xfId="0" applyFont="1" applyBorder="1" applyAlignment="1">
      <alignment horizontal="center" vertical="center"/>
    </xf>
    <xf numFmtId="0" fontId="1" fillId="0" borderId="145" xfId="0" applyFont="1" applyBorder="1" applyAlignment="1">
      <alignment horizontal="center" vertical="center"/>
    </xf>
    <xf numFmtId="0" fontId="1" fillId="0" borderId="146" xfId="0" applyFont="1" applyBorder="1" applyAlignment="1">
      <alignment horizontal="center" vertical="center"/>
    </xf>
    <xf numFmtId="43" fontId="1" fillId="0" borderId="147" xfId="1" applyFont="1" applyBorder="1" applyAlignment="1">
      <alignment vertical="center"/>
    </xf>
    <xf numFmtId="0" fontId="1" fillId="0" borderId="142" xfId="0" applyFont="1" applyBorder="1" applyAlignment="1">
      <alignment vertical="center"/>
    </xf>
    <xf numFmtId="43" fontId="1" fillId="0" borderId="143" xfId="1" applyFont="1" applyBorder="1" applyAlignment="1">
      <alignment vertical="center"/>
    </xf>
    <xf numFmtId="43" fontId="1" fillId="0" borderId="144" xfId="1" applyFont="1" applyBorder="1" applyAlignment="1">
      <alignment vertical="center"/>
    </xf>
    <xf numFmtId="0" fontId="1" fillId="0" borderId="145" xfId="0" applyFont="1" applyBorder="1" applyAlignment="1">
      <alignment vertical="center"/>
    </xf>
    <xf numFmtId="43" fontId="1" fillId="0" borderId="146" xfId="1" applyFont="1" applyBorder="1" applyAlignment="1">
      <alignment vertical="center"/>
    </xf>
    <xf numFmtId="0" fontId="33" fillId="27" borderId="140" xfId="0" applyFont="1" applyFill="1" applyBorder="1" applyAlignment="1">
      <alignment horizontal="center" vertical="center"/>
    </xf>
    <xf numFmtId="9" fontId="33" fillId="27" borderId="141" xfId="144" applyFont="1" applyFill="1" applyBorder="1" applyAlignment="1">
      <alignment horizontal="center" vertical="center"/>
    </xf>
    <xf numFmtId="0" fontId="1" fillId="0" borderId="149" xfId="0" applyFont="1" applyBorder="1" applyAlignment="1">
      <alignment horizontal="center" vertical="center"/>
    </xf>
    <xf numFmtId="0" fontId="1" fillId="0" borderId="150" xfId="0" applyFont="1" applyBorder="1" applyAlignment="1">
      <alignment horizontal="center" vertical="center"/>
    </xf>
    <xf numFmtId="0" fontId="1" fillId="0" borderId="148" xfId="0" applyFont="1" applyBorder="1" applyAlignment="1">
      <alignment vertical="center"/>
    </xf>
    <xf numFmtId="43" fontId="1" fillId="0" borderId="149" xfId="1" applyFont="1" applyBorder="1" applyAlignment="1">
      <alignment vertical="center"/>
    </xf>
    <xf numFmtId="43" fontId="1" fillId="0" borderId="150" xfId="1" applyFont="1" applyBorder="1" applyAlignment="1">
      <alignment vertical="center"/>
    </xf>
    <xf numFmtId="0" fontId="33" fillId="27" borderId="145" xfId="0" applyFont="1" applyFill="1" applyBorder="1" applyAlignment="1">
      <alignment horizontal="center" vertical="center"/>
    </xf>
    <xf numFmtId="0" fontId="33" fillId="27" borderId="146" xfId="0" applyFont="1" applyFill="1" applyBorder="1" applyAlignment="1">
      <alignment horizontal="center" vertical="center"/>
    </xf>
    <xf numFmtId="43" fontId="33" fillId="27" borderId="146" xfId="1" applyFont="1" applyFill="1" applyBorder="1" applyAlignment="1">
      <alignment horizontal="center" vertical="center"/>
    </xf>
    <xf numFmtId="43" fontId="33" fillId="27" borderId="147" xfId="1" applyFont="1" applyFill="1" applyBorder="1" applyAlignment="1">
      <alignment horizontal="center" vertical="center"/>
    </xf>
    <xf numFmtId="0" fontId="1" fillId="0" borderId="140" xfId="0" applyFont="1" applyBorder="1" applyAlignment="1">
      <alignment horizontal="center" vertical="center"/>
    </xf>
    <xf numFmtId="4" fontId="1" fillId="0" borderId="140" xfId="0" applyNumberFormat="1" applyFont="1" applyBorder="1" applyAlignment="1">
      <alignment horizontal="center" vertical="center"/>
    </xf>
    <xf numFmtId="4" fontId="1" fillId="0" borderId="141" xfId="1" applyNumberFormat="1" applyFont="1" applyBorder="1" applyAlignment="1">
      <alignment horizontal="center" vertical="center"/>
    </xf>
    <xf numFmtId="4" fontId="1" fillId="0" borderId="143" xfId="0" applyNumberFormat="1" applyFont="1" applyBorder="1" applyAlignment="1">
      <alignment horizontal="center" vertical="center"/>
    </xf>
    <xf numFmtId="4" fontId="1" fillId="0" borderId="144" xfId="1" applyNumberFormat="1" applyFont="1" applyBorder="1" applyAlignment="1">
      <alignment horizontal="center" vertical="center"/>
    </xf>
    <xf numFmtId="4" fontId="1" fillId="0" borderId="144" xfId="0" applyNumberFormat="1" applyFont="1" applyBorder="1" applyAlignment="1">
      <alignment horizontal="center" vertical="center"/>
    </xf>
    <xf numFmtId="4" fontId="1" fillId="0" borderId="146" xfId="0" applyNumberFormat="1" applyFont="1" applyBorder="1" applyAlignment="1">
      <alignment horizontal="center" vertical="center"/>
    </xf>
    <xf numFmtId="4" fontId="1" fillId="0" borderId="147" xfId="1" applyNumberFormat="1" applyFont="1" applyBorder="1" applyAlignment="1">
      <alignment horizontal="center" vertical="center"/>
    </xf>
    <xf numFmtId="2" fontId="33" fillId="0" borderId="151" xfId="0" applyNumberFormat="1" applyFont="1" applyBorder="1" applyAlignment="1">
      <alignment horizontal="center" vertical="center"/>
    </xf>
    <xf numFmtId="2" fontId="33" fillId="0" borderId="152" xfId="0" applyNumberFormat="1" applyFont="1" applyBorder="1" applyAlignment="1">
      <alignment horizontal="center" vertical="center"/>
    </xf>
    <xf numFmtId="2" fontId="33" fillId="0" borderId="153" xfId="0" applyNumberFormat="1" applyFont="1" applyBorder="1" applyAlignment="1">
      <alignment horizontal="center" vertical="center"/>
    </xf>
    <xf numFmtId="0" fontId="1" fillId="0" borderId="139" xfId="0" applyFont="1" applyBorder="1" applyAlignment="1">
      <alignment horizontal="center" vertical="center"/>
    </xf>
    <xf numFmtId="0" fontId="1" fillId="0" borderId="140" xfId="0" quotePrefix="1" applyFont="1" applyBorder="1" applyAlignment="1">
      <alignment horizontal="center" vertical="center"/>
    </xf>
    <xf numFmtId="0" fontId="1" fillId="0" borderId="142" xfId="0" applyFont="1" applyBorder="1" applyAlignment="1">
      <alignment horizontal="center" vertical="center"/>
    </xf>
    <xf numFmtId="0" fontId="1" fillId="0" borderId="143" xfId="0" quotePrefix="1" applyFont="1" applyBorder="1" applyAlignment="1">
      <alignment horizontal="center" vertical="center"/>
    </xf>
    <xf numFmtId="43" fontId="0" fillId="0" borderId="0" xfId="0" applyNumberFormat="1" applyAlignment="1">
      <alignment vertical="center"/>
    </xf>
    <xf numFmtId="0" fontId="1" fillId="0" borderId="143" xfId="0" applyFont="1" applyBorder="1" applyAlignment="1">
      <alignment horizontal="justify" vertical="center" wrapText="1"/>
    </xf>
    <xf numFmtId="0" fontId="1" fillId="0" borderId="140" xfId="0" applyFont="1" applyBorder="1" applyAlignment="1">
      <alignment horizontal="justify" vertical="center"/>
    </xf>
    <xf numFmtId="0" fontId="1" fillId="0" borderId="143" xfId="0" applyFont="1" applyBorder="1" applyAlignment="1">
      <alignment horizontal="justify" vertical="center"/>
    </xf>
    <xf numFmtId="2" fontId="28" fillId="3" borderId="0" xfId="145" applyNumberFormat="1" applyFill="1" applyAlignment="1">
      <alignment horizontal="center" vertical="center"/>
    </xf>
    <xf numFmtId="2" fontId="28" fillId="3" borderId="0" xfId="145" applyNumberFormat="1" applyFill="1" applyAlignment="1">
      <alignment horizontal="left" vertical="center"/>
    </xf>
    <xf numFmtId="2" fontId="29" fillId="3" borderId="0" xfId="145" applyNumberFormat="1" applyFont="1" applyFill="1" applyAlignment="1">
      <alignment horizontal="center" vertical="center"/>
    </xf>
    <xf numFmtId="0" fontId="30" fillId="3" borderId="0" xfId="145" applyFont="1" applyFill="1" applyAlignment="1">
      <alignment horizontal="center"/>
    </xf>
    <xf numFmtId="0" fontId="28" fillId="3" borderId="0" xfId="145" applyFill="1" applyAlignment="1">
      <alignment horizontal="center"/>
    </xf>
    <xf numFmtId="2" fontId="28" fillId="3" borderId="0" xfId="145" applyNumberFormat="1" applyFill="1" applyAlignment="1">
      <alignment horizontal="center"/>
    </xf>
    <xf numFmtId="2" fontId="29" fillId="3" borderId="0" xfId="145" applyNumberFormat="1" applyFont="1" applyFill="1" applyAlignment="1">
      <alignment horizontal="center"/>
    </xf>
    <xf numFmtId="43" fontId="28" fillId="3" borderId="0" xfId="1" applyFont="1" applyFill="1" applyAlignment="1">
      <alignment horizontal="center"/>
    </xf>
    <xf numFmtId="0" fontId="30" fillId="3" borderId="0" xfId="145" applyFont="1" applyFill="1"/>
    <xf numFmtId="0" fontId="28" fillId="3" borderId="0" xfId="145" quotePrefix="1" applyFill="1" applyAlignment="1">
      <alignment horizontal="left"/>
    </xf>
    <xf numFmtId="0" fontId="28" fillId="3" borderId="0" xfId="145" applyFill="1"/>
    <xf numFmtId="4" fontId="28" fillId="3" borderId="0" xfId="145" applyNumberFormat="1" applyFill="1"/>
    <xf numFmtId="43" fontId="28" fillId="3" borderId="0" xfId="145" applyNumberFormat="1" applyFill="1"/>
    <xf numFmtId="0" fontId="55" fillId="0" borderId="0" xfId="0" applyFont="1" applyAlignment="1">
      <alignment vertical="center"/>
    </xf>
    <xf numFmtId="0" fontId="29" fillId="3" borderId="0" xfId="145" applyFont="1" applyFill="1" applyAlignment="1">
      <alignment horizontal="center"/>
    </xf>
    <xf numFmtId="0" fontId="33" fillId="27" borderId="164" xfId="0" applyFont="1" applyFill="1" applyBorder="1" applyAlignment="1">
      <alignment horizontal="center" vertical="center"/>
    </xf>
    <xf numFmtId="43" fontId="1" fillId="0" borderId="149" xfId="1" applyFont="1" applyBorder="1" applyAlignment="1">
      <alignment horizontal="center" vertical="center"/>
    </xf>
    <xf numFmtId="43" fontId="1" fillId="0" borderId="150" xfId="1" applyFont="1" applyBorder="1" applyAlignment="1">
      <alignment horizontal="center" vertical="center"/>
    </xf>
    <xf numFmtId="43" fontId="1" fillId="0" borderId="143" xfId="1" applyFont="1" applyBorder="1" applyAlignment="1">
      <alignment horizontal="center" vertical="center"/>
    </xf>
    <xf numFmtId="43" fontId="1" fillId="0" borderId="144" xfId="1" applyFont="1" applyBorder="1" applyAlignment="1">
      <alignment horizontal="center" vertical="center"/>
    </xf>
    <xf numFmtId="43" fontId="1" fillId="0" borderId="142" xfId="1" applyFont="1" applyBorder="1" applyAlignment="1">
      <alignment vertical="center"/>
    </xf>
    <xf numFmtId="43" fontId="1" fillId="0" borderId="165" xfId="1" applyFont="1" applyBorder="1" applyAlignment="1">
      <alignment vertical="center"/>
    </xf>
    <xf numFmtId="43" fontId="1" fillId="0" borderId="143" xfId="0" applyNumberFormat="1" applyFont="1" applyBorder="1" applyAlignment="1">
      <alignment horizontal="center" vertical="center"/>
    </xf>
    <xf numFmtId="4" fontId="29" fillId="27" borderId="78" xfId="0" applyNumberFormat="1" applyFont="1" applyFill="1" applyBorder="1" applyAlignment="1">
      <alignment horizontal="center" vertical="center"/>
    </xf>
    <xf numFmtId="0" fontId="1" fillId="27" borderId="146" xfId="0" applyFont="1" applyFill="1" applyBorder="1" applyAlignment="1">
      <alignment horizontal="justify" vertical="center"/>
    </xf>
    <xf numFmtId="4" fontId="58" fillId="27" borderId="84" xfId="200" applyNumberFormat="1" applyFont="1" applyFill="1" applyBorder="1" applyAlignment="1">
      <alignment horizontal="center" vertical="center" wrapText="1"/>
    </xf>
    <xf numFmtId="0" fontId="29" fillId="3" borderId="0" xfId="145" applyFont="1" applyFill="1" applyAlignment="1">
      <alignment vertical="center"/>
    </xf>
    <xf numFmtId="4" fontId="58" fillId="27" borderId="99" xfId="200" applyNumberFormat="1" applyFont="1" applyFill="1" applyBorder="1" applyAlignment="1">
      <alignment horizontal="center" vertical="center" wrapText="1"/>
    </xf>
    <xf numFmtId="4" fontId="28" fillId="3" borderId="0" xfId="145" applyNumberFormat="1" applyFill="1" applyAlignment="1">
      <alignment horizontal="center" vertical="center"/>
    </xf>
    <xf numFmtId="4" fontId="29" fillId="27" borderId="81" xfId="200" quotePrefix="1" applyNumberFormat="1" applyFont="1" applyFill="1" applyBorder="1" applyAlignment="1">
      <alignment horizontal="center" vertical="center"/>
    </xf>
    <xf numFmtId="0" fontId="58" fillId="3" borderId="0" xfId="145" applyFont="1" applyFill="1" applyAlignment="1">
      <alignment horizontal="left" vertical="center"/>
    </xf>
    <xf numFmtId="0" fontId="28" fillId="3" borderId="0" xfId="145" applyFill="1" applyAlignment="1">
      <alignment horizontal="right" vertical="center"/>
    </xf>
    <xf numFmtId="4" fontId="58" fillId="27" borderId="66" xfId="200" applyNumberFormat="1" applyFont="1" applyFill="1" applyBorder="1" applyAlignment="1">
      <alignment horizontal="center" vertical="center" wrapText="1"/>
    </xf>
    <xf numFmtId="177" fontId="28" fillId="0" borderId="26" xfId="200" applyNumberFormat="1" applyFont="1" applyBorder="1" applyAlignment="1">
      <alignment horizontal="center" vertical="center"/>
    </xf>
    <xf numFmtId="0" fontId="29" fillId="3" borderId="0" xfId="145" applyFont="1" applyFill="1" applyAlignment="1">
      <alignment horizontal="center" vertical="center"/>
    </xf>
    <xf numFmtId="2" fontId="29" fillId="3" borderId="0" xfId="145" applyNumberFormat="1" applyFont="1" applyFill="1" applyAlignment="1">
      <alignment horizontal="left" vertical="center"/>
    </xf>
    <xf numFmtId="2" fontId="29" fillId="3" borderId="0" xfId="145" applyNumberFormat="1" applyFont="1" applyFill="1" applyAlignment="1">
      <alignment vertical="center"/>
    </xf>
    <xf numFmtId="2" fontId="28" fillId="3" borderId="26" xfId="9" applyNumberFormat="1" applyFont="1" applyFill="1" applyBorder="1" applyAlignment="1">
      <alignment horizontal="center" vertical="center"/>
    </xf>
    <xf numFmtId="0" fontId="30" fillId="3" borderId="0" xfId="145" applyFont="1" applyFill="1" applyAlignment="1">
      <alignment horizontal="left" vertical="center"/>
    </xf>
    <xf numFmtId="0" fontId="30" fillId="3" borderId="0" xfId="145" quotePrefix="1" applyFont="1" applyFill="1" applyAlignment="1">
      <alignment horizontal="center" vertical="center"/>
    </xf>
    <xf numFmtId="2" fontId="30" fillId="3" borderId="0" xfId="145" applyNumberFormat="1" applyFont="1" applyFill="1" applyAlignment="1">
      <alignment horizontal="center" vertical="center"/>
    </xf>
    <xf numFmtId="0" fontId="30" fillId="3" borderId="0" xfId="145" applyFont="1" applyFill="1" applyAlignment="1">
      <alignment horizontal="right" vertical="center"/>
    </xf>
    <xf numFmtId="0" fontId="58" fillId="3" borderId="0" xfId="145" applyFont="1" applyFill="1" applyAlignment="1">
      <alignment horizontal="right" vertical="center"/>
    </xf>
    <xf numFmtId="2" fontId="58" fillId="3" borderId="0" xfId="145" applyNumberFormat="1" applyFont="1" applyFill="1" applyAlignment="1">
      <alignment horizontal="center" vertical="center"/>
    </xf>
    <xf numFmtId="4" fontId="29" fillId="3" borderId="0" xfId="145" applyNumberFormat="1" applyFont="1" applyFill="1" applyAlignment="1">
      <alignment horizontal="center" vertical="center"/>
    </xf>
    <xf numFmtId="0" fontId="29" fillId="3" borderId="0" xfId="145" applyFont="1" applyFill="1" applyAlignment="1">
      <alignment horizontal="right" vertical="center"/>
    </xf>
    <xf numFmtId="0" fontId="28" fillId="0" borderId="0" xfId="145" quotePrefix="1" applyAlignment="1">
      <alignment horizontal="center" vertical="center"/>
    </xf>
    <xf numFmtId="0" fontId="30" fillId="0" borderId="0" xfId="145" applyFont="1" applyAlignment="1">
      <alignment vertical="center"/>
    </xf>
    <xf numFmtId="4" fontId="28" fillId="0" borderId="0" xfId="145" applyNumberFormat="1" applyAlignment="1">
      <alignment vertical="center"/>
    </xf>
    <xf numFmtId="0" fontId="30" fillId="0" borderId="0" xfId="145" applyFont="1" applyAlignment="1">
      <alignment horizontal="center" vertical="center"/>
    </xf>
    <xf numFmtId="4" fontId="30" fillId="0" borderId="0" xfId="145" applyNumberFormat="1" applyFont="1" applyAlignment="1">
      <alignment vertical="center"/>
    </xf>
    <xf numFmtId="2" fontId="28" fillId="3" borderId="0" xfId="145" applyNumberFormat="1" applyFill="1" applyAlignment="1">
      <alignment vertical="center"/>
    </xf>
    <xf numFmtId="0" fontId="42" fillId="3" borderId="91" xfId="0" applyFont="1" applyFill="1" applyBorder="1" applyAlignment="1">
      <alignment horizontal="left" vertical="center"/>
    </xf>
    <xf numFmtId="0" fontId="28" fillId="3" borderId="0" xfId="145" applyFill="1" applyAlignment="1">
      <alignment horizontal="center" vertical="center" wrapText="1"/>
    </xf>
    <xf numFmtId="1" fontId="35" fillId="0" borderId="143" xfId="2" applyNumberFormat="1" applyFont="1" applyBorder="1" applyAlignment="1">
      <alignment horizontal="center" vertical="center" shrinkToFit="1"/>
    </xf>
    <xf numFmtId="0" fontId="35" fillId="0" borderId="143" xfId="2" applyFont="1" applyBorder="1" applyAlignment="1">
      <alignment horizontal="center" vertical="center" wrapText="1"/>
    </xf>
    <xf numFmtId="0" fontId="28" fillId="0" borderId="143" xfId="2" applyFont="1" applyBorder="1" applyAlignment="1">
      <alignment horizontal="center" vertical="center" wrapText="1"/>
    </xf>
    <xf numFmtId="2" fontId="35" fillId="0" borderId="143" xfId="2" applyNumberFormat="1" applyFont="1" applyBorder="1" applyAlignment="1">
      <alignment horizontal="center" vertical="center" shrinkToFit="1"/>
    </xf>
    <xf numFmtId="1" fontId="35" fillId="0" borderId="173" xfId="2" applyNumberFormat="1" applyFont="1" applyBorder="1" applyAlignment="1">
      <alignment horizontal="center" vertical="center" shrinkToFit="1"/>
    </xf>
    <xf numFmtId="0" fontId="35" fillId="0" borderId="173" xfId="2" applyFont="1" applyBorder="1" applyAlignment="1">
      <alignment horizontal="center" vertical="center" wrapText="1"/>
    </xf>
    <xf numFmtId="0" fontId="28" fillId="0" borderId="173" xfId="2" applyFont="1" applyBorder="1" applyAlignment="1">
      <alignment horizontal="center" vertical="center" wrapText="1"/>
    </xf>
    <xf numFmtId="0" fontId="35" fillId="0" borderId="174" xfId="2" applyFont="1" applyBorder="1" applyAlignment="1">
      <alignment horizontal="left" vertical="center"/>
    </xf>
    <xf numFmtId="0" fontId="28" fillId="3" borderId="175" xfId="145" applyFill="1" applyBorder="1" applyAlignment="1">
      <alignment vertical="center"/>
    </xf>
    <xf numFmtId="0" fontId="29" fillId="3" borderId="175" xfId="145" applyFont="1" applyFill="1" applyBorder="1" applyAlignment="1">
      <alignment horizontal="right" vertical="center"/>
    </xf>
    <xf numFmtId="0" fontId="28" fillId="3" borderId="165" xfId="145" applyFill="1" applyBorder="1" applyAlignment="1">
      <alignment vertical="center"/>
    </xf>
    <xf numFmtId="0" fontId="35" fillId="0" borderId="176" xfId="2" applyFont="1" applyBorder="1" applyAlignment="1">
      <alignment horizontal="left" vertical="center"/>
    </xf>
    <xf numFmtId="0" fontId="28" fillId="3" borderId="177" xfId="145" applyFill="1" applyBorder="1" applyAlignment="1">
      <alignment vertical="center"/>
    </xf>
    <xf numFmtId="0" fontId="28" fillId="3" borderId="178" xfId="145" applyFill="1" applyBorder="1" applyAlignment="1">
      <alignment vertical="center"/>
    </xf>
    <xf numFmtId="0" fontId="34" fillId="32" borderId="172" xfId="2" applyFont="1" applyFill="1" applyBorder="1" applyAlignment="1">
      <alignment horizontal="center" vertical="center" wrapText="1"/>
    </xf>
    <xf numFmtId="43" fontId="35" fillId="0" borderId="143" xfId="1" applyFont="1" applyBorder="1" applyAlignment="1">
      <alignment horizontal="center" vertical="center" shrinkToFit="1"/>
    </xf>
    <xf numFmtId="43" fontId="35" fillId="0" borderId="173" xfId="1" applyFont="1" applyBorder="1" applyAlignment="1">
      <alignment horizontal="center" vertical="center" shrinkToFit="1"/>
    </xf>
    <xf numFmtId="0" fontId="34" fillId="31" borderId="158" xfId="2" applyFont="1" applyFill="1" applyBorder="1" applyAlignment="1">
      <alignment horizontal="center" vertical="center" wrapText="1"/>
    </xf>
    <xf numFmtId="0" fontId="35" fillId="0" borderId="158" xfId="2" applyFont="1" applyBorder="1" applyAlignment="1">
      <alignment horizontal="center" vertical="center" wrapText="1"/>
    </xf>
    <xf numFmtId="0" fontId="35" fillId="0" borderId="158" xfId="2" applyFont="1" applyBorder="1" applyAlignment="1">
      <alignment horizontal="left" vertical="center"/>
    </xf>
    <xf numFmtId="0" fontId="28" fillId="3" borderId="158" xfId="145" applyFill="1" applyBorder="1" applyAlignment="1">
      <alignment vertical="center"/>
    </xf>
    <xf numFmtId="0" fontId="35" fillId="0" borderId="158" xfId="2" applyFont="1" applyBorder="1" applyAlignment="1">
      <alignment horizontal="left" vertical="center" wrapText="1"/>
    </xf>
    <xf numFmtId="9" fontId="28" fillId="0" borderId="158" xfId="2" applyNumberFormat="1" applyFont="1" applyBorder="1" applyAlignment="1">
      <alignment horizontal="center" vertical="center" wrapText="1"/>
    </xf>
    <xf numFmtId="2" fontId="35" fillId="0" borderId="158" xfId="2" applyNumberFormat="1" applyFont="1" applyBorder="1" applyAlignment="1">
      <alignment horizontal="center" vertical="center" shrinkToFit="1"/>
    </xf>
    <xf numFmtId="0" fontId="28" fillId="0" borderId="158" xfId="2" applyFont="1" applyBorder="1" applyAlignment="1">
      <alignment horizontal="center" vertical="center" wrapText="1"/>
    </xf>
    <xf numFmtId="43" fontId="34" fillId="0" borderId="172" xfId="1" applyFont="1" applyBorder="1" applyAlignment="1">
      <alignment horizontal="right" vertical="center" shrinkToFit="1"/>
    </xf>
    <xf numFmtId="43" fontId="34" fillId="31" borderId="143" xfId="1" applyFont="1" applyFill="1" applyBorder="1" applyAlignment="1">
      <alignment horizontal="right" vertical="center" shrinkToFit="1"/>
    </xf>
    <xf numFmtId="43" fontId="34" fillId="31" borderId="173" xfId="1" applyFont="1" applyFill="1" applyBorder="1" applyAlignment="1">
      <alignment horizontal="right" vertical="center" shrinkToFit="1"/>
    </xf>
    <xf numFmtId="43" fontId="34" fillId="0" borderId="158" xfId="1" applyFont="1" applyBorder="1" applyAlignment="1">
      <alignment horizontal="center" vertical="center" shrinkToFit="1"/>
    </xf>
    <xf numFmtId="175" fontId="28" fillId="3" borderId="26" xfId="9" quotePrefix="1" applyNumberFormat="1" applyFont="1" applyFill="1" applyBorder="1" applyAlignment="1">
      <alignment horizontal="center" vertical="center" wrapText="1"/>
    </xf>
    <xf numFmtId="0" fontId="28" fillId="0" borderId="143" xfId="0" applyFont="1" applyBorder="1" applyAlignment="1">
      <alignment horizontal="center" vertical="center" wrapText="1"/>
    </xf>
    <xf numFmtId="43" fontId="28" fillId="0" borderId="143" xfId="1" applyFont="1" applyFill="1" applyBorder="1" applyAlignment="1">
      <alignment horizontal="right" vertical="center" wrapText="1"/>
    </xf>
    <xf numFmtId="0" fontId="58" fillId="26" borderId="158" xfId="145" applyFont="1" applyFill="1" applyBorder="1" applyAlignment="1">
      <alignment horizontal="center" vertical="center"/>
    </xf>
    <xf numFmtId="43" fontId="58" fillId="26" borderId="158" xfId="145" applyNumberFormat="1" applyFont="1" applyFill="1" applyBorder="1" applyAlignment="1">
      <alignment vertical="center"/>
    </xf>
    <xf numFmtId="0" fontId="28" fillId="0" borderId="143" xfId="1" applyNumberFormat="1" applyFont="1" applyFill="1" applyBorder="1" applyAlignment="1">
      <alignment horizontal="center" vertical="center" wrapText="1"/>
    </xf>
    <xf numFmtId="0" fontId="47" fillId="3" borderId="0" xfId="0" applyFont="1" applyFill="1" applyAlignment="1">
      <alignment vertical="center"/>
    </xf>
    <xf numFmtId="174" fontId="1" fillId="3" borderId="0" xfId="0" applyNumberFormat="1" applyFont="1" applyFill="1" applyAlignment="1">
      <alignment vertical="center"/>
    </xf>
    <xf numFmtId="1" fontId="1" fillId="3" borderId="0" xfId="0" applyNumberFormat="1" applyFont="1" applyFill="1" applyAlignment="1">
      <alignment horizontal="center" vertical="center"/>
    </xf>
    <xf numFmtId="0" fontId="1" fillId="3" borderId="0" xfId="0" applyFont="1" applyFill="1" applyAlignment="1">
      <alignment horizontal="justify" vertical="center"/>
    </xf>
    <xf numFmtId="0" fontId="1" fillId="3" borderId="0" xfId="0" applyFont="1" applyFill="1" applyAlignment="1">
      <alignment horizontal="justify" vertical="center" wrapText="1"/>
    </xf>
    <xf numFmtId="174" fontId="1" fillId="3" borderId="0" xfId="0" applyNumberFormat="1" applyFont="1" applyFill="1" applyAlignment="1">
      <alignment vertical="center" wrapText="1"/>
    </xf>
    <xf numFmtId="174" fontId="1" fillId="3" borderId="0" xfId="0" applyNumberFormat="1" applyFont="1" applyFill="1" applyAlignment="1">
      <alignment horizontal="right" vertical="center"/>
    </xf>
    <xf numFmtId="43" fontId="33" fillId="3" borderId="0" xfId="0" applyNumberFormat="1" applyFont="1" applyFill="1" applyAlignment="1">
      <alignment horizontal="left" vertical="center"/>
    </xf>
    <xf numFmtId="4" fontId="60" fillId="3" borderId="0" xfId="0" applyNumberFormat="1" applyFont="1" applyFill="1" applyAlignment="1">
      <alignment vertical="center"/>
    </xf>
    <xf numFmtId="174" fontId="60" fillId="3" borderId="0" xfId="0" applyNumberFormat="1" applyFont="1" applyFill="1" applyAlignment="1">
      <alignment vertical="center"/>
    </xf>
    <xf numFmtId="4" fontId="1" fillId="3" borderId="0" xfId="0" applyNumberFormat="1" applyFont="1" applyFill="1" applyAlignment="1">
      <alignment horizontal="right" vertical="center"/>
    </xf>
    <xf numFmtId="1" fontId="33" fillId="3" borderId="0" xfId="0" applyNumberFormat="1" applyFont="1" applyFill="1" applyAlignment="1">
      <alignment horizontal="center" vertical="center"/>
    </xf>
    <xf numFmtId="4" fontId="33" fillId="3" borderId="0" xfId="0" applyNumberFormat="1" applyFont="1" applyFill="1" applyAlignment="1">
      <alignment horizontal="right" vertical="center"/>
    </xf>
    <xf numFmtId="43" fontId="33" fillId="3" borderId="0" xfId="1" applyFont="1" applyFill="1" applyBorder="1" applyAlignment="1">
      <alignment vertical="center"/>
    </xf>
    <xf numFmtId="4" fontId="33" fillId="3" borderId="0" xfId="0" applyNumberFormat="1" applyFont="1" applyFill="1" applyAlignment="1">
      <alignment vertical="center"/>
    </xf>
    <xf numFmtId="0" fontId="32" fillId="3" borderId="0" xfId="0" applyFont="1" applyFill="1" applyAlignment="1">
      <alignment vertical="center"/>
    </xf>
    <xf numFmtId="43" fontId="32" fillId="3" borderId="0" xfId="1" applyFont="1" applyFill="1" applyBorder="1" applyAlignment="1">
      <alignment vertical="center"/>
    </xf>
    <xf numFmtId="0" fontId="60" fillId="3" borderId="0" xfId="0" applyFont="1" applyFill="1" applyAlignment="1">
      <alignment vertical="center"/>
    </xf>
    <xf numFmtId="0" fontId="1" fillId="3" borderId="0" xfId="0" applyFont="1" applyFill="1" applyAlignment="1">
      <alignment horizontal="right" vertical="center"/>
    </xf>
    <xf numFmtId="43" fontId="28" fillId="3" borderId="0" xfId="1" applyFont="1" applyFill="1" applyBorder="1" applyAlignment="1">
      <alignment vertical="center"/>
    </xf>
    <xf numFmtId="0" fontId="28" fillId="3" borderId="0" xfId="10" applyFont="1" applyFill="1" applyAlignment="1">
      <alignment vertical="center"/>
    </xf>
    <xf numFmtId="1" fontId="37" fillId="3" borderId="0" xfId="10" applyNumberFormat="1" applyFont="1" applyFill="1" applyAlignment="1">
      <alignment horizontal="left" vertical="center"/>
    </xf>
    <xf numFmtId="1" fontId="61" fillId="3" borderId="0" xfId="145" applyNumberFormat="1" applyFont="1" applyFill="1" applyAlignment="1">
      <alignment horizontal="center" vertical="center"/>
    </xf>
    <xf numFmtId="4" fontId="1" fillId="3" borderId="0" xfId="145" applyNumberFormat="1" applyFont="1" applyFill="1" applyAlignment="1">
      <alignment vertical="center"/>
    </xf>
    <xf numFmtId="0" fontId="58" fillId="26" borderId="0" xfId="145" applyFont="1" applyFill="1" applyAlignment="1">
      <alignment horizontal="center" vertical="center"/>
    </xf>
    <xf numFmtId="43" fontId="58" fillId="26" borderId="0" xfId="145" applyNumberFormat="1" applyFont="1" applyFill="1" applyAlignment="1">
      <alignment vertical="center"/>
    </xf>
    <xf numFmtId="0" fontId="28" fillId="0" borderId="143" xfId="0" quotePrefix="1" applyFont="1" applyBorder="1" applyAlignment="1">
      <alignment horizontal="center" vertical="center" wrapText="1"/>
    </xf>
    <xf numFmtId="0" fontId="62" fillId="3" borderId="0" xfId="145" applyFont="1" applyFill="1" applyAlignment="1">
      <alignment horizontal="center" vertical="center"/>
    </xf>
    <xf numFmtId="10" fontId="28" fillId="0" borderId="0" xfId="144" applyNumberFormat="1" applyFont="1" applyFill="1" applyBorder="1" applyAlignment="1" applyProtection="1">
      <alignment horizontal="right" vertical="center"/>
      <protection locked="0"/>
    </xf>
    <xf numFmtId="10" fontId="28" fillId="0" borderId="0" xfId="144" applyNumberFormat="1" applyFont="1" applyFill="1" applyBorder="1" applyAlignment="1" applyProtection="1">
      <alignment vertical="center"/>
      <protection locked="0"/>
    </xf>
    <xf numFmtId="164" fontId="28" fillId="0" borderId="0" xfId="190" applyFont="1" applyFill="1" applyBorder="1" applyAlignment="1" applyProtection="1">
      <alignment vertical="center" wrapText="1"/>
    </xf>
    <xf numFmtId="0" fontId="28" fillId="0" borderId="0" xfId="152" applyFont="1" applyAlignment="1">
      <alignment horizontal="left" vertical="center"/>
    </xf>
    <xf numFmtId="0" fontId="29" fillId="0" borderId="0" xfId="152" applyFont="1" applyAlignment="1">
      <alignment horizontal="center" vertical="center"/>
    </xf>
    <xf numFmtId="9" fontId="28" fillId="0" borderId="0" xfId="195" applyFont="1" applyFill="1" applyBorder="1" applyAlignment="1" applyProtection="1">
      <alignment horizontal="center" vertical="center"/>
    </xf>
    <xf numFmtId="179" fontId="29" fillId="0" borderId="0" xfId="195" applyNumberFormat="1" applyFont="1" applyFill="1" applyBorder="1" applyAlignment="1" applyProtection="1">
      <alignment horizontal="center" vertical="center"/>
    </xf>
    <xf numFmtId="172" fontId="28" fillId="0" borderId="0" xfId="92" applyFont="1" applyAlignment="1">
      <alignment horizontal="justify" vertical="center"/>
    </xf>
    <xf numFmtId="0" fontId="29" fillId="0" borderId="0" xfId="152" applyFont="1" applyAlignment="1">
      <alignment horizontal="left" vertical="center"/>
    </xf>
    <xf numFmtId="0" fontId="29" fillId="0" borderId="0" xfId="152" applyFont="1" applyAlignment="1">
      <alignment vertical="center"/>
    </xf>
    <xf numFmtId="172" fontId="63" fillId="0" borderId="0" xfId="92" applyFont="1" applyAlignment="1">
      <alignment vertical="center"/>
    </xf>
    <xf numFmtId="10" fontId="28" fillId="0" borderId="0" xfId="144" applyNumberFormat="1" applyFont="1" applyFill="1" applyBorder="1" applyAlignment="1" applyProtection="1">
      <alignment horizontal="left" vertical="center"/>
      <protection locked="0"/>
    </xf>
    <xf numFmtId="172" fontId="28" fillId="0" borderId="0" xfId="92" applyFont="1" applyAlignment="1" applyProtection="1">
      <alignment vertical="center"/>
      <protection locked="0"/>
    </xf>
    <xf numFmtId="172" fontId="29" fillId="0" borderId="190" xfId="92" applyFont="1" applyBorder="1" applyAlignment="1">
      <alignment horizontal="left" vertical="center"/>
    </xf>
    <xf numFmtId="172" fontId="29" fillId="0" borderId="175" xfId="92" applyFont="1" applyBorder="1" applyAlignment="1">
      <alignment horizontal="left" vertical="center" wrapText="1"/>
    </xf>
    <xf numFmtId="178" fontId="28" fillId="0" borderId="152" xfId="190" applyNumberFormat="1" applyFont="1" applyFill="1" applyBorder="1" applyAlignment="1" applyProtection="1">
      <alignment horizontal="center" vertical="center" wrapText="1"/>
      <protection locked="0"/>
    </xf>
    <xf numFmtId="178" fontId="29" fillId="27" borderId="153" xfId="190" applyNumberFormat="1" applyFont="1" applyFill="1" applyBorder="1" applyAlignment="1" applyProtection="1">
      <alignment horizontal="center" vertical="center" wrapText="1"/>
    </xf>
    <xf numFmtId="172" fontId="28" fillId="0" borderId="0" xfId="92" applyFont="1" applyAlignment="1">
      <alignment vertical="center" wrapText="1"/>
    </xf>
    <xf numFmtId="164" fontId="64" fillId="0" borderId="148" xfId="190" applyFont="1" applyFill="1" applyBorder="1" applyAlignment="1" applyProtection="1">
      <alignment horizontal="center" vertical="center" wrapText="1"/>
    </xf>
    <xf numFmtId="164" fontId="64" fillId="0" borderId="149" xfId="190" applyFont="1" applyFill="1" applyBorder="1" applyAlignment="1" applyProtection="1">
      <alignment horizontal="center" vertical="center" wrapText="1"/>
    </xf>
    <xf numFmtId="164" fontId="64" fillId="0" borderId="150" xfId="190" applyFont="1" applyFill="1" applyBorder="1" applyAlignment="1" applyProtection="1">
      <alignment horizontal="center" vertical="center" wrapText="1"/>
    </xf>
    <xf numFmtId="2" fontId="64" fillId="0" borderId="142" xfId="190" applyNumberFormat="1" applyFont="1" applyFill="1" applyBorder="1" applyAlignment="1" applyProtection="1">
      <alignment horizontal="center" vertical="center" wrapText="1"/>
    </xf>
    <xf numFmtId="2" fontId="64" fillId="0" borderId="143" xfId="190" applyNumberFormat="1" applyFont="1" applyFill="1" applyBorder="1" applyAlignment="1" applyProtection="1">
      <alignment horizontal="center" vertical="center" wrapText="1"/>
    </xf>
    <xf numFmtId="2" fontId="64" fillId="0" borderId="144" xfId="190" applyNumberFormat="1" applyFont="1" applyFill="1" applyBorder="1" applyAlignment="1" applyProtection="1">
      <alignment horizontal="center" vertical="center" wrapText="1"/>
    </xf>
    <xf numFmtId="2" fontId="64" fillId="0" borderId="145" xfId="190" applyNumberFormat="1" applyFont="1" applyFill="1" applyBorder="1" applyAlignment="1" applyProtection="1">
      <alignment horizontal="center" vertical="center" wrapText="1"/>
    </xf>
    <xf numFmtId="2" fontId="64" fillId="0" borderId="146" xfId="190" applyNumberFormat="1" applyFont="1" applyFill="1" applyBorder="1" applyAlignment="1" applyProtection="1">
      <alignment horizontal="center" vertical="center" wrapText="1"/>
    </xf>
    <xf numFmtId="2" fontId="64" fillId="0" borderId="147" xfId="190" applyNumberFormat="1" applyFont="1" applyFill="1" applyBorder="1" applyAlignment="1" applyProtection="1">
      <alignment horizontal="center" vertical="center" wrapText="1"/>
    </xf>
    <xf numFmtId="164" fontId="64" fillId="0" borderId="198" xfId="190" applyFont="1" applyFill="1" applyBorder="1" applyAlignment="1" applyProtection="1">
      <alignment vertical="center" wrapText="1"/>
    </xf>
    <xf numFmtId="164" fontId="64" fillId="0" borderId="199" xfId="190" applyFont="1" applyFill="1" applyBorder="1" applyAlignment="1" applyProtection="1">
      <alignment vertical="center" wrapText="1"/>
    </xf>
    <xf numFmtId="164" fontId="64" fillId="0" borderId="200" xfId="190" applyFont="1" applyFill="1" applyBorder="1" applyAlignment="1" applyProtection="1">
      <alignment vertical="center" wrapText="1"/>
    </xf>
    <xf numFmtId="172" fontId="1" fillId="0" borderId="0" xfId="92" applyFont="1" applyAlignment="1">
      <alignment vertical="center"/>
    </xf>
    <xf numFmtId="0" fontId="69" fillId="33" borderId="0" xfId="0" applyFont="1" applyFill="1" applyAlignment="1">
      <alignment horizontal="center" vertical="center" wrapText="1"/>
    </xf>
    <xf numFmtId="0" fontId="68" fillId="33" borderId="0" xfId="0" applyFont="1" applyFill="1" applyAlignment="1">
      <alignment horizontal="right" vertical="center" wrapText="1"/>
    </xf>
    <xf numFmtId="0" fontId="69" fillId="33" borderId="0" xfId="0" applyFont="1" applyFill="1" applyAlignment="1">
      <alignment horizontal="left" vertical="center" wrapText="1"/>
    </xf>
    <xf numFmtId="0" fontId="50" fillId="33" borderId="201" xfId="0" applyFont="1" applyFill="1" applyBorder="1" applyAlignment="1">
      <alignment horizontal="left" vertical="center" wrapText="1"/>
    </xf>
    <xf numFmtId="0" fontId="50" fillId="33" borderId="201" xfId="0" applyFont="1" applyFill="1" applyBorder="1" applyAlignment="1">
      <alignment horizontal="center" vertical="center" wrapText="1"/>
    </xf>
    <xf numFmtId="0" fontId="50" fillId="33" borderId="201" xfId="0" applyFont="1" applyFill="1" applyBorder="1" applyAlignment="1">
      <alignment horizontal="right" vertical="center" wrapText="1"/>
    </xf>
    <xf numFmtId="0" fontId="28" fillId="33" borderId="0" xfId="0" applyFont="1" applyFill="1" applyAlignment="1">
      <alignment horizontal="center" vertical="center" wrapText="1"/>
    </xf>
    <xf numFmtId="0" fontId="29" fillId="33" borderId="0" xfId="0" applyFont="1" applyFill="1" applyAlignment="1">
      <alignment horizontal="right" vertical="center" wrapText="1"/>
    </xf>
    <xf numFmtId="0" fontId="28" fillId="33" borderId="0" xfId="0" applyFont="1" applyFill="1" applyAlignment="1">
      <alignment horizontal="left" vertical="center" wrapText="1"/>
    </xf>
    <xf numFmtId="0" fontId="40" fillId="0" borderId="0" xfId="0" applyFont="1" applyAlignment="1">
      <alignment vertical="center"/>
    </xf>
    <xf numFmtId="172" fontId="43" fillId="0" borderId="0" xfId="92" applyFont="1" applyAlignment="1">
      <alignment vertical="center"/>
    </xf>
    <xf numFmtId="172" fontId="43" fillId="0" borderId="0" xfId="92" applyFont="1" applyAlignment="1">
      <alignment horizontal="left" vertical="center"/>
    </xf>
    <xf numFmtId="172" fontId="44" fillId="0" borderId="0" xfId="92" applyFont="1" applyAlignment="1">
      <alignment horizontal="left" vertical="center"/>
    </xf>
    <xf numFmtId="172" fontId="44" fillId="0" borderId="0" xfId="92" applyFont="1" applyAlignment="1">
      <alignment vertical="center"/>
    </xf>
    <xf numFmtId="172" fontId="43" fillId="0" borderId="0" xfId="92" applyFont="1" applyAlignment="1">
      <alignment horizontal="right" vertical="center"/>
    </xf>
    <xf numFmtId="172" fontId="44" fillId="0" borderId="0" xfId="92" applyFont="1" applyAlignment="1">
      <alignment horizontal="center" vertical="center"/>
    </xf>
    <xf numFmtId="10" fontId="44" fillId="0" borderId="0" xfId="144" applyNumberFormat="1" applyFont="1" applyFill="1" applyAlignment="1" applyProtection="1">
      <alignment horizontal="center" vertical="center"/>
    </xf>
    <xf numFmtId="0" fontId="40" fillId="3" borderId="0" xfId="0" applyFont="1" applyFill="1" applyAlignment="1">
      <alignment vertical="center"/>
    </xf>
    <xf numFmtId="0" fontId="43" fillId="3" borderId="0" xfId="7" applyFont="1" applyFill="1" applyAlignment="1">
      <alignment vertical="center"/>
    </xf>
    <xf numFmtId="0" fontId="70" fillId="3" borderId="0" xfId="10" applyFont="1" applyFill="1" applyAlignment="1">
      <alignment vertical="center"/>
    </xf>
    <xf numFmtId="0" fontId="36" fillId="0" borderId="0" xfId="0" applyFont="1" applyAlignment="1">
      <alignment vertical="center" wrapText="1"/>
    </xf>
    <xf numFmtId="0" fontId="35" fillId="0" borderId="201" xfId="0" applyFont="1" applyBorder="1" applyAlignment="1">
      <alignment horizontal="center" vertical="center" wrapText="1"/>
    </xf>
    <xf numFmtId="0" fontId="34" fillId="34" borderId="201" xfId="0" applyFont="1" applyFill="1" applyBorder="1" applyAlignment="1">
      <alignment horizontal="left" vertical="center" wrapText="1"/>
    </xf>
    <xf numFmtId="0" fontId="34" fillId="34" borderId="201" xfId="0" applyFont="1" applyFill="1" applyBorder="1" applyAlignment="1">
      <alignment horizontal="center" vertical="center" wrapText="1"/>
    </xf>
    <xf numFmtId="4" fontId="34" fillId="34" borderId="201" xfId="0" applyNumberFormat="1" applyFont="1" applyFill="1" applyBorder="1" applyAlignment="1">
      <alignment horizontal="right" vertical="center" wrapText="1"/>
    </xf>
    <xf numFmtId="0" fontId="35" fillId="33" borderId="201" xfId="0" applyFont="1" applyFill="1" applyBorder="1" applyAlignment="1">
      <alignment horizontal="left" vertical="center" wrapText="1"/>
    </xf>
    <xf numFmtId="4" fontId="35" fillId="33" borderId="201" xfId="0" applyNumberFormat="1" applyFont="1" applyFill="1" applyBorder="1" applyAlignment="1">
      <alignment horizontal="right" vertical="center" wrapText="1"/>
    </xf>
    <xf numFmtId="0" fontId="35" fillId="33" borderId="201" xfId="0" applyFont="1" applyFill="1" applyBorder="1" applyAlignment="1">
      <alignment horizontal="center" vertical="center" wrapText="1"/>
    </xf>
    <xf numFmtId="0" fontId="35" fillId="34" borderId="201" xfId="0" applyFont="1" applyFill="1" applyBorder="1" applyAlignment="1">
      <alignment horizontal="center" vertical="center" wrapText="1"/>
    </xf>
    <xf numFmtId="0" fontId="28" fillId="33" borderId="0" xfId="0" applyFont="1" applyFill="1" applyAlignment="1">
      <alignment horizontal="right" vertical="center" wrapText="1"/>
    </xf>
    <xf numFmtId="0" fontId="35" fillId="3" borderId="201" xfId="0" applyFont="1" applyFill="1" applyBorder="1" applyAlignment="1">
      <alignment horizontal="center" vertical="center" wrapText="1"/>
    </xf>
    <xf numFmtId="0" fontId="29" fillId="35" borderId="201" xfId="0" applyFont="1" applyFill="1" applyBorder="1" applyAlignment="1">
      <alignment horizontal="center" vertical="center" wrapText="1"/>
    </xf>
    <xf numFmtId="10" fontId="30" fillId="3" borderId="0" xfId="144" applyNumberFormat="1" applyFont="1" applyFill="1" applyAlignment="1">
      <alignment horizontal="center" vertical="center"/>
    </xf>
    <xf numFmtId="172" fontId="72" fillId="0" borderId="0" xfId="92" applyFont="1" applyAlignment="1">
      <alignment vertical="center"/>
    </xf>
    <xf numFmtId="0" fontId="51" fillId="3" borderId="0" xfId="0" applyFont="1" applyFill="1" applyAlignment="1">
      <alignment vertical="center"/>
    </xf>
    <xf numFmtId="4" fontId="71" fillId="0" borderId="0" xfId="200" applyNumberFormat="1" applyFont="1" applyAlignment="1">
      <alignment vertical="center"/>
    </xf>
    <xf numFmtId="0" fontId="72" fillId="3" borderId="0" xfId="145" applyFont="1" applyFill="1" applyAlignment="1">
      <alignment vertical="center"/>
    </xf>
    <xf numFmtId="10" fontId="72" fillId="3" borderId="0" xfId="144" applyNumberFormat="1" applyFont="1" applyFill="1" applyAlignment="1">
      <alignment vertical="center"/>
    </xf>
    <xf numFmtId="0" fontId="72" fillId="3" borderId="0" xfId="145" applyFont="1" applyFill="1" applyAlignment="1">
      <alignment horizontal="left" vertical="center"/>
    </xf>
    <xf numFmtId="0" fontId="71" fillId="3" borderId="0" xfId="145" applyFont="1" applyFill="1" applyAlignment="1">
      <alignment horizontal="left" vertical="center"/>
    </xf>
    <xf numFmtId="0" fontId="73" fillId="3" borderId="0" xfId="145" applyFont="1" applyFill="1" applyAlignment="1">
      <alignment vertical="center"/>
    </xf>
    <xf numFmtId="0" fontId="73" fillId="3" borderId="0" xfId="145" applyFont="1" applyFill="1" applyAlignment="1">
      <alignment horizontal="left" vertical="center"/>
    </xf>
    <xf numFmtId="172" fontId="72" fillId="0" borderId="0" xfId="92" applyFont="1" applyAlignment="1">
      <alignment horizontal="left" vertical="center"/>
    </xf>
    <xf numFmtId="164" fontId="29" fillId="0" borderId="24" xfId="22" applyFont="1" applyFill="1" applyBorder="1" applyAlignment="1">
      <alignment vertical="center"/>
    </xf>
    <xf numFmtId="10" fontId="29" fillId="0" borderId="23" xfId="195" applyNumberFormat="1" applyFont="1" applyFill="1" applyBorder="1" applyAlignment="1">
      <alignment vertical="center"/>
    </xf>
    <xf numFmtId="164" fontId="29" fillId="26" borderId="128" xfId="22" applyFont="1" applyFill="1" applyBorder="1" applyAlignment="1">
      <alignment vertical="center"/>
    </xf>
    <xf numFmtId="10" fontId="29" fillId="26" borderId="24" xfId="195" applyNumberFormat="1" applyFont="1" applyFill="1" applyBorder="1" applyAlignment="1">
      <alignment vertical="center"/>
    </xf>
    <xf numFmtId="43" fontId="29" fillId="30" borderId="128" xfId="0" applyNumberFormat="1" applyFont="1" applyFill="1" applyBorder="1" applyAlignment="1">
      <alignment vertical="center"/>
    </xf>
    <xf numFmtId="0" fontId="28" fillId="30" borderId="132" xfId="0" applyFont="1" applyFill="1" applyBorder="1" applyAlignment="1">
      <alignment vertical="center"/>
    </xf>
    <xf numFmtId="164" fontId="28" fillId="29" borderId="212" xfId="22" applyFont="1" applyFill="1" applyBorder="1" applyAlignment="1">
      <alignment vertical="center"/>
    </xf>
    <xf numFmtId="43" fontId="29" fillId="0" borderId="0" xfId="1" applyFont="1" applyFill="1" applyAlignment="1" applyProtection="1">
      <alignment horizontal="left" vertical="center"/>
    </xf>
    <xf numFmtId="4" fontId="74" fillId="0" borderId="201" xfId="0" applyNumberFormat="1" applyFont="1" applyBorder="1" applyAlignment="1">
      <alignment horizontal="right" vertical="center" wrapText="1"/>
    </xf>
    <xf numFmtId="164" fontId="28" fillId="0" borderId="212" xfId="22" applyFont="1" applyFill="1" applyBorder="1" applyAlignment="1">
      <alignment vertical="center"/>
    </xf>
    <xf numFmtId="164" fontId="28" fillId="0" borderId="115" xfId="22" applyFont="1" applyFill="1" applyBorder="1" applyAlignment="1">
      <alignment vertical="center"/>
    </xf>
    <xf numFmtId="164" fontId="28" fillId="0" borderId="18" xfId="22" applyFont="1" applyFill="1" applyBorder="1" applyAlignment="1">
      <alignment vertical="center"/>
    </xf>
    <xf numFmtId="164" fontId="28" fillId="0" borderId="114" xfId="22" applyFont="1" applyFill="1" applyBorder="1" applyAlignment="1">
      <alignment vertical="center"/>
    </xf>
    <xf numFmtId="164" fontId="28" fillId="0" borderId="10" xfId="22" applyFont="1" applyFill="1" applyBorder="1" applyAlignment="1">
      <alignment vertical="center"/>
    </xf>
    <xf numFmtId="0" fontId="0" fillId="0" borderId="0" xfId="0" applyAlignment="1">
      <alignment horizontal="justify" vertical="center"/>
    </xf>
    <xf numFmtId="0" fontId="34" fillId="34" borderId="201" xfId="0" applyFont="1" applyFill="1" applyBorder="1" applyAlignment="1">
      <alignment horizontal="justify" vertical="center" wrapText="1"/>
    </xf>
    <xf numFmtId="0" fontId="35" fillId="33" borderId="201" xfId="0" applyFont="1" applyFill="1" applyBorder="1" applyAlignment="1">
      <alignment horizontal="justify" vertical="center" wrapText="1"/>
    </xf>
    <xf numFmtId="0" fontId="36" fillId="0" borderId="0" xfId="0" applyFont="1" applyAlignment="1">
      <alignment horizontal="justify" vertical="center"/>
    </xf>
    <xf numFmtId="172" fontId="43" fillId="0" borderId="0" xfId="92" applyFont="1" applyAlignment="1">
      <alignment horizontal="justify" vertical="center"/>
    </xf>
    <xf numFmtId="0" fontId="50" fillId="33" borderId="216" xfId="0" applyFont="1" applyFill="1" applyBorder="1" applyAlignment="1">
      <alignment horizontal="center" vertical="center" wrapText="1"/>
    </xf>
    <xf numFmtId="0" fontId="35" fillId="33" borderId="216" xfId="0" applyFont="1" applyFill="1" applyBorder="1" applyAlignment="1">
      <alignment horizontal="right" vertical="center" wrapText="1"/>
    </xf>
    <xf numFmtId="0" fontId="35" fillId="33" borderId="201" xfId="0" applyFont="1" applyFill="1" applyBorder="1" applyAlignment="1">
      <alignment horizontal="right" vertical="center" wrapText="1"/>
    </xf>
    <xf numFmtId="0" fontId="28" fillId="33" borderId="0" xfId="0" applyFont="1" applyFill="1" applyAlignment="1">
      <alignment horizontal="justify" vertical="center" wrapText="1"/>
    </xf>
    <xf numFmtId="0" fontId="50" fillId="26" borderId="201" xfId="0" applyFont="1" applyFill="1" applyBorder="1" applyAlignment="1">
      <alignment horizontal="center" vertical="center" wrapText="1"/>
    </xf>
    <xf numFmtId="0" fontId="67" fillId="26" borderId="201" xfId="0" applyFont="1" applyFill="1" applyBorder="1" applyAlignment="1">
      <alignment horizontal="center" vertical="center" wrapText="1"/>
    </xf>
    <xf numFmtId="0" fontId="28" fillId="27" borderId="136" xfId="0" applyFont="1" applyFill="1" applyBorder="1" applyAlignment="1">
      <alignment horizontal="center" vertical="center" wrapText="1"/>
    </xf>
    <xf numFmtId="0" fontId="28" fillId="27" borderId="217" xfId="0" applyFont="1" applyFill="1" applyBorder="1" applyAlignment="1">
      <alignment horizontal="center" vertical="center" wrapText="1"/>
    </xf>
    <xf numFmtId="0" fontId="28" fillId="3" borderId="105" xfId="0" applyFont="1" applyFill="1" applyBorder="1" applyAlignment="1">
      <alignment horizontal="center" vertical="center" wrapText="1"/>
    </xf>
    <xf numFmtId="0" fontId="28" fillId="3" borderId="202" xfId="0" applyFont="1" applyFill="1" applyBorder="1" applyAlignment="1">
      <alignment horizontal="left" vertical="center" wrapText="1"/>
    </xf>
    <xf numFmtId="10" fontId="28" fillId="3" borderId="202" xfId="0" applyNumberFormat="1" applyFont="1" applyFill="1" applyBorder="1" applyAlignment="1">
      <alignment horizontal="center" vertical="center" shrinkToFit="1"/>
    </xf>
    <xf numFmtId="10" fontId="28" fillId="3" borderId="218" xfId="0" applyNumberFormat="1" applyFont="1" applyFill="1" applyBorder="1" applyAlignment="1">
      <alignment horizontal="center" vertical="center" shrinkToFit="1"/>
    </xf>
    <xf numFmtId="0" fontId="29" fillId="3" borderId="105" xfId="0" applyFont="1" applyFill="1" applyBorder="1" applyAlignment="1">
      <alignment horizontal="center" vertical="center" wrapText="1"/>
    </xf>
    <xf numFmtId="0" fontId="29" fillId="3" borderId="202" xfId="0" applyFont="1" applyFill="1" applyBorder="1" applyAlignment="1">
      <alignment horizontal="center" vertical="center" wrapText="1"/>
    </xf>
    <xf numFmtId="10" fontId="29" fillId="3" borderId="202" xfId="0" applyNumberFormat="1" applyFont="1" applyFill="1" applyBorder="1" applyAlignment="1">
      <alignment horizontal="center" vertical="center" shrinkToFit="1"/>
    </xf>
    <xf numFmtId="10" fontId="29" fillId="3" borderId="218" xfId="0" applyNumberFormat="1" applyFont="1" applyFill="1" applyBorder="1" applyAlignment="1">
      <alignment horizontal="center" vertical="center" shrinkToFit="1"/>
    </xf>
    <xf numFmtId="0" fontId="28" fillId="3" borderId="202" xfId="0" applyFont="1" applyFill="1" applyBorder="1" applyAlignment="1">
      <alignment horizontal="center" vertical="center" wrapText="1"/>
    </xf>
    <xf numFmtId="0" fontId="28" fillId="3" borderId="218" xfId="0" applyFont="1" applyFill="1" applyBorder="1" applyAlignment="1">
      <alignment horizontal="center" vertical="center" wrapText="1"/>
    </xf>
    <xf numFmtId="0" fontId="28" fillId="3" borderId="202" xfId="0" applyFont="1" applyFill="1" applyBorder="1" applyAlignment="1">
      <alignment horizontal="justify" vertical="center" wrapText="1"/>
    </xf>
    <xf numFmtId="10" fontId="29" fillId="27" borderId="136" xfId="0" applyNumberFormat="1" applyFont="1" applyFill="1" applyBorder="1" applyAlignment="1">
      <alignment horizontal="center" vertical="center" shrinkToFit="1"/>
    </xf>
    <xf numFmtId="10" fontId="29" fillId="27" borderId="217" xfId="0" applyNumberFormat="1" applyFont="1" applyFill="1" applyBorder="1" applyAlignment="1">
      <alignment horizontal="center" vertical="center" shrinkToFit="1"/>
    </xf>
    <xf numFmtId="43" fontId="28" fillId="0" borderId="0" xfId="1" applyFont="1" applyAlignment="1">
      <alignment horizontal="left" vertical="center"/>
    </xf>
    <xf numFmtId="180" fontId="35" fillId="33" borderId="201" xfId="0" applyNumberFormat="1" applyFont="1" applyFill="1" applyBorder="1" applyAlignment="1">
      <alignment horizontal="right" vertical="center" wrapText="1"/>
    </xf>
    <xf numFmtId="0" fontId="28" fillId="36" borderId="201" xfId="0" applyFont="1" applyFill="1" applyBorder="1" applyAlignment="1">
      <alignment horizontal="left" vertical="center" wrapText="1"/>
    </xf>
    <xf numFmtId="0" fontId="28" fillId="36" borderId="201" xfId="0" applyFont="1" applyFill="1" applyBorder="1" applyAlignment="1">
      <alignment horizontal="right" vertical="center" wrapText="1"/>
    </xf>
    <xf numFmtId="0" fontId="28" fillId="36" borderId="201" xfId="0" applyFont="1" applyFill="1" applyBorder="1" applyAlignment="1">
      <alignment horizontal="center" vertical="center" wrapText="1"/>
    </xf>
    <xf numFmtId="180" fontId="28" fillId="36" borderId="201" xfId="0" applyNumberFormat="1" applyFont="1" applyFill="1" applyBorder="1" applyAlignment="1">
      <alignment horizontal="right" vertical="center" wrapText="1"/>
    </xf>
    <xf numFmtId="4" fontId="28" fillId="36" borderId="201" xfId="0" applyNumberFormat="1" applyFont="1" applyFill="1" applyBorder="1" applyAlignment="1">
      <alignment horizontal="right" vertical="center" wrapText="1"/>
    </xf>
    <xf numFmtId="4" fontId="28" fillId="33" borderId="0" xfId="0" applyNumberFormat="1" applyFont="1" applyFill="1" applyAlignment="1">
      <alignment horizontal="right" vertical="center" wrapText="1"/>
    </xf>
    <xf numFmtId="0" fontId="35" fillId="33" borderId="203" xfId="0" applyFont="1" applyFill="1" applyBorder="1" applyAlignment="1">
      <alignment horizontal="left" vertical="center" wrapText="1"/>
    </xf>
    <xf numFmtId="177" fontId="29" fillId="33" borderId="0" xfId="0" applyNumberFormat="1" applyFont="1" applyFill="1" applyAlignment="1">
      <alignment horizontal="right" vertical="center" wrapText="1"/>
    </xf>
    <xf numFmtId="177" fontId="28" fillId="36" borderId="201" xfId="0" applyNumberFormat="1" applyFont="1" applyFill="1" applyBorder="1" applyAlignment="1">
      <alignment horizontal="right" vertical="center" wrapText="1"/>
    </xf>
    <xf numFmtId="0" fontId="28" fillId="37" borderId="201" xfId="0" applyFont="1" applyFill="1" applyBorder="1" applyAlignment="1">
      <alignment horizontal="left" vertical="center" wrapText="1"/>
    </xf>
    <xf numFmtId="0" fontId="28" fillId="37" borderId="201" xfId="0" applyFont="1" applyFill="1" applyBorder="1" applyAlignment="1">
      <alignment horizontal="right" vertical="center" wrapText="1"/>
    </xf>
    <xf numFmtId="0" fontId="28" fillId="37" borderId="201" xfId="0" applyFont="1" applyFill="1" applyBorder="1" applyAlignment="1">
      <alignment horizontal="center" vertical="center" wrapText="1"/>
    </xf>
    <xf numFmtId="180" fontId="28" fillId="37" borderId="201" xfId="0" applyNumberFormat="1" applyFont="1" applyFill="1" applyBorder="1" applyAlignment="1">
      <alignment horizontal="right" vertical="center" wrapText="1"/>
    </xf>
    <xf numFmtId="4" fontId="28" fillId="37" borderId="201" xfId="0" applyNumberFormat="1" applyFont="1" applyFill="1" applyBorder="1" applyAlignment="1">
      <alignment horizontal="right" vertical="center" wrapText="1"/>
    </xf>
    <xf numFmtId="177" fontId="28" fillId="37" borderId="201" xfId="0" applyNumberFormat="1" applyFont="1" applyFill="1" applyBorder="1" applyAlignment="1">
      <alignment horizontal="right" vertical="center" wrapText="1"/>
    </xf>
    <xf numFmtId="0" fontId="28" fillId="0" borderId="0" xfId="0" applyFont="1" applyAlignment="1">
      <alignment horizontal="center" vertical="center"/>
    </xf>
    <xf numFmtId="0" fontId="29" fillId="27" borderId="223" xfId="0" applyFont="1" applyFill="1" applyBorder="1" applyAlignment="1">
      <alignment horizontal="right" vertical="center"/>
    </xf>
    <xf numFmtId="0" fontId="29" fillId="27" borderId="26" xfId="0" applyFont="1" applyFill="1" applyBorder="1" applyAlignment="1">
      <alignment horizontal="right" vertical="center"/>
    </xf>
    <xf numFmtId="0" fontId="29" fillId="27" borderId="35" xfId="0" applyFont="1" applyFill="1" applyBorder="1" applyAlignment="1">
      <alignment horizontal="center" vertical="center"/>
    </xf>
    <xf numFmtId="0" fontId="29" fillId="27" borderId="231" xfId="0" applyFont="1" applyFill="1" applyBorder="1" applyAlignment="1">
      <alignment horizontal="center" vertical="center"/>
    </xf>
    <xf numFmtId="0" fontId="29" fillId="27" borderId="33" xfId="0" applyFont="1" applyFill="1" applyBorder="1" applyAlignment="1">
      <alignment horizontal="center" vertical="center"/>
    </xf>
    <xf numFmtId="0" fontId="29" fillId="27" borderId="36" xfId="0" applyFont="1" applyFill="1" applyBorder="1" applyAlignment="1">
      <alignment horizontal="center" vertical="center"/>
    </xf>
    <xf numFmtId="0" fontId="28" fillId="0" borderId="25" xfId="0" applyFont="1" applyBorder="1" applyAlignment="1">
      <alignment horizontal="center" vertical="center"/>
    </xf>
    <xf numFmtId="0" fontId="28" fillId="0" borderId="26" xfId="0" applyFont="1" applyBorder="1" applyAlignment="1">
      <alignment horizontal="justify" vertical="center"/>
    </xf>
    <xf numFmtId="0" fontId="28" fillId="0" borderId="26" xfId="0" applyFont="1" applyBorder="1" applyAlignment="1">
      <alignment horizontal="center" vertical="center"/>
    </xf>
    <xf numFmtId="4" fontId="6" fillId="3" borderId="232" xfId="1" applyNumberFormat="1" applyFont="1" applyFill="1" applyBorder="1" applyAlignment="1">
      <alignment vertical="center"/>
    </xf>
    <xf numFmtId="43" fontId="2" fillId="3" borderId="30" xfId="1" applyFill="1" applyBorder="1" applyAlignment="1">
      <alignment vertical="center"/>
    </xf>
    <xf numFmtId="43" fontId="2" fillId="3" borderId="27" xfId="1" applyFill="1" applyBorder="1" applyAlignment="1">
      <alignment vertical="center"/>
    </xf>
    <xf numFmtId="43" fontId="2" fillId="3" borderId="232" xfId="1" applyFill="1" applyBorder="1" applyAlignment="1">
      <alignment vertical="center"/>
    </xf>
    <xf numFmtId="43" fontId="6" fillId="3" borderId="232" xfId="1" applyFont="1" applyFill="1" applyBorder="1" applyAlignment="1">
      <alignment vertical="center"/>
    </xf>
    <xf numFmtId="43" fontId="2" fillId="3" borderId="235" xfId="1" applyFill="1" applyBorder="1" applyAlignment="1">
      <alignment vertical="center"/>
    </xf>
    <xf numFmtId="43" fontId="2" fillId="3" borderId="236" xfId="1" applyFill="1" applyBorder="1" applyAlignment="1">
      <alignment vertical="center"/>
    </xf>
    <xf numFmtId="0" fontId="75" fillId="0" borderId="0" xfId="0" applyFont="1" applyAlignment="1">
      <alignment vertical="center"/>
    </xf>
    <xf numFmtId="0" fontId="29" fillId="0" borderId="0" xfId="0" applyFont="1" applyAlignment="1">
      <alignment horizontal="center" vertical="center"/>
    </xf>
    <xf numFmtId="0" fontId="72" fillId="0" borderId="0" xfId="0" applyFont="1" applyAlignment="1">
      <alignment vertical="center"/>
    </xf>
    <xf numFmtId="0" fontId="71" fillId="0" borderId="0" xfId="0" applyFont="1" applyAlignment="1">
      <alignment horizontal="center" vertical="center"/>
    </xf>
    <xf numFmtId="0" fontId="3" fillId="0" borderId="0" xfId="0" applyFont="1" applyAlignment="1">
      <alignment horizontal="center" vertical="center"/>
    </xf>
    <xf numFmtId="0" fontId="73" fillId="0" borderId="0" xfId="0" applyFont="1" applyAlignment="1">
      <alignment horizontal="center" vertical="center"/>
    </xf>
    <xf numFmtId="4" fontId="50" fillId="0" borderId="0" xfId="0" applyNumberFormat="1" applyFont="1" applyAlignment="1">
      <alignment horizontal="center" vertical="center"/>
    </xf>
    <xf numFmtId="4" fontId="3" fillId="0" borderId="0" xfId="0" applyNumberFormat="1" applyFont="1" applyAlignment="1">
      <alignment horizontal="center" vertical="center"/>
    </xf>
    <xf numFmtId="10" fontId="76" fillId="0" borderId="0" xfId="144" applyNumberFormat="1" applyFont="1" applyAlignment="1">
      <alignment horizontal="center" vertical="center"/>
    </xf>
    <xf numFmtId="0" fontId="28" fillId="0" borderId="0" xfId="0" applyFont="1" applyAlignment="1">
      <alignment horizontal="right" vertical="center"/>
    </xf>
    <xf numFmtId="1" fontId="30" fillId="3" borderId="0" xfId="145" applyNumberFormat="1" applyFont="1" applyFill="1" applyAlignment="1">
      <alignment horizontal="left" vertical="center"/>
    </xf>
    <xf numFmtId="10" fontId="35" fillId="33" borderId="201" xfId="144" applyNumberFormat="1" applyFont="1" applyFill="1" applyBorder="1" applyAlignment="1">
      <alignment horizontal="center" vertical="center" wrapText="1"/>
    </xf>
    <xf numFmtId="4" fontId="1" fillId="0" borderId="0" xfId="0" applyNumberFormat="1" applyFont="1" applyAlignment="1">
      <alignment vertical="center"/>
    </xf>
    <xf numFmtId="43" fontId="73" fillId="0" borderId="0" xfId="0" applyNumberFormat="1" applyFont="1" applyAlignment="1">
      <alignment horizontal="center" vertical="center"/>
    </xf>
    <xf numFmtId="43" fontId="35" fillId="33" borderId="201" xfId="1" applyFont="1" applyFill="1" applyBorder="1" applyAlignment="1">
      <alignment horizontal="right" vertical="center" wrapText="1"/>
    </xf>
    <xf numFmtId="181" fontId="35" fillId="33" borderId="201" xfId="144" applyNumberFormat="1" applyFont="1" applyFill="1" applyBorder="1" applyAlignment="1">
      <alignment horizontal="right" vertical="center" wrapText="1"/>
    </xf>
    <xf numFmtId="181" fontId="35" fillId="33" borderId="201" xfId="0" applyNumberFormat="1" applyFont="1" applyFill="1" applyBorder="1" applyAlignment="1">
      <alignment horizontal="right" vertical="center" wrapText="1"/>
    </xf>
    <xf numFmtId="4" fontId="0" fillId="0" borderId="0" xfId="0" applyNumberFormat="1" applyAlignment="1">
      <alignment vertical="center"/>
    </xf>
    <xf numFmtId="4" fontId="36" fillId="27" borderId="23" xfId="0" applyNumberFormat="1" applyFont="1" applyFill="1" applyBorder="1" applyAlignment="1">
      <alignment horizontal="center" vertical="center"/>
    </xf>
    <xf numFmtId="4" fontId="36" fillId="27" borderId="21" xfId="0" applyNumberFormat="1" applyFont="1" applyFill="1" applyBorder="1" applyAlignment="1">
      <alignment horizontal="center" vertical="center"/>
    </xf>
    <xf numFmtId="4" fontId="36" fillId="27" borderId="22" xfId="0" applyNumberFormat="1" applyFont="1" applyFill="1" applyBorder="1" applyAlignment="1">
      <alignment horizontal="center" vertical="center"/>
    </xf>
    <xf numFmtId="10" fontId="36" fillId="27" borderId="23" xfId="144" applyNumberFormat="1" applyFont="1" applyFill="1" applyBorder="1" applyAlignment="1">
      <alignment horizontal="center" vertical="center"/>
    </xf>
    <xf numFmtId="10" fontId="36" fillId="27" borderId="21" xfId="144" applyNumberFormat="1" applyFont="1" applyFill="1" applyBorder="1" applyAlignment="1">
      <alignment horizontal="center" vertical="center"/>
    </xf>
    <xf numFmtId="10" fontId="36" fillId="27" borderId="22" xfId="144" applyNumberFormat="1" applyFont="1" applyFill="1" applyBorder="1" applyAlignment="1">
      <alignment horizontal="center" vertical="center"/>
    </xf>
    <xf numFmtId="0" fontId="36" fillId="27" borderId="23" xfId="0" quotePrefix="1" applyFont="1" applyFill="1" applyBorder="1" applyAlignment="1">
      <alignment horizontal="center" vertical="center"/>
    </xf>
    <xf numFmtId="0" fontId="36" fillId="27" borderId="21" xfId="0" applyFont="1" applyFill="1" applyBorder="1" applyAlignment="1">
      <alignment horizontal="center" vertical="center"/>
    </xf>
    <xf numFmtId="0" fontId="36" fillId="27" borderId="22" xfId="0" applyFont="1" applyFill="1" applyBorder="1" applyAlignment="1">
      <alignment horizontal="center" vertical="center"/>
    </xf>
    <xf numFmtId="0" fontId="36" fillId="27" borderId="23" xfId="0" applyFont="1" applyFill="1" applyBorder="1" applyAlignment="1">
      <alignment horizontal="justify" vertical="center" wrapText="1"/>
    </xf>
    <xf numFmtId="0" fontId="36" fillId="27" borderId="21" xfId="0" applyFont="1" applyFill="1" applyBorder="1" applyAlignment="1">
      <alignment horizontal="justify" vertical="center" wrapText="1"/>
    </xf>
    <xf numFmtId="0" fontId="36" fillId="27" borderId="22" xfId="0" applyFont="1" applyFill="1" applyBorder="1" applyAlignment="1">
      <alignment horizontal="justify" vertical="center" wrapText="1"/>
    </xf>
    <xf numFmtId="0" fontId="36" fillId="27" borderId="23" xfId="0" applyFont="1" applyFill="1" applyBorder="1" applyAlignment="1">
      <alignment horizontal="left" vertical="center"/>
    </xf>
    <xf numFmtId="0" fontId="36" fillId="27" borderId="21" xfId="0" applyFont="1" applyFill="1" applyBorder="1" applyAlignment="1">
      <alignment horizontal="left" vertical="center"/>
    </xf>
    <xf numFmtId="0" fontId="36" fillId="27" borderId="22" xfId="0" applyFont="1" applyFill="1" applyBorder="1" applyAlignment="1">
      <alignment horizontal="left" vertical="center"/>
    </xf>
    <xf numFmtId="10" fontId="36" fillId="27" borderId="23" xfId="144" quotePrefix="1" applyNumberFormat="1" applyFont="1" applyFill="1" applyBorder="1" applyAlignment="1">
      <alignment horizontal="center" vertical="center"/>
    </xf>
    <xf numFmtId="14" fontId="36" fillId="27" borderId="23" xfId="0" quotePrefix="1" applyNumberFormat="1" applyFont="1" applyFill="1" applyBorder="1" applyAlignment="1">
      <alignment horizontal="center" vertical="center"/>
    </xf>
    <xf numFmtId="0" fontId="49" fillId="0" borderId="0" xfId="0" applyFont="1" applyAlignment="1">
      <alignment horizontal="center" vertical="center"/>
    </xf>
    <xf numFmtId="0" fontId="36" fillId="0" borderId="0" xfId="0" applyFont="1" applyAlignment="1">
      <alignment horizontal="center" vertical="center"/>
    </xf>
    <xf numFmtId="0" fontId="62" fillId="3" borderId="0" xfId="145" applyFont="1" applyFill="1" applyAlignment="1">
      <alignment horizontal="center" vertical="center"/>
    </xf>
    <xf numFmtId="0" fontId="58" fillId="3" borderId="0" xfId="145" applyFont="1" applyFill="1" applyAlignment="1">
      <alignment horizontal="justify" vertical="center"/>
    </xf>
    <xf numFmtId="0" fontId="50" fillId="3" borderId="0" xfId="145" applyFont="1" applyFill="1" applyAlignment="1">
      <alignment horizontal="center" vertical="center"/>
    </xf>
    <xf numFmtId="43" fontId="72" fillId="0" borderId="0" xfId="1" applyFont="1" applyAlignment="1">
      <alignment horizontal="center" vertical="center"/>
    </xf>
    <xf numFmtId="0" fontId="73" fillId="3" borderId="0" xfId="145" applyFont="1" applyFill="1" applyAlignment="1">
      <alignment horizontal="center" vertical="center"/>
    </xf>
    <xf numFmtId="172" fontId="44" fillId="0" borderId="0" xfId="92" applyFont="1" applyAlignment="1">
      <alignment horizontal="justify" vertical="center"/>
    </xf>
    <xf numFmtId="4" fontId="32" fillId="26" borderId="208" xfId="0" applyNumberFormat="1" applyFont="1" applyFill="1" applyBorder="1" applyAlignment="1">
      <alignment horizontal="center" vertical="center" wrapText="1"/>
    </xf>
    <xf numFmtId="4" fontId="32" fillId="26" borderId="209" xfId="0" applyNumberFormat="1" applyFont="1" applyFill="1" applyBorder="1" applyAlignment="1">
      <alignment horizontal="center" vertical="center" wrapText="1"/>
    </xf>
    <xf numFmtId="172" fontId="44" fillId="0" borderId="0" xfId="92" applyFont="1" applyAlignment="1">
      <alignment horizontal="justify" vertical="center" wrapText="1"/>
    </xf>
    <xf numFmtId="0" fontId="68" fillId="33" borderId="0" xfId="0" applyFont="1" applyFill="1" applyAlignment="1">
      <alignment horizontal="right" vertical="center" wrapText="1"/>
    </xf>
    <xf numFmtId="0" fontId="68" fillId="33" borderId="0" xfId="0" applyFont="1" applyFill="1" applyAlignment="1">
      <alignment horizontal="left" vertical="center" wrapText="1"/>
    </xf>
    <xf numFmtId="0" fontId="32" fillId="26" borderId="210" xfId="0" applyFont="1" applyFill="1" applyBorder="1" applyAlignment="1">
      <alignment horizontal="right" vertical="center" wrapText="1"/>
    </xf>
    <xf numFmtId="0" fontId="32" fillId="26" borderId="138" xfId="0" applyFont="1" applyFill="1" applyBorder="1" applyAlignment="1">
      <alignment horizontal="right" vertical="center" wrapText="1"/>
    </xf>
    <xf numFmtId="0" fontId="74" fillId="0" borderId="201" xfId="0" applyFont="1" applyBorder="1" applyAlignment="1">
      <alignment horizontal="left" vertical="center" wrapText="1"/>
    </xf>
    <xf numFmtId="0" fontId="74" fillId="0" borderId="201" xfId="0" applyFont="1" applyBorder="1" applyAlignment="1">
      <alignment horizontal="center" vertical="center" wrapText="1"/>
    </xf>
    <xf numFmtId="0" fontId="36" fillId="0" borderId="0" xfId="0" applyFont="1" applyAlignment="1">
      <alignment horizontal="center" vertical="center" wrapText="1"/>
    </xf>
    <xf numFmtId="0" fontId="29" fillId="26" borderId="207" xfId="0" applyFont="1" applyFill="1" applyBorder="1" applyAlignment="1">
      <alignment horizontal="right" vertical="center" wrapText="1"/>
    </xf>
    <xf numFmtId="0" fontId="29" fillId="26" borderId="68" xfId="0" applyFont="1" applyFill="1" applyBorder="1" applyAlignment="1">
      <alignment horizontal="right" vertical="center" wrapText="1"/>
    </xf>
    <xf numFmtId="4" fontId="29" fillId="26" borderId="67" xfId="0" applyNumberFormat="1" applyFont="1" applyFill="1" applyBorder="1" applyAlignment="1">
      <alignment horizontal="center" vertical="center" wrapText="1"/>
    </xf>
    <xf numFmtId="4" fontId="29" fillId="26" borderId="206" xfId="0" applyNumberFormat="1" applyFont="1" applyFill="1" applyBorder="1" applyAlignment="1">
      <alignment horizontal="center" vertical="center" wrapText="1"/>
    </xf>
    <xf numFmtId="0" fontId="29" fillId="26" borderId="205" xfId="0" applyFont="1" applyFill="1" applyBorder="1" applyAlignment="1">
      <alignment horizontal="right" vertical="center" wrapText="1"/>
    </xf>
    <xf numFmtId="0" fontId="29" fillId="26" borderId="87" xfId="0" applyFont="1" applyFill="1" applyBorder="1" applyAlignment="1">
      <alignment horizontal="right" vertical="center" wrapText="1"/>
    </xf>
    <xf numFmtId="4" fontId="29" fillId="26" borderId="86" xfId="0" applyNumberFormat="1" applyFont="1" applyFill="1" applyBorder="1" applyAlignment="1">
      <alignment horizontal="center" vertical="center" wrapText="1"/>
    </xf>
    <xf numFmtId="4" fontId="29" fillId="26" borderId="204" xfId="0" applyNumberFormat="1" applyFont="1" applyFill="1" applyBorder="1" applyAlignment="1">
      <alignment horizontal="center" vertical="center" wrapText="1"/>
    </xf>
    <xf numFmtId="0" fontId="67" fillId="26" borderId="201" xfId="0" applyFont="1" applyFill="1" applyBorder="1" applyAlignment="1">
      <alignment horizontal="center" vertical="center" wrapText="1"/>
    </xf>
    <xf numFmtId="0" fontId="29" fillId="33" borderId="0" xfId="0" applyFont="1" applyFill="1" applyAlignment="1">
      <alignment horizontal="right" vertical="center" wrapText="1"/>
    </xf>
    <xf numFmtId="0" fontId="32" fillId="26" borderId="64" xfId="0" applyFont="1" applyFill="1" applyBorder="1" applyAlignment="1">
      <alignment horizontal="right" vertical="center" wrapText="1"/>
    </xf>
    <xf numFmtId="0" fontId="32" fillId="26" borderId="65" xfId="0" applyFont="1" applyFill="1" applyBorder="1" applyAlignment="1">
      <alignment horizontal="right" vertical="center" wrapText="1"/>
    </xf>
    <xf numFmtId="0" fontId="29" fillId="26" borderId="58" xfId="0" applyFont="1" applyFill="1" applyBorder="1" applyAlignment="1">
      <alignment horizontal="right" vertical="center" wrapText="1"/>
    </xf>
    <xf numFmtId="0" fontId="29" fillId="26" borderId="59" xfId="0" applyFont="1" applyFill="1" applyBorder="1" applyAlignment="1">
      <alignment horizontal="right" vertical="center" wrapText="1"/>
    </xf>
    <xf numFmtId="0" fontId="29" fillId="26" borderId="61" xfId="0" applyFont="1" applyFill="1" applyBorder="1" applyAlignment="1">
      <alignment horizontal="right" vertical="center" wrapText="1"/>
    </xf>
    <xf numFmtId="0" fontId="29" fillId="26" borderId="62" xfId="0" applyFont="1" applyFill="1" applyBorder="1" applyAlignment="1">
      <alignment horizontal="right" vertical="center" wrapText="1"/>
    </xf>
    <xf numFmtId="0" fontId="28" fillId="36" borderId="201" xfId="0" applyFont="1" applyFill="1" applyBorder="1" applyAlignment="1">
      <alignment horizontal="left" vertical="center" wrapText="1"/>
    </xf>
    <xf numFmtId="0" fontId="50" fillId="33" borderId="201" xfId="0" applyFont="1" applyFill="1" applyBorder="1" applyAlignment="1">
      <alignment horizontal="left" vertical="center" wrapText="1"/>
    </xf>
    <xf numFmtId="0" fontId="35" fillId="33" borderId="201" xfId="0" applyFont="1" applyFill="1" applyBorder="1" applyAlignment="1">
      <alignment horizontal="left" vertical="center" wrapText="1"/>
    </xf>
    <xf numFmtId="0" fontId="28" fillId="37" borderId="201" xfId="0" applyFont="1" applyFill="1" applyBorder="1" applyAlignment="1">
      <alignment horizontal="left" vertical="center" wrapText="1"/>
    </xf>
    <xf numFmtId="0" fontId="28" fillId="33" borderId="0" xfId="0" applyFont="1" applyFill="1" applyAlignment="1">
      <alignment horizontal="right" vertical="center" wrapText="1"/>
    </xf>
    <xf numFmtId="0" fontId="50" fillId="33" borderId="201" xfId="0" applyFont="1" applyFill="1" applyBorder="1" applyAlignment="1">
      <alignment horizontal="right" vertical="center" wrapText="1"/>
    </xf>
    <xf numFmtId="177" fontId="28" fillId="36" borderId="201" xfId="0" applyNumberFormat="1" applyFont="1" applyFill="1" applyBorder="1" applyAlignment="1">
      <alignment horizontal="right" vertical="center" wrapText="1"/>
    </xf>
    <xf numFmtId="177" fontId="28" fillId="37" borderId="201" xfId="0" applyNumberFormat="1" applyFont="1" applyFill="1" applyBorder="1" applyAlignment="1">
      <alignment horizontal="right" vertical="center" wrapText="1"/>
    </xf>
    <xf numFmtId="0" fontId="50" fillId="33" borderId="0" xfId="0" applyFont="1" applyFill="1" applyAlignment="1">
      <alignment horizontal="center" vertical="center" wrapText="1"/>
    </xf>
    <xf numFmtId="0" fontId="49" fillId="0" borderId="0" xfId="0" applyFont="1" applyAlignment="1">
      <alignment vertical="center"/>
    </xf>
    <xf numFmtId="0" fontId="50" fillId="33" borderId="201" xfId="0" applyFont="1" applyFill="1" applyBorder="1" applyAlignment="1">
      <alignment horizontal="center" vertical="center" wrapText="1"/>
    </xf>
    <xf numFmtId="10" fontId="28" fillId="30" borderId="132" xfId="195" applyNumberFormat="1" applyFont="1" applyFill="1" applyBorder="1" applyAlignment="1">
      <alignment horizontal="center" vertical="center"/>
    </xf>
    <xf numFmtId="10" fontId="28" fillId="30" borderId="133" xfId="195" applyNumberFormat="1" applyFont="1" applyFill="1" applyBorder="1" applyAlignment="1">
      <alignment horizontal="center" vertical="center"/>
    </xf>
    <xf numFmtId="10" fontId="28" fillId="30" borderId="134" xfId="195" applyNumberFormat="1" applyFont="1" applyFill="1" applyBorder="1" applyAlignment="1">
      <alignment horizontal="center" vertical="center"/>
    </xf>
    <xf numFmtId="4" fontId="29" fillId="26" borderId="128" xfId="22" applyNumberFormat="1" applyFont="1" applyFill="1" applyBorder="1" applyAlignment="1">
      <alignment horizontal="center" vertical="center"/>
    </xf>
    <xf numFmtId="4" fontId="29" fillId="26" borderId="129" xfId="22" applyNumberFormat="1" applyFont="1" applyFill="1" applyBorder="1" applyAlignment="1">
      <alignment horizontal="center" vertical="center"/>
    </xf>
    <xf numFmtId="4" fontId="29" fillId="26" borderId="130" xfId="22" applyNumberFormat="1" applyFont="1" applyFill="1" applyBorder="1" applyAlignment="1">
      <alignment horizontal="center" vertical="center"/>
    </xf>
    <xf numFmtId="10" fontId="28" fillId="26" borderId="132" xfId="195" applyNumberFormat="1" applyFont="1" applyFill="1" applyBorder="1" applyAlignment="1">
      <alignment horizontal="center" vertical="center"/>
    </xf>
    <xf numFmtId="10" fontId="28" fillId="26" borderId="133" xfId="195" applyNumberFormat="1" applyFont="1" applyFill="1" applyBorder="1" applyAlignment="1">
      <alignment horizontal="center" vertical="center"/>
    </xf>
    <xf numFmtId="10" fontId="28" fillId="26" borderId="134" xfId="195" applyNumberFormat="1" applyFont="1" applyFill="1" applyBorder="1" applyAlignment="1">
      <alignment horizontal="center" vertical="center"/>
    </xf>
    <xf numFmtId="10" fontId="28" fillId="30" borderId="215" xfId="195" applyNumberFormat="1" applyFont="1" applyFill="1" applyBorder="1" applyAlignment="1">
      <alignment horizontal="center" vertical="center"/>
    </xf>
    <xf numFmtId="10" fontId="28" fillId="0" borderId="213" xfId="195" applyNumberFormat="1" applyFont="1" applyFill="1" applyBorder="1" applyAlignment="1">
      <alignment horizontal="center" vertical="center"/>
    </xf>
    <xf numFmtId="10" fontId="28" fillId="0" borderId="118" xfId="195" applyNumberFormat="1" applyFont="1" applyFill="1" applyBorder="1" applyAlignment="1">
      <alignment horizontal="center" vertical="center"/>
    </xf>
    <xf numFmtId="10" fontId="28" fillId="0" borderId="119" xfId="195" applyNumberFormat="1" applyFont="1" applyFill="1" applyBorder="1" applyAlignment="1">
      <alignment horizontal="center" vertical="center"/>
    </xf>
    <xf numFmtId="10" fontId="28" fillId="0" borderId="117" xfId="195" applyNumberFormat="1" applyFont="1" applyFill="1" applyBorder="1" applyAlignment="1">
      <alignment horizontal="center" vertical="center"/>
    </xf>
    <xf numFmtId="164" fontId="28" fillId="0" borderId="211" xfId="22" applyFont="1" applyFill="1" applyBorder="1" applyAlignment="1">
      <alignment horizontal="center" vertical="center"/>
    </xf>
    <xf numFmtId="164" fontId="28" fillId="0" borderId="123" xfId="22" applyFont="1" applyFill="1" applyBorder="1" applyAlignment="1">
      <alignment horizontal="center" vertical="center"/>
    </xf>
    <xf numFmtId="164" fontId="28" fillId="0" borderId="124" xfId="22" applyFont="1" applyFill="1" applyBorder="1" applyAlignment="1">
      <alignment horizontal="center" vertical="center"/>
    </xf>
    <xf numFmtId="164" fontId="28" fillId="0" borderId="122" xfId="22" applyFont="1" applyFill="1" applyBorder="1" applyAlignment="1">
      <alignment horizontal="center" vertical="center"/>
    </xf>
    <xf numFmtId="10" fontId="28" fillId="30" borderId="135" xfId="195" applyNumberFormat="1" applyFont="1" applyFill="1" applyBorder="1" applyAlignment="1">
      <alignment horizontal="center" vertical="center"/>
    </xf>
    <xf numFmtId="4" fontId="29" fillId="26" borderId="131" xfId="22" applyNumberFormat="1" applyFont="1" applyFill="1" applyBorder="1" applyAlignment="1">
      <alignment horizontal="center" vertical="center"/>
    </xf>
    <xf numFmtId="10" fontId="28" fillId="26" borderId="135" xfId="195" applyNumberFormat="1" applyFont="1" applyFill="1" applyBorder="1" applyAlignment="1">
      <alignment horizontal="center" vertical="center"/>
    </xf>
    <xf numFmtId="164" fontId="29" fillId="30" borderId="128" xfId="195" applyNumberFormat="1" applyFont="1" applyFill="1" applyBorder="1" applyAlignment="1">
      <alignment horizontal="center" vertical="center"/>
    </xf>
    <xf numFmtId="164" fontId="29" fillId="30" borderId="129" xfId="195" applyNumberFormat="1" applyFont="1" applyFill="1" applyBorder="1" applyAlignment="1">
      <alignment horizontal="center" vertical="center"/>
    </xf>
    <xf numFmtId="164" fontId="29" fillId="30" borderId="130" xfId="195" applyNumberFormat="1" applyFont="1" applyFill="1" applyBorder="1" applyAlignment="1">
      <alignment horizontal="center" vertical="center"/>
    </xf>
    <xf numFmtId="164" fontId="29" fillId="30" borderId="131" xfId="195" applyNumberFormat="1" applyFont="1" applyFill="1" applyBorder="1" applyAlignment="1">
      <alignment horizontal="center" vertical="center"/>
    </xf>
    <xf numFmtId="10" fontId="28" fillId="0" borderId="120" xfId="195" applyNumberFormat="1" applyFont="1" applyFill="1" applyBorder="1" applyAlignment="1">
      <alignment horizontal="center" vertical="center"/>
    </xf>
    <xf numFmtId="164" fontId="28" fillId="0" borderId="125" xfId="22" applyFont="1" applyFill="1" applyBorder="1" applyAlignment="1">
      <alignment horizontal="center" vertical="center"/>
    </xf>
    <xf numFmtId="164" fontId="28" fillId="3" borderId="122" xfId="22" applyFont="1" applyFill="1" applyBorder="1" applyAlignment="1">
      <alignment horizontal="center" vertical="center"/>
    </xf>
    <xf numFmtId="164" fontId="28" fillId="3" borderId="123" xfId="22" applyFont="1" applyFill="1" applyBorder="1" applyAlignment="1">
      <alignment horizontal="center" vertical="center"/>
    </xf>
    <xf numFmtId="164" fontId="28" fillId="3" borderId="124" xfId="22" applyFont="1" applyFill="1" applyBorder="1" applyAlignment="1">
      <alignment horizontal="center" vertical="center"/>
    </xf>
    <xf numFmtId="164" fontId="28" fillId="3" borderId="125" xfId="22" applyFont="1" applyFill="1" applyBorder="1" applyAlignment="1">
      <alignment horizontal="center" vertical="center"/>
    </xf>
    <xf numFmtId="0" fontId="29" fillId="26" borderId="104" xfId="0" applyFont="1" applyFill="1" applyBorder="1" applyAlignment="1">
      <alignment horizontal="center" vertical="center"/>
    </xf>
    <xf numFmtId="0" fontId="29" fillId="26" borderId="105" xfId="0" applyFont="1" applyFill="1" applyBorder="1" applyAlignment="1">
      <alignment horizontal="center" vertical="center"/>
    </xf>
    <xf numFmtId="0" fontId="29" fillId="26" borderId="109" xfId="0" applyFont="1" applyFill="1" applyBorder="1" applyAlignment="1">
      <alignment horizontal="center" vertical="center"/>
    </xf>
    <xf numFmtId="0" fontId="29" fillId="26" borderId="46" xfId="0" applyFont="1" applyFill="1" applyBorder="1" applyAlignment="1">
      <alignment horizontal="center" vertical="center" wrapText="1"/>
    </xf>
    <xf numFmtId="0" fontId="29" fillId="26" borderId="4" xfId="0" applyFont="1" applyFill="1" applyBorder="1" applyAlignment="1">
      <alignment horizontal="center" vertical="center" wrapText="1"/>
    </xf>
    <xf numFmtId="0" fontId="29" fillId="26" borderId="47" xfId="0" applyFont="1" applyFill="1" applyBorder="1" applyAlignment="1">
      <alignment horizontal="center" vertical="center" wrapText="1"/>
    </xf>
    <xf numFmtId="0" fontId="29" fillId="26" borderId="107" xfId="0" applyFont="1" applyFill="1" applyBorder="1" applyAlignment="1">
      <alignment horizontal="center" vertical="center" wrapText="1"/>
    </xf>
    <xf numFmtId="0" fontId="29" fillId="26" borderId="24" xfId="0" applyFont="1" applyFill="1" applyBorder="1" applyAlignment="1">
      <alignment horizontal="center" vertical="center" wrapText="1"/>
    </xf>
    <xf numFmtId="0" fontId="29" fillId="26" borderId="111" xfId="0" applyFont="1" applyFill="1" applyBorder="1" applyAlignment="1">
      <alignment horizontal="center" vertical="center" wrapText="1"/>
    </xf>
    <xf numFmtId="0" fontId="29" fillId="26" borderId="19" xfId="0" applyFont="1" applyFill="1" applyBorder="1" applyAlignment="1">
      <alignment horizontal="center" vertical="center" wrapText="1"/>
    </xf>
    <xf numFmtId="0" fontId="29" fillId="26" borderId="9" xfId="0" applyFont="1" applyFill="1" applyBorder="1" applyAlignment="1">
      <alignment horizontal="center" vertical="center" wrapText="1"/>
    </xf>
    <xf numFmtId="0" fontId="29" fillId="26" borderId="48" xfId="0" applyFont="1" applyFill="1" applyBorder="1" applyAlignment="1">
      <alignment horizontal="center" vertical="center" wrapText="1"/>
    </xf>
    <xf numFmtId="0" fontId="28" fillId="0" borderId="113" xfId="0" quotePrefix="1" applyFont="1" applyBorder="1" applyAlignment="1">
      <alignment horizontal="center" vertical="center"/>
    </xf>
    <xf numFmtId="0" fontId="28" fillId="0" borderId="116" xfId="0" applyFont="1" applyBorder="1" applyAlignment="1">
      <alignment horizontal="center" vertical="center"/>
    </xf>
    <xf numFmtId="0" fontId="28" fillId="0" borderId="4" xfId="0" applyFont="1" applyBorder="1" applyAlignment="1">
      <alignment horizontal="left" vertical="center" wrapText="1"/>
    </xf>
    <xf numFmtId="0" fontId="28" fillId="0" borderId="20" xfId="0" applyFont="1" applyBorder="1" applyAlignment="1">
      <alignment horizontal="left" vertical="center" wrapText="1"/>
    </xf>
    <xf numFmtId="164" fontId="28" fillId="3" borderId="211" xfId="22" applyFont="1" applyFill="1" applyBorder="1" applyAlignment="1">
      <alignment horizontal="center" vertical="center"/>
    </xf>
    <xf numFmtId="10" fontId="28" fillId="0" borderId="213" xfId="144" applyNumberFormat="1" applyFont="1" applyFill="1" applyBorder="1" applyAlignment="1">
      <alignment horizontal="center" vertical="center"/>
    </xf>
    <xf numFmtId="10" fontId="28" fillId="0" borderId="118" xfId="144" applyNumberFormat="1" applyFont="1" applyFill="1" applyBorder="1" applyAlignment="1">
      <alignment horizontal="center" vertical="center"/>
    </xf>
    <xf numFmtId="10" fontId="28" fillId="0" borderId="119" xfId="144" applyNumberFormat="1" applyFont="1" applyFill="1" applyBorder="1" applyAlignment="1">
      <alignment horizontal="center" vertical="center"/>
    </xf>
    <xf numFmtId="0" fontId="29" fillId="26" borderId="6" xfId="0" applyFont="1" applyFill="1" applyBorder="1" applyAlignment="1">
      <alignment horizontal="center" vertical="center"/>
    </xf>
    <xf numFmtId="0" fontId="29" fillId="26" borderId="11" xfId="0" applyFont="1" applyFill="1" applyBorder="1" applyAlignment="1">
      <alignment horizontal="center" vertical="center"/>
    </xf>
    <xf numFmtId="0" fontId="29" fillId="26" borderId="106" xfId="0" applyFont="1" applyFill="1" applyBorder="1" applyAlignment="1">
      <alignment horizontal="center" vertical="center"/>
    </xf>
    <xf numFmtId="0" fontId="29" fillId="26" borderId="7" xfId="0" applyFont="1" applyFill="1" applyBorder="1" applyAlignment="1">
      <alignment horizontal="center" vertical="center"/>
    </xf>
    <xf numFmtId="0" fontId="29" fillId="26" borderId="8" xfId="0" applyFont="1" applyFill="1" applyBorder="1" applyAlignment="1">
      <alignment horizontal="center" vertical="center"/>
    </xf>
    <xf numFmtId="0" fontId="29" fillId="26" borderId="110" xfId="0" applyFont="1" applyFill="1" applyBorder="1" applyAlignment="1">
      <alignment horizontal="center" vertical="center"/>
    </xf>
    <xf numFmtId="0" fontId="29" fillId="26" borderId="107" xfId="0" applyFont="1" applyFill="1" applyBorder="1" applyAlignment="1">
      <alignment horizontal="center" vertical="center"/>
    </xf>
    <xf numFmtId="0" fontId="29" fillId="26" borderId="111" xfId="0" applyFont="1" applyFill="1" applyBorder="1" applyAlignment="1">
      <alignment horizontal="center" vertical="center"/>
    </xf>
    <xf numFmtId="0" fontId="29" fillId="26" borderId="108" xfId="0" applyFont="1" applyFill="1" applyBorder="1" applyAlignment="1">
      <alignment horizontal="center" vertical="center"/>
    </xf>
    <xf numFmtId="0" fontId="29" fillId="26" borderId="112" xfId="0" applyFont="1" applyFill="1" applyBorder="1" applyAlignment="1">
      <alignment horizontal="center" vertical="center"/>
    </xf>
    <xf numFmtId="172" fontId="29" fillId="0" borderId="0" xfId="92" applyFont="1" applyAlignment="1">
      <alignment horizontal="justify" vertical="center"/>
    </xf>
    <xf numFmtId="0" fontId="28" fillId="0" borderId="121" xfId="0" applyFont="1" applyBorder="1" applyAlignment="1">
      <alignment horizontal="left" vertical="center" wrapText="1"/>
    </xf>
    <xf numFmtId="4" fontId="29" fillId="30" borderId="214" xfId="195" applyNumberFormat="1" applyFont="1" applyFill="1" applyBorder="1" applyAlignment="1">
      <alignment horizontal="center" vertical="center"/>
    </xf>
    <xf numFmtId="4" fontId="29" fillId="30" borderId="129" xfId="195" applyNumberFormat="1" applyFont="1" applyFill="1" applyBorder="1" applyAlignment="1">
      <alignment horizontal="center" vertical="center"/>
    </xf>
    <xf numFmtId="4" fontId="29" fillId="30" borderId="130" xfId="195" applyNumberFormat="1" applyFont="1" applyFill="1" applyBorder="1" applyAlignment="1">
      <alignment horizontal="center" vertical="center"/>
    </xf>
    <xf numFmtId="4" fontId="29" fillId="26" borderId="214" xfId="22" applyNumberFormat="1" applyFont="1" applyFill="1" applyBorder="1" applyAlignment="1">
      <alignment horizontal="center" vertical="center"/>
    </xf>
    <xf numFmtId="10" fontId="28" fillId="26" borderId="215" xfId="195" applyNumberFormat="1" applyFont="1" applyFill="1" applyBorder="1" applyAlignment="1">
      <alignment horizontal="center" vertical="center"/>
    </xf>
    <xf numFmtId="0" fontId="28" fillId="0" borderId="126" xfId="0" quotePrefix="1" applyFont="1" applyBorder="1" applyAlignment="1">
      <alignment horizontal="center" vertical="center"/>
    </xf>
    <xf numFmtId="0" fontId="28" fillId="0" borderId="116" xfId="0" quotePrefix="1" applyFont="1" applyBorder="1" applyAlignment="1">
      <alignment horizontal="center" vertical="center"/>
    </xf>
    <xf numFmtId="0" fontId="29" fillId="33" borderId="0" xfId="0" applyFont="1" applyFill="1" applyAlignment="1">
      <alignment horizontal="left" vertical="center" wrapText="1"/>
    </xf>
    <xf numFmtId="4" fontId="29" fillId="33" borderId="0" xfId="0" applyNumberFormat="1" applyFont="1" applyFill="1" applyAlignment="1">
      <alignment horizontal="right" vertical="center" wrapText="1"/>
    </xf>
    <xf numFmtId="172" fontId="28" fillId="0" borderId="0" xfId="92" applyFont="1" applyAlignment="1">
      <alignment horizontal="justify" vertical="center"/>
    </xf>
    <xf numFmtId="172" fontId="29" fillId="28" borderId="139" xfId="92" applyFont="1" applyFill="1" applyBorder="1" applyAlignment="1">
      <alignment horizontal="center" vertical="center"/>
    </xf>
    <xf numFmtId="172" fontId="29" fillId="28" borderId="140" xfId="92" applyFont="1" applyFill="1" applyBorder="1" applyAlignment="1">
      <alignment horizontal="center" vertical="center"/>
    </xf>
    <xf numFmtId="172" fontId="29" fillId="28" borderId="193" xfId="92" applyFont="1" applyFill="1" applyBorder="1" applyAlignment="1">
      <alignment horizontal="center" vertical="center"/>
    </xf>
    <xf numFmtId="172" fontId="29" fillId="28" borderId="142" xfId="92" applyFont="1" applyFill="1" applyBorder="1" applyAlignment="1">
      <alignment horizontal="center" vertical="center"/>
    </xf>
    <xf numFmtId="172" fontId="29" fillId="28" borderId="143" xfId="92" applyFont="1" applyFill="1" applyBorder="1" applyAlignment="1">
      <alignment horizontal="center" vertical="center"/>
    </xf>
    <xf numFmtId="172" fontId="29" fillId="28" borderId="174" xfId="92" applyFont="1" applyFill="1" applyBorder="1" applyAlignment="1">
      <alignment horizontal="center" vertical="center"/>
    </xf>
    <xf numFmtId="172" fontId="29" fillId="28" borderId="151" xfId="92" applyFont="1" applyFill="1" applyBorder="1" applyAlignment="1">
      <alignment horizontal="center" vertical="center" wrapText="1"/>
    </xf>
    <xf numFmtId="172" fontId="29" fillId="28" borderId="152" xfId="92" applyFont="1" applyFill="1" applyBorder="1" applyAlignment="1">
      <alignment horizontal="center" vertical="center" wrapText="1"/>
    </xf>
    <xf numFmtId="172" fontId="64" fillId="0" borderId="195" xfId="92" applyFont="1" applyBorder="1" applyAlignment="1">
      <alignment horizontal="center" vertical="center" wrapText="1"/>
    </xf>
    <xf numFmtId="172" fontId="64" fillId="0" borderId="196" xfId="92" applyFont="1" applyBorder="1" applyAlignment="1">
      <alignment horizontal="center" vertical="center" wrapText="1"/>
    </xf>
    <xf numFmtId="172" fontId="64" fillId="0" borderId="197" xfId="92" applyFont="1" applyBorder="1" applyAlignment="1">
      <alignment horizontal="center" vertical="center" wrapText="1"/>
    </xf>
    <xf numFmtId="172" fontId="29" fillId="27" borderId="191" xfId="92" applyFont="1" applyFill="1" applyBorder="1" applyAlignment="1">
      <alignment horizontal="center" vertical="center"/>
    </xf>
    <xf numFmtId="172" fontId="29" fillId="27" borderId="192" xfId="92" applyFont="1" applyFill="1" applyBorder="1" applyAlignment="1">
      <alignment horizontal="center" vertical="center"/>
    </xf>
    <xf numFmtId="172" fontId="29" fillId="27" borderId="194" xfId="92" applyFont="1" applyFill="1" applyBorder="1" applyAlignment="1">
      <alignment horizontal="center" vertical="center"/>
    </xf>
    <xf numFmtId="0" fontId="29" fillId="27" borderId="104" xfId="0" applyFont="1" applyFill="1" applyBorder="1" applyAlignment="1">
      <alignment horizontal="center" vertical="center" wrapText="1"/>
    </xf>
    <xf numFmtId="0" fontId="29" fillId="27" borderId="109" xfId="0" applyFont="1" applyFill="1" applyBorder="1" applyAlignment="1">
      <alignment horizontal="center" vertical="center" wrapText="1"/>
    </xf>
    <xf numFmtId="0" fontId="29" fillId="27" borderId="107" xfId="0" applyFont="1" applyFill="1" applyBorder="1" applyAlignment="1">
      <alignment horizontal="center" vertical="center" wrapText="1"/>
    </xf>
    <xf numFmtId="0" fontId="29" fillId="27" borderId="111" xfId="0" applyFont="1" applyFill="1" applyBorder="1" applyAlignment="1">
      <alignment horizontal="center" vertical="center" wrapText="1"/>
    </xf>
    <xf numFmtId="0" fontId="28" fillId="27" borderId="127" xfId="0" applyFont="1" applyFill="1" applyBorder="1" applyAlignment="1">
      <alignment horizontal="center" vertical="center" wrapText="1"/>
    </xf>
    <xf numFmtId="0" fontId="28" fillId="27" borderId="128" xfId="0" applyFont="1" applyFill="1" applyBorder="1" applyAlignment="1">
      <alignment horizontal="center" vertical="center" wrapText="1"/>
    </xf>
    <xf numFmtId="0" fontId="28" fillId="27" borderId="131" xfId="0" applyFont="1" applyFill="1" applyBorder="1" applyAlignment="1">
      <alignment horizontal="center" vertical="center" wrapText="1"/>
    </xf>
    <xf numFmtId="0" fontId="28" fillId="3" borderId="214" xfId="0" applyFont="1" applyFill="1" applyBorder="1" applyAlignment="1">
      <alignment horizontal="center" vertical="center" wrapText="1"/>
    </xf>
    <xf numFmtId="0" fontId="28" fillId="3" borderId="129" xfId="0" applyFont="1" applyFill="1" applyBorder="1" applyAlignment="1">
      <alignment horizontal="center" vertical="center" wrapText="1"/>
    </xf>
    <xf numFmtId="0" fontId="28" fillId="3" borderId="131" xfId="0" applyFont="1" applyFill="1" applyBorder="1" applyAlignment="1">
      <alignment horizontal="center" vertical="center" wrapText="1"/>
    </xf>
    <xf numFmtId="0" fontId="28" fillId="3" borderId="219" xfId="0" applyFont="1" applyFill="1" applyBorder="1" applyAlignment="1">
      <alignment horizontal="center" vertical="center" wrapText="1"/>
    </xf>
    <xf numFmtId="0" fontId="28" fillId="3" borderId="220" xfId="0" applyFont="1" applyFill="1" applyBorder="1" applyAlignment="1">
      <alignment horizontal="center" vertical="center" wrapText="1"/>
    </xf>
    <xf numFmtId="0" fontId="28" fillId="3" borderId="221" xfId="0" applyFont="1" applyFill="1" applyBorder="1" applyAlignment="1">
      <alignment horizontal="center" vertical="center" wrapText="1"/>
    </xf>
    <xf numFmtId="0" fontId="29" fillId="27" borderId="136" xfId="0" applyFont="1" applyFill="1" applyBorder="1" applyAlignment="1">
      <alignment horizontal="center" vertical="center" wrapText="1"/>
    </xf>
    <xf numFmtId="0" fontId="32" fillId="26" borderId="237" xfId="0" applyFont="1" applyFill="1" applyBorder="1" applyAlignment="1">
      <alignment horizontal="right" vertical="center" wrapText="1"/>
    </xf>
    <xf numFmtId="0" fontId="29" fillId="26" borderId="82" xfId="0" applyFont="1" applyFill="1" applyBorder="1" applyAlignment="1">
      <alignment horizontal="right" vertical="center" wrapText="1"/>
    </xf>
    <xf numFmtId="0" fontId="29" fillId="26" borderId="169" xfId="0" applyFont="1" applyFill="1" applyBorder="1" applyAlignment="1">
      <alignment horizontal="right" vertical="center" wrapText="1"/>
    </xf>
    <xf numFmtId="4" fontId="28" fillId="3" borderId="29" xfId="9" applyNumberFormat="1" applyFont="1" applyFill="1" applyBorder="1" applyAlignment="1" applyProtection="1">
      <alignment horizontal="justify" vertical="center"/>
      <protection locked="0"/>
    </xf>
    <xf numFmtId="0" fontId="28" fillId="3" borderId="29" xfId="9" applyFont="1" applyFill="1" applyBorder="1" applyAlignment="1" applyProtection="1">
      <alignment horizontal="justify" vertical="center"/>
      <protection locked="0"/>
    </xf>
    <xf numFmtId="0" fontId="28" fillId="3" borderId="30" xfId="9" applyFont="1" applyFill="1" applyBorder="1" applyAlignment="1" applyProtection="1">
      <alignment horizontal="justify" vertical="center"/>
      <protection locked="0"/>
    </xf>
    <xf numFmtId="0" fontId="28" fillId="3" borderId="29" xfId="9" applyFont="1" applyFill="1" applyBorder="1" applyAlignment="1" applyProtection="1">
      <alignment horizontal="justify" vertical="center" wrapText="1"/>
      <protection locked="0"/>
    </xf>
    <xf numFmtId="0" fontId="29" fillId="28" borderId="37" xfId="8" applyFont="1" applyFill="1" applyBorder="1" applyAlignment="1">
      <alignment horizontal="center" vertical="center"/>
    </xf>
    <xf numFmtId="0" fontId="29" fillId="28" borderId="40" xfId="8" applyFont="1" applyFill="1" applyBorder="1" applyAlignment="1">
      <alignment horizontal="center" vertical="center"/>
    </xf>
    <xf numFmtId="0" fontId="29" fillId="28" borderId="38" xfId="8" applyFont="1" applyFill="1" applyBorder="1" applyAlignment="1">
      <alignment horizontal="center" vertical="center"/>
    </xf>
    <xf numFmtId="0" fontId="29" fillId="28" borderId="41" xfId="8" applyFont="1" applyFill="1" applyBorder="1" applyAlignment="1">
      <alignment horizontal="center" vertical="center"/>
    </xf>
    <xf numFmtId="4" fontId="29" fillId="28" borderId="45" xfId="26" applyNumberFormat="1" applyFont="1" applyFill="1" applyBorder="1" applyAlignment="1">
      <alignment horizontal="center" vertical="center" wrapText="1"/>
    </xf>
    <xf numFmtId="4" fontId="29" fillId="28" borderId="44" xfId="26" applyNumberFormat="1" applyFont="1" applyFill="1" applyBorder="1" applyAlignment="1">
      <alignment horizontal="center" vertical="center"/>
    </xf>
    <xf numFmtId="4" fontId="29" fillId="28" borderId="45" xfId="26" applyNumberFormat="1" applyFont="1" applyFill="1" applyBorder="1" applyAlignment="1">
      <alignment horizontal="center" vertical="center"/>
    </xf>
    <xf numFmtId="4" fontId="29" fillId="28" borderId="39" xfId="26" applyNumberFormat="1" applyFont="1" applyFill="1" applyBorder="1" applyAlignment="1">
      <alignment horizontal="center" vertical="center"/>
    </xf>
    <xf numFmtId="4" fontId="29" fillId="28" borderId="42" xfId="26" applyNumberFormat="1" applyFont="1" applyFill="1" applyBorder="1" applyAlignment="1">
      <alignment horizontal="center" vertical="center"/>
    </xf>
    <xf numFmtId="0" fontId="28" fillId="3" borderId="32" xfId="9" applyFont="1" applyFill="1" applyBorder="1" applyAlignment="1" applyProtection="1">
      <alignment horizontal="justify" vertical="center"/>
      <protection locked="0"/>
    </xf>
    <xf numFmtId="0" fontId="28" fillId="3" borderId="33" xfId="9" applyFont="1" applyFill="1" applyBorder="1" applyAlignment="1" applyProtection="1">
      <alignment horizontal="justify" vertical="center"/>
      <protection locked="0"/>
    </xf>
    <xf numFmtId="0" fontId="30" fillId="3" borderId="0" xfId="145" applyFont="1" applyFill="1" applyAlignment="1">
      <alignment horizontal="center" vertical="center" wrapText="1"/>
    </xf>
    <xf numFmtId="0" fontId="58" fillId="3" borderId="0" xfId="145" applyFont="1" applyFill="1" applyAlignment="1">
      <alignment horizontal="center" vertical="center"/>
    </xf>
    <xf numFmtId="10" fontId="58" fillId="3" borderId="0" xfId="144" applyNumberFormat="1" applyFont="1" applyFill="1" applyAlignment="1">
      <alignment horizontal="center" vertical="center"/>
    </xf>
    <xf numFmtId="0" fontId="28" fillId="0" borderId="143" xfId="0" applyFont="1" applyBorder="1" applyAlignment="1">
      <alignment horizontal="center" vertical="center" wrapText="1"/>
    </xf>
    <xf numFmtId="0" fontId="28" fillId="0" borderId="143" xfId="0" applyFont="1" applyBorder="1" applyAlignment="1">
      <alignment horizontal="left" vertical="center"/>
    </xf>
    <xf numFmtId="0" fontId="30" fillId="3" borderId="0" xfId="145" applyFont="1" applyFill="1" applyAlignment="1">
      <alignment horizontal="justify" vertical="center" wrapText="1"/>
    </xf>
    <xf numFmtId="2" fontId="29" fillId="3" borderId="0" xfId="145" applyNumberFormat="1" applyFont="1" applyFill="1" applyAlignment="1">
      <alignment horizontal="right" vertical="center"/>
    </xf>
    <xf numFmtId="0" fontId="29" fillId="26" borderId="172" xfId="0" applyFont="1" applyFill="1" applyBorder="1" applyAlignment="1">
      <alignment horizontal="center" vertical="center" wrapText="1"/>
    </xf>
    <xf numFmtId="0" fontId="29" fillId="26" borderId="143" xfId="0" applyFont="1" applyFill="1" applyBorder="1" applyAlignment="1">
      <alignment horizontal="center" vertical="center" wrapText="1"/>
    </xf>
    <xf numFmtId="0" fontId="29" fillId="26" borderId="180" xfId="0" applyFont="1" applyFill="1" applyBorder="1" applyAlignment="1">
      <alignment horizontal="center" vertical="center" wrapText="1"/>
    </xf>
    <xf numFmtId="0" fontId="29" fillId="26" borderId="149" xfId="0" applyFont="1" applyFill="1" applyBorder="1" applyAlignment="1">
      <alignment horizontal="center" vertical="center" wrapText="1"/>
    </xf>
    <xf numFmtId="0" fontId="58" fillId="26" borderId="158" xfId="145" applyFont="1" applyFill="1" applyBorder="1" applyAlignment="1">
      <alignment horizontal="center" vertical="center"/>
    </xf>
    <xf numFmtId="0" fontId="1" fillId="3" borderId="0" xfId="0" applyFont="1" applyFill="1" applyAlignment="1">
      <alignment horizontal="justify" vertical="center"/>
    </xf>
    <xf numFmtId="0" fontId="28" fillId="0" borderId="143" xfId="0" applyFont="1" applyBorder="1" applyAlignment="1">
      <alignment horizontal="center" vertical="center"/>
    </xf>
    <xf numFmtId="0" fontId="58" fillId="3" borderId="0" xfId="145" applyFont="1" applyFill="1" applyAlignment="1">
      <alignment horizontal="left" vertical="center"/>
    </xf>
    <xf numFmtId="0" fontId="29" fillId="3" borderId="0" xfId="145" applyFont="1" applyFill="1" applyAlignment="1">
      <alignment horizontal="right" vertical="center"/>
    </xf>
    <xf numFmtId="0" fontId="28" fillId="3" borderId="0" xfId="145" applyFill="1" applyAlignment="1">
      <alignment horizontal="justify" vertical="center"/>
    </xf>
    <xf numFmtId="0" fontId="34" fillId="31" borderId="173" xfId="2" applyFont="1" applyFill="1" applyBorder="1" applyAlignment="1">
      <alignment horizontal="right" vertical="center" wrapText="1"/>
    </xf>
    <xf numFmtId="0" fontId="34" fillId="32" borderId="172" xfId="2" applyFont="1" applyFill="1" applyBorder="1" applyAlignment="1">
      <alignment horizontal="center" vertical="center" wrapText="1"/>
    </xf>
    <xf numFmtId="0" fontId="34" fillId="32" borderId="174" xfId="2" applyFont="1" applyFill="1" applyBorder="1" applyAlignment="1">
      <alignment horizontal="left" vertical="center" wrapText="1"/>
    </xf>
    <xf numFmtId="0" fontId="34" fillId="32" borderId="175" xfId="2" applyFont="1" applyFill="1" applyBorder="1" applyAlignment="1">
      <alignment horizontal="left" vertical="center" wrapText="1"/>
    </xf>
    <xf numFmtId="0" fontId="34" fillId="32" borderId="165" xfId="2" applyFont="1" applyFill="1" applyBorder="1" applyAlignment="1">
      <alignment horizontal="left" vertical="center" wrapText="1"/>
    </xf>
    <xf numFmtId="0" fontId="34" fillId="32" borderId="174" xfId="2" applyFont="1" applyFill="1" applyBorder="1" applyAlignment="1">
      <alignment horizontal="left" vertical="center"/>
    </xf>
    <xf numFmtId="0" fontId="34" fillId="32" borderId="175" xfId="2" applyFont="1" applyFill="1" applyBorder="1" applyAlignment="1">
      <alignment horizontal="left" vertical="center"/>
    </xf>
    <xf numFmtId="0" fontId="34" fillId="32" borderId="165" xfId="2" applyFont="1" applyFill="1" applyBorder="1" applyAlignment="1">
      <alignment horizontal="left" vertical="center"/>
    </xf>
    <xf numFmtId="0" fontId="34" fillId="0" borderId="158" xfId="2" applyFont="1" applyBorder="1" applyAlignment="1">
      <alignment horizontal="right" vertical="center" wrapText="1"/>
    </xf>
    <xf numFmtId="0" fontId="34" fillId="31" borderId="158" xfId="2" applyFont="1" applyFill="1" applyBorder="1" applyAlignment="1">
      <alignment horizontal="center" vertical="center" wrapText="1"/>
    </xf>
    <xf numFmtId="0" fontId="29" fillId="3" borderId="180" xfId="145" applyFont="1" applyFill="1" applyBorder="1" applyAlignment="1">
      <alignment horizontal="center" vertical="center"/>
    </xf>
    <xf numFmtId="0" fontId="29" fillId="3" borderId="181" xfId="145" applyFont="1" applyFill="1" applyBorder="1" applyAlignment="1">
      <alignment horizontal="center" vertical="center"/>
    </xf>
    <xf numFmtId="0" fontId="29" fillId="3" borderId="182" xfId="145" applyFont="1" applyFill="1" applyBorder="1" applyAlignment="1">
      <alignment horizontal="center" vertical="center"/>
    </xf>
    <xf numFmtId="0" fontId="29" fillId="3" borderId="183" xfId="145" applyFont="1" applyFill="1" applyBorder="1" applyAlignment="1">
      <alignment horizontal="center" vertical="center"/>
    </xf>
    <xf numFmtId="0" fontId="29" fillId="3" borderId="179" xfId="145" applyFont="1" applyFill="1" applyBorder="1" applyAlignment="1">
      <alignment horizontal="center" vertical="center"/>
    </xf>
    <xf numFmtId="0" fontId="29" fillId="3" borderId="185" xfId="145" applyFont="1" applyFill="1" applyBorder="1" applyAlignment="1">
      <alignment horizontal="center" vertical="center"/>
    </xf>
    <xf numFmtId="0" fontId="29" fillId="3" borderId="0" xfId="145" applyFont="1" applyFill="1" applyAlignment="1">
      <alignment horizontal="center" vertical="center"/>
    </xf>
    <xf numFmtId="0" fontId="29" fillId="3" borderId="187" xfId="145" applyFont="1" applyFill="1" applyBorder="1" applyAlignment="1">
      <alignment horizontal="center" vertical="center"/>
    </xf>
    <xf numFmtId="0" fontId="29" fillId="3" borderId="188" xfId="145" applyFont="1" applyFill="1" applyBorder="1" applyAlignment="1">
      <alignment horizontal="center" vertical="center"/>
    </xf>
    <xf numFmtId="0" fontId="29" fillId="3" borderId="184" xfId="145" applyFont="1" applyFill="1" applyBorder="1" applyAlignment="1">
      <alignment horizontal="left" vertical="center"/>
    </xf>
    <xf numFmtId="0" fontId="29" fillId="3" borderId="186" xfId="145" applyFont="1" applyFill="1" applyBorder="1" applyAlignment="1">
      <alignment horizontal="left" vertical="center"/>
    </xf>
    <xf numFmtId="0" fontId="29" fillId="3" borderId="189" xfId="145" applyFont="1" applyFill="1" applyBorder="1" applyAlignment="1">
      <alignment horizontal="left" vertical="center"/>
    </xf>
    <xf numFmtId="0" fontId="34" fillId="0" borderId="172" xfId="2" applyFont="1" applyBorder="1" applyAlignment="1">
      <alignment horizontal="right" vertical="center" wrapText="1"/>
    </xf>
    <xf numFmtId="0" fontId="34" fillId="31" borderId="143" xfId="2" applyFont="1" applyFill="1" applyBorder="1" applyAlignment="1">
      <alignment horizontal="right" vertical="center" wrapText="1"/>
    </xf>
    <xf numFmtId="0" fontId="28" fillId="3" borderId="0" xfId="145" applyFill="1" applyAlignment="1">
      <alignment horizontal="justify" vertical="center" wrapText="1"/>
    </xf>
    <xf numFmtId="4" fontId="58" fillId="27" borderId="85" xfId="200" applyNumberFormat="1" applyFont="1" applyFill="1" applyBorder="1" applyAlignment="1">
      <alignment horizontal="center" vertical="center" wrapText="1"/>
    </xf>
    <xf numFmtId="4" fontId="58" fillId="27" borderId="84" xfId="200" applyNumberFormat="1" applyFont="1" applyFill="1" applyBorder="1" applyAlignment="1">
      <alignment horizontal="center" vertical="center" wrapText="1"/>
    </xf>
    <xf numFmtId="4" fontId="58" fillId="27" borderId="67" xfId="200" applyNumberFormat="1" applyFont="1" applyFill="1" applyBorder="1" applyAlignment="1">
      <alignment horizontal="center" vertical="center" wrapText="1"/>
    </xf>
    <xf numFmtId="4" fontId="58" fillId="27" borderId="82" xfId="200" applyNumberFormat="1" applyFont="1" applyFill="1" applyBorder="1" applyAlignment="1">
      <alignment horizontal="center" vertical="center" wrapText="1"/>
    </xf>
    <xf numFmtId="4" fontId="58" fillId="27" borderId="68" xfId="200" applyNumberFormat="1" applyFont="1" applyFill="1" applyBorder="1" applyAlignment="1">
      <alignment horizontal="center" vertical="center" wrapText="1"/>
    </xf>
    <xf numFmtId="4" fontId="58" fillId="27" borderId="85" xfId="200" quotePrefix="1" applyNumberFormat="1" applyFont="1" applyFill="1" applyBorder="1" applyAlignment="1">
      <alignment horizontal="center" vertical="center"/>
    </xf>
    <xf numFmtId="4" fontId="58" fillId="27" borderId="84" xfId="200" quotePrefix="1" applyNumberFormat="1" applyFont="1" applyFill="1" applyBorder="1" applyAlignment="1">
      <alignment horizontal="center" vertical="center"/>
    </xf>
    <xf numFmtId="4" fontId="58" fillId="27" borderId="95" xfId="200" quotePrefix="1" applyNumberFormat="1" applyFont="1" applyFill="1" applyBorder="1" applyAlignment="1">
      <alignment horizontal="center" vertical="center"/>
    </xf>
    <xf numFmtId="4" fontId="58" fillId="27" borderId="96" xfId="200" quotePrefix="1" applyNumberFormat="1" applyFont="1" applyFill="1" applyBorder="1" applyAlignment="1">
      <alignment horizontal="center" vertical="center"/>
    </xf>
    <xf numFmtId="4" fontId="58" fillId="27" borderId="98" xfId="200" quotePrefix="1" applyNumberFormat="1" applyFont="1" applyFill="1" applyBorder="1" applyAlignment="1">
      <alignment horizontal="center" vertical="center"/>
    </xf>
    <xf numFmtId="4" fontId="58" fillId="27" borderId="99" xfId="200" quotePrefix="1" applyNumberFormat="1" applyFont="1" applyFill="1" applyBorder="1" applyAlignment="1">
      <alignment horizontal="center" vertical="center"/>
    </xf>
    <xf numFmtId="4" fontId="58" fillId="27" borderId="170" xfId="200" quotePrefix="1" applyNumberFormat="1" applyFont="1" applyFill="1" applyBorder="1" applyAlignment="1">
      <alignment horizontal="center" vertical="center" wrapText="1"/>
    </xf>
    <xf numFmtId="4" fontId="58" fillId="27" borderId="171" xfId="200" quotePrefix="1" applyNumberFormat="1" applyFont="1" applyFill="1" applyBorder="1" applyAlignment="1">
      <alignment horizontal="center" vertical="center" wrapText="1"/>
    </xf>
    <xf numFmtId="4" fontId="28" fillId="0" borderId="101" xfId="200" quotePrefix="1" applyNumberFormat="1" applyFont="1" applyBorder="1" applyAlignment="1">
      <alignment horizontal="center" vertical="center" wrapText="1"/>
    </xf>
    <xf numFmtId="4" fontId="28" fillId="0" borderId="90" xfId="200" quotePrefix="1" applyNumberFormat="1" applyFont="1" applyBorder="1" applyAlignment="1">
      <alignment horizontal="center" vertical="center" wrapText="1"/>
    </xf>
    <xf numFmtId="4" fontId="28" fillId="0" borderId="91" xfId="200" quotePrefix="1" applyNumberFormat="1" applyFont="1" applyBorder="1" applyAlignment="1">
      <alignment horizontal="center" vertical="center" wrapText="1"/>
    </xf>
    <xf numFmtId="4" fontId="28" fillId="0" borderId="30" xfId="200" quotePrefix="1" applyNumberFormat="1" applyFont="1" applyBorder="1" applyAlignment="1">
      <alignment horizontal="center" vertical="center" wrapText="1"/>
    </xf>
    <xf numFmtId="4" fontId="28" fillId="0" borderId="88" xfId="200" quotePrefix="1" applyNumberFormat="1" applyFont="1" applyBorder="1" applyAlignment="1">
      <alignment horizontal="center" vertical="center" wrapText="1"/>
    </xf>
    <xf numFmtId="4" fontId="28" fillId="0" borderId="89" xfId="200" quotePrefix="1" applyNumberFormat="1" applyFont="1" applyBorder="1" applyAlignment="1">
      <alignment horizontal="center" vertical="center" wrapText="1"/>
    </xf>
    <xf numFmtId="4" fontId="28" fillId="0" borderId="0" xfId="200" quotePrefix="1" applyNumberFormat="1" applyFont="1" applyAlignment="1">
      <alignment horizontal="center" vertical="center"/>
    </xf>
    <xf numFmtId="4" fontId="29" fillId="27" borderId="79" xfId="200" quotePrefix="1" applyNumberFormat="1" applyFont="1" applyFill="1" applyBorder="1" applyAlignment="1">
      <alignment horizontal="center" vertical="center"/>
    </xf>
    <xf numFmtId="4" fontId="29" fillId="27" borderId="80" xfId="200" quotePrefix="1" applyNumberFormat="1" applyFont="1" applyFill="1" applyBorder="1" applyAlignment="1">
      <alignment horizontal="center" vertical="center"/>
    </xf>
    <xf numFmtId="4" fontId="29" fillId="27" borderId="81" xfId="200" quotePrefix="1" applyNumberFormat="1" applyFont="1" applyFill="1" applyBorder="1" applyAlignment="1">
      <alignment horizontal="center" vertical="center"/>
    </xf>
    <xf numFmtId="4" fontId="29" fillId="27" borderId="83" xfId="200" quotePrefix="1" applyNumberFormat="1" applyFont="1" applyFill="1" applyBorder="1" applyAlignment="1">
      <alignment horizontal="center" vertical="center" wrapText="1"/>
    </xf>
    <xf numFmtId="4" fontId="29" fillId="27" borderId="84" xfId="200" quotePrefix="1" applyNumberFormat="1" applyFont="1" applyFill="1" applyBorder="1" applyAlignment="1">
      <alignment horizontal="center" vertical="center" wrapText="1"/>
    </xf>
    <xf numFmtId="4" fontId="29" fillId="27" borderId="59" xfId="200" applyNumberFormat="1" applyFont="1" applyFill="1" applyBorder="1" applyAlignment="1">
      <alignment horizontal="center" vertical="center" wrapText="1"/>
    </xf>
    <xf numFmtId="4" fontId="29" fillId="27" borderId="62" xfId="200" applyNumberFormat="1" applyFont="1" applyFill="1" applyBorder="1" applyAlignment="1">
      <alignment horizontal="center" vertical="center" wrapText="1"/>
    </xf>
    <xf numFmtId="4" fontId="29" fillId="27" borderId="62" xfId="200" applyNumberFormat="1" applyFont="1" applyFill="1" applyBorder="1" applyAlignment="1">
      <alignment horizontal="center" vertical="center"/>
    </xf>
    <xf numFmtId="4" fontId="28" fillId="0" borderId="72" xfId="200" quotePrefix="1" applyNumberFormat="1" applyFont="1" applyBorder="1" applyAlignment="1">
      <alignment horizontal="center" vertical="center" wrapText="1"/>
    </xf>
    <xf numFmtId="4" fontId="28" fillId="0" borderId="26" xfId="200" quotePrefix="1" applyNumberFormat="1" applyFont="1" applyBorder="1" applyAlignment="1">
      <alignment horizontal="center" vertical="center"/>
    </xf>
    <xf numFmtId="4" fontId="29" fillId="27" borderId="58" xfId="200" quotePrefix="1" applyNumberFormat="1" applyFont="1" applyFill="1" applyBorder="1" applyAlignment="1">
      <alignment horizontal="center" vertical="center"/>
    </xf>
    <xf numFmtId="4" fontId="29" fillId="27" borderId="59" xfId="200" quotePrefix="1" applyNumberFormat="1" applyFont="1" applyFill="1" applyBorder="1" applyAlignment="1">
      <alignment horizontal="center" vertical="center"/>
    </xf>
    <xf numFmtId="4" fontId="29" fillId="27" borderId="61" xfId="200" quotePrefix="1" applyNumberFormat="1" applyFont="1" applyFill="1" applyBorder="1" applyAlignment="1">
      <alignment horizontal="center" vertical="center"/>
    </xf>
    <xf numFmtId="4" fontId="29" fillId="27" borderId="62" xfId="200" quotePrefix="1" applyNumberFormat="1" applyFont="1" applyFill="1" applyBorder="1" applyAlignment="1">
      <alignment horizontal="center" vertical="center"/>
    </xf>
    <xf numFmtId="4" fontId="29" fillId="27" borderId="64" xfId="200" quotePrefix="1" applyNumberFormat="1" applyFont="1" applyFill="1" applyBorder="1" applyAlignment="1">
      <alignment horizontal="center" vertical="center"/>
    </xf>
    <xf numFmtId="4" fontId="29" fillId="27" borderId="65" xfId="200" quotePrefix="1" applyNumberFormat="1" applyFont="1" applyFill="1" applyBorder="1" applyAlignment="1">
      <alignment horizontal="center" vertical="center"/>
    </xf>
    <xf numFmtId="4" fontId="29" fillId="27" borderId="85" xfId="200" applyNumberFormat="1" applyFont="1" applyFill="1" applyBorder="1" applyAlignment="1">
      <alignment horizontal="center" vertical="center" wrapText="1"/>
    </xf>
    <xf numFmtId="4" fontId="29" fillId="27" borderId="43" xfId="200" applyNumberFormat="1" applyFont="1" applyFill="1" applyBorder="1" applyAlignment="1">
      <alignment horizontal="center" vertical="center" wrapText="1"/>
    </xf>
    <xf numFmtId="4" fontId="29" fillId="27" borderId="84" xfId="200" applyNumberFormat="1" applyFont="1" applyFill="1" applyBorder="1" applyAlignment="1">
      <alignment horizontal="center" vertical="center" wrapText="1"/>
    </xf>
    <xf numFmtId="4" fontId="29" fillId="27" borderId="67" xfId="200" quotePrefix="1" applyNumberFormat="1" applyFont="1" applyFill="1" applyBorder="1" applyAlignment="1">
      <alignment horizontal="center" vertical="center" wrapText="1"/>
    </xf>
    <xf numFmtId="4" fontId="29" fillId="27" borderId="82" xfId="200" quotePrefix="1" applyNumberFormat="1" applyFont="1" applyFill="1" applyBorder="1" applyAlignment="1">
      <alignment horizontal="center" vertical="center" wrapText="1"/>
    </xf>
    <xf numFmtId="4" fontId="29" fillId="27" borderId="68" xfId="200" quotePrefix="1" applyNumberFormat="1" applyFont="1" applyFill="1" applyBorder="1" applyAlignment="1">
      <alignment horizontal="center" vertical="center" wrapText="1"/>
    </xf>
    <xf numFmtId="4" fontId="29" fillId="27" borderId="137" xfId="200" applyNumberFormat="1" applyFont="1" applyFill="1" applyBorder="1" applyAlignment="1">
      <alignment horizontal="center" vertical="center" wrapText="1"/>
    </xf>
    <xf numFmtId="4" fontId="29" fillId="27" borderId="60" xfId="200" applyNumberFormat="1" applyFont="1" applyFill="1" applyBorder="1" applyAlignment="1">
      <alignment horizontal="center" vertical="center" wrapText="1"/>
    </xf>
    <xf numFmtId="4" fontId="29" fillId="27" borderId="63" xfId="200" applyNumberFormat="1" applyFont="1" applyFill="1" applyBorder="1" applyAlignment="1">
      <alignment horizontal="center" vertical="center" wrapText="1"/>
    </xf>
    <xf numFmtId="4" fontId="29" fillId="27" borderId="59" xfId="200" applyNumberFormat="1" applyFont="1" applyFill="1" applyBorder="1" applyAlignment="1">
      <alignment horizontal="center" vertical="center"/>
    </xf>
    <xf numFmtId="4" fontId="28" fillId="0" borderId="69" xfId="200" quotePrefix="1" applyNumberFormat="1" applyFont="1" applyBorder="1" applyAlignment="1">
      <alignment horizontal="center" vertical="center" wrapText="1"/>
    </xf>
    <xf numFmtId="4" fontId="28" fillId="0" borderId="70" xfId="200" quotePrefix="1" applyNumberFormat="1" applyFont="1" applyBorder="1" applyAlignment="1">
      <alignment horizontal="center" vertical="center"/>
    </xf>
    <xf numFmtId="174" fontId="55" fillId="3" borderId="72" xfId="0" applyNumberFormat="1" applyFont="1" applyFill="1" applyBorder="1" applyAlignment="1">
      <alignment horizontal="left" vertical="center"/>
    </xf>
    <xf numFmtId="174" fontId="55" fillId="3" borderId="26" xfId="0" applyNumberFormat="1" applyFont="1" applyFill="1" applyBorder="1" applyAlignment="1">
      <alignment horizontal="left" vertical="center"/>
    </xf>
    <xf numFmtId="0" fontId="54" fillId="27" borderId="93" xfId="145" applyFont="1" applyFill="1" applyBorder="1" applyAlignment="1">
      <alignment horizontal="center" vertical="center"/>
    </xf>
    <xf numFmtId="0" fontId="54" fillId="27" borderId="77" xfId="145" applyFont="1" applyFill="1" applyBorder="1" applyAlignment="1">
      <alignment horizontal="center" vertical="center"/>
    </xf>
    <xf numFmtId="0" fontId="56" fillId="27" borderId="70" xfId="0" applyFont="1" applyFill="1" applyBorder="1" applyAlignment="1">
      <alignment horizontal="left" vertical="center"/>
    </xf>
    <xf numFmtId="0" fontId="56" fillId="27" borderId="71" xfId="0" applyFont="1" applyFill="1" applyBorder="1" applyAlignment="1">
      <alignment horizontal="left" vertical="center"/>
    </xf>
    <xf numFmtId="0" fontId="28" fillId="3" borderId="0" xfId="145" quotePrefix="1" applyFill="1" applyAlignment="1">
      <alignment horizontal="center" vertical="center"/>
    </xf>
    <xf numFmtId="174" fontId="55" fillId="3" borderId="94" xfId="0" applyNumberFormat="1" applyFont="1" applyFill="1" applyBorder="1" applyAlignment="1">
      <alignment horizontal="left" vertical="center"/>
    </xf>
    <xf numFmtId="174" fontId="55" fillId="3" borderId="57" xfId="0" applyNumberFormat="1" applyFont="1" applyFill="1" applyBorder="1" applyAlignment="1">
      <alignment horizontal="left" vertical="center"/>
    </xf>
    <xf numFmtId="4" fontId="57" fillId="27" borderId="93" xfId="0" applyNumberFormat="1" applyFont="1" applyFill="1" applyBorder="1" applyAlignment="1">
      <alignment horizontal="center" vertical="center"/>
    </xf>
    <xf numFmtId="4" fontId="57" fillId="27" borderId="77" xfId="0" applyNumberFormat="1" applyFont="1" applyFill="1" applyBorder="1" applyAlignment="1">
      <alignment horizontal="center" vertical="center"/>
    </xf>
    <xf numFmtId="0" fontId="48" fillId="3" borderId="74" xfId="0" applyFont="1" applyFill="1" applyBorder="1" applyAlignment="1">
      <alignment horizontal="justify" vertical="center" wrapText="1"/>
    </xf>
    <xf numFmtId="0" fontId="48" fillId="3" borderId="89" xfId="0" applyFont="1" applyFill="1" applyBorder="1" applyAlignment="1">
      <alignment horizontal="justify" vertical="center" wrapText="1"/>
    </xf>
    <xf numFmtId="0" fontId="48" fillId="3" borderId="75" xfId="0" applyFont="1" applyFill="1" applyBorder="1" applyAlignment="1">
      <alignment horizontal="justify" vertical="center" wrapText="1"/>
    </xf>
    <xf numFmtId="0" fontId="30" fillId="3" borderId="72" xfId="0" applyFont="1" applyFill="1" applyBorder="1" applyAlignment="1">
      <alignment horizontal="justify" vertical="center" wrapText="1"/>
    </xf>
    <xf numFmtId="0" fontId="30" fillId="3" borderId="30" xfId="0" applyFont="1" applyFill="1" applyBorder="1" applyAlignment="1">
      <alignment horizontal="justify" vertical="center" wrapText="1"/>
    </xf>
    <xf numFmtId="0" fontId="30" fillId="3" borderId="26" xfId="0" applyFont="1" applyFill="1" applyBorder="1" applyAlignment="1">
      <alignment horizontal="justify" vertical="center" wrapText="1"/>
    </xf>
    <xf numFmtId="0" fontId="33" fillId="27" borderId="58" xfId="0" applyFont="1" applyFill="1" applyBorder="1" applyAlignment="1">
      <alignment horizontal="center" vertical="center" wrapText="1"/>
    </xf>
    <xf numFmtId="0" fontId="33" fillId="27" borderId="68" xfId="0" applyFont="1" applyFill="1" applyBorder="1" applyAlignment="1">
      <alignment horizontal="center" vertical="center" wrapText="1"/>
    </xf>
    <xf numFmtId="0" fontId="33" fillId="27" borderId="59" xfId="0" applyFont="1" applyFill="1" applyBorder="1" applyAlignment="1">
      <alignment horizontal="center" vertical="center" wrapText="1"/>
    </xf>
    <xf numFmtId="0" fontId="33" fillId="27" borderId="64" xfId="0" applyFont="1" applyFill="1" applyBorder="1" applyAlignment="1">
      <alignment horizontal="center" vertical="center" wrapText="1"/>
    </xf>
    <xf numFmtId="0" fontId="33" fillId="27" borderId="138" xfId="0" applyFont="1" applyFill="1" applyBorder="1" applyAlignment="1">
      <alignment horizontal="center" vertical="center" wrapText="1"/>
    </xf>
    <xf numFmtId="0" fontId="33" fillId="27" borderId="65" xfId="0" applyFont="1" applyFill="1" applyBorder="1" applyAlignment="1">
      <alignment horizontal="center" vertical="center" wrapText="1"/>
    </xf>
    <xf numFmtId="4" fontId="42" fillId="27" borderId="59" xfId="0" applyNumberFormat="1" applyFont="1" applyFill="1" applyBorder="1" applyAlignment="1">
      <alignment horizontal="center" vertical="center" wrapText="1"/>
    </xf>
    <xf numFmtId="4" fontId="42" fillId="27" borderId="65" xfId="0" applyNumberFormat="1" applyFont="1" applyFill="1" applyBorder="1" applyAlignment="1">
      <alignment horizontal="center" vertical="center" wrapText="1"/>
    </xf>
    <xf numFmtId="4" fontId="42" fillId="27" borderId="60" xfId="0" applyNumberFormat="1" applyFont="1" applyFill="1" applyBorder="1" applyAlignment="1">
      <alignment horizontal="center" vertical="center" wrapText="1"/>
    </xf>
    <xf numFmtId="4" fontId="42" fillId="27" borderId="66" xfId="0" applyNumberFormat="1" applyFont="1" applyFill="1" applyBorder="1" applyAlignment="1">
      <alignment horizontal="center" vertical="center" wrapText="1"/>
    </xf>
    <xf numFmtId="0" fontId="46" fillId="3" borderId="72" xfId="0" applyFont="1" applyFill="1" applyBorder="1" applyAlignment="1">
      <alignment horizontal="justify" vertical="center" wrapText="1"/>
    </xf>
    <xf numFmtId="0" fontId="46" fillId="3" borderId="30" xfId="0" applyFont="1" applyFill="1" applyBorder="1" applyAlignment="1">
      <alignment horizontal="justify" vertical="center" wrapText="1"/>
    </xf>
    <xf numFmtId="0" fontId="46" fillId="3" borderId="26" xfId="0" applyFont="1" applyFill="1" applyBorder="1" applyAlignment="1">
      <alignment horizontal="justify" vertical="center" wrapText="1"/>
    </xf>
    <xf numFmtId="0" fontId="40" fillId="3" borderId="91" xfId="0" applyFont="1" applyFill="1" applyBorder="1" applyAlignment="1">
      <alignment horizontal="justify" vertical="center"/>
    </xf>
    <xf numFmtId="0" fontId="40" fillId="3" borderId="29" xfId="0" applyFont="1" applyFill="1" applyBorder="1" applyAlignment="1">
      <alignment horizontal="justify" vertical="center"/>
    </xf>
    <xf numFmtId="0" fontId="40" fillId="3" borderId="30" xfId="0" applyFont="1" applyFill="1" applyBorder="1" applyAlignment="1">
      <alignment horizontal="justify" vertical="center"/>
    </xf>
    <xf numFmtId="0" fontId="40" fillId="3" borderId="88" xfId="0" applyFont="1" applyFill="1" applyBorder="1" applyAlignment="1">
      <alignment horizontal="justify" vertical="center"/>
    </xf>
    <xf numFmtId="0" fontId="40" fillId="3" borderId="100" xfId="0" applyFont="1" applyFill="1" applyBorder="1" applyAlignment="1">
      <alignment horizontal="justify" vertical="center"/>
    </xf>
    <xf numFmtId="0" fontId="40" fillId="3" borderId="89" xfId="0" applyFont="1" applyFill="1" applyBorder="1" applyAlignment="1">
      <alignment horizontal="justify" vertical="center"/>
    </xf>
    <xf numFmtId="0" fontId="33" fillId="27" borderId="58" xfId="0" applyFont="1" applyFill="1" applyBorder="1" applyAlignment="1">
      <alignment horizontal="right" vertical="center" wrapText="1"/>
    </xf>
    <xf numFmtId="0" fontId="33" fillId="27" borderId="68" xfId="0" applyFont="1" applyFill="1" applyBorder="1" applyAlignment="1">
      <alignment horizontal="right" vertical="center" wrapText="1"/>
    </xf>
    <xf numFmtId="0" fontId="33" fillId="27" borderId="59" xfId="0" applyFont="1" applyFill="1" applyBorder="1" applyAlignment="1">
      <alignment horizontal="right" vertical="center" wrapText="1"/>
    </xf>
    <xf numFmtId="0" fontId="46" fillId="27" borderId="61" xfId="0" applyFont="1" applyFill="1" applyBorder="1" applyAlignment="1">
      <alignment horizontal="right" vertical="center" wrapText="1"/>
    </xf>
    <xf numFmtId="0" fontId="46" fillId="27" borderId="87" xfId="0" applyFont="1" applyFill="1" applyBorder="1" applyAlignment="1">
      <alignment horizontal="right" vertical="center" wrapText="1"/>
    </xf>
    <xf numFmtId="0" fontId="46" fillId="27" borderId="62" xfId="0" applyFont="1" applyFill="1" applyBorder="1" applyAlignment="1">
      <alignment horizontal="right" vertical="center" wrapText="1"/>
    </xf>
    <xf numFmtId="0" fontId="46" fillId="27" borderId="64" xfId="0" applyFont="1" applyFill="1" applyBorder="1" applyAlignment="1">
      <alignment horizontal="right" vertical="center" wrapText="1"/>
    </xf>
    <xf numFmtId="0" fontId="46" fillId="27" borderId="138" xfId="0" applyFont="1" applyFill="1" applyBorder="1" applyAlignment="1">
      <alignment horizontal="right" vertical="center" wrapText="1"/>
    </xf>
    <xf numFmtId="0" fontId="46" fillId="27" borderId="65" xfId="0" applyFont="1" applyFill="1" applyBorder="1" applyAlignment="1">
      <alignment horizontal="right" vertical="center" wrapText="1"/>
    </xf>
    <xf numFmtId="4" fontId="58" fillId="27" borderId="59" xfId="200" applyNumberFormat="1" applyFont="1" applyFill="1" applyBorder="1" applyAlignment="1">
      <alignment horizontal="center" vertical="center"/>
    </xf>
    <xf numFmtId="4" fontId="58" fillId="27" borderId="59" xfId="200" applyNumberFormat="1" applyFont="1" applyFill="1" applyBorder="1" applyAlignment="1">
      <alignment horizontal="center" vertical="center" wrapText="1"/>
    </xf>
    <xf numFmtId="4" fontId="58" fillId="27" borderId="62" xfId="200" applyNumberFormat="1" applyFont="1" applyFill="1" applyBorder="1" applyAlignment="1">
      <alignment horizontal="center" vertical="center" wrapText="1"/>
    </xf>
    <xf numFmtId="4" fontId="58" fillId="27" borderId="43" xfId="200" applyNumberFormat="1" applyFont="1" applyFill="1" applyBorder="1" applyAlignment="1">
      <alignment horizontal="center" vertical="center" wrapText="1"/>
    </xf>
    <xf numFmtId="4" fontId="58" fillId="27" borderId="58" xfId="200" quotePrefix="1" applyNumberFormat="1" applyFont="1" applyFill="1" applyBorder="1" applyAlignment="1">
      <alignment horizontal="center" vertical="center"/>
    </xf>
    <xf numFmtId="4" fontId="58" fillId="27" borderId="59" xfId="200" quotePrefix="1" applyNumberFormat="1" applyFont="1" applyFill="1" applyBorder="1" applyAlignment="1">
      <alignment horizontal="center" vertical="center"/>
    </xf>
    <xf numFmtId="4" fontId="58" fillId="27" borderId="61" xfId="200" quotePrefix="1" applyNumberFormat="1" applyFont="1" applyFill="1" applyBorder="1" applyAlignment="1">
      <alignment horizontal="center" vertical="center"/>
    </xf>
    <xf numFmtId="4" fontId="58" fillId="27" borderId="62" xfId="200" quotePrefix="1" applyNumberFormat="1" applyFont="1" applyFill="1" applyBorder="1" applyAlignment="1">
      <alignment horizontal="center" vertical="center"/>
    </xf>
    <xf numFmtId="4" fontId="58" fillId="27" borderId="64" xfId="200" quotePrefix="1" applyNumberFormat="1" applyFont="1" applyFill="1" applyBorder="1" applyAlignment="1">
      <alignment horizontal="center" vertical="center"/>
    </xf>
    <xf numFmtId="4" fontId="58" fillId="27" borderId="65" xfId="200" quotePrefix="1" applyNumberFormat="1" applyFont="1" applyFill="1" applyBorder="1" applyAlignment="1">
      <alignment horizontal="center" vertical="center"/>
    </xf>
    <xf numFmtId="4" fontId="58" fillId="27" borderId="67" xfId="200" quotePrefix="1" applyNumberFormat="1" applyFont="1" applyFill="1" applyBorder="1" applyAlignment="1">
      <alignment horizontal="center" vertical="center" wrapText="1"/>
    </xf>
    <xf numFmtId="4" fontId="58" fillId="27" borderId="68" xfId="200" quotePrefix="1" applyNumberFormat="1" applyFont="1" applyFill="1" applyBorder="1" applyAlignment="1">
      <alignment horizontal="center" vertical="center" wrapText="1"/>
    </xf>
    <xf numFmtId="4" fontId="58" fillId="27" borderId="60" xfId="200" applyNumberFormat="1" applyFont="1" applyFill="1" applyBorder="1" applyAlignment="1">
      <alignment horizontal="center" vertical="center" wrapText="1"/>
    </xf>
    <xf numFmtId="4" fontId="58" fillId="27" borderId="63" xfId="200" applyNumberFormat="1" applyFont="1" applyFill="1" applyBorder="1" applyAlignment="1">
      <alignment horizontal="center" vertical="center" wrapText="1"/>
    </xf>
    <xf numFmtId="4" fontId="58" fillId="27" borderId="83" xfId="200" quotePrefix="1" applyNumberFormat="1" applyFont="1" applyFill="1" applyBorder="1" applyAlignment="1">
      <alignment horizontal="center" vertical="center" wrapText="1"/>
    </xf>
    <xf numFmtId="4" fontId="58" fillId="27" borderId="84" xfId="200" quotePrefix="1" applyNumberFormat="1" applyFont="1" applyFill="1" applyBorder="1" applyAlignment="1">
      <alignment horizontal="center" vertical="center" wrapText="1"/>
    </xf>
    <xf numFmtId="4" fontId="58" fillId="27" borderId="62" xfId="200" applyNumberFormat="1" applyFont="1" applyFill="1" applyBorder="1" applyAlignment="1">
      <alignment horizontal="center" vertical="center"/>
    </xf>
    <xf numFmtId="2" fontId="28" fillId="0" borderId="28" xfId="200" applyNumberFormat="1" applyFont="1" applyBorder="1" applyAlignment="1">
      <alignment horizontal="center" vertical="center"/>
    </xf>
    <xf numFmtId="2" fontId="28" fillId="0" borderId="29" xfId="200" applyNumberFormat="1" applyFont="1" applyBorder="1" applyAlignment="1">
      <alignment horizontal="center" vertical="center"/>
    </xf>
    <xf numFmtId="4" fontId="58" fillId="27" borderId="82" xfId="200" quotePrefix="1" applyNumberFormat="1" applyFont="1" applyFill="1" applyBorder="1" applyAlignment="1">
      <alignment horizontal="center" vertical="center" wrapText="1"/>
    </xf>
    <xf numFmtId="4" fontId="29" fillId="27" borderId="86" xfId="200" applyNumberFormat="1" applyFont="1" applyFill="1" applyBorder="1" applyAlignment="1">
      <alignment horizontal="center" vertical="center"/>
    </xf>
    <xf numFmtId="4" fontId="29" fillId="27" borderId="87" xfId="200" applyNumberFormat="1" applyFont="1" applyFill="1" applyBorder="1" applyAlignment="1">
      <alignment horizontal="center" vertical="center"/>
    </xf>
    <xf numFmtId="0" fontId="1" fillId="0" borderId="142" xfId="0" applyFont="1" applyBorder="1" applyAlignment="1">
      <alignment horizontal="left" vertical="center"/>
    </xf>
    <xf numFmtId="0" fontId="1" fillId="0" borderId="143" xfId="0" applyFont="1" applyBorder="1" applyAlignment="1">
      <alignment horizontal="left" vertical="center"/>
    </xf>
    <xf numFmtId="0" fontId="1" fillId="0" borderId="145" xfId="0" applyFont="1" applyBorder="1" applyAlignment="1">
      <alignment horizontal="center" vertical="center"/>
    </xf>
    <xf numFmtId="0" fontId="1" fillId="0" borderId="146" xfId="0" applyFont="1" applyBorder="1" applyAlignment="1">
      <alignment horizontal="center" vertical="center"/>
    </xf>
    <xf numFmtId="0" fontId="1" fillId="0" borderId="148" xfId="0" applyFont="1" applyBorder="1" applyAlignment="1">
      <alignment horizontal="left" vertical="center"/>
    </xf>
    <xf numFmtId="0" fontId="1" fillId="0" borderId="149" xfId="0" applyFont="1" applyBorder="1" applyAlignment="1">
      <alignment horizontal="left" vertical="center"/>
    </xf>
    <xf numFmtId="0" fontId="33" fillId="27" borderId="139" xfId="0" applyFont="1" applyFill="1" applyBorder="1" applyAlignment="1">
      <alignment horizontal="center" vertical="center"/>
    </xf>
    <xf numFmtId="0" fontId="33" fillId="27" borderId="140" xfId="0" applyFont="1" applyFill="1" applyBorder="1" applyAlignment="1">
      <alignment horizontal="center" vertical="center"/>
    </xf>
    <xf numFmtId="0" fontId="33" fillId="27" borderId="145" xfId="0" applyFont="1" applyFill="1" applyBorder="1" applyAlignment="1">
      <alignment horizontal="center" vertical="center"/>
    </xf>
    <xf numFmtId="0" fontId="33" fillId="27" borderId="146" xfId="0" applyFont="1" applyFill="1" applyBorder="1" applyAlignment="1">
      <alignment horizontal="center" vertical="center"/>
    </xf>
    <xf numFmtId="0" fontId="33" fillId="27" borderId="141" xfId="0" applyFont="1" applyFill="1" applyBorder="1" applyAlignment="1">
      <alignment horizontal="center" vertical="center"/>
    </xf>
    <xf numFmtId="0" fontId="33" fillId="27" borderId="147" xfId="0" applyFont="1" applyFill="1" applyBorder="1" applyAlignment="1">
      <alignment horizontal="center" vertical="center"/>
    </xf>
    <xf numFmtId="0" fontId="0" fillId="0" borderId="0" xfId="0" applyAlignment="1">
      <alignment horizontal="justify" vertical="center" wrapText="1"/>
    </xf>
    <xf numFmtId="0" fontId="33" fillId="27" borderId="154" xfId="0" applyFont="1" applyFill="1" applyBorder="1" applyAlignment="1">
      <alignment horizontal="center" vertical="center"/>
    </xf>
    <xf numFmtId="0" fontId="33" fillId="27" borderId="155" xfId="0" applyFont="1" applyFill="1" applyBorder="1" applyAlignment="1">
      <alignment horizontal="center" vertical="center"/>
    </xf>
    <xf numFmtId="0" fontId="33" fillId="27" borderId="157" xfId="0" applyFont="1" applyFill="1" applyBorder="1" applyAlignment="1">
      <alignment horizontal="center" vertical="center"/>
    </xf>
    <xf numFmtId="0" fontId="33" fillId="27" borderId="158" xfId="0" applyFont="1" applyFill="1" applyBorder="1" applyAlignment="1">
      <alignment horizontal="center" vertical="center"/>
    </xf>
    <xf numFmtId="0" fontId="33" fillId="27" borderId="160" xfId="0" applyFont="1" applyFill="1" applyBorder="1" applyAlignment="1">
      <alignment horizontal="center" vertical="center"/>
    </xf>
    <xf numFmtId="0" fontId="33" fillId="27" borderId="161" xfId="0" applyFont="1" applyFill="1" applyBorder="1" applyAlignment="1">
      <alignment horizontal="center" vertical="center"/>
    </xf>
    <xf numFmtId="0" fontId="33" fillId="27" borderId="156" xfId="0" applyFont="1" applyFill="1" applyBorder="1" applyAlignment="1">
      <alignment horizontal="center" vertical="center"/>
    </xf>
    <xf numFmtId="0" fontId="33" fillId="27" borderId="159" xfId="0" applyFont="1" applyFill="1" applyBorder="1" applyAlignment="1">
      <alignment horizontal="center" vertical="center"/>
    </xf>
    <xf numFmtId="0" fontId="33" fillId="27" borderId="162" xfId="0" applyFont="1" applyFill="1" applyBorder="1" applyAlignment="1">
      <alignment horizontal="center" vertical="center"/>
    </xf>
    <xf numFmtId="0" fontId="33" fillId="27" borderId="158" xfId="0" applyFont="1" applyFill="1" applyBorder="1" applyAlignment="1">
      <alignment horizontal="center" vertical="center" wrapText="1"/>
    </xf>
    <xf numFmtId="0" fontId="33" fillId="27" borderId="161" xfId="0" applyFont="1" applyFill="1" applyBorder="1" applyAlignment="1">
      <alignment horizontal="center" vertical="center" wrapText="1"/>
    </xf>
    <xf numFmtId="0" fontId="1" fillId="27" borderId="161" xfId="0" applyFont="1" applyFill="1" applyBorder="1" applyAlignment="1">
      <alignment horizontal="center" vertical="center" wrapText="1"/>
    </xf>
    <xf numFmtId="0" fontId="33" fillId="27" borderId="163" xfId="0" applyFont="1" applyFill="1" applyBorder="1" applyAlignment="1">
      <alignment horizontal="center" vertical="center"/>
    </xf>
    <xf numFmtId="0" fontId="40" fillId="3" borderId="29" xfId="0" applyFont="1" applyFill="1" applyBorder="1" applyAlignment="1">
      <alignment horizontal="justify" vertical="center" wrapText="1"/>
    </xf>
    <xf numFmtId="4" fontId="28" fillId="0" borderId="74" xfId="200" quotePrefix="1" applyNumberFormat="1" applyFont="1" applyBorder="1" applyAlignment="1">
      <alignment horizontal="center" vertical="center" wrapText="1"/>
    </xf>
    <xf numFmtId="4" fontId="28" fillId="0" borderId="75" xfId="200" quotePrefix="1" applyNumberFormat="1" applyFont="1" applyBorder="1" applyAlignment="1">
      <alignment horizontal="center" vertical="center"/>
    </xf>
    <xf numFmtId="4" fontId="58" fillId="27" borderId="102" xfId="200" applyNumberFormat="1" applyFont="1" applyFill="1" applyBorder="1" applyAlignment="1">
      <alignment horizontal="center" vertical="center" wrapText="1"/>
    </xf>
    <xf numFmtId="4" fontId="58" fillId="27" borderId="168" xfId="200" applyNumberFormat="1" applyFont="1" applyFill="1" applyBorder="1" applyAlignment="1">
      <alignment horizontal="center" vertical="center" wrapText="1"/>
    </xf>
    <xf numFmtId="4" fontId="58" fillId="27" borderId="103" xfId="200" applyNumberFormat="1" applyFont="1" applyFill="1" applyBorder="1" applyAlignment="1">
      <alignment horizontal="center" vertical="center" wrapText="1"/>
    </xf>
    <xf numFmtId="4" fontId="58" fillId="27" borderId="99" xfId="200" applyNumberFormat="1" applyFont="1" applyFill="1" applyBorder="1" applyAlignment="1">
      <alignment horizontal="center" vertical="center" wrapText="1"/>
    </xf>
    <xf numFmtId="4" fontId="58" fillId="27" borderId="86" xfId="200" applyNumberFormat="1" applyFont="1" applyFill="1" applyBorder="1" applyAlignment="1">
      <alignment horizontal="center" vertical="center" wrapText="1"/>
    </xf>
    <xf numFmtId="4" fontId="58" fillId="27" borderId="169" xfId="200" applyNumberFormat="1" applyFont="1" applyFill="1" applyBorder="1" applyAlignment="1">
      <alignment horizontal="center" vertical="center" wrapText="1"/>
    </xf>
    <xf numFmtId="4" fontId="58" fillId="27" borderId="87" xfId="200" applyNumberFormat="1" applyFont="1" applyFill="1" applyBorder="1" applyAlignment="1">
      <alignment horizontal="center" vertical="center" wrapText="1"/>
    </xf>
    <xf numFmtId="4" fontId="58" fillId="27" borderId="166" xfId="200" quotePrefix="1" applyNumberFormat="1" applyFont="1" applyFill="1" applyBorder="1" applyAlignment="1">
      <alignment horizontal="center" vertical="center"/>
    </xf>
    <xf numFmtId="4" fontId="58" fillId="27" borderId="43" xfId="200" quotePrefix="1" applyNumberFormat="1" applyFont="1" applyFill="1" applyBorder="1" applyAlignment="1">
      <alignment horizontal="center" vertical="center"/>
    </xf>
    <xf numFmtId="4" fontId="58" fillId="27" borderId="59" xfId="200" quotePrefix="1" applyNumberFormat="1" applyFont="1" applyFill="1" applyBorder="1" applyAlignment="1">
      <alignment horizontal="center" vertical="center" wrapText="1"/>
    </xf>
    <xf numFmtId="4" fontId="58" fillId="27" borderId="43" xfId="200" quotePrefix="1" applyNumberFormat="1" applyFont="1" applyFill="1" applyBorder="1" applyAlignment="1">
      <alignment horizontal="center" vertical="center" wrapText="1"/>
    </xf>
    <xf numFmtId="4" fontId="58" fillId="27" borderId="65" xfId="200" quotePrefix="1" applyNumberFormat="1" applyFont="1" applyFill="1" applyBorder="1" applyAlignment="1">
      <alignment horizontal="center" vertical="center" wrapText="1"/>
    </xf>
    <xf numFmtId="4" fontId="58" fillId="27" borderId="60" xfId="200" quotePrefix="1" applyNumberFormat="1" applyFont="1" applyFill="1" applyBorder="1" applyAlignment="1">
      <alignment horizontal="center" vertical="center" wrapText="1"/>
    </xf>
    <xf numFmtId="4" fontId="58" fillId="27" borderId="167" xfId="200" quotePrefix="1" applyNumberFormat="1" applyFont="1" applyFill="1" applyBorder="1" applyAlignment="1">
      <alignment horizontal="center" vertical="center" wrapText="1"/>
    </xf>
    <xf numFmtId="4" fontId="58" fillId="27" borderId="66" xfId="200" quotePrefix="1" applyNumberFormat="1" applyFont="1" applyFill="1" applyBorder="1" applyAlignment="1">
      <alignment horizontal="center" vertical="center" wrapText="1"/>
    </xf>
    <xf numFmtId="4" fontId="58" fillId="27" borderId="65" xfId="200" applyNumberFormat="1" applyFont="1" applyFill="1" applyBorder="1" applyAlignment="1">
      <alignment horizontal="center" vertical="center" wrapText="1"/>
    </xf>
    <xf numFmtId="0" fontId="29" fillId="0" borderId="0" xfId="0" applyFont="1" applyAlignment="1">
      <alignment horizontal="center" vertical="center"/>
    </xf>
    <xf numFmtId="0" fontId="73" fillId="0" borderId="0" xfId="0" applyFont="1" applyAlignment="1">
      <alignment horizontal="center" vertical="center"/>
    </xf>
    <xf numFmtId="0" fontId="29" fillId="27" borderId="228" xfId="0" applyFont="1" applyFill="1" applyBorder="1" applyAlignment="1">
      <alignment horizontal="center" vertical="center"/>
    </xf>
    <xf numFmtId="0" fontId="29" fillId="27" borderId="29" xfId="0" applyFont="1" applyFill="1" applyBorder="1" applyAlignment="1">
      <alignment horizontal="center" vertical="center"/>
    </xf>
    <xf numFmtId="0" fontId="29" fillId="27" borderId="229" xfId="0" applyFont="1" applyFill="1" applyBorder="1" applyAlignment="1">
      <alignment horizontal="center" vertical="center"/>
    </xf>
    <xf numFmtId="43" fontId="2" fillId="3" borderId="233" xfId="1" applyFill="1" applyBorder="1" applyAlignment="1">
      <alignment horizontal="center" vertical="center"/>
    </xf>
    <xf numFmtId="43" fontId="2" fillId="3" borderId="234" xfId="1" applyFill="1" applyBorder="1" applyAlignment="1">
      <alignment horizontal="center" vertical="center"/>
    </xf>
    <xf numFmtId="0" fontId="29" fillId="27" borderId="55" xfId="0" applyFont="1" applyFill="1" applyBorder="1" applyAlignment="1">
      <alignment horizontal="right" vertical="center"/>
    </xf>
    <xf numFmtId="0" fontId="29" fillId="27" borderId="56" xfId="0" applyFont="1" applyFill="1" applyBorder="1" applyAlignment="1">
      <alignment horizontal="right" vertical="center"/>
    </xf>
    <xf numFmtId="4" fontId="6" fillId="27" borderId="19" xfId="1" applyNumberFormat="1" applyFont="1" applyFill="1" applyBorder="1" applyAlignment="1">
      <alignment horizontal="right" vertical="center"/>
    </xf>
    <xf numFmtId="4" fontId="6" fillId="27" borderId="9" xfId="1" applyNumberFormat="1" applyFont="1" applyFill="1" applyBorder="1" applyAlignment="1">
      <alignment horizontal="right" vertical="center"/>
    </xf>
    <xf numFmtId="4" fontId="6" fillId="27" borderId="48" xfId="1" applyNumberFormat="1" applyFont="1" applyFill="1" applyBorder="1" applyAlignment="1">
      <alignment horizontal="right" vertical="center"/>
    </xf>
    <xf numFmtId="0" fontId="32" fillId="27" borderId="227" xfId="0" applyFont="1" applyFill="1" applyBorder="1" applyAlignment="1">
      <alignment horizontal="center" vertical="center" wrapText="1"/>
    </xf>
    <xf numFmtId="0" fontId="32" fillId="27" borderId="230" xfId="0" applyFont="1" applyFill="1" applyBorder="1" applyAlignment="1">
      <alignment horizontal="center" vertical="center" wrapText="1"/>
    </xf>
    <xf numFmtId="0" fontId="32" fillId="27" borderId="224" xfId="0" applyFont="1" applyFill="1" applyBorder="1" applyAlignment="1">
      <alignment horizontal="center" vertical="center"/>
    </xf>
    <xf numFmtId="0" fontId="32" fillId="27" borderId="225" xfId="0" applyFont="1" applyFill="1" applyBorder="1" applyAlignment="1">
      <alignment horizontal="center" vertical="center"/>
    </xf>
    <xf numFmtId="0" fontId="32" fillId="27" borderId="226" xfId="0" applyFont="1" applyFill="1" applyBorder="1" applyAlignment="1">
      <alignment horizontal="center" vertical="center"/>
    </xf>
    <xf numFmtId="0" fontId="29" fillId="27" borderId="222" xfId="0" applyFont="1" applyFill="1" applyBorder="1" applyAlignment="1">
      <alignment horizontal="center" vertical="center"/>
    </xf>
    <xf numFmtId="0" fontId="29" fillId="27" borderId="25" xfId="0" applyFont="1" applyFill="1" applyBorder="1" applyAlignment="1">
      <alignment horizontal="center" vertical="center"/>
    </xf>
    <xf numFmtId="0" fontId="29" fillId="27" borderId="34" xfId="0" applyFont="1" applyFill="1" applyBorder="1" applyAlignment="1">
      <alignment horizontal="center" vertical="center"/>
    </xf>
    <xf numFmtId="0" fontId="29" fillId="27" borderId="223" xfId="0" applyFont="1" applyFill="1" applyBorder="1" applyAlignment="1">
      <alignment horizontal="center" vertical="center"/>
    </xf>
    <xf numFmtId="0" fontId="29" fillId="27" borderId="26" xfId="0" applyFont="1" applyFill="1" applyBorder="1" applyAlignment="1">
      <alignment horizontal="center" vertical="center"/>
    </xf>
    <xf numFmtId="0" fontId="29" fillId="27" borderId="35" xfId="0" applyFont="1" applyFill="1" applyBorder="1" applyAlignment="1">
      <alignment horizontal="center" vertical="center"/>
    </xf>
    <xf numFmtId="0" fontId="29" fillId="27" borderId="228" xfId="0" applyFont="1" applyFill="1" applyBorder="1" applyAlignment="1">
      <alignment horizontal="center" vertical="center" wrapText="1"/>
    </xf>
  </cellXfs>
  <cellStyles count="206">
    <cellStyle name="20% - Ênfase1 2" xfId="52" xr:uid="{00000000-0005-0000-0000-000000000000}"/>
    <cellStyle name="20% - Ênfase2 2" xfId="53" xr:uid="{00000000-0005-0000-0000-000001000000}"/>
    <cellStyle name="20% - Ênfase3 2" xfId="54" xr:uid="{00000000-0005-0000-0000-000002000000}"/>
    <cellStyle name="20% - Ênfase4 2" xfId="55" xr:uid="{00000000-0005-0000-0000-000003000000}"/>
    <cellStyle name="20% - Ênfase5 2" xfId="56" xr:uid="{00000000-0005-0000-0000-000004000000}"/>
    <cellStyle name="20% - Ênfase6 2" xfId="57" xr:uid="{00000000-0005-0000-0000-000005000000}"/>
    <cellStyle name="40% - Ênfase1 2" xfId="58" xr:uid="{00000000-0005-0000-0000-000006000000}"/>
    <cellStyle name="40% - Ênfase2 2" xfId="59" xr:uid="{00000000-0005-0000-0000-000007000000}"/>
    <cellStyle name="40% - Ênfase3 2" xfId="60" xr:uid="{00000000-0005-0000-0000-000008000000}"/>
    <cellStyle name="40% - Ênfase4 2" xfId="61" xr:uid="{00000000-0005-0000-0000-000009000000}"/>
    <cellStyle name="40% - Ênfase5 2" xfId="62" xr:uid="{00000000-0005-0000-0000-00000A000000}"/>
    <cellStyle name="40% - Ênfase6 2" xfId="63" xr:uid="{00000000-0005-0000-0000-00000B000000}"/>
    <cellStyle name="60% - Ênfase1 2" xfId="64" xr:uid="{00000000-0005-0000-0000-00000C000000}"/>
    <cellStyle name="60% - Ênfase2 2" xfId="65" xr:uid="{00000000-0005-0000-0000-00000D000000}"/>
    <cellStyle name="60% - Ênfase3 2" xfId="66" xr:uid="{00000000-0005-0000-0000-00000E000000}"/>
    <cellStyle name="60% - Ênfase4 2" xfId="67" xr:uid="{00000000-0005-0000-0000-00000F000000}"/>
    <cellStyle name="60% - Ênfase5 2" xfId="68" xr:uid="{00000000-0005-0000-0000-000010000000}"/>
    <cellStyle name="60% - Ênfase6 2" xfId="69" xr:uid="{00000000-0005-0000-0000-000011000000}"/>
    <cellStyle name="Bom 2" xfId="70" xr:uid="{00000000-0005-0000-0000-000012000000}"/>
    <cellStyle name="Cálculo 2" xfId="71" xr:uid="{00000000-0005-0000-0000-000013000000}"/>
    <cellStyle name="Cancel" xfId="23" xr:uid="{00000000-0005-0000-0000-000014000000}"/>
    <cellStyle name="Célula de Verificação 2" xfId="72" xr:uid="{00000000-0005-0000-0000-000015000000}"/>
    <cellStyle name="Célula Vinculada 2" xfId="73" xr:uid="{00000000-0005-0000-0000-000016000000}"/>
    <cellStyle name="Data" xfId="3" xr:uid="{00000000-0005-0000-0000-000017000000}"/>
    <cellStyle name="Data 2" xfId="74" xr:uid="{00000000-0005-0000-0000-000018000000}"/>
    <cellStyle name="Ênfase1 2" xfId="75" xr:uid="{00000000-0005-0000-0000-000019000000}"/>
    <cellStyle name="Ênfase2 2" xfId="76" xr:uid="{00000000-0005-0000-0000-00001A000000}"/>
    <cellStyle name="Ênfase3 2" xfId="77" xr:uid="{00000000-0005-0000-0000-00001B000000}"/>
    <cellStyle name="Ênfase4 2" xfId="78" xr:uid="{00000000-0005-0000-0000-00001C000000}"/>
    <cellStyle name="Ênfase5 2" xfId="79" xr:uid="{00000000-0005-0000-0000-00001D000000}"/>
    <cellStyle name="Ênfase6 2" xfId="80" xr:uid="{00000000-0005-0000-0000-00001E000000}"/>
    <cellStyle name="Entrada 2" xfId="81" xr:uid="{00000000-0005-0000-0000-00001F000000}"/>
    <cellStyle name="Euro" xfId="4" xr:uid="{00000000-0005-0000-0000-000020000000}"/>
    <cellStyle name="Euro 2" xfId="82" xr:uid="{00000000-0005-0000-0000-000021000000}"/>
    <cellStyle name="Fixo" xfId="5" xr:uid="{00000000-0005-0000-0000-000022000000}"/>
    <cellStyle name="Incorreto 2" xfId="83" xr:uid="{00000000-0005-0000-0000-000023000000}"/>
    <cellStyle name="Moeda 2" xfId="84" xr:uid="{00000000-0005-0000-0000-000024000000}"/>
    <cellStyle name="Moeda 3" xfId="85" xr:uid="{00000000-0005-0000-0000-000025000000}"/>
    <cellStyle name="Moeda 4" xfId="86" xr:uid="{00000000-0005-0000-0000-000026000000}"/>
    <cellStyle name="Moeda 4 2" xfId="140" xr:uid="{00000000-0005-0000-0000-000027000000}"/>
    <cellStyle name="Moeda 4 2 2" xfId="198" xr:uid="{00000000-0005-0000-0000-000028000000}"/>
    <cellStyle name="Moeda 4 3" xfId="169" xr:uid="{00000000-0005-0000-0000-000029000000}"/>
    <cellStyle name="Neutra 2" xfId="87" xr:uid="{00000000-0005-0000-0000-00002A000000}"/>
    <cellStyle name="Normal" xfId="0" builtinId="0"/>
    <cellStyle name="Normal 10" xfId="121" xr:uid="{00000000-0005-0000-0000-00002C000000}"/>
    <cellStyle name="Normal 10 2" xfId="180" xr:uid="{00000000-0005-0000-0000-00002D000000}"/>
    <cellStyle name="Normal 102" xfId="202" xr:uid="{DA37A7A7-87DD-48BE-939D-0B6FC1BDD9E5}"/>
    <cellStyle name="Normal 11" xfId="122" xr:uid="{00000000-0005-0000-0000-00002E000000}"/>
    <cellStyle name="Normal 11 2" xfId="181" xr:uid="{00000000-0005-0000-0000-00002F000000}"/>
    <cellStyle name="Normal 12" xfId="132" xr:uid="{00000000-0005-0000-0000-000030000000}"/>
    <cellStyle name="Normal 12 2" xfId="142" xr:uid="{00000000-0005-0000-0000-000031000000}"/>
    <cellStyle name="Normal 12 2 2" xfId="199" xr:uid="{00000000-0005-0000-0000-000032000000}"/>
    <cellStyle name="Normal 12 3" xfId="191" xr:uid="{00000000-0005-0000-0000-000033000000}"/>
    <cellStyle name="Normal 2" xfId="6" xr:uid="{00000000-0005-0000-0000-000034000000}"/>
    <cellStyle name="Normal 2 10" xfId="28" xr:uid="{00000000-0005-0000-0000-000035000000}"/>
    <cellStyle name="Normal 2 2" xfId="31" xr:uid="{00000000-0005-0000-0000-000036000000}"/>
    <cellStyle name="Normal 2 2 2" xfId="88" xr:uid="{00000000-0005-0000-0000-000037000000}"/>
    <cellStyle name="Normal 2 2 2 2" xfId="170" xr:uid="{00000000-0005-0000-0000-000038000000}"/>
    <cellStyle name="Normal 2 2 3" xfId="152" xr:uid="{00000000-0005-0000-0000-000039000000}"/>
    <cellStyle name="Normal 2 3" xfId="89" xr:uid="{00000000-0005-0000-0000-00003A000000}"/>
    <cellStyle name="Normal 2 3 2" xfId="171" xr:uid="{00000000-0005-0000-0000-00003B000000}"/>
    <cellStyle name="Normal 2 4" xfId="90" xr:uid="{00000000-0005-0000-0000-00003C000000}"/>
    <cellStyle name="Normal 2 4 2" xfId="172" xr:uid="{00000000-0005-0000-0000-00003D000000}"/>
    <cellStyle name="Normal 2 5" xfId="114" xr:uid="{00000000-0005-0000-0000-00003E000000}"/>
    <cellStyle name="Normal 2 5 2" xfId="141" xr:uid="{00000000-0005-0000-0000-00003F000000}"/>
    <cellStyle name="Normal 2 6" xfId="116" xr:uid="{00000000-0005-0000-0000-000040000000}"/>
    <cellStyle name="Normal 2 7" xfId="117" xr:uid="{00000000-0005-0000-0000-000041000000}"/>
    <cellStyle name="Normal 2 8" xfId="119" xr:uid="{00000000-0005-0000-0000-000042000000}"/>
    <cellStyle name="Normal 2 9" xfId="120" xr:uid="{00000000-0005-0000-0000-000043000000}"/>
    <cellStyle name="Normal 2_QUANT_HELBOR BELVEDERE R06_Area Estruturada Priscila" xfId="91" xr:uid="{00000000-0005-0000-0000-000044000000}"/>
    <cellStyle name="Normal 3" xfId="24" xr:uid="{00000000-0005-0000-0000-000045000000}"/>
    <cellStyle name="Normal 3 13" xfId="204" xr:uid="{6B85A485-6ADC-4C0F-B6C7-6E88FDEF3B35}"/>
    <cellStyle name="Normal 3 2" xfId="92" xr:uid="{00000000-0005-0000-0000-000046000000}"/>
    <cellStyle name="Normal 3 3" xfId="44" xr:uid="{00000000-0005-0000-0000-000047000000}"/>
    <cellStyle name="Normal 3 3 10" xfId="124" xr:uid="{00000000-0005-0000-0000-000048000000}"/>
    <cellStyle name="Normal 3 3 10 2" xfId="134" xr:uid="{00000000-0005-0000-0000-000049000000}"/>
    <cellStyle name="Normal 3 3 10 2 2" xfId="193" xr:uid="{00000000-0005-0000-0000-00004A000000}"/>
    <cellStyle name="Normal 3 3 10 3" xfId="183" xr:uid="{00000000-0005-0000-0000-00004B000000}"/>
    <cellStyle name="Normal 3 3 11" xfId="125" xr:uid="{00000000-0005-0000-0000-00004C000000}"/>
    <cellStyle name="Normal 3 3 11 2" xfId="184" xr:uid="{00000000-0005-0000-0000-00004D000000}"/>
    <cellStyle name="Normal 3 3 12" xfId="126" xr:uid="{00000000-0005-0000-0000-00004E000000}"/>
    <cellStyle name="Normal 3 3 12 2" xfId="185" xr:uid="{00000000-0005-0000-0000-00004F000000}"/>
    <cellStyle name="Normal 3 3 13" xfId="127" xr:uid="{00000000-0005-0000-0000-000050000000}"/>
    <cellStyle name="Normal 3 3 13 2" xfId="186" xr:uid="{00000000-0005-0000-0000-000051000000}"/>
    <cellStyle name="Normal 3 3 14" xfId="128" xr:uid="{00000000-0005-0000-0000-000052000000}"/>
    <cellStyle name="Normal 3 3 14 2" xfId="187" xr:uid="{00000000-0005-0000-0000-000053000000}"/>
    <cellStyle name="Normal 3 3 15" xfId="129" xr:uid="{00000000-0005-0000-0000-000054000000}"/>
    <cellStyle name="Normal 3 3 15 2" xfId="188" xr:uid="{00000000-0005-0000-0000-000055000000}"/>
    <cellStyle name="Normal 3 3 16" xfId="130" xr:uid="{00000000-0005-0000-0000-000056000000}"/>
    <cellStyle name="Normal 3 3 16 2" xfId="189" xr:uid="{00000000-0005-0000-0000-000057000000}"/>
    <cellStyle name="Normal 3 3 17" xfId="161" xr:uid="{00000000-0005-0000-0000-000058000000}"/>
    <cellStyle name="Normal 3 3 2" xfId="45" xr:uid="{00000000-0005-0000-0000-000059000000}"/>
    <cellStyle name="Normal 3 3 2 2" xfId="162" xr:uid="{00000000-0005-0000-0000-00005A000000}"/>
    <cellStyle name="Normal 3 3 3" xfId="46" xr:uid="{00000000-0005-0000-0000-00005B000000}"/>
    <cellStyle name="Normal 3 3 3 2" xfId="163" xr:uid="{00000000-0005-0000-0000-00005C000000}"/>
    <cellStyle name="Normal 3 3 4" xfId="47" xr:uid="{00000000-0005-0000-0000-00005D000000}"/>
    <cellStyle name="Normal 3 3 4 2" xfId="164" xr:uid="{00000000-0005-0000-0000-00005E000000}"/>
    <cellStyle name="Normal 3 3 5" xfId="48" xr:uid="{00000000-0005-0000-0000-00005F000000}"/>
    <cellStyle name="Normal 3 3 5 2" xfId="165" xr:uid="{00000000-0005-0000-0000-000060000000}"/>
    <cellStyle name="Normal 3 3 6" xfId="49" xr:uid="{00000000-0005-0000-0000-000061000000}"/>
    <cellStyle name="Normal 3 3 6 2" xfId="166" xr:uid="{00000000-0005-0000-0000-000062000000}"/>
    <cellStyle name="Normal 3 3 7" xfId="50" xr:uid="{00000000-0005-0000-0000-000063000000}"/>
    <cellStyle name="Normal 3 3 7 2" xfId="167" xr:uid="{00000000-0005-0000-0000-000064000000}"/>
    <cellStyle name="Normal 3 3 8" xfId="51" xr:uid="{00000000-0005-0000-0000-000065000000}"/>
    <cellStyle name="Normal 3 3 8 2" xfId="168" xr:uid="{00000000-0005-0000-0000-000066000000}"/>
    <cellStyle name="Normal 3 3 9" xfId="123" xr:uid="{00000000-0005-0000-0000-000067000000}"/>
    <cellStyle name="Normal 3 3 9 2" xfId="182" xr:uid="{00000000-0005-0000-0000-000068000000}"/>
    <cellStyle name="Normal 3 4" xfId="29" xr:uid="{00000000-0005-0000-0000-000069000000}"/>
    <cellStyle name="Normal 3 4 2" xfId="150" xr:uid="{00000000-0005-0000-0000-00006A000000}"/>
    <cellStyle name="Normal 4" xfId="2" xr:uid="{00000000-0005-0000-0000-00006B000000}"/>
    <cellStyle name="Normal 4 2" xfId="93" xr:uid="{00000000-0005-0000-0000-00006C000000}"/>
    <cellStyle name="Normal 5" xfId="27" xr:uid="{00000000-0005-0000-0000-00006D000000}"/>
    <cellStyle name="Normal 5 2" xfId="95" xr:uid="{00000000-0005-0000-0000-00006E000000}"/>
    <cellStyle name="Normal 5 3" xfId="94" xr:uid="{00000000-0005-0000-0000-00006F000000}"/>
    <cellStyle name="Normal 5 3 2" xfId="173" xr:uid="{00000000-0005-0000-0000-000070000000}"/>
    <cellStyle name="Normal 5 4" xfId="149" xr:uid="{00000000-0005-0000-0000-000071000000}"/>
    <cellStyle name="Normal 53 2" xfId="201" xr:uid="{AAFB720E-6B5B-4A2D-A074-C50DA84919C7}"/>
    <cellStyle name="Normal 6" xfId="96" xr:uid="{00000000-0005-0000-0000-000072000000}"/>
    <cellStyle name="Normal 7" xfId="97" xr:uid="{00000000-0005-0000-0000-000073000000}"/>
    <cellStyle name="Normal 8" xfId="40" xr:uid="{00000000-0005-0000-0000-000074000000}"/>
    <cellStyle name="Normal 9" xfId="118" xr:uid="{00000000-0005-0000-0000-000075000000}"/>
    <cellStyle name="Normal 9 2" xfId="179" xr:uid="{00000000-0005-0000-0000-000076000000}"/>
    <cellStyle name="Normal_CS-COMP" xfId="7" xr:uid="{00000000-0005-0000-0000-000077000000}"/>
    <cellStyle name="Normal_modelo_lev_rev_interno" xfId="145" xr:uid="{00000000-0005-0000-0000-000078000000}"/>
    <cellStyle name="Normal_Mov_terra_118rev" xfId="200" xr:uid="{00000000-0005-0000-0000-000079000000}"/>
    <cellStyle name="Normal_Plan1 (2)" xfId="8" xr:uid="{00000000-0005-0000-0000-00007A000000}"/>
    <cellStyle name="Normal_Plan1 (4)" xfId="9" xr:uid="{00000000-0005-0000-0000-00007B000000}"/>
    <cellStyle name="Normal_RESESTR (2)" xfId="10" xr:uid="{00000000-0005-0000-0000-00007C000000}"/>
    <cellStyle name="Nota 2" xfId="98" xr:uid="{00000000-0005-0000-0000-00007D000000}"/>
    <cellStyle name="Percentual" xfId="11" xr:uid="{00000000-0005-0000-0000-00007E000000}"/>
    <cellStyle name="Ponto" xfId="12" xr:uid="{00000000-0005-0000-0000-00007F000000}"/>
    <cellStyle name="Porcentagem" xfId="144" builtinId="5"/>
    <cellStyle name="Porcentagem 2" xfId="14" xr:uid="{00000000-0005-0000-0000-000081000000}"/>
    <cellStyle name="Porcentagem 2 2" xfId="33" xr:uid="{00000000-0005-0000-0000-000082000000}"/>
    <cellStyle name="Porcentagem 2 2 2" xfId="136" xr:uid="{00000000-0005-0000-0000-000083000000}"/>
    <cellStyle name="Porcentagem 2 2 2 2" xfId="195" xr:uid="{00000000-0005-0000-0000-000084000000}"/>
    <cellStyle name="Porcentagem 2 2 3" xfId="154" xr:uid="{00000000-0005-0000-0000-000085000000}"/>
    <cellStyle name="Porcentagem 2 3" xfId="115" xr:uid="{00000000-0005-0000-0000-000086000000}"/>
    <cellStyle name="Porcentagem 2 4" xfId="32" xr:uid="{00000000-0005-0000-0000-000087000000}"/>
    <cellStyle name="Porcentagem 2 4 2" xfId="153" xr:uid="{00000000-0005-0000-0000-000088000000}"/>
    <cellStyle name="Porcentagem 3" xfId="13" xr:uid="{00000000-0005-0000-0000-000089000000}"/>
    <cellStyle name="Porcentagem 3 2" xfId="100" xr:uid="{00000000-0005-0000-0000-00008A000000}"/>
    <cellStyle name="Porcentagem 3 2 2" xfId="34" xr:uid="{00000000-0005-0000-0000-00008B000000}"/>
    <cellStyle name="Porcentagem 3 2 2 2" xfId="135" xr:uid="{00000000-0005-0000-0000-00008C000000}"/>
    <cellStyle name="Porcentagem 3 2 2 2 2" xfId="194" xr:uid="{00000000-0005-0000-0000-00008D000000}"/>
    <cellStyle name="Porcentagem 3 2 2 3" xfId="155" xr:uid="{00000000-0005-0000-0000-00008E000000}"/>
    <cellStyle name="Porcentagem 3 2 3" xfId="174" xr:uid="{00000000-0005-0000-0000-00008F000000}"/>
    <cellStyle name="Porcentagem 3 3" xfId="101" xr:uid="{00000000-0005-0000-0000-000090000000}"/>
    <cellStyle name="Porcentagem 3 3 2" xfId="175" xr:uid="{00000000-0005-0000-0000-000091000000}"/>
    <cellStyle name="Porcentagem 3 4" xfId="99" xr:uid="{00000000-0005-0000-0000-000092000000}"/>
    <cellStyle name="Porcentagem 3 5" xfId="146" xr:uid="{00000000-0005-0000-0000-000093000000}"/>
    <cellStyle name="Saída 2" xfId="102" xr:uid="{00000000-0005-0000-0000-000094000000}"/>
    <cellStyle name="Separador de milhares 2" xfId="22" xr:uid="{00000000-0005-0000-0000-000095000000}"/>
    <cellStyle name="Separador de milhares 2 2" xfId="35" xr:uid="{00000000-0005-0000-0000-000096000000}"/>
    <cellStyle name="Separador de milhares 2 2 2" xfId="36" xr:uid="{00000000-0005-0000-0000-000097000000}"/>
    <cellStyle name="Separador de milhares 2 2 2 2" xfId="138" xr:uid="{00000000-0005-0000-0000-000098000000}"/>
    <cellStyle name="Separador de milhares 2 2 3" xfId="103" xr:uid="{00000000-0005-0000-0000-000099000000}"/>
    <cellStyle name="Separador de milhares 2 2 4" xfId="37" xr:uid="{00000000-0005-0000-0000-00009A000000}"/>
    <cellStyle name="Separador de milhares 2 2 4 2" xfId="26" xr:uid="{00000000-0005-0000-0000-00009B000000}"/>
    <cellStyle name="Separador de milhares 2 2 4 2 2" xfId="148" xr:uid="{00000000-0005-0000-0000-00009C000000}"/>
    <cellStyle name="Separador de milhares 2 2 4 3" xfId="157" xr:uid="{00000000-0005-0000-0000-00009D000000}"/>
    <cellStyle name="Separador de milhares 2 2 5" xfId="156" xr:uid="{00000000-0005-0000-0000-00009E000000}"/>
    <cellStyle name="Separador de milhares 2 3" xfId="41" xr:uid="{00000000-0005-0000-0000-00009F000000}"/>
    <cellStyle name="Separador de milhares 2 4" xfId="42" xr:uid="{00000000-0005-0000-0000-0000A0000000}"/>
    <cellStyle name="Separador de milhares 2 4 2" xfId="137" xr:uid="{00000000-0005-0000-0000-0000A1000000}"/>
    <cellStyle name="Separador de milhares 2 4 2 2" xfId="196" xr:uid="{00000000-0005-0000-0000-0000A2000000}"/>
    <cellStyle name="Separador de milhares 2 4 3" xfId="159" xr:uid="{00000000-0005-0000-0000-0000A3000000}"/>
    <cellStyle name="Separador de milhares 3" xfId="25" xr:uid="{00000000-0005-0000-0000-0000A4000000}"/>
    <cellStyle name="Separador de milhares 3 2" xfId="38" xr:uid="{00000000-0005-0000-0000-0000A5000000}"/>
    <cellStyle name="Separador de milhares 3 2 2" xfId="43" xr:uid="{00000000-0005-0000-0000-0000A6000000}"/>
    <cellStyle name="Separador de milhares 3 2 2 2" xfId="133" xr:uid="{00000000-0005-0000-0000-0000A7000000}"/>
    <cellStyle name="Separador de milhares 3 2 2 2 2" xfId="192" xr:uid="{00000000-0005-0000-0000-0000A8000000}"/>
    <cellStyle name="Separador de milhares 3 2 2 3" xfId="160" xr:uid="{00000000-0005-0000-0000-0000A9000000}"/>
    <cellStyle name="Separador de milhares 3 2 3" xfId="158" xr:uid="{00000000-0005-0000-0000-0000AA000000}"/>
    <cellStyle name="Separador de milhares 3 3" xfId="104" xr:uid="{00000000-0005-0000-0000-0000AB000000}"/>
    <cellStyle name="Separador de milhares 3 3 2" xfId="176" xr:uid="{00000000-0005-0000-0000-0000AC000000}"/>
    <cellStyle name="Separador de milhares 3 4" xfId="30" xr:uid="{00000000-0005-0000-0000-0000AD000000}"/>
    <cellStyle name="Separador de milhares 3 4 2" xfId="151" xr:uid="{00000000-0005-0000-0000-0000AE000000}"/>
    <cellStyle name="Separador de milhares 4" xfId="15" xr:uid="{00000000-0005-0000-0000-0000AF000000}"/>
    <cellStyle name="Separador de milhares 4 2" xfId="39" xr:uid="{00000000-0005-0000-0000-0000B0000000}"/>
    <cellStyle name="Separador de milhares 4 3" xfId="139" xr:uid="{00000000-0005-0000-0000-0000B1000000}"/>
    <cellStyle name="Separador de milhares 4 3 2" xfId="197" xr:uid="{00000000-0005-0000-0000-0000B2000000}"/>
    <cellStyle name="Separador de milhares 4 4" xfId="147" xr:uid="{00000000-0005-0000-0000-0000B3000000}"/>
    <cellStyle name="Separador de milhares 5" xfId="105" xr:uid="{00000000-0005-0000-0000-0000B4000000}"/>
    <cellStyle name="Separador de milhares 5 2" xfId="106" xr:uid="{00000000-0005-0000-0000-0000B5000000}"/>
    <cellStyle name="Separador de milhares 5 3" xfId="177" xr:uid="{00000000-0005-0000-0000-0000B6000000}"/>
    <cellStyle name="Separador de milhares 6" xfId="107" xr:uid="{00000000-0005-0000-0000-0000B7000000}"/>
    <cellStyle name="Separador de milhares 6 2" xfId="178" xr:uid="{00000000-0005-0000-0000-0000B8000000}"/>
    <cellStyle name="Separador de milhares 7" xfId="108" xr:uid="{00000000-0005-0000-0000-0000B9000000}"/>
    <cellStyle name="Separador de milhares 8" xfId="143" xr:uid="{00000000-0005-0000-0000-0000BA000000}"/>
    <cellStyle name="Texto de Aviso 2" xfId="109" xr:uid="{00000000-0005-0000-0000-0000BB000000}"/>
    <cellStyle name="Texto Explicativo 2" xfId="110" xr:uid="{00000000-0005-0000-0000-0000BC000000}"/>
    <cellStyle name="Título 1 2" xfId="16" xr:uid="{00000000-0005-0000-0000-0000BD000000}"/>
    <cellStyle name="Título 2 2" xfId="17" xr:uid="{00000000-0005-0000-0000-0000BE000000}"/>
    <cellStyle name="Título 3 2" xfId="111" xr:uid="{00000000-0005-0000-0000-0000BF000000}"/>
    <cellStyle name="Título 4 2" xfId="112" xr:uid="{00000000-0005-0000-0000-0000C0000000}"/>
    <cellStyle name="Título 5" xfId="113" xr:uid="{00000000-0005-0000-0000-0000C1000000}"/>
    <cellStyle name="Titulo1" xfId="18" xr:uid="{00000000-0005-0000-0000-0000C2000000}"/>
    <cellStyle name="Titulo2" xfId="19" xr:uid="{00000000-0005-0000-0000-0000C3000000}"/>
    <cellStyle name="titulos" xfId="20" xr:uid="{00000000-0005-0000-0000-0000C4000000}"/>
    <cellStyle name="Total 2" xfId="21" xr:uid="{00000000-0005-0000-0000-0000C5000000}"/>
    <cellStyle name="Vírgula" xfId="1" builtinId="3"/>
    <cellStyle name="Vírgula 2" xfId="131" xr:uid="{00000000-0005-0000-0000-0000C7000000}"/>
    <cellStyle name="Vírgula 2 2" xfId="190" xr:uid="{00000000-0005-0000-0000-0000C8000000}"/>
    <cellStyle name="Vírgula 30 2 2" xfId="205" xr:uid="{8B9203A2-9420-4415-8D89-EDB35F4602C9}"/>
    <cellStyle name="Vírgula 5" xfId="203" xr:uid="{E56115FE-FE17-4FEB-B629-05C82055735C}"/>
  </cellStyles>
  <dxfs count="41">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s>
  <tableStyles count="0" defaultTableStyle="TableStyleMedium9" defaultPivotStyle="PivotStyleLight16"/>
  <colors>
    <mruColors>
      <color rgb="FFEAEAEA"/>
      <color rgb="FFCCECFF"/>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customXml" Target="../customXml/item3.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microsoft.com/office/2017/10/relationships/person" Target="persons/person.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323850</xdr:colOff>
      <xdr:row>21</xdr:row>
      <xdr:rowOff>142875</xdr:rowOff>
    </xdr:from>
    <xdr:to>
      <xdr:col>10</xdr:col>
      <xdr:colOff>257984</xdr:colOff>
      <xdr:row>23</xdr:row>
      <xdr:rowOff>152400</xdr:rowOff>
    </xdr:to>
    <xdr:pic>
      <xdr:nvPicPr>
        <xdr:cNvPr id="2" name="Picture 3">
          <a:extLst>
            <a:ext uri="{FF2B5EF4-FFF2-40B4-BE49-F238E27FC236}">
              <a16:creationId xmlns:a16="http://schemas.microsoft.com/office/drawing/2014/main" id="{A57DBFA8-6371-4F4C-B417-1166ADBCB79A}"/>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3857625" y="5400675"/>
          <a:ext cx="2791634"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323850</xdr:colOff>
      <xdr:row>21</xdr:row>
      <xdr:rowOff>142875</xdr:rowOff>
    </xdr:from>
    <xdr:to>
      <xdr:col>10</xdr:col>
      <xdr:colOff>257984</xdr:colOff>
      <xdr:row>23</xdr:row>
      <xdr:rowOff>152400</xdr:rowOff>
    </xdr:to>
    <xdr:pic>
      <xdr:nvPicPr>
        <xdr:cNvPr id="2" name="Picture 3">
          <a:extLst>
            <a:ext uri="{FF2B5EF4-FFF2-40B4-BE49-F238E27FC236}">
              <a16:creationId xmlns:a16="http://schemas.microsoft.com/office/drawing/2014/main" id="{52D832FD-E7A7-47D0-9715-01ADBE90DC02}"/>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3857625" y="5400675"/>
          <a:ext cx="2791634"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323850</xdr:colOff>
      <xdr:row>21</xdr:row>
      <xdr:rowOff>142875</xdr:rowOff>
    </xdr:from>
    <xdr:to>
      <xdr:col>10</xdr:col>
      <xdr:colOff>257984</xdr:colOff>
      <xdr:row>23</xdr:row>
      <xdr:rowOff>152400</xdr:rowOff>
    </xdr:to>
    <xdr:pic>
      <xdr:nvPicPr>
        <xdr:cNvPr id="2" name="Picture 3">
          <a:extLst>
            <a:ext uri="{FF2B5EF4-FFF2-40B4-BE49-F238E27FC236}">
              <a16:creationId xmlns:a16="http://schemas.microsoft.com/office/drawing/2014/main" id="{77223338-DCDC-4B0B-89C6-0B8F6E6BEE3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3857625" y="5400675"/>
          <a:ext cx="2791634"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323850</xdr:colOff>
      <xdr:row>21</xdr:row>
      <xdr:rowOff>142875</xdr:rowOff>
    </xdr:from>
    <xdr:to>
      <xdr:col>10</xdr:col>
      <xdr:colOff>257984</xdr:colOff>
      <xdr:row>23</xdr:row>
      <xdr:rowOff>152400</xdr:rowOff>
    </xdr:to>
    <xdr:pic>
      <xdr:nvPicPr>
        <xdr:cNvPr id="4" name="Picture 3">
          <a:extLst>
            <a:ext uri="{FF2B5EF4-FFF2-40B4-BE49-F238E27FC236}">
              <a16:creationId xmlns:a16="http://schemas.microsoft.com/office/drawing/2014/main" id="{06B28D49-4A79-428F-82D4-916BADAC22AD}"/>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3857625" y="5400675"/>
          <a:ext cx="2791634"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246529</xdr:colOff>
      <xdr:row>50</xdr:row>
      <xdr:rowOff>33619</xdr:rowOff>
    </xdr:from>
    <xdr:to>
      <xdr:col>11</xdr:col>
      <xdr:colOff>201706</xdr:colOff>
      <xdr:row>61</xdr:row>
      <xdr:rowOff>98428</xdr:rowOff>
    </xdr:to>
    <xdr:pic>
      <xdr:nvPicPr>
        <xdr:cNvPr id="2" name="Imagem 1">
          <a:extLst>
            <a:ext uri="{FF2B5EF4-FFF2-40B4-BE49-F238E27FC236}">
              <a16:creationId xmlns:a16="http://schemas.microsoft.com/office/drawing/2014/main" id="{25CAEA3E-400B-6D57-3626-FDD4787F5123}"/>
            </a:ext>
          </a:extLst>
        </xdr:cNvPr>
        <xdr:cNvPicPr>
          <a:picLocks noChangeAspect="1"/>
        </xdr:cNvPicPr>
      </xdr:nvPicPr>
      <xdr:blipFill>
        <a:blip xmlns:r="http://schemas.openxmlformats.org/officeDocument/2006/relationships" r:embed="rId1"/>
        <a:stretch>
          <a:fillRect/>
        </a:stretch>
      </xdr:blipFill>
      <xdr:spPr>
        <a:xfrm>
          <a:off x="7194176" y="12169590"/>
          <a:ext cx="3877236" cy="216030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227095</xdr:colOff>
      <xdr:row>25</xdr:row>
      <xdr:rowOff>95250</xdr:rowOff>
    </xdr:from>
    <xdr:to>
      <xdr:col>2</xdr:col>
      <xdr:colOff>2604836</xdr:colOff>
      <xdr:row>27</xdr:row>
      <xdr:rowOff>142876</xdr:rowOff>
    </xdr:to>
    <xdr:pic>
      <xdr:nvPicPr>
        <xdr:cNvPr id="2" name="Imagem 7">
          <a:extLst>
            <a:ext uri="{FF2B5EF4-FFF2-40B4-BE49-F238E27FC236}">
              <a16:creationId xmlns:a16="http://schemas.microsoft.com/office/drawing/2014/main" id="{5A407DA3-9943-444F-ABE9-F927217FFFC1}"/>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941470" y="5410200"/>
          <a:ext cx="2377741" cy="466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381000</xdr:colOff>
      <xdr:row>27</xdr:row>
      <xdr:rowOff>92781</xdr:rowOff>
    </xdr:from>
    <xdr:to>
      <xdr:col>2</xdr:col>
      <xdr:colOff>2458550</xdr:colOff>
      <xdr:row>31</xdr:row>
      <xdr:rowOff>142874</xdr:rowOff>
    </xdr:to>
    <xdr:pic>
      <xdr:nvPicPr>
        <xdr:cNvPr id="3" name="Imagem 9">
          <a:extLst>
            <a:ext uri="{FF2B5EF4-FFF2-40B4-BE49-F238E27FC236}">
              <a16:creationId xmlns:a16="http://schemas.microsoft.com/office/drawing/2014/main" id="{AC555BE8-37A1-4711-B2B5-6B42CB48B77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5375" y="5826831"/>
          <a:ext cx="2077550" cy="888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409574</xdr:colOff>
      <xdr:row>32</xdr:row>
      <xdr:rowOff>104775</xdr:rowOff>
    </xdr:from>
    <xdr:to>
      <xdr:col>2</xdr:col>
      <xdr:colOff>2653599</xdr:colOff>
      <xdr:row>34</xdr:row>
      <xdr:rowOff>112202</xdr:rowOff>
    </xdr:to>
    <xdr:pic>
      <xdr:nvPicPr>
        <xdr:cNvPr id="4" name="Imagem 10">
          <a:extLst>
            <a:ext uri="{FF2B5EF4-FFF2-40B4-BE49-F238E27FC236}">
              <a16:creationId xmlns:a16="http://schemas.microsoft.com/office/drawing/2014/main" id="{57C74F9F-903C-4D00-9B1E-F34B27AC7B4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3949" y="6886575"/>
          <a:ext cx="2244025" cy="407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448234</xdr:colOff>
      <xdr:row>26</xdr:row>
      <xdr:rowOff>44822</xdr:rowOff>
    </xdr:from>
    <xdr:to>
      <xdr:col>6</xdr:col>
      <xdr:colOff>0</xdr:colOff>
      <xdr:row>32</xdr:row>
      <xdr:rowOff>56030</xdr:rowOff>
    </xdr:to>
    <xdr:sp macro="" textlink="">
      <xdr:nvSpPr>
        <xdr:cNvPr id="5" name="Seta: para a Direita 4">
          <a:extLst>
            <a:ext uri="{FF2B5EF4-FFF2-40B4-BE49-F238E27FC236}">
              <a16:creationId xmlns:a16="http://schemas.microsoft.com/office/drawing/2014/main" id="{731AE4BD-2EF7-4269-BA8D-06A0D7BD5739}"/>
            </a:ext>
          </a:extLst>
        </xdr:cNvPr>
        <xdr:cNvSpPr/>
      </xdr:nvSpPr>
      <xdr:spPr>
        <a:xfrm>
          <a:off x="4549587" y="5490881"/>
          <a:ext cx="1143001" cy="1288678"/>
        </a:xfrm>
        <a:prstGeom prst="rightArrow">
          <a:avLst/>
        </a:prstGeom>
        <a:solidFill>
          <a:schemeClr val="accent1">
            <a:alpha val="2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pt-BR"/>
        </a:p>
      </xdr:txBody>
    </xdr:sp>
    <xdr:clientData/>
  </xdr:twoCellAnchor>
  <xdr:twoCellAnchor editAs="oneCell">
    <xdr:from>
      <xdr:col>6</xdr:col>
      <xdr:colOff>313765</xdr:colOff>
      <xdr:row>27</xdr:row>
      <xdr:rowOff>80682</xdr:rowOff>
    </xdr:from>
    <xdr:to>
      <xdr:col>12</xdr:col>
      <xdr:colOff>528918</xdr:colOff>
      <xdr:row>31</xdr:row>
      <xdr:rowOff>178441</xdr:rowOff>
    </xdr:to>
    <xdr:pic>
      <xdr:nvPicPr>
        <xdr:cNvPr id="6" name="Imagem 12">
          <a:extLst>
            <a:ext uri="{FF2B5EF4-FFF2-40B4-BE49-F238E27FC236}">
              <a16:creationId xmlns:a16="http://schemas.microsoft.com/office/drawing/2014/main" id="{5F94C3B2-5D90-40FE-90FF-4229F4DCE956}"/>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006353" y="5739653"/>
          <a:ext cx="4899212" cy="949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THIAGO ALVES SILVA" id="{B8890A35-FB2C-40F7-A665-FA8B5A915EB4}" userId="f8d921bf6bd3ea4d" providerId="Windows Liv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S11" dT="2024-10-03T17:24:29.43" personId="{B8890A35-FB2C-40F7-A665-FA8B5A915EB4}" id="{4462B484-6A3E-4769-97A5-25A6CC1A6E03}">
    <text xml:space="preserve">Considerado empolamento de 30%
</text>
  </threadedComment>
  <threadedComment ref="Q12" dT="2024-10-24T14:29:06.67" personId="{B8890A35-FB2C-40F7-A665-FA8B5A915EB4}" id="{1AE640FC-5B27-4974-B3CA-98E5EF2C920B}">
    <text xml:space="preserve">Considerado a volume de brita para infiltração
</text>
  </threadedComment>
  <threadedComment ref="S12" dT="2024-10-03T17:28:33.05" personId="{B8890A35-FB2C-40F7-A665-FA8B5A915EB4}" id="{52FF5715-3013-4F7C-893A-326FDFED8BD0}">
    <text xml:space="preserve">Considerado empolamento de 30%
</text>
  </threadedComment>
  <threadedComment ref="S13" dT="2024-10-03T17:28:33.05" personId="{B8890A35-FB2C-40F7-A665-FA8B5A915EB4}" id="{D89AF14D-E5A4-47F1-B808-91E576EE4141}">
    <text xml:space="preserve">Considerado empolamento de 30%
</text>
  </threadedComment>
</ThreadedComments>
</file>

<file path=xl/threadedComments/threadedComment2.xml><?xml version="1.0" encoding="utf-8"?>
<ThreadedComments xmlns="http://schemas.microsoft.com/office/spreadsheetml/2018/threadedcomments" xmlns:x="http://schemas.openxmlformats.org/spreadsheetml/2006/main">
  <threadedComment ref="S18" dT="2024-10-24T14:43:11.29" personId="{B8890A35-FB2C-40F7-A665-FA8B5A915EB4}" id="{75DE2A4D-72E5-4E48-8154-624574667C84}">
    <text>Excluído volume da projeção da infiltração</text>
  </threadedComment>
</ThreadedComments>
</file>

<file path=xl/threadedComments/threadedComment3.xml><?xml version="1.0" encoding="utf-8"?>
<ThreadedComments xmlns="http://schemas.microsoft.com/office/spreadsheetml/2018/threadedcomments" xmlns:x="http://schemas.openxmlformats.org/spreadsheetml/2006/main">
  <threadedComment ref="E12" dT="2024-10-04T14:18:43.92" personId="{B8890A35-FB2C-40F7-A665-FA8B5A915EB4}" id="{D8583BB3-CABB-415A-BAB9-9055D2C0C3A3}">
    <text xml:space="preserve">Área do bloco
</text>
  </threadedComment>
  <threadedComment ref="M12" dT="2024-10-04T15:37:58.89" personId="{B8890A35-FB2C-40F7-A665-FA8B5A915EB4}" id="{05BC549D-56DC-4504-8487-3D7F859EC799}">
    <text xml:space="preserve">Perímetro para forma = 7,75 m
</text>
  </threadedComment>
  <threadedComment ref="E13" dT="2024-10-04T14:18:52.58" personId="{B8890A35-FB2C-40F7-A665-FA8B5A915EB4}" id="{6057B2FB-A1A7-4DD9-B8BB-880ABA6B716C}">
    <text xml:space="preserve">Área do bloco
</text>
  </threadedComment>
  <threadedComment ref="M13" dT="2024-10-04T15:38:03.37" personId="{B8890A35-FB2C-40F7-A665-FA8B5A915EB4}" id="{75D8A259-191D-4BE4-9DFE-5B76961066D9}">
    <text>Perímetro para forma = 7,75 m</text>
  </threadedComment>
  <threadedComment ref="E14" dT="2024-10-04T14:18:52.58" personId="{B8890A35-FB2C-40F7-A665-FA8B5A915EB4}" id="{295B62B8-32B4-4A71-ABF6-FF9F126F76D6}">
    <text xml:space="preserve">Área do bloco
</text>
  </threadedComment>
  <threadedComment ref="M14" dT="2024-10-04T15:38:13.95" personId="{B8890A35-FB2C-40F7-A665-FA8B5A915EB4}" id="{3A69909D-572E-411E-8132-FCAAAA4461C3}">
    <text>Perímetro para forma = 7,75 m</text>
  </threadedComment>
  <threadedComment ref="E15" dT="2024-10-04T14:18:52.58" personId="{B8890A35-FB2C-40F7-A665-FA8B5A915EB4}" id="{12B67626-FC2D-4D67-99C7-E349786DF0A3}">
    <text xml:space="preserve">Área do bloco
</text>
  </threadedComment>
  <threadedComment ref="M15" dT="2024-10-04T15:38:19.29" personId="{B8890A35-FB2C-40F7-A665-FA8B5A915EB4}" id="{CD110C15-37E2-4862-B64B-EBEA1FCE8593}">
    <text>Perímetro para forma = 7,75 m</text>
  </threadedComment>
  <threadedComment ref="M16" dT="2024-10-04T15:38:13.95" personId="{B8890A35-FB2C-40F7-A665-FA8B5A915EB4}" id="{A30AA2E6-02F7-4DD4-84D0-8E4E0C3B31D6}">
    <text>Perímetro para forma = 7,75 m</text>
  </threadedComment>
</ThreadedComments>
</file>

<file path=xl/threadedComments/threadedComment4.xml><?xml version="1.0" encoding="utf-8"?>
<ThreadedComments xmlns="http://schemas.microsoft.com/office/spreadsheetml/2018/threadedcomments" xmlns:x="http://schemas.openxmlformats.org/spreadsheetml/2006/main">
  <threadedComment ref="O9" dT="2024-10-14T03:43:12.48" personId="{B8890A35-FB2C-40F7-A665-FA8B5A915EB4}" id="{98F88B81-03F1-48AA-9FF8-53E017918736}">
    <text>Acréscimo para ligações, entradas em quadros, folgas</text>
  </threadedComment>
</ThreadedComments>
</file>

<file path=xl/threadedComments/threadedComment5.xml><?xml version="1.0" encoding="utf-8"?>
<ThreadedComments xmlns="http://schemas.microsoft.com/office/spreadsheetml/2018/threadedcomments" xmlns:x="http://schemas.openxmlformats.org/spreadsheetml/2006/main">
  <threadedComment ref="D43" dT="2024-10-14T18:55:40.80" personId="{B8890A35-FB2C-40F7-A665-FA8B5A915EB4}" id="{42E4814B-2A7B-4A1E-A5F4-B3D0B62E6A54}">
    <text xml:space="preserve">Mureta padrão GOINFRA - 190x240 cm
</text>
  </threadedComment>
</ThreadedComments>
</file>

<file path=xl/threadedComments/threadedComment6.xml><?xml version="1.0" encoding="utf-8"?>
<ThreadedComments xmlns="http://schemas.microsoft.com/office/spreadsheetml/2018/threadedcomments" xmlns:x="http://schemas.openxmlformats.org/spreadsheetml/2006/main">
  <threadedComment ref="O9" dT="2024-10-14T03:43:12.48" personId="{B8890A35-FB2C-40F7-A665-FA8B5A915EB4}" id="{A8A43CC1-EB7B-4B17-9B8A-FAE47D2502A3}">
    <text>Acréscimo para ligações, entradas em quadros, folgas</text>
  </threadedComment>
</ThreadedComments>
</file>

<file path=xl/threadedComments/threadedComment7.xml><?xml version="1.0" encoding="utf-8"?>
<ThreadedComments xmlns="http://schemas.microsoft.com/office/spreadsheetml/2018/threadedcomments" xmlns:x="http://schemas.openxmlformats.org/spreadsheetml/2006/main">
  <threadedComment ref="N12" dT="2024-10-25T09:31:14.04" personId="{B8890A35-FB2C-40F7-A665-FA8B5A915EB4}" id="{84FAE8B1-0222-49EF-B6DE-EF858981D81E}">
    <text xml:space="preserve">Toda a área de cobertura vegetal, inclusive nos reservatórios desativados
</text>
  </threadedComment>
  <threadedComment ref="O12" dT="2024-10-25T09:33:07.42" personId="{B8890A35-FB2C-40F7-A665-FA8B5A915EB4}" id="{69AFC08B-7088-423D-B899-1CFACA2F721A}">
    <text xml:space="preserve">Área do reservatório e calçadas internas
</text>
  </threadedComment>
  <threadedComment ref="N13" dT="2024-10-25T09:30:34.48" personId="{B8890A35-FB2C-40F7-A665-FA8B5A915EB4}" id="{05281F46-FF30-4B48-BE39-FDB62C621078}">
    <text xml:space="preserve">Área entre as calçadas
</text>
  </threadedComment>
  <threadedComment ref="N14" dT="2024-10-25T09:30:14.14" personId="{B8890A35-FB2C-40F7-A665-FA8B5A915EB4}" id="{9BBC07AA-3745-4AD5-A415-217C3352E2F9}">
    <text>Tampas das caixas</text>
  </threadedComment>
</ThreadedComments>
</file>

<file path=xl/threadedComments/threadedComment8.xml><?xml version="1.0" encoding="utf-8"?>
<ThreadedComments xmlns="http://schemas.microsoft.com/office/spreadsheetml/2018/threadedcomments" xmlns:x="http://schemas.openxmlformats.org/spreadsheetml/2006/main">
  <threadedComment ref="S12" dT="2024-10-26T14:54:32.84" personId="{B8890A35-FB2C-40F7-A665-FA8B5A915EB4}" id="{336EBCE6-69A6-47A3-B408-3F5155632938}">
    <text xml:space="preserve">3 anéis de concreto
</text>
  </threadedComment>
  <threadedComment ref="U13" dT="2024-10-26T14:55:01.37" personId="{B8890A35-FB2C-40F7-A665-FA8B5A915EB4}" id="{DC5E2BA1-6DBA-44A0-B8FC-93F8A3F305C9}">
    <text>2 anéis de concreto de 50 cm de altura</text>
  </threadedComment>
  <threadedComment ref="T14" dT="2024-10-26T15:45:46.55" personId="{B8890A35-FB2C-40F7-A665-FA8B5A915EB4}" id="{7AEF0458-4A3A-422F-804C-012387F84991}">
    <text xml:space="preserve">02 anéis de 60 cm de altura
</text>
  </threadedComment>
  <threadedComment ref="U15" dT="2024-10-26T17:32:22.30" personId="{B8890A35-FB2C-40F7-A665-FA8B5A915EB4}" id="{929647C6-876C-4687-AF23-945E44319D62}">
    <text xml:space="preserve">02 anéis com 50 cm de altura
</text>
  </threadedComment>
  <threadedComment ref="T16" dT="2024-10-26T17:30:04.72" personId="{B8890A35-FB2C-40F7-A665-FA8B5A915EB4}" id="{BEDA5E19-BF8E-4456-842C-249C0D9455C0}">
    <text xml:space="preserve">3 anéis com 60 cm de altura
</text>
  </threadedComment>
</ThreadedComments>
</file>

<file path=xl/threadedComments/threadedComment9.xml><?xml version="1.0" encoding="utf-8"?>
<ThreadedComments xmlns="http://schemas.microsoft.com/office/spreadsheetml/2018/threadedcomments" xmlns:x="http://schemas.openxmlformats.org/spreadsheetml/2006/main">
  <threadedComment ref="N18" dT="2024-10-27T18:51:37.63" personId="{B8890A35-FB2C-40F7-A665-FA8B5A915EB4}" id="{119CB1BF-D8D5-470B-ADEE-2C96592FDEAF}">
    <text>ESPESSURA CONSIDERADA DE 5 CM</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18.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22.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vmlDrawing" Target="../drawings/vmlDrawing23.vml"/><Relationship Id="rId1" Type="http://schemas.openxmlformats.org/officeDocument/2006/relationships/printerSettings" Target="../printerSettings/printerSettings24.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vmlDrawing" Target="../drawings/vmlDrawing25.vml"/><Relationship Id="rId1" Type="http://schemas.openxmlformats.org/officeDocument/2006/relationships/printerSettings" Target="../printerSettings/printerSettings25.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26.xml.rels><?xml version="1.0" encoding="UTF-8" standalone="yes"?>
<Relationships xmlns="http://schemas.openxmlformats.org/package/2006/relationships"><Relationship Id="rId2" Type="http://schemas.openxmlformats.org/officeDocument/2006/relationships/vmlDrawing" Target="../drawings/vmlDrawing27.v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vmlDrawing" Target="../drawings/vmlDrawing28.v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vmlDrawing" Target="../drawings/vmlDrawing29.v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vmlDrawing" Target="../drawings/vmlDrawing30.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vmlDrawing" Target="../drawings/vmlDrawing31.vml"/><Relationship Id="rId1" Type="http://schemas.openxmlformats.org/officeDocument/2006/relationships/printerSettings" Target="../printerSettings/printerSettings30.bin"/><Relationship Id="rId5" Type="http://schemas.microsoft.com/office/2017/10/relationships/threadedComment" Target="../threadedComments/threadedComment3.xml"/><Relationship Id="rId4" Type="http://schemas.openxmlformats.org/officeDocument/2006/relationships/comments" Target="../comments3.xml"/></Relationships>
</file>

<file path=xl/worksheets/_rels/sheet31.xml.rels><?xml version="1.0" encoding="UTF-8" standalone="yes"?>
<Relationships xmlns="http://schemas.openxmlformats.org/package/2006/relationships"><Relationship Id="rId2" Type="http://schemas.openxmlformats.org/officeDocument/2006/relationships/vmlDrawing" Target="../drawings/vmlDrawing33.v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vmlDrawing" Target="../drawings/vmlDrawing34.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vmlDrawing" Target="../drawings/vmlDrawing35.v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vmlDrawing" Target="../drawings/vmlDrawing36.v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vmlDrawing" Target="../drawings/vmlDrawing37.v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vmlDrawing" Target="../drawings/vmlDrawing38.v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vmlDrawing" Target="../drawings/vmlDrawing39.v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vmlDrawing" Target="../drawings/vmlDrawing40.v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vmlDrawing" Target="../drawings/vmlDrawing41.v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3" Type="http://schemas.openxmlformats.org/officeDocument/2006/relationships/vmlDrawing" Target="../drawings/vmlDrawing43.vml"/><Relationship Id="rId2" Type="http://schemas.openxmlformats.org/officeDocument/2006/relationships/vmlDrawing" Target="../drawings/vmlDrawing42.vml"/><Relationship Id="rId1" Type="http://schemas.openxmlformats.org/officeDocument/2006/relationships/printerSettings" Target="../printerSettings/printerSettings40.bin"/><Relationship Id="rId5" Type="http://schemas.microsoft.com/office/2017/10/relationships/threadedComment" Target="../threadedComments/threadedComment4.xml"/><Relationship Id="rId4" Type="http://schemas.openxmlformats.org/officeDocument/2006/relationships/comments" Target="../comments4.xml"/></Relationships>
</file>

<file path=xl/worksheets/_rels/sheet41.xml.rels><?xml version="1.0" encoding="UTF-8" standalone="yes"?>
<Relationships xmlns="http://schemas.openxmlformats.org/package/2006/relationships"><Relationship Id="rId3" Type="http://schemas.openxmlformats.org/officeDocument/2006/relationships/vmlDrawing" Target="../drawings/vmlDrawing44.vml"/><Relationship Id="rId2" Type="http://schemas.openxmlformats.org/officeDocument/2006/relationships/drawing" Target="../drawings/drawing5.xml"/><Relationship Id="rId1" Type="http://schemas.openxmlformats.org/officeDocument/2006/relationships/printerSettings" Target="../printerSettings/printerSettings41.bin"/><Relationship Id="rId6" Type="http://schemas.microsoft.com/office/2017/10/relationships/threadedComment" Target="../threadedComments/threadedComment5.xml"/><Relationship Id="rId5" Type="http://schemas.openxmlformats.org/officeDocument/2006/relationships/comments" Target="../comments5.xml"/><Relationship Id="rId4" Type="http://schemas.openxmlformats.org/officeDocument/2006/relationships/vmlDrawing" Target="../drawings/vmlDrawing45.vml"/></Relationships>
</file>

<file path=xl/worksheets/_rels/sheet42.xml.rels><?xml version="1.0" encoding="UTF-8" standalone="yes"?>
<Relationships xmlns="http://schemas.openxmlformats.org/package/2006/relationships"><Relationship Id="rId2" Type="http://schemas.openxmlformats.org/officeDocument/2006/relationships/vmlDrawing" Target="../drawings/vmlDrawing46.v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3" Type="http://schemas.openxmlformats.org/officeDocument/2006/relationships/vmlDrawing" Target="../drawings/vmlDrawing48.vml"/><Relationship Id="rId2" Type="http://schemas.openxmlformats.org/officeDocument/2006/relationships/vmlDrawing" Target="../drawings/vmlDrawing47.vml"/><Relationship Id="rId1" Type="http://schemas.openxmlformats.org/officeDocument/2006/relationships/printerSettings" Target="../printerSettings/printerSettings43.bin"/><Relationship Id="rId5" Type="http://schemas.microsoft.com/office/2017/10/relationships/threadedComment" Target="../threadedComments/threadedComment6.xml"/><Relationship Id="rId4" Type="http://schemas.openxmlformats.org/officeDocument/2006/relationships/comments" Target="../comments6.xml"/></Relationships>
</file>

<file path=xl/worksheets/_rels/sheet44.xml.rels><?xml version="1.0" encoding="UTF-8" standalone="yes"?>
<Relationships xmlns="http://schemas.openxmlformats.org/package/2006/relationships"><Relationship Id="rId2" Type="http://schemas.openxmlformats.org/officeDocument/2006/relationships/vmlDrawing" Target="../drawings/vmlDrawing49.v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vmlDrawing" Target="../drawings/vmlDrawing50.v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3" Type="http://schemas.openxmlformats.org/officeDocument/2006/relationships/vmlDrawing" Target="../drawings/vmlDrawing52.vml"/><Relationship Id="rId2" Type="http://schemas.openxmlformats.org/officeDocument/2006/relationships/vmlDrawing" Target="../drawings/vmlDrawing51.vml"/><Relationship Id="rId1" Type="http://schemas.openxmlformats.org/officeDocument/2006/relationships/printerSettings" Target="../printerSettings/printerSettings46.bin"/><Relationship Id="rId5" Type="http://schemas.microsoft.com/office/2017/10/relationships/threadedComment" Target="../threadedComments/threadedComment7.xml"/><Relationship Id="rId4" Type="http://schemas.openxmlformats.org/officeDocument/2006/relationships/comments" Target="../comments7.xml"/></Relationships>
</file>

<file path=xl/worksheets/_rels/sheet47.xml.rels><?xml version="1.0" encoding="UTF-8" standalone="yes"?>
<Relationships xmlns="http://schemas.openxmlformats.org/package/2006/relationships"><Relationship Id="rId2" Type="http://schemas.openxmlformats.org/officeDocument/2006/relationships/vmlDrawing" Target="../drawings/vmlDrawing53.v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vmlDrawing" Target="../drawings/vmlDrawing54.v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3" Type="http://schemas.openxmlformats.org/officeDocument/2006/relationships/vmlDrawing" Target="../drawings/vmlDrawing56.vml"/><Relationship Id="rId2" Type="http://schemas.openxmlformats.org/officeDocument/2006/relationships/vmlDrawing" Target="../drawings/vmlDrawing55.vml"/><Relationship Id="rId1" Type="http://schemas.openxmlformats.org/officeDocument/2006/relationships/printerSettings" Target="../printerSettings/printerSettings49.bin"/><Relationship Id="rId5" Type="http://schemas.microsoft.com/office/2017/10/relationships/threadedComment" Target="../threadedComments/threadedComment8.xml"/><Relationship Id="rId4" Type="http://schemas.openxmlformats.org/officeDocument/2006/relationships/comments" Target="../comments8.xml"/></Relationships>
</file>

<file path=xl/worksheets/_rels/sheet50.xml.rels><?xml version="1.0" encoding="UTF-8" standalone="yes"?>
<Relationships xmlns="http://schemas.openxmlformats.org/package/2006/relationships"><Relationship Id="rId2" Type="http://schemas.openxmlformats.org/officeDocument/2006/relationships/vmlDrawing" Target="../drawings/vmlDrawing57.v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vmlDrawing" Target="../drawings/vmlDrawing59.vml"/><Relationship Id="rId2" Type="http://schemas.openxmlformats.org/officeDocument/2006/relationships/vmlDrawing" Target="../drawings/vmlDrawing58.vml"/><Relationship Id="rId1" Type="http://schemas.openxmlformats.org/officeDocument/2006/relationships/printerSettings" Target="../printerSettings/printerSettings51.bin"/><Relationship Id="rId5" Type="http://schemas.microsoft.com/office/2017/10/relationships/threadedComment" Target="../threadedComments/threadedComment9.xml"/><Relationship Id="rId4" Type="http://schemas.openxmlformats.org/officeDocument/2006/relationships/comments" Target="../comments9.xml"/></Relationships>
</file>

<file path=xl/worksheets/_rels/sheet52.xml.rels><?xml version="1.0" encoding="UTF-8" standalone="yes"?>
<Relationships xmlns="http://schemas.openxmlformats.org/package/2006/relationships"><Relationship Id="rId2" Type="http://schemas.openxmlformats.org/officeDocument/2006/relationships/vmlDrawing" Target="../drawings/vmlDrawing60.v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3" Type="http://schemas.openxmlformats.org/officeDocument/2006/relationships/vmlDrawing" Target="../drawings/vmlDrawing61.vml"/><Relationship Id="rId2" Type="http://schemas.openxmlformats.org/officeDocument/2006/relationships/drawing" Target="../drawings/drawing6.xml"/><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ilha1"/>
  <dimension ref="B1:X32"/>
  <sheetViews>
    <sheetView showGridLines="0" view="pageBreakPreview" topLeftCell="A5" zoomScale="85" zoomScaleNormal="100" zoomScaleSheetLayoutView="85" workbookViewId="0">
      <selection activeCell="J22" sqref="J22:L22"/>
    </sheetView>
  </sheetViews>
  <sheetFormatPr defaultRowHeight="16.5" x14ac:dyDescent="0.25"/>
  <cols>
    <col min="1" max="1" width="1.7109375" style="70" customWidth="1"/>
    <col min="2" max="4" width="9.140625" style="70"/>
    <col min="5" max="5" width="1.7109375" style="70" customWidth="1"/>
    <col min="6" max="7" width="9.140625" style="70"/>
    <col min="8" max="8" width="10.7109375" style="70" customWidth="1"/>
    <col min="9" max="9" width="1.7109375" style="70" customWidth="1"/>
    <col min="10" max="12" width="9.140625" style="70"/>
    <col min="13" max="13" width="1.7109375" style="70" customWidth="1"/>
    <col min="14" max="14" width="9.140625" style="70" customWidth="1"/>
    <col min="15" max="15" width="1.7109375" style="70" customWidth="1"/>
    <col min="16" max="16" width="9.140625" style="70"/>
    <col min="17" max="17" width="1.7109375" style="70" customWidth="1"/>
    <col min="18" max="16384" width="9.140625" style="70"/>
  </cols>
  <sheetData>
    <row r="1" spans="2:24" x14ac:dyDescent="0.25">
      <c r="B1" s="568"/>
      <c r="C1" s="568"/>
      <c r="N1" s="568"/>
      <c r="O1" s="568"/>
      <c r="P1" s="568"/>
    </row>
    <row r="2" spans="2:24" x14ac:dyDescent="0.25">
      <c r="B2" s="568"/>
      <c r="C2" s="568"/>
      <c r="N2" s="568"/>
      <c r="O2" s="568"/>
      <c r="P2" s="568"/>
    </row>
    <row r="3" spans="2:24" x14ac:dyDescent="0.25">
      <c r="B3" s="568"/>
      <c r="C3" s="568"/>
      <c r="N3" s="568"/>
      <c r="O3" s="568"/>
      <c r="P3" s="568"/>
    </row>
    <row r="4" spans="2:24" x14ac:dyDescent="0.25">
      <c r="B4" s="568"/>
      <c r="C4" s="568"/>
      <c r="N4" s="568"/>
      <c r="O4" s="568"/>
      <c r="P4" s="568"/>
    </row>
    <row r="5" spans="2:24" x14ac:dyDescent="0.25">
      <c r="B5" s="568"/>
      <c r="C5" s="568"/>
      <c r="N5" s="568"/>
      <c r="O5" s="568"/>
      <c r="P5" s="568"/>
    </row>
    <row r="6" spans="2:24" x14ac:dyDescent="0.3">
      <c r="B6" s="568"/>
      <c r="C6" s="568"/>
      <c r="F6" s="72"/>
      <c r="N6" s="568"/>
      <c r="O6" s="568"/>
      <c r="P6" s="568"/>
    </row>
    <row r="7" spans="2:24" x14ac:dyDescent="0.25">
      <c r="B7" s="568"/>
      <c r="C7" s="568"/>
      <c r="N7" s="568"/>
      <c r="O7" s="568"/>
      <c r="P7" s="568"/>
    </row>
    <row r="8" spans="2:24" x14ac:dyDescent="0.3">
      <c r="X8" s="72"/>
    </row>
    <row r="10" spans="2:24" x14ac:dyDescent="0.25">
      <c r="B10" s="569" t="s">
        <v>0</v>
      </c>
      <c r="C10" s="569"/>
      <c r="D10" s="569"/>
      <c r="E10" s="569"/>
      <c r="F10" s="569"/>
      <c r="G10" s="569"/>
      <c r="H10" s="569"/>
      <c r="I10" s="569"/>
      <c r="J10" s="569"/>
      <c r="K10" s="569"/>
      <c r="L10" s="569"/>
      <c r="M10" s="569"/>
      <c r="N10" s="569"/>
      <c r="O10" s="569"/>
      <c r="P10" s="569"/>
    </row>
    <row r="12" spans="2:24" x14ac:dyDescent="0.25">
      <c r="B12" s="73" t="s">
        <v>1</v>
      </c>
      <c r="P12" s="74"/>
    </row>
    <row r="13" spans="2:24" x14ac:dyDescent="0.25">
      <c r="B13" s="563" t="s">
        <v>2834</v>
      </c>
      <c r="C13" s="564"/>
      <c r="D13" s="564"/>
      <c r="E13" s="564"/>
      <c r="F13" s="564"/>
      <c r="G13" s="564"/>
      <c r="H13" s="564"/>
      <c r="I13" s="564"/>
      <c r="J13" s="564"/>
      <c r="K13" s="564"/>
      <c r="L13" s="564"/>
      <c r="M13" s="564"/>
      <c r="N13" s="564"/>
      <c r="O13" s="564"/>
      <c r="P13" s="565"/>
    </row>
    <row r="14" spans="2:24" ht="6" customHeight="1" x14ac:dyDescent="0.25"/>
    <row r="15" spans="2:24" x14ac:dyDescent="0.25">
      <c r="B15" s="73" t="s">
        <v>2</v>
      </c>
      <c r="P15" s="74"/>
    </row>
    <row r="16" spans="2:24" x14ac:dyDescent="0.25">
      <c r="B16" s="563" t="s">
        <v>2786</v>
      </c>
      <c r="C16" s="564"/>
      <c r="D16" s="564"/>
      <c r="E16" s="564"/>
      <c r="F16" s="564"/>
      <c r="G16" s="564"/>
      <c r="H16" s="564"/>
      <c r="I16" s="564"/>
      <c r="J16" s="564"/>
      <c r="K16" s="564"/>
      <c r="L16" s="564"/>
      <c r="M16" s="564"/>
      <c r="N16" s="564"/>
      <c r="O16" s="564"/>
      <c r="P16" s="565"/>
    </row>
    <row r="17" spans="2:16" ht="6" customHeight="1" x14ac:dyDescent="0.25"/>
    <row r="18" spans="2:16" x14ac:dyDescent="0.25">
      <c r="B18" s="73" t="s">
        <v>3</v>
      </c>
      <c r="H18" s="74"/>
      <c r="J18" s="73" t="s">
        <v>4</v>
      </c>
      <c r="N18" s="74"/>
      <c r="P18" s="75" t="s">
        <v>5</v>
      </c>
    </row>
    <row r="19" spans="2:16" x14ac:dyDescent="0.25">
      <c r="B19" s="563" t="s">
        <v>483</v>
      </c>
      <c r="C19" s="564"/>
      <c r="D19" s="564"/>
      <c r="E19" s="564"/>
      <c r="F19" s="564"/>
      <c r="G19" s="564"/>
      <c r="H19" s="565"/>
      <c r="I19" s="76"/>
      <c r="J19" s="563" t="s">
        <v>2787</v>
      </c>
      <c r="K19" s="564"/>
      <c r="L19" s="564"/>
      <c r="M19" s="564"/>
      <c r="N19" s="565"/>
      <c r="O19" s="77"/>
      <c r="P19" s="78" t="s">
        <v>6</v>
      </c>
    </row>
    <row r="20" spans="2:16" ht="6" customHeight="1" x14ac:dyDescent="0.25"/>
    <row r="21" spans="2:16" x14ac:dyDescent="0.25">
      <c r="B21" s="73" t="s">
        <v>7</v>
      </c>
      <c r="D21" s="74"/>
      <c r="F21" s="73" t="s">
        <v>8</v>
      </c>
      <c r="H21" s="74"/>
      <c r="J21" s="73" t="s">
        <v>9</v>
      </c>
      <c r="L21" s="74"/>
      <c r="N21" s="73" t="s">
        <v>10</v>
      </c>
      <c r="P21" s="74"/>
    </row>
    <row r="22" spans="2:16" x14ac:dyDescent="0.25">
      <c r="B22" s="551"/>
      <c r="C22" s="552"/>
      <c r="D22" s="553"/>
      <c r="E22" s="76"/>
      <c r="F22" s="554">
        <f>'BDI NORMAL (SD) '!F21/100</f>
        <v>0.24640000000000001</v>
      </c>
      <c r="G22" s="555"/>
      <c r="H22" s="556"/>
      <c r="I22" s="76"/>
      <c r="J22" s="566">
        <f>'ENCARGOS SOCIAIS'!D43</f>
        <v>0.81630000000000003</v>
      </c>
      <c r="K22" s="555"/>
      <c r="L22" s="556"/>
      <c r="M22" s="76"/>
      <c r="N22" s="567" t="s">
        <v>2788</v>
      </c>
      <c r="O22" s="558"/>
      <c r="P22" s="559"/>
    </row>
    <row r="23" spans="2:16" ht="6" customHeight="1" x14ac:dyDescent="0.25"/>
    <row r="24" spans="2:16" x14ac:dyDescent="0.25">
      <c r="B24" s="73" t="s">
        <v>11</v>
      </c>
      <c r="D24" s="74"/>
      <c r="F24" s="73" t="s">
        <v>12</v>
      </c>
      <c r="H24" s="74"/>
      <c r="J24" s="73" t="s">
        <v>13</v>
      </c>
      <c r="L24" s="74"/>
      <c r="N24" s="73" t="s">
        <v>14</v>
      </c>
      <c r="P24" s="74"/>
    </row>
    <row r="25" spans="2:16" x14ac:dyDescent="0.25">
      <c r="B25" s="551" t="s">
        <v>2790</v>
      </c>
      <c r="C25" s="552"/>
      <c r="D25" s="553"/>
      <c r="E25" s="76"/>
      <c r="F25" s="554">
        <f>'BDI DIFERENCIADO (SD) '!F21/100</f>
        <v>0.1419</v>
      </c>
      <c r="G25" s="555"/>
      <c r="H25" s="556"/>
      <c r="I25" s="76"/>
      <c r="J25" s="554">
        <f>'ENCARGOS SOCIAIS'!E43</f>
        <v>0.45279999999999998</v>
      </c>
      <c r="K25" s="555"/>
      <c r="L25" s="556"/>
      <c r="N25" s="557" t="s">
        <v>2789</v>
      </c>
      <c r="O25" s="558"/>
      <c r="P25" s="559"/>
    </row>
    <row r="26" spans="2:16" ht="6" customHeight="1" x14ac:dyDescent="0.25"/>
    <row r="27" spans="2:16" x14ac:dyDescent="0.25">
      <c r="B27" s="73" t="s">
        <v>15</v>
      </c>
      <c r="P27" s="74"/>
    </row>
    <row r="28" spans="2:16" ht="49.5" customHeight="1" x14ac:dyDescent="0.25">
      <c r="B28" s="560" t="s">
        <v>2791</v>
      </c>
      <c r="C28" s="561"/>
      <c r="D28" s="561"/>
      <c r="E28" s="561"/>
      <c r="F28" s="561"/>
      <c r="G28" s="561"/>
      <c r="H28" s="561"/>
      <c r="I28" s="561"/>
      <c r="J28" s="561"/>
      <c r="K28" s="561"/>
      <c r="L28" s="561"/>
      <c r="M28" s="561"/>
      <c r="N28" s="561"/>
      <c r="O28" s="561"/>
      <c r="P28" s="562"/>
    </row>
    <row r="32" spans="2:16" x14ac:dyDescent="0.3">
      <c r="H32" s="72"/>
    </row>
  </sheetData>
  <mergeCells count="16">
    <mergeCell ref="B16:P16"/>
    <mergeCell ref="B1:C7"/>
    <mergeCell ref="N1:P7"/>
    <mergeCell ref="B10:P10"/>
    <mergeCell ref="B13:P13"/>
    <mergeCell ref="B19:H19"/>
    <mergeCell ref="J19:N19"/>
    <mergeCell ref="B22:D22"/>
    <mergeCell ref="F22:H22"/>
    <mergeCell ref="J22:L22"/>
    <mergeCell ref="N22:P22"/>
    <mergeCell ref="B25:D25"/>
    <mergeCell ref="F25:H25"/>
    <mergeCell ref="J25:L25"/>
    <mergeCell ref="N25:P25"/>
    <mergeCell ref="B28:P28"/>
  </mergeCells>
  <pageMargins left="0.51181102362204722" right="0.51181102362204722" top="0.78740157480314965" bottom="0.78740157480314965" header="0.31496062992125984" footer="0.31496062992125984"/>
  <pageSetup paperSize="9" scale="81" orientation="portrait" horizontalDpi="1200" verticalDpi="1200" r:id="rId1"/>
  <headerFooter>
    <oddFooter>&amp;L&amp;"Arial Narrow,Normal"&amp;10&amp;A
&amp;F&amp;C&amp;"Arial Narrow,Negrito"&amp;10ENG. CIVIL THIAGO ALVES SILVA&amp;"Arial Narrow,Normal"
CREA 1004804750/D-GO&amp;R&amp;"Arial Narrow,Normal"&amp;10Página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58BBC-7DC6-4E87-B26D-51C56E54B3B4}">
  <dimension ref="B1:U26"/>
  <sheetViews>
    <sheetView showGridLines="0" showZeros="0" tabSelected="1" view="pageBreakPreview" zoomScaleNormal="100" zoomScaleSheetLayoutView="100" workbookViewId="0">
      <selection activeCell="Q14" sqref="Q14"/>
    </sheetView>
  </sheetViews>
  <sheetFormatPr defaultColWidth="9.140625" defaultRowHeight="13.5" x14ac:dyDescent="0.25"/>
  <cols>
    <col min="1" max="1" width="1.7109375" style="89" customWidth="1"/>
    <col min="2" max="2" width="9.140625" style="89" customWidth="1"/>
    <col min="3" max="3" width="12.5703125" style="89" customWidth="1"/>
    <col min="4" max="4" width="17.85546875" style="89" bestFit="1" customWidth="1"/>
    <col min="5" max="10" width="10.7109375" style="89" customWidth="1"/>
    <col min="11" max="11" width="6.5703125" style="89" customWidth="1"/>
    <col min="12" max="12" width="6" style="89" customWidth="1"/>
    <col min="13" max="13" width="10.7109375" style="89" customWidth="1"/>
    <col min="14" max="14" width="10.140625" style="89" customWidth="1"/>
    <col min="15" max="15" width="10.7109375" style="91" customWidth="1"/>
    <col min="16" max="16" width="1.7109375" style="89" customWidth="1"/>
    <col min="17" max="17" width="9.140625" style="89" customWidth="1"/>
    <col min="18" max="16384" width="9.140625" style="89"/>
  </cols>
  <sheetData>
    <row r="1" spans="2:21" s="69" customFormat="1" ht="20.100000000000001" customHeight="1" x14ac:dyDescent="0.25">
      <c r="B1" s="569"/>
      <c r="C1" s="569"/>
      <c r="D1" s="569"/>
      <c r="E1" s="569"/>
      <c r="F1" s="569"/>
      <c r="G1" s="569"/>
      <c r="H1" s="569"/>
      <c r="I1" s="569"/>
      <c r="J1" s="569"/>
      <c r="K1" s="569"/>
      <c r="L1" s="569"/>
      <c r="M1" s="569"/>
      <c r="N1" s="569"/>
      <c r="O1" s="569"/>
      <c r="P1" s="569"/>
    </row>
    <row r="2" spans="2:21" s="69" customFormat="1" ht="20.100000000000001" customHeight="1" x14ac:dyDescent="0.25">
      <c r="B2" s="569"/>
      <c r="C2" s="569"/>
      <c r="D2" s="569"/>
      <c r="E2" s="569"/>
      <c r="F2" s="569"/>
      <c r="G2" s="569"/>
      <c r="H2" s="569"/>
      <c r="I2" s="569"/>
      <c r="J2" s="569"/>
      <c r="K2" s="569"/>
      <c r="L2" s="569"/>
      <c r="M2" s="569"/>
      <c r="N2" s="569"/>
      <c r="O2" s="569"/>
      <c r="P2" s="569"/>
    </row>
    <row r="3" spans="2:21" s="69" customFormat="1" ht="20.100000000000001" customHeight="1" x14ac:dyDescent="0.25"/>
    <row r="4" spans="2:21" s="5" customFormat="1" ht="20.100000000000001" customHeight="1" x14ac:dyDescent="0.25">
      <c r="B4" s="1"/>
      <c r="C4" s="2"/>
      <c r="E4" s="2"/>
      <c r="F4" s="2"/>
      <c r="G4" s="2"/>
      <c r="H4" s="2"/>
      <c r="I4" s="2"/>
      <c r="J4" s="2"/>
      <c r="K4" s="2"/>
      <c r="L4" s="2"/>
      <c r="N4" s="3"/>
      <c r="O4" s="4"/>
      <c r="R4" s="32"/>
      <c r="S4" s="32"/>
      <c r="T4" s="33"/>
      <c r="U4" s="33"/>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39"/>
      <c r="N7" s="3"/>
      <c r="O7" s="64"/>
    </row>
    <row r="8" spans="2:21" s="67" customFormat="1" ht="20.100000000000001" customHeight="1" x14ac:dyDescent="0.25">
      <c r="B8" s="52"/>
      <c r="C8" s="53"/>
      <c r="D8" s="9"/>
      <c r="E8" s="9"/>
      <c r="F8" s="9"/>
      <c r="G8" s="10"/>
      <c r="H8" s="10"/>
      <c r="I8" s="10"/>
      <c r="J8" s="10"/>
      <c r="K8" s="9"/>
      <c r="M8" s="10"/>
      <c r="N8" s="10"/>
    </row>
    <row r="9" spans="2:21" ht="20.100000000000001" customHeight="1" x14ac:dyDescent="0.25">
      <c r="B9" s="306"/>
      <c r="C9" s="570" t="s">
        <v>2823</v>
      </c>
      <c r="D9" s="570"/>
      <c r="E9" s="570"/>
      <c r="F9" s="570"/>
      <c r="G9" s="570"/>
      <c r="H9" s="570"/>
      <c r="I9" s="570"/>
      <c r="J9" s="570"/>
      <c r="K9" s="570"/>
      <c r="L9" s="570"/>
      <c r="M9" s="570"/>
      <c r="N9" s="570"/>
      <c r="O9" s="90"/>
    </row>
    <row r="10" spans="2:21" ht="20.100000000000001" customHeight="1" x14ac:dyDescent="0.25">
      <c r="B10" s="306"/>
      <c r="C10" s="570"/>
      <c r="D10" s="570"/>
      <c r="E10" s="570"/>
      <c r="F10" s="570"/>
      <c r="G10" s="570"/>
      <c r="H10" s="570"/>
      <c r="I10" s="570"/>
      <c r="J10" s="570"/>
      <c r="K10" s="570"/>
      <c r="L10" s="570"/>
      <c r="M10" s="570"/>
      <c r="N10" s="570"/>
      <c r="O10" s="90"/>
    </row>
    <row r="11" spans="2:21" ht="20.100000000000001" customHeight="1" x14ac:dyDescent="0.25">
      <c r="B11" s="306"/>
      <c r="C11" s="384"/>
      <c r="D11" s="384"/>
      <c r="E11" s="384"/>
      <c r="F11" s="384"/>
      <c r="G11" s="384"/>
      <c r="H11" s="384"/>
      <c r="I11" s="384"/>
      <c r="J11" s="384"/>
      <c r="K11" s="384"/>
      <c r="L11" s="384"/>
      <c r="M11" s="384"/>
      <c r="N11" s="384"/>
      <c r="O11" s="90"/>
    </row>
    <row r="12" spans="2:21" ht="20.100000000000001" customHeight="1" x14ac:dyDescent="0.25">
      <c r="B12" s="306"/>
      <c r="C12" s="384"/>
      <c r="D12" s="384"/>
      <c r="E12" s="384"/>
      <c r="F12" s="384"/>
      <c r="G12" s="384"/>
      <c r="H12" s="384"/>
      <c r="I12" s="384"/>
      <c r="J12" s="384"/>
      <c r="K12" s="384"/>
      <c r="L12" s="384"/>
      <c r="M12" s="384"/>
      <c r="N12" s="384"/>
      <c r="O12" s="90"/>
    </row>
    <row r="13" spans="2:21" ht="20.100000000000001" customHeight="1" x14ac:dyDescent="0.25">
      <c r="B13" s="306"/>
      <c r="C13" s="384"/>
      <c r="D13" s="384"/>
      <c r="E13" s="384"/>
      <c r="F13" s="384"/>
      <c r="G13" s="384"/>
      <c r="H13" s="384"/>
      <c r="I13" s="384"/>
      <c r="J13" s="384"/>
      <c r="K13" s="384"/>
      <c r="L13" s="384"/>
      <c r="M13" s="384"/>
      <c r="N13" s="384"/>
      <c r="O13" s="90"/>
    </row>
    <row r="14" spans="2:21" ht="20.100000000000001" customHeight="1" x14ac:dyDescent="0.25">
      <c r="B14" s="306"/>
      <c r="C14" s="306"/>
      <c r="D14" s="309"/>
      <c r="E14" s="308"/>
      <c r="F14" s="306"/>
      <c r="G14" s="306"/>
      <c r="H14" s="306"/>
      <c r="I14" s="306"/>
      <c r="J14" s="306"/>
      <c r="K14" s="306"/>
      <c r="L14" s="309"/>
      <c r="M14" s="308"/>
      <c r="N14" s="306"/>
      <c r="O14" s="90"/>
    </row>
    <row r="15" spans="2:21" ht="24.95" customHeight="1" x14ac:dyDescent="0.25">
      <c r="B15" s="306"/>
      <c r="C15" s="306" t="s">
        <v>16</v>
      </c>
      <c r="D15" s="571" t="str">
        <f>+'DADOS DA OBRA'!B13</f>
        <v>DEMOLIÇÃO DO RESERVATÓRIO EXISTENTE, EXECUÇÃO DE RESERVATÓRIO METÁLICO ELEVADO E REESTRUTURAÇÃO (COM AMPLIAÇÃO) DA REDE DE DISTRIBUIÇÃO DE ÁGUA TRATADA EXISTENTE NO MUNICÍPIO DE MATRINCHÃ</v>
      </c>
      <c r="E15" s="571"/>
      <c r="F15" s="571"/>
      <c r="G15" s="571"/>
      <c r="H15" s="571"/>
      <c r="I15" s="571"/>
      <c r="J15" s="571"/>
      <c r="K15" s="571"/>
      <c r="L15" s="571"/>
      <c r="M15" s="571"/>
      <c r="N15" s="571"/>
      <c r="O15" s="571"/>
    </row>
    <row r="16" spans="2:21" ht="20.100000000000001" customHeight="1" x14ac:dyDescent="0.25">
      <c r="B16" s="306"/>
      <c r="C16" s="306" t="s">
        <v>18</v>
      </c>
      <c r="D16" s="298" t="str">
        <f>'ORÇAMENTO RESUMO (SD)'!C4</f>
        <v>RUAS DIVERSAS, MATRINCHÃ, GO</v>
      </c>
      <c r="E16" s="308"/>
      <c r="F16" s="306"/>
      <c r="G16" s="306"/>
      <c r="H16" s="306"/>
      <c r="I16" s="306"/>
      <c r="J16" s="306"/>
      <c r="K16" s="306"/>
      <c r="L16" s="309"/>
      <c r="M16" s="308"/>
      <c r="N16" s="306"/>
      <c r="O16" s="90"/>
    </row>
    <row r="17" spans="2:15" ht="20.100000000000001" customHeight="1" x14ac:dyDescent="0.25">
      <c r="B17" s="306"/>
      <c r="C17" s="306" t="s">
        <v>96</v>
      </c>
      <c r="D17" s="298" t="str">
        <f>'ORÇAMENTO RESUMO (SD)'!G3</f>
        <v>04/11/2024</v>
      </c>
      <c r="E17" s="308"/>
      <c r="F17" s="306"/>
      <c r="G17" s="306"/>
      <c r="H17" s="306"/>
      <c r="I17" s="306"/>
      <c r="J17" s="306"/>
      <c r="K17" s="306"/>
      <c r="L17" s="309"/>
      <c r="M17" s="308"/>
      <c r="N17" s="306"/>
      <c r="O17" s="90"/>
    </row>
    <row r="18" spans="2:15" ht="20.100000000000001" customHeight="1" x14ac:dyDescent="0.25">
      <c r="B18" s="306"/>
      <c r="C18" s="306" t="s">
        <v>2824</v>
      </c>
      <c r="D18" s="298" t="s">
        <v>2825</v>
      </c>
      <c r="E18" s="311"/>
      <c r="F18" s="298"/>
      <c r="G18" s="306"/>
      <c r="H18" s="306"/>
      <c r="I18" s="306"/>
      <c r="J18" s="306"/>
      <c r="K18" s="298"/>
      <c r="L18" s="310"/>
      <c r="M18" s="311"/>
      <c r="N18" s="298"/>
      <c r="O18" s="90"/>
    </row>
    <row r="19" spans="2:15" s="67" customFormat="1" ht="20.100000000000001" customHeight="1" x14ac:dyDescent="0.25">
      <c r="B19" s="52"/>
      <c r="C19" s="67" t="s">
        <v>2827</v>
      </c>
      <c r="D19" s="9" t="s">
        <v>2828</v>
      </c>
      <c r="E19" s="9"/>
      <c r="F19" s="9"/>
      <c r="G19" s="10"/>
      <c r="H19" s="10"/>
      <c r="I19" s="10"/>
      <c r="J19" s="10"/>
      <c r="K19" s="9"/>
      <c r="M19" s="10"/>
      <c r="N19" s="10"/>
    </row>
    <row r="20" spans="2:15" ht="20.100000000000001" customHeight="1" x14ac:dyDescent="0.25">
      <c r="B20" s="306"/>
      <c r="C20" s="9" t="s">
        <v>2826</v>
      </c>
      <c r="D20" s="543">
        <v>1020240293330</v>
      </c>
      <c r="E20" s="306"/>
      <c r="F20" s="306"/>
      <c r="G20" s="306"/>
      <c r="H20" s="306"/>
      <c r="I20" s="306"/>
      <c r="J20" s="306"/>
      <c r="K20" s="193"/>
      <c r="L20" s="306"/>
      <c r="M20" s="306"/>
      <c r="N20" s="306"/>
      <c r="O20" s="90"/>
    </row>
    <row r="21" spans="2:15" ht="20.100000000000001" customHeight="1" x14ac:dyDescent="0.25">
      <c r="B21" s="306"/>
      <c r="C21" s="306"/>
      <c r="D21" s="309"/>
      <c r="E21" s="308"/>
      <c r="F21" s="306"/>
      <c r="G21" s="306"/>
      <c r="H21" s="306"/>
      <c r="I21" s="306"/>
      <c r="J21" s="306"/>
      <c r="K21" s="306"/>
      <c r="L21" s="309"/>
      <c r="M21" s="308"/>
      <c r="N21" s="306"/>
      <c r="O21" s="90"/>
    </row>
    <row r="22" spans="2:15" ht="20.100000000000001" customHeight="1" x14ac:dyDescent="0.25">
      <c r="B22" s="306"/>
      <c r="C22" s="306"/>
      <c r="D22" s="309"/>
      <c r="E22" s="308"/>
      <c r="F22" s="306"/>
      <c r="G22" s="306"/>
      <c r="H22" s="306"/>
      <c r="I22" s="306"/>
      <c r="J22" s="306"/>
      <c r="K22" s="306"/>
      <c r="L22" s="309"/>
      <c r="M22" s="308"/>
      <c r="N22" s="306"/>
      <c r="O22" s="90"/>
    </row>
    <row r="23" spans="2:15" ht="20.100000000000001" customHeight="1" x14ac:dyDescent="0.25">
      <c r="B23" s="306"/>
      <c r="C23" s="306"/>
      <c r="D23" s="309"/>
      <c r="E23" s="308"/>
      <c r="F23" s="306"/>
      <c r="G23" s="306"/>
      <c r="H23" s="306"/>
      <c r="I23" s="306"/>
      <c r="J23" s="306"/>
      <c r="K23" s="306"/>
      <c r="L23" s="309"/>
      <c r="M23" s="308"/>
      <c r="N23" s="306"/>
      <c r="O23" s="90"/>
    </row>
    <row r="24" spans="2:15" ht="20.100000000000001" customHeight="1" x14ac:dyDescent="0.25">
      <c r="B24" s="306"/>
      <c r="C24" s="307"/>
      <c r="D24" s="306"/>
      <c r="E24" s="306"/>
      <c r="F24" s="306"/>
      <c r="G24" s="306"/>
      <c r="H24" s="306"/>
      <c r="I24" s="306"/>
      <c r="J24" s="306"/>
      <c r="K24" s="193"/>
      <c r="L24" s="306"/>
      <c r="M24" s="306"/>
      <c r="N24" s="306"/>
      <c r="O24" s="90"/>
    </row>
    <row r="25" spans="2:15" ht="20.100000000000001" customHeight="1" x14ac:dyDescent="0.25">
      <c r="B25" s="306"/>
      <c r="C25" s="306"/>
      <c r="D25" s="309"/>
      <c r="E25" s="308"/>
      <c r="F25" s="306"/>
      <c r="G25" s="306"/>
      <c r="H25" s="306"/>
      <c r="I25" s="306"/>
      <c r="J25" s="306"/>
      <c r="K25" s="306"/>
      <c r="L25" s="309"/>
      <c r="M25" s="308"/>
      <c r="N25" s="306"/>
      <c r="O25" s="90"/>
    </row>
    <row r="26" spans="2:15" ht="20.100000000000001" customHeight="1" x14ac:dyDescent="0.25">
      <c r="B26" s="306"/>
      <c r="C26" s="298"/>
      <c r="D26" s="310"/>
      <c r="E26" s="311"/>
      <c r="F26" s="298"/>
      <c r="G26" s="306"/>
      <c r="H26" s="306"/>
      <c r="I26" s="306"/>
      <c r="J26" s="306"/>
      <c r="K26" s="298"/>
      <c r="L26" s="310"/>
      <c r="M26" s="311"/>
      <c r="N26" s="298"/>
      <c r="O26" s="90"/>
    </row>
  </sheetData>
  <mergeCells count="3">
    <mergeCell ref="B1:P2"/>
    <mergeCell ref="C9:N10"/>
    <mergeCell ref="D15:O15"/>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AD56B-3C14-4AA6-B6CD-6D999C881A4A}">
  <dimension ref="B1:U27"/>
  <sheetViews>
    <sheetView showGridLines="0" showZeros="0" view="pageBreakPreview" zoomScale="115" zoomScaleNormal="100" zoomScaleSheetLayoutView="115"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1" s="69" customFormat="1" ht="20.100000000000001" customHeight="1" x14ac:dyDescent="0.25">
      <c r="B1" s="569"/>
      <c r="C1" s="569"/>
      <c r="D1" s="569"/>
      <c r="E1" s="569"/>
      <c r="F1" s="569"/>
      <c r="G1" s="569"/>
      <c r="H1" s="569"/>
      <c r="I1" s="569"/>
      <c r="J1" s="569"/>
      <c r="K1" s="569"/>
      <c r="L1" s="569"/>
      <c r="M1" s="569"/>
      <c r="N1" s="569"/>
      <c r="O1" s="569"/>
      <c r="P1" s="569"/>
    </row>
    <row r="2" spans="2:21" s="69" customFormat="1" ht="20.100000000000001" customHeight="1" x14ac:dyDescent="0.25">
      <c r="B2" s="569"/>
      <c r="C2" s="569"/>
      <c r="D2" s="569"/>
      <c r="E2" s="569"/>
      <c r="F2" s="569"/>
      <c r="G2" s="569"/>
      <c r="H2" s="569"/>
      <c r="I2" s="569"/>
      <c r="J2" s="569"/>
      <c r="K2" s="569"/>
      <c r="L2" s="569"/>
      <c r="M2" s="569"/>
      <c r="N2" s="569"/>
      <c r="O2" s="569"/>
      <c r="P2" s="569"/>
    </row>
    <row r="3" spans="2:21" s="69" customFormat="1" ht="20.100000000000001" customHeight="1" x14ac:dyDescent="0.25"/>
    <row r="4" spans="2:21" s="5" customFormat="1" ht="20.100000000000001" customHeight="1" x14ac:dyDescent="0.25">
      <c r="B4" s="1"/>
      <c r="C4" s="2"/>
      <c r="E4" s="2"/>
      <c r="F4" s="2"/>
      <c r="G4" s="2"/>
      <c r="H4" s="2"/>
      <c r="I4" s="2"/>
      <c r="J4" s="2"/>
      <c r="K4" s="2"/>
      <c r="L4" s="2"/>
      <c r="N4" s="3"/>
      <c r="O4" s="4"/>
      <c r="R4" s="32"/>
      <c r="S4" s="32"/>
      <c r="T4" s="33"/>
      <c r="U4" s="33"/>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39"/>
      <c r="N7" s="3"/>
      <c r="O7" s="64"/>
    </row>
    <row r="8" spans="2:21" s="67" customFormat="1" ht="20.100000000000001" customHeight="1" x14ac:dyDescent="0.25">
      <c r="B8" s="52"/>
      <c r="C8" s="53"/>
      <c r="D8" s="9"/>
      <c r="E8" s="9"/>
      <c r="F8" s="9"/>
      <c r="G8" s="10"/>
      <c r="H8" s="10"/>
      <c r="I8" s="10"/>
      <c r="J8" s="10"/>
      <c r="K8" s="9"/>
      <c r="M8" s="10"/>
      <c r="N8" s="10"/>
    </row>
    <row r="9" spans="2:21" ht="20.100000000000001" customHeight="1" x14ac:dyDescent="0.25">
      <c r="B9" s="306"/>
      <c r="C9" s="570" t="s">
        <v>1725</v>
      </c>
      <c r="D9" s="570"/>
      <c r="E9" s="570"/>
      <c r="F9" s="570"/>
      <c r="G9" s="570"/>
      <c r="H9" s="570"/>
      <c r="I9" s="570"/>
      <c r="J9" s="570"/>
      <c r="K9" s="570"/>
      <c r="L9" s="570"/>
      <c r="M9" s="570"/>
      <c r="N9" s="570"/>
      <c r="O9" s="90"/>
    </row>
    <row r="10" spans="2:21" ht="20.100000000000001" customHeight="1" x14ac:dyDescent="0.25">
      <c r="B10" s="306"/>
      <c r="C10" s="570"/>
      <c r="D10" s="570"/>
      <c r="E10" s="570"/>
      <c r="F10" s="570"/>
      <c r="G10" s="570"/>
      <c r="H10" s="570"/>
      <c r="I10" s="570"/>
      <c r="J10" s="570"/>
      <c r="K10" s="570"/>
      <c r="L10" s="570"/>
      <c r="M10" s="570"/>
      <c r="N10" s="570"/>
      <c r="O10" s="90"/>
    </row>
    <row r="11" spans="2:21" ht="20.100000000000001" customHeight="1" x14ac:dyDescent="0.25">
      <c r="B11" s="306"/>
      <c r="C11" s="306"/>
      <c r="D11" s="309"/>
      <c r="E11" s="308"/>
      <c r="F11" s="306"/>
      <c r="G11" s="306"/>
      <c r="H11" s="306"/>
      <c r="I11" s="306"/>
      <c r="J11" s="306"/>
      <c r="K11" s="306"/>
      <c r="L11" s="309"/>
      <c r="M11" s="308"/>
      <c r="N11" s="306"/>
      <c r="O11" s="90"/>
    </row>
    <row r="12" spans="2:21" ht="20.100000000000001" customHeight="1" x14ac:dyDescent="0.25">
      <c r="B12" s="306"/>
      <c r="C12" s="306"/>
      <c r="D12" s="309"/>
      <c r="E12" s="308"/>
      <c r="F12" s="306"/>
      <c r="G12" s="306"/>
      <c r="H12" s="306"/>
      <c r="I12" s="306"/>
      <c r="J12" s="306"/>
      <c r="K12" s="306"/>
      <c r="L12" s="309"/>
      <c r="M12" s="308"/>
      <c r="N12" s="306"/>
      <c r="O12" s="90"/>
    </row>
    <row r="13" spans="2:21" ht="20.100000000000001" customHeight="1" x14ac:dyDescent="0.25">
      <c r="B13" s="306"/>
      <c r="C13" s="306"/>
      <c r="D13" s="309"/>
      <c r="E13" s="308"/>
      <c r="F13" s="306"/>
      <c r="G13" s="306"/>
      <c r="H13" s="306"/>
      <c r="I13" s="306"/>
      <c r="J13" s="306"/>
      <c r="K13" s="306"/>
      <c r="L13" s="309"/>
      <c r="M13" s="308"/>
      <c r="N13" s="306"/>
      <c r="O13" s="90"/>
    </row>
    <row r="14" spans="2:21" ht="20.100000000000001" customHeight="1" x14ac:dyDescent="0.25">
      <c r="B14" s="306"/>
      <c r="C14" s="306"/>
      <c r="D14" s="309"/>
      <c r="E14" s="308"/>
      <c r="F14" s="306"/>
      <c r="G14" s="306"/>
      <c r="H14" s="306"/>
      <c r="I14" s="306"/>
      <c r="J14" s="306"/>
      <c r="K14" s="306"/>
      <c r="L14" s="309"/>
      <c r="M14" s="308"/>
      <c r="N14" s="306"/>
      <c r="O14" s="90"/>
    </row>
    <row r="15" spans="2:21" ht="20.100000000000001" customHeight="1" x14ac:dyDescent="0.25">
      <c r="B15" s="306"/>
      <c r="C15" s="298"/>
      <c r="D15" s="310"/>
      <c r="E15" s="311"/>
      <c r="F15" s="298"/>
      <c r="G15" s="306"/>
      <c r="H15" s="306"/>
      <c r="I15" s="306"/>
      <c r="J15" s="306"/>
      <c r="K15" s="298"/>
      <c r="L15" s="310"/>
      <c r="M15" s="311"/>
      <c r="N15" s="298"/>
      <c r="O15" s="90"/>
    </row>
    <row r="16" spans="2:21" s="67" customFormat="1" ht="20.100000000000001" customHeight="1" x14ac:dyDescent="0.25">
      <c r="B16" s="52"/>
      <c r="C16" s="53"/>
      <c r="D16" s="9"/>
      <c r="E16" s="9"/>
      <c r="F16" s="9"/>
      <c r="G16" s="10"/>
      <c r="H16" s="10"/>
      <c r="I16" s="10"/>
      <c r="J16" s="10"/>
      <c r="K16" s="9"/>
      <c r="M16" s="10"/>
      <c r="N16" s="10"/>
    </row>
    <row r="17" spans="2:15" ht="20.100000000000001" customHeight="1" x14ac:dyDescent="0.25">
      <c r="B17" s="306"/>
      <c r="C17" s="307"/>
      <c r="D17" s="306"/>
      <c r="E17" s="306"/>
      <c r="F17" s="306"/>
      <c r="G17" s="306"/>
      <c r="H17" s="306"/>
      <c r="I17" s="306"/>
      <c r="J17" s="306"/>
      <c r="K17" s="193"/>
      <c r="L17" s="306"/>
      <c r="M17" s="306"/>
      <c r="N17" s="306"/>
      <c r="O17" s="90"/>
    </row>
    <row r="18" spans="2:15" ht="20.100000000000001" customHeight="1" x14ac:dyDescent="0.25">
      <c r="B18" s="306"/>
      <c r="C18" s="306"/>
      <c r="D18" s="309"/>
      <c r="E18" s="308"/>
      <c r="F18" s="306"/>
      <c r="G18" s="306"/>
      <c r="H18" s="306"/>
      <c r="I18" s="306"/>
      <c r="J18" s="306"/>
      <c r="K18" s="306"/>
      <c r="L18" s="309"/>
      <c r="M18" s="308"/>
      <c r="N18" s="306"/>
      <c r="O18" s="90"/>
    </row>
    <row r="19" spans="2:15" ht="20.100000000000001" customHeight="1" x14ac:dyDescent="0.25">
      <c r="B19" s="306"/>
      <c r="C19" s="306"/>
      <c r="D19" s="309"/>
      <c r="E19" s="308"/>
      <c r="F19" s="306"/>
      <c r="G19" s="306"/>
      <c r="H19" s="306"/>
      <c r="I19" s="306"/>
      <c r="J19" s="306"/>
      <c r="K19" s="306"/>
      <c r="L19" s="309"/>
      <c r="M19" s="308"/>
      <c r="N19" s="306"/>
      <c r="O19" s="90"/>
    </row>
    <row r="20" spans="2:15" ht="20.100000000000001" customHeight="1" x14ac:dyDescent="0.25">
      <c r="B20" s="306"/>
      <c r="C20" s="306"/>
      <c r="D20" s="309"/>
      <c r="E20" s="308"/>
      <c r="F20" s="306"/>
      <c r="G20" s="306"/>
      <c r="H20" s="306"/>
      <c r="I20" s="306"/>
      <c r="J20" s="306"/>
      <c r="K20" s="306"/>
      <c r="L20" s="309"/>
      <c r="M20" s="308"/>
      <c r="N20" s="306"/>
      <c r="O20" s="90"/>
    </row>
    <row r="21" spans="2:15" ht="20.100000000000001" customHeight="1" x14ac:dyDescent="0.25">
      <c r="B21" s="306"/>
      <c r="C21" s="306"/>
      <c r="D21" s="309"/>
      <c r="E21" s="308"/>
      <c r="F21" s="306"/>
      <c r="G21" s="306"/>
      <c r="H21" s="306"/>
      <c r="I21" s="306"/>
      <c r="J21" s="306"/>
      <c r="K21" s="306"/>
      <c r="L21" s="309"/>
      <c r="M21" s="308"/>
      <c r="N21" s="306"/>
      <c r="O21" s="90"/>
    </row>
    <row r="22" spans="2:15" ht="20.100000000000001" customHeight="1" x14ac:dyDescent="0.25">
      <c r="B22" s="306"/>
      <c r="C22" s="306"/>
      <c r="D22" s="309"/>
      <c r="E22" s="308"/>
      <c r="F22" s="306"/>
      <c r="G22" s="306"/>
      <c r="H22" s="306"/>
      <c r="I22" s="306"/>
      <c r="J22" s="306"/>
      <c r="K22" s="306"/>
      <c r="L22" s="309"/>
      <c r="M22" s="308"/>
      <c r="N22" s="306"/>
      <c r="O22" s="90"/>
    </row>
    <row r="23" spans="2:15" ht="20.100000000000001" customHeight="1" x14ac:dyDescent="0.25">
      <c r="B23" s="306"/>
      <c r="C23" s="298"/>
      <c r="D23" s="310"/>
      <c r="E23" s="311"/>
      <c r="F23" s="298"/>
      <c r="G23" s="306"/>
      <c r="H23" s="306"/>
      <c r="I23" s="306"/>
      <c r="J23" s="306"/>
      <c r="K23" s="298"/>
      <c r="L23" s="310"/>
      <c r="M23" s="311"/>
      <c r="N23" s="298"/>
      <c r="O23" s="90"/>
    </row>
    <row r="24" spans="2:15" s="67" customFormat="1" ht="20.100000000000001" customHeight="1" x14ac:dyDescent="0.25">
      <c r="B24" s="52"/>
      <c r="C24" s="53"/>
      <c r="D24" s="9"/>
      <c r="E24" s="9"/>
      <c r="F24" s="9"/>
      <c r="G24" s="10"/>
      <c r="H24" s="10"/>
      <c r="I24" s="10"/>
      <c r="J24" s="10"/>
      <c r="K24" s="9"/>
      <c r="M24" s="10"/>
      <c r="N24" s="10"/>
    </row>
    <row r="25" spans="2:15" ht="20.100000000000001" customHeight="1" x14ac:dyDescent="0.25">
      <c r="B25" s="306"/>
      <c r="C25" s="307"/>
      <c r="D25" s="306"/>
      <c r="E25" s="306"/>
      <c r="F25" s="306"/>
      <c r="G25" s="306"/>
      <c r="H25" s="306"/>
      <c r="I25" s="306"/>
      <c r="J25" s="306"/>
      <c r="K25" s="193"/>
      <c r="L25" s="306"/>
      <c r="M25" s="306"/>
      <c r="N25" s="306"/>
      <c r="O25" s="90"/>
    </row>
    <row r="26" spans="2:15" ht="20.100000000000001" customHeight="1" x14ac:dyDescent="0.25">
      <c r="B26" s="306"/>
      <c r="C26" s="306"/>
      <c r="D26" s="309"/>
      <c r="E26" s="308"/>
      <c r="F26" s="306"/>
      <c r="G26" s="306"/>
      <c r="H26" s="306"/>
      <c r="I26" s="306"/>
      <c r="J26" s="306"/>
      <c r="K26" s="306"/>
      <c r="L26" s="309"/>
      <c r="M26" s="308"/>
      <c r="N26" s="306"/>
      <c r="O26" s="90"/>
    </row>
    <row r="27" spans="2:15" ht="20.100000000000001" customHeight="1" x14ac:dyDescent="0.25">
      <c r="B27" s="306"/>
      <c r="C27" s="298"/>
      <c r="D27" s="310"/>
      <c r="E27" s="311"/>
      <c r="F27" s="298"/>
      <c r="G27" s="306"/>
      <c r="H27" s="306"/>
      <c r="I27" s="306"/>
      <c r="J27" s="306"/>
      <c r="K27" s="298"/>
      <c r="L27" s="310"/>
      <c r="M27" s="311"/>
      <c r="N27" s="298"/>
      <c r="O27" s="90"/>
    </row>
  </sheetData>
  <mergeCells count="2">
    <mergeCell ref="B1:P2"/>
    <mergeCell ref="C9:N10"/>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96D4A-D031-44C4-B170-65DCB88F3C3B}">
  <dimension ref="B1:U26"/>
  <sheetViews>
    <sheetView showGridLines="0" showZeros="0" view="pageBreakPreview" zoomScaleNormal="100" zoomScaleSheetLayoutView="100" workbookViewId="0">
      <selection activeCell="C18" sqref="C18"/>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1" s="69" customFormat="1" ht="20.100000000000001" customHeight="1" x14ac:dyDescent="0.25">
      <c r="B1" s="572" t="s">
        <v>1724</v>
      </c>
      <c r="C1" s="572"/>
      <c r="D1" s="572"/>
      <c r="E1" s="572"/>
      <c r="F1" s="572"/>
      <c r="G1" s="572"/>
      <c r="H1" s="572"/>
      <c r="I1" s="572"/>
      <c r="J1" s="572"/>
      <c r="K1" s="572"/>
      <c r="L1" s="572"/>
      <c r="M1" s="572"/>
      <c r="N1" s="572"/>
      <c r="O1" s="572"/>
      <c r="P1" s="226"/>
    </row>
    <row r="2" spans="2:21" s="69" customFormat="1" ht="20.100000000000001" customHeight="1" x14ac:dyDescent="0.25">
      <c r="B2" s="572"/>
      <c r="C2" s="572"/>
      <c r="D2" s="572"/>
      <c r="E2" s="572"/>
      <c r="F2" s="572"/>
      <c r="G2" s="572"/>
      <c r="H2" s="572"/>
      <c r="I2" s="572"/>
      <c r="J2" s="572"/>
      <c r="K2" s="572"/>
      <c r="L2" s="572"/>
      <c r="M2" s="572"/>
      <c r="N2" s="572"/>
      <c r="O2" s="572"/>
      <c r="P2" s="226"/>
    </row>
    <row r="3" spans="2:21" s="425" customFormat="1" ht="9.9499999999999993" customHeight="1" x14ac:dyDescent="0.25">
      <c r="D3" s="226"/>
      <c r="E3" s="226"/>
      <c r="F3" s="226"/>
      <c r="G3" s="70"/>
      <c r="H3" s="226"/>
      <c r="I3" s="226"/>
      <c r="J3" s="226"/>
      <c r="K3" s="226"/>
      <c r="L3" s="226"/>
    </row>
    <row r="4" spans="2:21" s="426" customFormat="1" ht="15" customHeight="1" x14ac:dyDescent="0.25">
      <c r="B4" s="427" t="s">
        <v>16</v>
      </c>
      <c r="C4" s="428" t="str">
        <f>'DADOS DA OBRA'!$B$13</f>
        <v>DEMOLIÇÃO DO RESERVATÓRIO EXISTENTE, EXECUÇÃO DE RESERVATÓRIO METÁLICO ELEVADO E REESTRUTURAÇÃO (COM AMPLIAÇÃO) DA REDE DE DISTRIBUIÇÃO DE ÁGUA TRATADA EXISTENTE NO MUNICÍPIO DE MATRINCHÃ</v>
      </c>
      <c r="I4" s="429"/>
      <c r="J4" s="430"/>
      <c r="K4" s="432"/>
      <c r="L4" s="429"/>
      <c r="M4" s="430" t="s">
        <v>96</v>
      </c>
      <c r="N4" s="431" t="str">
        <f>'DADOS DA OBRA'!$N$22</f>
        <v>04/11/2024</v>
      </c>
    </row>
    <row r="5" spans="2:21" s="426" customFormat="1" ht="15" customHeight="1" x14ac:dyDescent="0.25">
      <c r="B5" s="427" t="s">
        <v>18</v>
      </c>
      <c r="C5" s="429" t="str">
        <f>+""&amp;'DADOS DA OBRA'!$B$16&amp;", "&amp;'DADOS DA OBRA'!$J$19&amp;", "&amp;'DADOS DA OBRA'!$P$19</f>
        <v>RUAS DIVERSAS, MATRINCHÃ, GO</v>
      </c>
      <c r="J5" s="430"/>
      <c r="K5" s="432"/>
      <c r="M5" s="430" t="s">
        <v>17</v>
      </c>
      <c r="N5" s="431" t="str">
        <f>'DADOS DA OBRA'!$N$25</f>
        <v>00</v>
      </c>
    </row>
    <row r="6" spans="2:21" s="69" customFormat="1" ht="20.100000000000001" customHeight="1" x14ac:dyDescent="0.25"/>
    <row r="7" spans="2:21" s="5" customFormat="1" ht="20.100000000000001" customHeight="1" x14ac:dyDescent="0.25">
      <c r="B7" s="458" t="s">
        <v>1726</v>
      </c>
      <c r="C7" s="2"/>
      <c r="E7" s="2"/>
      <c r="F7" s="2"/>
      <c r="G7" s="2"/>
      <c r="H7" s="2"/>
      <c r="I7" s="2"/>
      <c r="J7" s="2"/>
      <c r="K7" s="2"/>
      <c r="L7" s="2"/>
      <c r="N7" s="3"/>
      <c r="O7" s="4"/>
      <c r="R7" s="32"/>
      <c r="S7" s="32"/>
      <c r="T7" s="33"/>
      <c r="U7" s="33"/>
    </row>
    <row r="8" spans="2:21" s="5" customFormat="1" ht="20.100000000000001" customHeight="1" x14ac:dyDescent="0.25">
      <c r="B8" s="1"/>
      <c r="C8" s="2"/>
      <c r="N8" s="3"/>
      <c r="O8" s="4"/>
    </row>
    <row r="9" spans="2:21" s="5" customFormat="1" ht="20.100000000000001" customHeight="1" x14ac:dyDescent="0.25"/>
    <row r="10" spans="2:21" s="5" customFormat="1" ht="20.100000000000001" customHeight="1" x14ac:dyDescent="0.25">
      <c r="B10" s="1"/>
      <c r="F10" s="449" t="s">
        <v>1728</v>
      </c>
      <c r="G10" s="449"/>
      <c r="H10" s="449"/>
      <c r="I10" s="449"/>
      <c r="J10" s="573">
        <f>+'ORÇAMENTO SINTÉTICO (CD)'!L285</f>
        <v>2173707.2199999997</v>
      </c>
      <c r="K10" s="573"/>
      <c r="N10" s="3"/>
      <c r="O10" s="64"/>
    </row>
    <row r="11" spans="2:21" s="67" customFormat="1" ht="20.100000000000001" customHeight="1" x14ac:dyDescent="0.25">
      <c r="B11" s="52"/>
      <c r="C11" s="53"/>
      <c r="D11" s="9"/>
      <c r="E11" s="9"/>
      <c r="F11" s="449" t="s">
        <v>1729</v>
      </c>
      <c r="G11" s="450"/>
      <c r="H11" s="451"/>
      <c r="I11" s="451"/>
      <c r="J11" s="573">
        <f>'ORÇAMENTO SINTÉTICO (SD)'!L285</f>
        <v>2129342.7699999991</v>
      </c>
      <c r="K11" s="573"/>
      <c r="M11" s="10"/>
      <c r="N11" s="10"/>
    </row>
    <row r="12" spans="2:21" ht="20.100000000000001" customHeight="1" x14ac:dyDescent="0.25">
      <c r="B12" s="306"/>
      <c r="F12" s="452"/>
      <c r="G12" s="452"/>
      <c r="H12" s="452"/>
      <c r="I12" s="452"/>
      <c r="J12" s="452"/>
      <c r="K12" s="452"/>
      <c r="O12" s="90"/>
    </row>
    <row r="13" spans="2:21" ht="20.100000000000001" customHeight="1" x14ac:dyDescent="0.25">
      <c r="B13" s="306"/>
      <c r="F13" s="452" t="s">
        <v>1727</v>
      </c>
      <c r="G13" s="452"/>
      <c r="H13" s="452"/>
      <c r="I13" s="452"/>
      <c r="J13" s="452"/>
      <c r="K13" s="453">
        <f>(J10/J11)-1</f>
        <v>2.0834809042980185E-2</v>
      </c>
      <c r="O13" s="90"/>
    </row>
    <row r="14" spans="2:21" ht="20.100000000000001" customHeight="1" x14ac:dyDescent="0.25">
      <c r="B14" s="306"/>
      <c r="C14" s="306"/>
      <c r="D14" s="309"/>
      <c r="E14" s="308"/>
      <c r="F14" s="452"/>
      <c r="G14" s="452"/>
      <c r="H14" s="454"/>
      <c r="I14" s="454"/>
      <c r="J14" s="454"/>
      <c r="K14" s="454"/>
      <c r="M14" s="308"/>
      <c r="N14" s="306"/>
      <c r="O14" s="90"/>
    </row>
    <row r="15" spans="2:21" ht="20.100000000000001" customHeight="1" x14ac:dyDescent="0.25">
      <c r="B15" s="306"/>
      <c r="C15" s="306"/>
      <c r="D15" s="309"/>
      <c r="E15" s="308"/>
      <c r="F15" s="455" t="s">
        <v>2833</v>
      </c>
      <c r="G15" s="456"/>
      <c r="H15" s="457"/>
      <c r="I15" s="457"/>
      <c r="J15" s="574" t="str">
        <f>+IF(J11&lt;J10,"SEM DESONERAÇÃO","COM DESONERAÇÃO")</f>
        <v>SEM DESONERAÇÃO</v>
      </c>
      <c r="K15" s="574"/>
      <c r="L15" s="309"/>
      <c r="M15" s="308"/>
      <c r="N15" s="306"/>
      <c r="O15" s="90"/>
    </row>
    <row r="16" spans="2:21" ht="20.100000000000001" customHeight="1" x14ac:dyDescent="0.25">
      <c r="B16" s="306"/>
      <c r="C16" s="306"/>
      <c r="D16" s="309"/>
      <c r="E16" s="308"/>
      <c r="F16" s="306"/>
      <c r="G16" s="306"/>
      <c r="H16" s="306"/>
      <c r="I16" s="306"/>
      <c r="J16" s="306"/>
      <c r="K16" s="306"/>
      <c r="L16" s="309"/>
      <c r="M16" s="308"/>
      <c r="N16" s="306"/>
      <c r="O16" s="90"/>
    </row>
    <row r="17" spans="2:15" ht="20.100000000000001" customHeight="1" x14ac:dyDescent="0.25">
      <c r="B17" s="306"/>
      <c r="C17" s="306"/>
      <c r="D17" s="309"/>
      <c r="E17" s="308"/>
      <c r="F17" s="306"/>
      <c r="G17" s="306"/>
      <c r="H17" s="306"/>
      <c r="I17" s="306"/>
      <c r="J17" s="306"/>
      <c r="K17" s="306"/>
      <c r="L17" s="309"/>
      <c r="M17" s="308"/>
      <c r="N17" s="306"/>
      <c r="O17" s="90"/>
    </row>
    <row r="18" spans="2:15" ht="20.100000000000001" customHeight="1" x14ac:dyDescent="0.25">
      <c r="B18" s="306"/>
      <c r="C18" s="298"/>
      <c r="D18" s="310"/>
      <c r="E18" s="311"/>
      <c r="F18" s="298"/>
      <c r="G18" s="306"/>
      <c r="H18" s="306"/>
      <c r="I18" s="306"/>
      <c r="J18" s="306"/>
      <c r="K18" s="298"/>
      <c r="L18" s="310"/>
      <c r="M18" s="311"/>
      <c r="N18" s="298"/>
      <c r="O18" s="90"/>
    </row>
    <row r="19" spans="2:15" s="67" customFormat="1" ht="20.100000000000001" customHeight="1" x14ac:dyDescent="0.25">
      <c r="B19" s="52"/>
      <c r="C19" s="53"/>
      <c r="D19" s="9"/>
      <c r="E19" s="9"/>
      <c r="F19" s="9"/>
      <c r="G19" s="10"/>
      <c r="H19" s="10"/>
      <c r="I19" s="10"/>
      <c r="J19" s="10"/>
      <c r="K19" s="9"/>
      <c r="M19" s="10"/>
      <c r="N19" s="10"/>
    </row>
    <row r="20" spans="2:15" ht="20.100000000000001" customHeight="1" x14ac:dyDescent="0.25">
      <c r="B20" s="306"/>
      <c r="C20" s="307"/>
      <c r="D20" s="306"/>
      <c r="E20" s="306"/>
      <c r="F20" s="306"/>
      <c r="G20" s="306"/>
      <c r="H20" s="306"/>
      <c r="I20" s="306"/>
      <c r="J20" s="306"/>
      <c r="K20" s="193"/>
      <c r="L20" s="306"/>
      <c r="M20" s="306"/>
      <c r="N20" s="306"/>
      <c r="O20" s="90"/>
    </row>
    <row r="21" spans="2:15" ht="20.100000000000001" customHeight="1" x14ac:dyDescent="0.25">
      <c r="B21" s="306"/>
      <c r="C21" s="306"/>
      <c r="D21" s="309"/>
      <c r="E21" s="308"/>
      <c r="F21" s="306"/>
      <c r="G21" s="306"/>
      <c r="H21" s="306"/>
      <c r="I21" s="306"/>
      <c r="J21" s="306"/>
      <c r="K21" s="306"/>
      <c r="L21" s="309"/>
      <c r="M21" s="308"/>
      <c r="N21" s="306"/>
      <c r="O21" s="90"/>
    </row>
    <row r="22" spans="2:15" ht="20.100000000000001" customHeight="1" x14ac:dyDescent="0.25">
      <c r="B22" s="306"/>
      <c r="C22" s="306"/>
      <c r="D22" s="309"/>
      <c r="E22" s="308"/>
      <c r="F22" s="306"/>
      <c r="G22" s="306"/>
      <c r="H22" s="306"/>
      <c r="I22" s="306"/>
      <c r="J22" s="306"/>
      <c r="K22" s="306"/>
      <c r="L22" s="309"/>
      <c r="M22" s="308"/>
      <c r="N22" s="306"/>
      <c r="O22" s="90"/>
    </row>
    <row r="23" spans="2:15" ht="20.100000000000001" customHeight="1" x14ac:dyDescent="0.25">
      <c r="B23" s="306"/>
      <c r="C23" s="306"/>
      <c r="D23" s="309"/>
      <c r="E23" s="308"/>
      <c r="F23" s="306"/>
      <c r="G23" s="306"/>
      <c r="H23" s="306"/>
      <c r="I23" s="306"/>
      <c r="J23" s="306"/>
      <c r="K23" s="306"/>
      <c r="L23" s="309"/>
      <c r="M23" s="308"/>
      <c r="N23" s="306"/>
      <c r="O23" s="90"/>
    </row>
    <row r="24" spans="2:15" ht="20.100000000000001" customHeight="1" x14ac:dyDescent="0.25">
      <c r="B24" s="306"/>
      <c r="C24" s="298"/>
      <c r="D24" s="310"/>
      <c r="E24" s="311"/>
      <c r="F24" s="298"/>
      <c r="G24" s="306"/>
      <c r="H24" s="306"/>
      <c r="I24" s="306"/>
      <c r="J24" s="306"/>
      <c r="K24" s="298"/>
      <c r="L24" s="310"/>
      <c r="M24" s="311"/>
      <c r="N24" s="298"/>
      <c r="O24" s="90"/>
    </row>
    <row r="25" spans="2:15" s="67" customFormat="1" ht="20.100000000000001" customHeight="1" x14ac:dyDescent="0.25">
      <c r="B25" s="52"/>
      <c r="C25" s="53"/>
      <c r="D25" s="9"/>
      <c r="E25" s="9"/>
      <c r="F25" s="9"/>
      <c r="G25" s="10"/>
      <c r="H25" s="10"/>
      <c r="I25" s="10"/>
      <c r="J25" s="10"/>
      <c r="K25" s="9"/>
      <c r="M25" s="10"/>
      <c r="N25" s="10"/>
    </row>
    <row r="26" spans="2:15" ht="20.100000000000001" customHeight="1" x14ac:dyDescent="0.25">
      <c r="B26" s="306"/>
      <c r="C26" s="307"/>
      <c r="D26" s="306"/>
      <c r="E26" s="306"/>
      <c r="F26" s="306"/>
      <c r="G26" s="306"/>
      <c r="H26" s="306"/>
      <c r="I26" s="306"/>
      <c r="J26" s="306"/>
      <c r="K26" s="193"/>
      <c r="L26" s="306"/>
      <c r="M26" s="306"/>
      <c r="N26" s="306"/>
      <c r="O26" s="90"/>
    </row>
  </sheetData>
  <mergeCells count="4">
    <mergeCell ref="B1:O2"/>
    <mergeCell ref="J10:K10"/>
    <mergeCell ref="J11:K11"/>
    <mergeCell ref="J15:K15"/>
  </mergeCells>
  <printOptions horizontalCentered="1"/>
  <pageMargins left="0.51181102362204722" right="0.51181102362204722" top="1.181102362204724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C81D1-2D37-48BF-ACD2-0055D35949A1}">
  <dimension ref="B1:U27"/>
  <sheetViews>
    <sheetView showGridLines="0" showZeros="0" view="pageBreakPreview" zoomScale="85" zoomScaleNormal="100" zoomScaleSheetLayoutView="85"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1" s="69" customFormat="1" ht="20.100000000000001" customHeight="1" x14ac:dyDescent="0.25">
      <c r="B1" s="569"/>
      <c r="C1" s="569"/>
      <c r="D1" s="569"/>
      <c r="E1" s="569"/>
      <c r="F1" s="569"/>
      <c r="G1" s="569"/>
      <c r="H1" s="569"/>
      <c r="I1" s="569"/>
      <c r="J1" s="569"/>
      <c r="K1" s="569"/>
      <c r="L1" s="569"/>
      <c r="M1" s="569"/>
      <c r="N1" s="569"/>
      <c r="O1" s="569"/>
      <c r="P1" s="569"/>
    </row>
    <row r="2" spans="2:21" s="69" customFormat="1" ht="20.100000000000001" customHeight="1" x14ac:dyDescent="0.25">
      <c r="B2" s="569"/>
      <c r="C2" s="569"/>
      <c r="D2" s="569"/>
      <c r="E2" s="569"/>
      <c r="F2" s="569"/>
      <c r="G2" s="569"/>
      <c r="H2" s="569"/>
      <c r="I2" s="569"/>
      <c r="J2" s="569"/>
      <c r="K2" s="569"/>
      <c r="L2" s="569"/>
      <c r="M2" s="569"/>
      <c r="N2" s="569"/>
      <c r="O2" s="569"/>
      <c r="P2" s="569"/>
    </row>
    <row r="3" spans="2:21" s="69" customFormat="1" ht="20.100000000000001" customHeight="1" x14ac:dyDescent="0.25"/>
    <row r="4" spans="2:21" s="5" customFormat="1" ht="20.100000000000001" customHeight="1" x14ac:dyDescent="0.25">
      <c r="B4" s="1"/>
      <c r="C4" s="2"/>
      <c r="E4" s="2"/>
      <c r="F4" s="2"/>
      <c r="G4" s="2"/>
      <c r="H4" s="2"/>
      <c r="I4" s="2"/>
      <c r="J4" s="2"/>
      <c r="K4" s="2"/>
      <c r="L4" s="2"/>
      <c r="N4" s="3"/>
      <c r="O4" s="4"/>
      <c r="R4" s="32"/>
      <c r="S4" s="32"/>
      <c r="T4" s="33"/>
      <c r="U4" s="33"/>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39"/>
      <c r="N7" s="3"/>
      <c r="O7" s="64"/>
    </row>
    <row r="8" spans="2:21" s="67" customFormat="1" ht="20.100000000000001" customHeight="1" x14ac:dyDescent="0.25">
      <c r="B8" s="52"/>
      <c r="C8" s="53"/>
      <c r="D8" s="9"/>
      <c r="E8" s="9"/>
      <c r="F8" s="9"/>
      <c r="G8" s="10"/>
      <c r="H8" s="10"/>
      <c r="I8" s="10"/>
      <c r="J8" s="10"/>
      <c r="K8" s="9"/>
      <c r="M8" s="10"/>
      <c r="N8" s="10"/>
    </row>
    <row r="9" spans="2:21" ht="20.100000000000001" customHeight="1" x14ac:dyDescent="0.25">
      <c r="B9" s="306"/>
      <c r="C9" s="570" t="s">
        <v>2717</v>
      </c>
      <c r="D9" s="570"/>
      <c r="E9" s="570"/>
      <c r="F9" s="570"/>
      <c r="G9" s="570"/>
      <c r="H9" s="570"/>
      <c r="I9" s="570"/>
      <c r="J9" s="570"/>
      <c r="K9" s="570"/>
      <c r="L9" s="570"/>
      <c r="M9" s="570"/>
      <c r="N9" s="570"/>
      <c r="O9" s="90"/>
    </row>
    <row r="10" spans="2:21" ht="20.100000000000001" customHeight="1" x14ac:dyDescent="0.25">
      <c r="B10" s="306"/>
      <c r="C10" s="570"/>
      <c r="D10" s="570"/>
      <c r="E10" s="570"/>
      <c r="F10" s="570"/>
      <c r="G10" s="570"/>
      <c r="H10" s="570"/>
      <c r="I10" s="570"/>
      <c r="J10" s="570"/>
      <c r="K10" s="570"/>
      <c r="L10" s="570"/>
      <c r="M10" s="570"/>
      <c r="N10" s="570"/>
      <c r="O10" s="90"/>
    </row>
    <row r="11" spans="2:21" ht="20.100000000000001" customHeight="1" x14ac:dyDescent="0.25">
      <c r="B11" s="306"/>
      <c r="C11" s="306"/>
      <c r="D11" s="309"/>
      <c r="E11" s="308"/>
      <c r="F11" s="306"/>
      <c r="G11" s="306"/>
      <c r="H11" s="306"/>
      <c r="I11" s="306"/>
      <c r="J11" s="306"/>
      <c r="K11" s="306"/>
      <c r="L11" s="309"/>
      <c r="M11" s="308"/>
      <c r="N11" s="306"/>
      <c r="O11" s="90"/>
    </row>
    <row r="12" spans="2:21" ht="20.100000000000001" customHeight="1" x14ac:dyDescent="0.25">
      <c r="B12" s="306"/>
      <c r="C12" s="306"/>
      <c r="D12" s="309"/>
      <c r="E12" s="308"/>
      <c r="F12" s="306"/>
      <c r="G12" s="306"/>
      <c r="H12" s="306"/>
      <c r="I12" s="306"/>
      <c r="J12" s="306"/>
      <c r="K12" s="306"/>
      <c r="L12" s="309"/>
      <c r="M12" s="308"/>
      <c r="N12" s="306"/>
      <c r="O12" s="90"/>
    </row>
    <row r="13" spans="2:21" ht="20.100000000000001" customHeight="1" x14ac:dyDescent="0.25">
      <c r="B13" s="306"/>
      <c r="C13" s="306"/>
      <c r="D13" s="309"/>
      <c r="E13" s="308"/>
      <c r="F13" s="306"/>
      <c r="G13" s="306"/>
      <c r="H13" s="306"/>
      <c r="I13" s="306"/>
      <c r="J13" s="306"/>
      <c r="K13" s="306"/>
      <c r="L13" s="309"/>
      <c r="M13" s="308"/>
      <c r="N13" s="306"/>
      <c r="O13" s="90"/>
    </row>
    <row r="14" spans="2:21" ht="20.100000000000001" customHeight="1" x14ac:dyDescent="0.25">
      <c r="B14" s="306"/>
      <c r="C14" s="306"/>
      <c r="D14" s="309"/>
      <c r="E14" s="308"/>
      <c r="F14" s="306"/>
      <c r="G14" s="306"/>
      <c r="H14" s="306"/>
      <c r="I14" s="306"/>
      <c r="J14" s="306"/>
      <c r="K14" s="306"/>
      <c r="L14" s="309"/>
      <c r="M14" s="308"/>
      <c r="N14" s="306"/>
      <c r="O14" s="90"/>
    </row>
    <row r="15" spans="2:21" ht="20.100000000000001" customHeight="1" x14ac:dyDescent="0.25">
      <c r="B15" s="306"/>
      <c r="C15" s="298"/>
      <c r="D15" s="310"/>
      <c r="E15" s="311"/>
      <c r="F15" s="298"/>
      <c r="G15" s="306"/>
      <c r="H15" s="306"/>
      <c r="I15" s="306"/>
      <c r="J15" s="306"/>
      <c r="K15" s="298"/>
      <c r="L15" s="310"/>
      <c r="M15" s="311"/>
      <c r="N15" s="298"/>
      <c r="O15" s="90"/>
    </row>
    <row r="16" spans="2:21" s="67" customFormat="1" ht="20.100000000000001" customHeight="1" x14ac:dyDescent="0.25">
      <c r="B16" s="52"/>
      <c r="C16" s="53"/>
      <c r="D16" s="9"/>
      <c r="E16" s="9"/>
      <c r="F16" s="9"/>
      <c r="G16" s="10"/>
      <c r="H16" s="10"/>
      <c r="I16" s="10"/>
      <c r="J16" s="10"/>
      <c r="K16" s="9"/>
      <c r="M16" s="10"/>
      <c r="N16" s="10"/>
    </row>
    <row r="17" spans="2:15" ht="20.100000000000001" customHeight="1" x14ac:dyDescent="0.25">
      <c r="B17" s="306"/>
      <c r="C17" s="307"/>
      <c r="D17" s="306"/>
      <c r="E17" s="306"/>
      <c r="F17" s="306"/>
      <c r="G17" s="306"/>
      <c r="H17" s="306"/>
      <c r="I17" s="306"/>
      <c r="J17" s="306"/>
      <c r="K17" s="193"/>
      <c r="L17" s="306"/>
      <c r="M17" s="306"/>
      <c r="N17" s="306"/>
      <c r="O17" s="90"/>
    </row>
    <row r="18" spans="2:15" ht="20.100000000000001" customHeight="1" x14ac:dyDescent="0.25">
      <c r="B18" s="306"/>
      <c r="C18" s="306"/>
      <c r="D18" s="309"/>
      <c r="E18" s="308"/>
      <c r="F18" s="306"/>
      <c r="G18" s="306"/>
      <c r="H18" s="306"/>
      <c r="I18" s="306"/>
      <c r="J18" s="306"/>
      <c r="K18" s="306"/>
      <c r="L18" s="309"/>
      <c r="M18" s="308"/>
      <c r="N18" s="306"/>
      <c r="O18" s="90"/>
    </row>
    <row r="19" spans="2:15" ht="20.100000000000001" customHeight="1" x14ac:dyDescent="0.25">
      <c r="B19" s="306"/>
      <c r="C19" s="306"/>
      <c r="D19" s="309"/>
      <c r="E19" s="308"/>
      <c r="F19" s="306"/>
      <c r="G19" s="306"/>
      <c r="H19" s="306"/>
      <c r="I19" s="306"/>
      <c r="J19" s="306"/>
      <c r="K19" s="306"/>
      <c r="L19" s="309"/>
      <c r="M19" s="308"/>
      <c r="N19" s="306"/>
      <c r="O19" s="90"/>
    </row>
    <row r="20" spans="2:15" ht="20.100000000000001" customHeight="1" x14ac:dyDescent="0.25">
      <c r="B20" s="306"/>
      <c r="C20" s="306"/>
      <c r="D20" s="309"/>
      <c r="E20" s="308"/>
      <c r="F20" s="306"/>
      <c r="G20" s="306"/>
      <c r="H20" s="306"/>
      <c r="I20" s="306"/>
      <c r="J20" s="306"/>
      <c r="K20" s="306"/>
      <c r="L20" s="309"/>
      <c r="M20" s="308"/>
      <c r="N20" s="306"/>
      <c r="O20" s="90"/>
    </row>
    <row r="21" spans="2:15" ht="20.100000000000001" customHeight="1" x14ac:dyDescent="0.25">
      <c r="B21" s="306"/>
      <c r="C21" s="306"/>
      <c r="D21" s="309"/>
      <c r="E21" s="308"/>
      <c r="F21" s="306"/>
      <c r="G21" s="306"/>
      <c r="H21" s="306"/>
      <c r="I21" s="306"/>
      <c r="J21" s="306"/>
      <c r="K21" s="306"/>
      <c r="L21" s="309"/>
      <c r="M21" s="308"/>
      <c r="N21" s="306"/>
      <c r="O21" s="90"/>
    </row>
    <row r="22" spans="2:15" ht="20.100000000000001" customHeight="1" x14ac:dyDescent="0.25">
      <c r="B22" s="306"/>
      <c r="C22" s="306"/>
      <c r="D22" s="309"/>
      <c r="E22" s="308"/>
      <c r="F22" s="306"/>
      <c r="G22" s="306"/>
      <c r="H22" s="306"/>
      <c r="I22" s="306"/>
      <c r="J22" s="306"/>
      <c r="K22" s="306"/>
      <c r="L22" s="309"/>
      <c r="M22" s="308"/>
      <c r="N22" s="306"/>
      <c r="O22" s="90"/>
    </row>
    <row r="23" spans="2:15" ht="20.100000000000001" customHeight="1" x14ac:dyDescent="0.25">
      <c r="B23" s="306"/>
      <c r="C23" s="298"/>
      <c r="D23" s="310"/>
      <c r="E23" s="311"/>
      <c r="F23" s="298"/>
      <c r="G23" s="306"/>
      <c r="H23" s="306"/>
      <c r="I23" s="306"/>
      <c r="J23" s="306"/>
      <c r="K23" s="298"/>
      <c r="L23" s="310"/>
      <c r="M23" s="311"/>
      <c r="N23" s="298"/>
      <c r="O23" s="90"/>
    </row>
    <row r="24" spans="2:15" s="67" customFormat="1" ht="20.100000000000001" customHeight="1" x14ac:dyDescent="0.25">
      <c r="B24" s="52"/>
      <c r="C24" s="53"/>
      <c r="D24" s="9"/>
      <c r="E24" s="9"/>
      <c r="F24" s="9"/>
      <c r="G24" s="10"/>
      <c r="H24" s="10"/>
      <c r="I24" s="10"/>
      <c r="J24" s="10"/>
      <c r="K24" s="9"/>
      <c r="M24" s="10"/>
      <c r="N24" s="10"/>
    </row>
    <row r="25" spans="2:15" ht="20.100000000000001" customHeight="1" x14ac:dyDescent="0.25">
      <c r="B25" s="306"/>
      <c r="C25" s="307"/>
      <c r="D25" s="306"/>
      <c r="E25" s="306"/>
      <c r="F25" s="306"/>
      <c r="G25" s="306"/>
      <c r="H25" s="306"/>
      <c r="I25" s="306"/>
      <c r="J25" s="306"/>
      <c r="K25" s="193"/>
      <c r="L25" s="306"/>
      <c r="M25" s="306"/>
      <c r="N25" s="306"/>
      <c r="O25" s="90"/>
    </row>
    <row r="26" spans="2:15" ht="20.100000000000001" customHeight="1" x14ac:dyDescent="0.25">
      <c r="B26" s="306"/>
      <c r="C26" s="306"/>
      <c r="D26" s="309"/>
      <c r="E26" s="308"/>
      <c r="F26" s="306"/>
      <c r="G26" s="306"/>
      <c r="H26" s="306"/>
      <c r="I26" s="306"/>
      <c r="J26" s="306"/>
      <c r="K26" s="306"/>
      <c r="L26" s="309"/>
      <c r="M26" s="308"/>
      <c r="N26" s="306"/>
      <c r="O26" s="90"/>
    </row>
    <row r="27" spans="2:15" ht="20.100000000000001" customHeight="1" x14ac:dyDescent="0.25">
      <c r="B27" s="306"/>
      <c r="C27" s="298"/>
      <c r="D27" s="310"/>
      <c r="E27" s="311"/>
      <c r="F27" s="298"/>
      <c r="G27" s="306"/>
      <c r="H27" s="306"/>
      <c r="I27" s="306"/>
      <c r="J27" s="306"/>
      <c r="K27" s="298"/>
      <c r="L27" s="310"/>
      <c r="M27" s="311"/>
      <c r="N27" s="298"/>
      <c r="O27" s="90"/>
    </row>
  </sheetData>
  <mergeCells count="2">
    <mergeCell ref="B1:P2"/>
    <mergeCell ref="C9:N10"/>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3B075-0348-440D-B617-ABB4BC98BDF1}">
  <dimension ref="B1:L29"/>
  <sheetViews>
    <sheetView showGridLines="0" showZeros="0" view="pageBreakPreview" topLeftCell="B13" zoomScaleNormal="100" zoomScaleSheetLayoutView="100" workbookViewId="0">
      <selection activeCell="Q14" sqref="Q14:Q15"/>
    </sheetView>
  </sheetViews>
  <sheetFormatPr defaultRowHeight="15" x14ac:dyDescent="0.25"/>
  <cols>
    <col min="1" max="1" width="1.7109375" style="222" customWidth="1"/>
    <col min="2" max="2" width="7.42578125" style="222" customWidth="1"/>
    <col min="3" max="4" width="2.5703125" style="222" customWidth="1"/>
    <col min="5" max="5" width="68.5703125" style="222" bestFit="1" customWidth="1"/>
    <col min="6" max="6" width="34.28515625" style="222" bestFit="1" customWidth="1"/>
    <col min="7" max="7" width="11.42578125" style="222" customWidth="1"/>
    <col min="8" max="9" width="11.42578125" style="222" bestFit="1" customWidth="1"/>
    <col min="10" max="10" width="11.42578125" style="222" customWidth="1"/>
    <col min="11" max="11" width="15.140625" style="222" customWidth="1"/>
    <col min="12" max="12" width="1.7109375" style="222" customWidth="1"/>
    <col min="13" max="16384" width="9.140625" style="222"/>
  </cols>
  <sheetData>
    <row r="1" spans="2:12" s="425" customFormat="1" ht="50.1" customHeight="1" x14ac:dyDescent="0.25">
      <c r="B1" s="585" t="s">
        <v>2840</v>
      </c>
      <c r="C1" s="585"/>
      <c r="D1" s="585"/>
      <c r="E1" s="585"/>
      <c r="F1" s="585"/>
      <c r="G1" s="585"/>
      <c r="H1" s="585"/>
      <c r="I1" s="585"/>
      <c r="J1" s="585"/>
      <c r="K1" s="585"/>
      <c r="L1" s="226"/>
    </row>
    <row r="2" spans="2:12" s="425" customFormat="1" ht="9.9499999999999993" customHeight="1" x14ac:dyDescent="0.25">
      <c r="D2" s="226"/>
      <c r="E2" s="226"/>
      <c r="F2" s="226"/>
      <c r="G2" s="70"/>
      <c r="H2" s="226"/>
      <c r="I2" s="226"/>
      <c r="J2" s="226"/>
      <c r="K2" s="226"/>
      <c r="L2" s="226"/>
    </row>
    <row r="3" spans="2:12" s="426" customFormat="1" ht="35.1" customHeight="1" x14ac:dyDescent="0.25">
      <c r="B3" s="427" t="s">
        <v>16</v>
      </c>
      <c r="C3" s="575" t="str">
        <f>'DADOS DA OBRA'!$B$13</f>
        <v>DEMOLIÇÃO DO RESERVATÓRIO EXISTENTE, EXECUÇÃO DE RESERVATÓRIO METÁLICO ELEVADO E REESTRUTURAÇÃO (COM AMPLIAÇÃO) DA REDE DE DISTRIBUIÇÃO DE ÁGUA TRATADA EXISTENTE NO MUNICÍPIO DE MATRINCHÃ</v>
      </c>
      <c r="D3" s="575"/>
      <c r="E3" s="575"/>
      <c r="F3" s="430" t="s">
        <v>96</v>
      </c>
      <c r="G3" s="431" t="str">
        <f>'DADOS DA OBRA'!$N$22</f>
        <v>04/11/2024</v>
      </c>
      <c r="I3" s="429"/>
      <c r="J3" s="430" t="s">
        <v>1709</v>
      </c>
      <c r="K3" s="432">
        <f>+'ENCARGOS SOCIAIS'!F43</f>
        <v>1.0884</v>
      </c>
      <c r="L3" s="429"/>
    </row>
    <row r="4" spans="2:12" s="426" customFormat="1" ht="15" customHeight="1" x14ac:dyDescent="0.25">
      <c r="B4" s="427" t="s">
        <v>18</v>
      </c>
      <c r="C4" s="429" t="str">
        <f>+""&amp;'DADOS DA OBRA'!$B$16&amp;", "&amp;'DADOS DA OBRA'!$J$19&amp;", "&amp;'DADOS DA OBRA'!$P$19</f>
        <v>RUAS DIVERSAS, MATRINCHÃ, GO</v>
      </c>
      <c r="F4" s="430" t="s">
        <v>17</v>
      </c>
      <c r="G4" s="431" t="str">
        <f>'DADOS DA OBRA'!$N$25</f>
        <v>00</v>
      </c>
      <c r="J4" s="430" t="s">
        <v>1710</v>
      </c>
      <c r="K4" s="432">
        <f>+'ENCARGOS SOCIAIS'!G43</f>
        <v>0.67240000000000011</v>
      </c>
    </row>
    <row r="5" spans="2:12" s="426" customFormat="1" ht="15" customHeight="1" x14ac:dyDescent="0.25">
      <c r="B5" s="427" t="s">
        <v>1712</v>
      </c>
      <c r="C5" s="578" t="str">
        <f>'DADOS DA OBRA'!$B$28</f>
        <v>GOINFRA CIVIL-06/2024, GOINFRA RODOVIÁRIA-06/2024, SINAPI-08/2024, ORSE-06/2024, SENFRA-CE-028, SCO-08/2024, CPOS-06/2024, EMBASA-05/2024, SIURB-01/2024</v>
      </c>
      <c r="D5" s="578"/>
      <c r="E5" s="578"/>
      <c r="F5" s="430" t="s">
        <v>2793</v>
      </c>
      <c r="G5" s="431" t="str">
        <f>'DADOS DA OBRA'!$B$25</f>
        <v>04 MESES</v>
      </c>
      <c r="J5" s="430" t="s">
        <v>1711</v>
      </c>
      <c r="K5" s="432">
        <f>'ORÇAMENTO SINTÉTICO (SD)'!L5</f>
        <v>0.24640000000000001</v>
      </c>
    </row>
    <row r="6" spans="2:12" s="426" customFormat="1" ht="12.75" customHeight="1" x14ac:dyDescent="0.25">
      <c r="C6" s="578"/>
      <c r="D6" s="578"/>
      <c r="E6" s="578"/>
      <c r="J6" s="430" t="s">
        <v>1713</v>
      </c>
      <c r="K6" s="432">
        <f>+'ORÇAMENTO SINTÉTICO (SD)'!L6</f>
        <v>0.1419</v>
      </c>
    </row>
    <row r="7" spans="2:12" s="433" customFormat="1" ht="6.95" customHeight="1" x14ac:dyDescent="0.25">
      <c r="E7" s="158"/>
      <c r="K7" s="434"/>
      <c r="L7" s="435"/>
    </row>
    <row r="8" spans="2:12" s="224" customFormat="1" ht="30" customHeight="1" x14ac:dyDescent="0.25">
      <c r="B8" s="594" t="s">
        <v>101</v>
      </c>
      <c r="C8" s="594"/>
      <c r="D8" s="594"/>
      <c r="E8" s="594" t="s">
        <v>191</v>
      </c>
      <c r="F8" s="594"/>
      <c r="G8" s="594"/>
      <c r="H8" s="594"/>
      <c r="I8" s="594"/>
      <c r="J8" s="594"/>
      <c r="K8" s="483" t="s">
        <v>104</v>
      </c>
    </row>
    <row r="9" spans="2:12" ht="20.100000000000001" customHeight="1" x14ac:dyDescent="0.25">
      <c r="B9" s="584" t="s">
        <v>2700</v>
      </c>
      <c r="C9" s="584"/>
      <c r="D9" s="584"/>
      <c r="E9" s="583" t="s">
        <v>771</v>
      </c>
      <c r="F9" s="583"/>
      <c r="G9" s="583"/>
      <c r="H9" s="583"/>
      <c r="I9" s="583"/>
      <c r="J9" s="583"/>
      <c r="K9" s="467">
        <f>'ORÇAMENTO SINTÉTICO (SD)'!L9</f>
        <v>125271.4</v>
      </c>
    </row>
    <row r="10" spans="2:12" ht="20.100000000000001" customHeight="1" x14ac:dyDescent="0.25">
      <c r="B10" s="584" t="s">
        <v>2701</v>
      </c>
      <c r="C10" s="584"/>
      <c r="D10" s="584"/>
      <c r="E10" s="583" t="s">
        <v>713</v>
      </c>
      <c r="F10" s="583"/>
      <c r="G10" s="583"/>
      <c r="H10" s="583"/>
      <c r="I10" s="583"/>
      <c r="J10" s="583"/>
      <c r="K10" s="467">
        <f>'ORÇAMENTO SINTÉTICO (SD)'!L14</f>
        <v>198649.82</v>
      </c>
    </row>
    <row r="11" spans="2:12" ht="20.100000000000001" customHeight="1" x14ac:dyDescent="0.25">
      <c r="B11" s="584" t="s">
        <v>2702</v>
      </c>
      <c r="C11" s="584"/>
      <c r="D11" s="584"/>
      <c r="E11" s="583" t="s">
        <v>40</v>
      </c>
      <c r="F11" s="583"/>
      <c r="G11" s="583"/>
      <c r="H11" s="583"/>
      <c r="I11" s="583"/>
      <c r="J11" s="583"/>
      <c r="K11" s="467">
        <f>'ORÇAMENTO SINTÉTICO (SD)'!L24</f>
        <v>36340</v>
      </c>
    </row>
    <row r="12" spans="2:12" ht="20.100000000000001" customHeight="1" x14ac:dyDescent="0.25">
      <c r="B12" s="584" t="s">
        <v>2703</v>
      </c>
      <c r="C12" s="584"/>
      <c r="D12" s="584"/>
      <c r="E12" s="583" t="s">
        <v>725</v>
      </c>
      <c r="F12" s="583"/>
      <c r="G12" s="583"/>
      <c r="H12" s="583"/>
      <c r="I12" s="583"/>
      <c r="J12" s="583"/>
      <c r="K12" s="467">
        <f>'ORÇAMENTO SINTÉTICO (SD)'!L32</f>
        <v>48722.83</v>
      </c>
    </row>
    <row r="13" spans="2:12" ht="20.100000000000001" customHeight="1" x14ac:dyDescent="0.25">
      <c r="B13" s="584" t="s">
        <v>2704</v>
      </c>
      <c r="C13" s="584"/>
      <c r="D13" s="584"/>
      <c r="E13" s="583" t="s">
        <v>44</v>
      </c>
      <c r="F13" s="583"/>
      <c r="G13" s="583"/>
      <c r="H13" s="583"/>
      <c r="I13" s="583"/>
      <c r="J13" s="583"/>
      <c r="K13" s="467">
        <f>'ORÇAMENTO SINTÉTICO (SD)'!L38</f>
        <v>168993.37</v>
      </c>
    </row>
    <row r="14" spans="2:12" ht="20.100000000000001" customHeight="1" x14ac:dyDescent="0.25">
      <c r="B14" s="584" t="s">
        <v>2705</v>
      </c>
      <c r="C14" s="584"/>
      <c r="D14" s="584"/>
      <c r="E14" s="583" t="s">
        <v>47</v>
      </c>
      <c r="F14" s="583"/>
      <c r="G14" s="583"/>
      <c r="H14" s="583"/>
      <c r="I14" s="583"/>
      <c r="J14" s="583"/>
      <c r="K14" s="467">
        <f>'ORÇAMENTO SINTÉTICO (SD)'!L51</f>
        <v>118158.17</v>
      </c>
    </row>
    <row r="15" spans="2:12" ht="20.100000000000001" customHeight="1" x14ac:dyDescent="0.25">
      <c r="B15" s="584" t="s">
        <v>2706</v>
      </c>
      <c r="C15" s="584"/>
      <c r="D15" s="584"/>
      <c r="E15" s="583" t="s">
        <v>51</v>
      </c>
      <c r="F15" s="583"/>
      <c r="G15" s="583"/>
      <c r="H15" s="583"/>
      <c r="I15" s="583"/>
      <c r="J15" s="583"/>
      <c r="K15" s="467">
        <f>'ORÇAMENTO SINTÉTICO (SD)'!L78</f>
        <v>192932.75</v>
      </c>
    </row>
    <row r="16" spans="2:12" ht="20.100000000000001" customHeight="1" x14ac:dyDescent="0.25">
      <c r="B16" s="584" t="s">
        <v>2707</v>
      </c>
      <c r="C16" s="584"/>
      <c r="D16" s="584"/>
      <c r="E16" s="583" t="s">
        <v>844</v>
      </c>
      <c r="F16" s="583"/>
      <c r="G16" s="583"/>
      <c r="H16" s="583"/>
      <c r="I16" s="583"/>
      <c r="J16" s="583"/>
      <c r="K16" s="467">
        <f>'ORÇAMENTO SINTÉTICO (SD)'!L93</f>
        <v>39639.520000000004</v>
      </c>
    </row>
    <row r="17" spans="2:12" ht="20.100000000000001" customHeight="1" x14ac:dyDescent="0.25">
      <c r="B17" s="584" t="s">
        <v>2708</v>
      </c>
      <c r="C17" s="584"/>
      <c r="D17" s="584"/>
      <c r="E17" s="583" t="s">
        <v>56</v>
      </c>
      <c r="F17" s="583"/>
      <c r="G17" s="583"/>
      <c r="H17" s="583"/>
      <c r="I17" s="583"/>
      <c r="J17" s="583"/>
      <c r="K17" s="467">
        <f>'ORÇAMENTO SINTÉTICO (SD)'!L97</f>
        <v>15231.449999999999</v>
      </c>
    </row>
    <row r="18" spans="2:12" ht="20.100000000000001" customHeight="1" x14ac:dyDescent="0.25">
      <c r="B18" s="584" t="s">
        <v>2709</v>
      </c>
      <c r="C18" s="584"/>
      <c r="D18" s="584"/>
      <c r="E18" s="583" t="s">
        <v>59</v>
      </c>
      <c r="F18" s="583"/>
      <c r="G18" s="583"/>
      <c r="H18" s="583"/>
      <c r="I18" s="583"/>
      <c r="J18" s="583"/>
      <c r="K18" s="467">
        <f>'ORÇAMENTO SINTÉTICO (SD)'!L105</f>
        <v>300.17</v>
      </c>
    </row>
    <row r="19" spans="2:12" ht="20.100000000000001" customHeight="1" x14ac:dyDescent="0.25">
      <c r="B19" s="584" t="s">
        <v>2710</v>
      </c>
      <c r="C19" s="584"/>
      <c r="D19" s="584"/>
      <c r="E19" s="583" t="s">
        <v>899</v>
      </c>
      <c r="F19" s="583"/>
      <c r="G19" s="583"/>
      <c r="H19" s="583"/>
      <c r="I19" s="583"/>
      <c r="J19" s="583"/>
      <c r="K19" s="467">
        <f>'ORÇAMENTO SINTÉTICO (SD)'!L111</f>
        <v>3100.34</v>
      </c>
    </row>
    <row r="20" spans="2:12" ht="20.100000000000001" customHeight="1" x14ac:dyDescent="0.25">
      <c r="B20" s="584" t="s">
        <v>2711</v>
      </c>
      <c r="C20" s="584"/>
      <c r="D20" s="584"/>
      <c r="E20" s="583" t="s">
        <v>329</v>
      </c>
      <c r="F20" s="583"/>
      <c r="G20" s="583"/>
      <c r="H20" s="583"/>
      <c r="I20" s="583"/>
      <c r="J20" s="583"/>
      <c r="K20" s="467">
        <f>'ORÇAMENTO SINTÉTICO (SD)'!L118</f>
        <v>86073.98</v>
      </c>
    </row>
    <row r="21" spans="2:12" ht="20.100000000000001" customHeight="1" x14ac:dyDescent="0.25">
      <c r="B21" s="584" t="s">
        <v>2712</v>
      </c>
      <c r="C21" s="584"/>
      <c r="D21" s="584"/>
      <c r="E21" s="583" t="s">
        <v>70</v>
      </c>
      <c r="F21" s="583"/>
      <c r="G21" s="583"/>
      <c r="H21" s="583"/>
      <c r="I21" s="583"/>
      <c r="J21" s="583"/>
      <c r="K21" s="467">
        <f>'ORÇAMENTO SINTÉTICO (SD)'!L126</f>
        <v>2262.7799999999997</v>
      </c>
    </row>
    <row r="22" spans="2:12" ht="20.100000000000001" customHeight="1" x14ac:dyDescent="0.25">
      <c r="B22" s="584" t="s">
        <v>2713</v>
      </c>
      <c r="C22" s="584"/>
      <c r="D22" s="584"/>
      <c r="E22" s="583" t="s">
        <v>73</v>
      </c>
      <c r="F22" s="583"/>
      <c r="G22" s="583"/>
      <c r="H22" s="583"/>
      <c r="I22" s="583"/>
      <c r="J22" s="583"/>
      <c r="K22" s="467">
        <f>'ORÇAMENTO SINTÉTICO (SD)'!L132</f>
        <v>27051.010000000002</v>
      </c>
    </row>
    <row r="23" spans="2:12" ht="20.100000000000001" customHeight="1" x14ac:dyDescent="0.25">
      <c r="B23" s="584" t="s">
        <v>2714</v>
      </c>
      <c r="C23" s="584"/>
      <c r="D23" s="584"/>
      <c r="E23" s="583" t="s">
        <v>848</v>
      </c>
      <c r="F23" s="583"/>
      <c r="G23" s="583"/>
      <c r="H23" s="583"/>
      <c r="I23" s="583"/>
      <c r="J23" s="583"/>
      <c r="K23" s="467">
        <f>'ORÇAMENTO SINTÉTICO (SD)'!L171</f>
        <v>7684.8499999999995</v>
      </c>
    </row>
    <row r="24" spans="2:12" ht="20.100000000000001" customHeight="1" x14ac:dyDescent="0.25">
      <c r="B24" s="584" t="s">
        <v>2715</v>
      </c>
      <c r="C24" s="584"/>
      <c r="D24" s="584"/>
      <c r="E24" s="583" t="s">
        <v>849</v>
      </c>
      <c r="F24" s="583"/>
      <c r="G24" s="583"/>
      <c r="H24" s="583"/>
      <c r="I24" s="583"/>
      <c r="J24" s="583"/>
      <c r="K24" s="467">
        <f>'ORÇAMENTO SINTÉTICO (SD)'!L190</f>
        <v>1042457.6900000002</v>
      </c>
    </row>
    <row r="25" spans="2:12" ht="20.100000000000001" customHeight="1" x14ac:dyDescent="0.25">
      <c r="B25" s="584" t="s">
        <v>2716</v>
      </c>
      <c r="C25" s="584"/>
      <c r="D25" s="584"/>
      <c r="E25" s="583" t="s">
        <v>75</v>
      </c>
      <c r="F25" s="583"/>
      <c r="G25" s="583"/>
      <c r="H25" s="583"/>
      <c r="I25" s="583"/>
      <c r="J25" s="583"/>
      <c r="K25" s="467">
        <f>'ORÇAMENTO SINTÉTICO (SD)'!L279</f>
        <v>16472.64</v>
      </c>
    </row>
    <row r="26" spans="2:12" ht="15.75" thickBot="1" x14ac:dyDescent="0.3">
      <c r="B26" s="416"/>
      <c r="C26" s="416"/>
      <c r="D26" s="416"/>
      <c r="E26" s="416"/>
      <c r="F26" s="416"/>
      <c r="G26" s="416"/>
      <c r="H26" s="416"/>
      <c r="I26" s="416"/>
      <c r="J26" s="416"/>
      <c r="K26" s="416"/>
    </row>
    <row r="27" spans="2:12" ht="24.95" customHeight="1" x14ac:dyDescent="0.25">
      <c r="B27" s="579"/>
      <c r="C27" s="579"/>
      <c r="D27" s="579"/>
      <c r="E27" s="418"/>
      <c r="F27" s="417"/>
      <c r="G27" s="580"/>
      <c r="H27" s="579"/>
      <c r="I27" s="586" t="s">
        <v>1706</v>
      </c>
      <c r="J27" s="587"/>
      <c r="K27" s="588">
        <f>'ORÇAMENTO SINTÉTICO (SD)'!L283</f>
        <v>1749888.0599999996</v>
      </c>
      <c r="L27" s="589"/>
    </row>
    <row r="28" spans="2:12" ht="24.95" customHeight="1" x14ac:dyDescent="0.25">
      <c r="B28" s="579"/>
      <c r="C28" s="579"/>
      <c r="D28" s="579"/>
      <c r="E28" s="418"/>
      <c r="F28" s="417"/>
      <c r="G28" s="580"/>
      <c r="H28" s="579"/>
      <c r="I28" s="590" t="s">
        <v>1707</v>
      </c>
      <c r="J28" s="591"/>
      <c r="K28" s="592">
        <f>'ORÇAMENTO SINTÉTICO (SD)'!L284</f>
        <v>379454.7099999995</v>
      </c>
      <c r="L28" s="593"/>
    </row>
    <row r="29" spans="2:12" ht="24.95" customHeight="1" thickBot="1" x14ac:dyDescent="0.3">
      <c r="B29" s="579"/>
      <c r="C29" s="579"/>
      <c r="D29" s="579"/>
      <c r="E29" s="418"/>
      <c r="F29" s="417"/>
      <c r="G29" s="580"/>
      <c r="H29" s="579"/>
      <c r="I29" s="581" t="s">
        <v>1708</v>
      </c>
      <c r="J29" s="582"/>
      <c r="K29" s="576">
        <f>SUM(K9:K25)</f>
        <v>2129342.77</v>
      </c>
      <c r="L29" s="577"/>
    </row>
  </sheetData>
  <mergeCells count="51">
    <mergeCell ref="B13:D13"/>
    <mergeCell ref="E13:J13"/>
    <mergeCell ref="B8:D8"/>
    <mergeCell ref="E8:J8"/>
    <mergeCell ref="B9:D9"/>
    <mergeCell ref="E9:J9"/>
    <mergeCell ref="B10:D10"/>
    <mergeCell ref="E10:J10"/>
    <mergeCell ref="B11:D11"/>
    <mergeCell ref="E11:J11"/>
    <mergeCell ref="B12:D12"/>
    <mergeCell ref="E12:J12"/>
    <mergeCell ref="E19:J19"/>
    <mergeCell ref="B14:D14"/>
    <mergeCell ref="E14:J14"/>
    <mergeCell ref="B15:D15"/>
    <mergeCell ref="E15:J15"/>
    <mergeCell ref="B16:D16"/>
    <mergeCell ref="E16:J16"/>
    <mergeCell ref="B1:K1"/>
    <mergeCell ref="I27:J27"/>
    <mergeCell ref="K27:L27"/>
    <mergeCell ref="I28:J28"/>
    <mergeCell ref="K28:L28"/>
    <mergeCell ref="B27:D27"/>
    <mergeCell ref="G27:H27"/>
    <mergeCell ref="B28:D28"/>
    <mergeCell ref="G28:H28"/>
    <mergeCell ref="B23:D23"/>
    <mergeCell ref="E23:J23"/>
    <mergeCell ref="B24:D24"/>
    <mergeCell ref="E24:J24"/>
    <mergeCell ref="B25:D25"/>
    <mergeCell ref="E25:J25"/>
    <mergeCell ref="B20:D20"/>
    <mergeCell ref="C3:E3"/>
    <mergeCell ref="K29:L29"/>
    <mergeCell ref="C5:E6"/>
    <mergeCell ref="B29:D29"/>
    <mergeCell ref="G29:H29"/>
    <mergeCell ref="I29:J29"/>
    <mergeCell ref="E20:J20"/>
    <mergeCell ref="B21:D21"/>
    <mergeCell ref="E21:J21"/>
    <mergeCell ref="B22:D22"/>
    <mergeCell ref="E22:J22"/>
    <mergeCell ref="B17:D17"/>
    <mergeCell ref="E17:J17"/>
    <mergeCell ref="B18:D18"/>
    <mergeCell ref="E18:J18"/>
    <mergeCell ref="B19:D19"/>
  </mergeCells>
  <printOptions horizontalCentered="1"/>
  <pageMargins left="0.51181102362204722" right="0.51181102362204722" top="0.78740157480314965" bottom="0.78740157480314965" header="0.31496062992125984" footer="0.31496062992125984"/>
  <pageSetup paperSize="9" scale="73" orientation="landscape" horizontalDpi="1200" verticalDpi="1200" r:id="rId1"/>
  <headerFooter>
    <oddHeader>&amp;L&amp;G</oddHeader>
    <oddFooter>&amp;L&amp;"Arial Narrow,Normal"&amp;10&amp;A
&amp;F&amp;R&amp;"Arial Narrow,Normal"&amp;10Página &amp;P de &amp;N</oddFooter>
  </headerFooter>
  <colBreaks count="1" manualBreakCount="1">
    <brk id="12" max="1048575" man="1"/>
  </colBreak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ED7A6-5B26-4405-8C9A-00CB58539BBA}">
  <dimension ref="B1:M285"/>
  <sheetViews>
    <sheetView showGridLines="0" showZeros="0" view="pageBreakPreview" topLeftCell="D273" zoomScaleNormal="100" zoomScaleSheetLayoutView="100" workbookViewId="0">
      <selection activeCell="Q14" sqref="Q14:Q15"/>
    </sheetView>
  </sheetViews>
  <sheetFormatPr defaultRowHeight="12.75" x14ac:dyDescent="0.25"/>
  <cols>
    <col min="1" max="1" width="1.7109375" style="69" customWidth="1"/>
    <col min="2" max="2" width="8.7109375" style="69" customWidth="1"/>
    <col min="3" max="3" width="13.7109375" style="69" customWidth="1"/>
    <col min="4" max="4" width="12.5703125" style="69" customWidth="1"/>
    <col min="5" max="5" width="68.5703125" style="69" bestFit="1" customWidth="1"/>
    <col min="6" max="6" width="9.140625" style="69" bestFit="1"/>
    <col min="7" max="8" width="14.85546875" style="69" bestFit="1" customWidth="1"/>
    <col min="9" max="9" width="14.85546875" style="69" customWidth="1"/>
    <col min="10" max="10" width="11.28515625" style="69" customWidth="1"/>
    <col min="11" max="12" width="14.85546875" style="69" bestFit="1" customWidth="1"/>
    <col min="13" max="13" width="1.7109375" style="69" customWidth="1"/>
    <col min="14" max="16384" width="9.140625" style="69"/>
  </cols>
  <sheetData>
    <row r="1" spans="2:13" s="425" customFormat="1" ht="50.1" customHeight="1" x14ac:dyDescent="0.25">
      <c r="B1" s="585" t="s">
        <v>1722</v>
      </c>
      <c r="C1" s="585"/>
      <c r="D1" s="585"/>
      <c r="E1" s="585"/>
      <c r="F1" s="585"/>
      <c r="G1" s="585"/>
      <c r="H1" s="585"/>
      <c r="I1" s="585"/>
      <c r="J1" s="585"/>
      <c r="K1" s="585"/>
      <c r="L1" s="585"/>
      <c r="M1" s="226"/>
    </row>
    <row r="2" spans="2:13" s="425" customFormat="1" ht="9.9499999999999993" customHeight="1" x14ac:dyDescent="0.25">
      <c r="C2" s="226"/>
      <c r="D2" s="226"/>
      <c r="E2" s="226"/>
      <c r="F2" s="70"/>
      <c r="G2" s="226"/>
      <c r="H2" s="226"/>
      <c r="I2" s="226"/>
      <c r="J2" s="226"/>
      <c r="K2" s="226"/>
      <c r="L2" s="226"/>
      <c r="M2" s="226"/>
    </row>
    <row r="3" spans="2:13" s="426" customFormat="1" ht="24.95" customHeight="1" x14ac:dyDescent="0.25">
      <c r="B3" s="427" t="s">
        <v>16</v>
      </c>
      <c r="C3" s="575" t="str">
        <f>'DADOS DA OBRA'!$B$13</f>
        <v>DEMOLIÇÃO DO RESERVATÓRIO EXISTENTE, EXECUÇÃO DE RESERVATÓRIO METÁLICO ELEVADO E REESTRUTURAÇÃO (COM AMPLIAÇÃO) DA REDE DE DISTRIBUIÇÃO DE ÁGUA TRATADA EXISTENTE NO MUNICÍPIO DE MATRINCHÃ</v>
      </c>
      <c r="D3" s="575"/>
      <c r="E3" s="575"/>
      <c r="F3" s="430" t="s">
        <v>96</v>
      </c>
      <c r="G3" s="431" t="str">
        <f>'DADOS DA OBRA'!$N$22</f>
        <v>04/11/2024</v>
      </c>
      <c r="H3" s="429"/>
      <c r="I3" s="429"/>
      <c r="J3" s="429"/>
      <c r="K3" s="430" t="s">
        <v>1709</v>
      </c>
      <c r="L3" s="432">
        <f>'ENCARGOS SOCIAIS'!F43</f>
        <v>1.0884</v>
      </c>
      <c r="M3" s="429"/>
    </row>
    <row r="4" spans="2:13" s="426" customFormat="1" ht="15" customHeight="1" x14ac:dyDescent="0.25">
      <c r="B4" s="427" t="s">
        <v>18</v>
      </c>
      <c r="C4" s="429" t="str">
        <f>+""&amp;'DADOS DA OBRA'!$B$16&amp;", "&amp;'DADOS DA OBRA'!$J$19&amp;", "&amp;'DADOS DA OBRA'!$P$19</f>
        <v>RUAS DIVERSAS, MATRINCHÃ, GO</v>
      </c>
      <c r="F4" s="430" t="s">
        <v>17</v>
      </c>
      <c r="G4" s="431" t="str">
        <f>'DADOS DA OBRA'!$N$25</f>
        <v>00</v>
      </c>
      <c r="K4" s="430" t="s">
        <v>1710</v>
      </c>
      <c r="L4" s="432">
        <f>'ENCARGOS SOCIAIS'!G43</f>
        <v>0.67240000000000011</v>
      </c>
    </row>
    <row r="5" spans="2:13" s="426" customFormat="1" ht="15" customHeight="1" x14ac:dyDescent="0.25">
      <c r="B5" s="427" t="s">
        <v>1712</v>
      </c>
      <c r="C5" s="575" t="str">
        <f>'DADOS DA OBRA'!$B$28</f>
        <v>GOINFRA CIVIL-06/2024, GOINFRA RODOVIÁRIA-06/2024, SINAPI-08/2024, ORSE-06/2024, SENFRA-CE-028, SCO-08/2024, CPOS-06/2024, EMBASA-05/2024, SIURB-01/2024</v>
      </c>
      <c r="D5" s="575"/>
      <c r="E5" s="575"/>
      <c r="F5" s="430" t="s">
        <v>2793</v>
      </c>
      <c r="G5" s="431" t="str">
        <f>'DADOS DA OBRA'!$B$25</f>
        <v>04 MESES</v>
      </c>
      <c r="K5" s="430" t="s">
        <v>1711</v>
      </c>
      <c r="L5" s="432">
        <f>'DADOS DA OBRA'!$F$22</f>
        <v>0.24640000000000001</v>
      </c>
    </row>
    <row r="6" spans="2:13" s="426" customFormat="1" ht="12.75" customHeight="1" x14ac:dyDescent="0.25">
      <c r="C6" s="575"/>
      <c r="D6" s="575"/>
      <c r="E6" s="575"/>
      <c r="K6" s="430" t="s">
        <v>1713</v>
      </c>
      <c r="L6" s="432">
        <f>'DADOS DA OBRA'!$F$25</f>
        <v>0.1419</v>
      </c>
    </row>
    <row r="7" spans="2:13" s="433" customFormat="1" ht="6.95" customHeight="1" x14ac:dyDescent="0.25">
      <c r="D7" s="158"/>
      <c r="L7" s="434"/>
      <c r="M7" s="435"/>
    </row>
    <row r="8" spans="2:13" s="181" customFormat="1" ht="30" customHeight="1" x14ac:dyDescent="0.25">
      <c r="B8" s="447" t="s">
        <v>101</v>
      </c>
      <c r="C8" s="447" t="s">
        <v>76</v>
      </c>
      <c r="D8" s="447" t="s">
        <v>991</v>
      </c>
      <c r="E8" s="447" t="s">
        <v>191</v>
      </c>
      <c r="F8" s="447" t="s">
        <v>103</v>
      </c>
      <c r="G8" s="447" t="s">
        <v>1116</v>
      </c>
      <c r="H8" s="447" t="s">
        <v>1117</v>
      </c>
      <c r="I8" s="447" t="s">
        <v>2831</v>
      </c>
      <c r="J8" s="447" t="s">
        <v>2830</v>
      </c>
      <c r="K8" s="447" t="s">
        <v>1118</v>
      </c>
      <c r="L8" s="447" t="s">
        <v>2832</v>
      </c>
    </row>
    <row r="9" spans="2:13" x14ac:dyDescent="0.25">
      <c r="B9" s="439" t="s">
        <v>1120</v>
      </c>
      <c r="C9" s="439"/>
      <c r="D9" s="439"/>
      <c r="E9" s="438" t="s">
        <v>771</v>
      </c>
      <c r="F9" s="444"/>
      <c r="G9" s="440"/>
      <c r="H9" s="438"/>
      <c r="I9" s="440">
        <f>SUBTOTAL(9,I10:I13)</f>
        <v>100528.2</v>
      </c>
      <c r="J9" s="438"/>
      <c r="K9" s="440"/>
      <c r="L9" s="440">
        <f>SUBTOTAL(9,L10:L13)</f>
        <v>125271.4</v>
      </c>
    </row>
    <row r="10" spans="2:13" x14ac:dyDescent="0.25">
      <c r="B10" s="443" t="s">
        <v>1121</v>
      </c>
      <c r="C10" s="443" t="s">
        <v>1122</v>
      </c>
      <c r="D10" s="443" t="s">
        <v>1113</v>
      </c>
      <c r="E10" s="441" t="s">
        <v>1123</v>
      </c>
      <c r="F10" s="446" t="s">
        <v>81</v>
      </c>
      <c r="G10" s="442">
        <v>300</v>
      </c>
      <c r="H10" s="442">
        <v>96.79</v>
      </c>
      <c r="I10" s="442">
        <f>TRUNC(G10 * H10, 2)</f>
        <v>29037</v>
      </c>
      <c r="J10" s="544">
        <f>+$L$5</f>
        <v>0.24640000000000001</v>
      </c>
      <c r="K10" s="442">
        <f>TRUNC(H10 * (1 + J10), 2)</f>
        <v>120.63</v>
      </c>
      <c r="L10" s="442">
        <f>TRUNC(G10 * K10, 2)</f>
        <v>36189</v>
      </c>
    </row>
    <row r="11" spans="2:13" x14ac:dyDescent="0.25">
      <c r="B11" s="443" t="s">
        <v>1124</v>
      </c>
      <c r="C11" s="443" t="s">
        <v>1126</v>
      </c>
      <c r="D11" s="443" t="s">
        <v>1113</v>
      </c>
      <c r="E11" s="441" t="s">
        <v>784</v>
      </c>
      <c r="F11" s="446" t="s">
        <v>81</v>
      </c>
      <c r="G11" s="442">
        <v>880</v>
      </c>
      <c r="H11" s="442">
        <v>26.12</v>
      </c>
      <c r="I11" s="442">
        <f t="shared" ref="I11:I13" si="0">TRUNC(G11 * H11, 2)</f>
        <v>22985.599999999999</v>
      </c>
      <c r="J11" s="544">
        <f t="shared" ref="J11:J13" si="1">+$L$5</f>
        <v>0.24640000000000001</v>
      </c>
      <c r="K11" s="442">
        <f t="shared" ref="K11:K74" si="2">TRUNC(H11 * (1 + J11), 2)</f>
        <v>32.549999999999997</v>
      </c>
      <c r="L11" s="442">
        <f>TRUNC(G11 * K11, 2)</f>
        <v>28644</v>
      </c>
    </row>
    <row r="12" spans="2:13" x14ac:dyDescent="0.25">
      <c r="B12" s="443" t="s">
        <v>1125</v>
      </c>
      <c r="C12" s="443" t="s">
        <v>1128</v>
      </c>
      <c r="D12" s="443" t="s">
        <v>1113</v>
      </c>
      <c r="E12" s="441" t="s">
        <v>1129</v>
      </c>
      <c r="F12" s="446" t="s">
        <v>81</v>
      </c>
      <c r="G12" s="442">
        <v>880</v>
      </c>
      <c r="H12" s="442">
        <v>18.760000000000002</v>
      </c>
      <c r="I12" s="442">
        <f t="shared" si="0"/>
        <v>16508.8</v>
      </c>
      <c r="J12" s="544">
        <f t="shared" si="1"/>
        <v>0.24640000000000001</v>
      </c>
      <c r="K12" s="442">
        <f t="shared" si="2"/>
        <v>23.38</v>
      </c>
      <c r="L12" s="442">
        <f>TRUNC(G12 * K12, 2)</f>
        <v>20574.400000000001</v>
      </c>
    </row>
    <row r="13" spans="2:13" x14ac:dyDescent="0.25">
      <c r="B13" s="443" t="s">
        <v>1127</v>
      </c>
      <c r="C13" s="443" t="s">
        <v>1130</v>
      </c>
      <c r="D13" s="443" t="s">
        <v>1113</v>
      </c>
      <c r="E13" s="441" t="s">
        <v>1131</v>
      </c>
      <c r="F13" s="446" t="s">
        <v>81</v>
      </c>
      <c r="G13" s="442">
        <v>1760</v>
      </c>
      <c r="H13" s="442">
        <v>18.18</v>
      </c>
      <c r="I13" s="442">
        <f t="shared" si="0"/>
        <v>31996.799999999999</v>
      </c>
      <c r="J13" s="544">
        <f t="shared" si="1"/>
        <v>0.24640000000000001</v>
      </c>
      <c r="K13" s="442">
        <f t="shared" si="2"/>
        <v>22.65</v>
      </c>
      <c r="L13" s="442">
        <f>TRUNC(G13 * K13, 2)</f>
        <v>39864</v>
      </c>
    </row>
    <row r="14" spans="2:13" x14ac:dyDescent="0.25">
      <c r="B14" s="439" t="s">
        <v>1132</v>
      </c>
      <c r="C14" s="439"/>
      <c r="D14" s="439"/>
      <c r="E14" s="438" t="s">
        <v>713</v>
      </c>
      <c r="F14" s="444"/>
      <c r="G14" s="440">
        <v>1</v>
      </c>
      <c r="H14" s="438"/>
      <c r="I14" s="440">
        <f>SUBTOTAL(9,I15:I23)</f>
        <v>159399.29999999999</v>
      </c>
      <c r="J14" s="438"/>
      <c r="K14" s="440">
        <f t="shared" si="2"/>
        <v>0</v>
      </c>
      <c r="L14" s="440">
        <f>SUBTOTAL(9,L15:L23)</f>
        <v>198649.82</v>
      </c>
    </row>
    <row r="15" spans="2:13" ht="38.25" x14ac:dyDescent="0.25">
      <c r="B15" s="443" t="s">
        <v>1133</v>
      </c>
      <c r="C15" s="443" t="s">
        <v>1134</v>
      </c>
      <c r="D15" s="443" t="s">
        <v>1113</v>
      </c>
      <c r="E15" s="441" t="s">
        <v>1135</v>
      </c>
      <c r="F15" s="437" t="s">
        <v>19</v>
      </c>
      <c r="G15" s="442">
        <v>235.42</v>
      </c>
      <c r="H15" s="442">
        <v>304.16000000000003</v>
      </c>
      <c r="I15" s="442">
        <f t="shared" ref="I15:I23" si="3">TRUNC(G15 * H15, 2)</f>
        <v>71605.34</v>
      </c>
      <c r="J15" s="544">
        <f t="shared" ref="J15:J23" si="4">+$L$5</f>
        <v>0.24640000000000001</v>
      </c>
      <c r="K15" s="442">
        <f t="shared" si="2"/>
        <v>379.1</v>
      </c>
      <c r="L15" s="442">
        <f t="shared" ref="L15:L23" si="5">TRUNC(G15 * K15, 2)</f>
        <v>89247.72</v>
      </c>
    </row>
    <row r="16" spans="2:13" ht="25.5" x14ac:dyDescent="0.25">
      <c r="B16" s="443" t="s">
        <v>1136</v>
      </c>
      <c r="C16" s="443" t="s">
        <v>1137</v>
      </c>
      <c r="D16" s="443" t="s">
        <v>1113</v>
      </c>
      <c r="E16" s="441" t="s">
        <v>1138</v>
      </c>
      <c r="F16" s="437" t="s">
        <v>49</v>
      </c>
      <c r="G16" s="442">
        <v>1</v>
      </c>
      <c r="H16" s="442">
        <v>3684.39</v>
      </c>
      <c r="I16" s="442">
        <f t="shared" si="3"/>
        <v>3684.39</v>
      </c>
      <c r="J16" s="544">
        <f t="shared" si="4"/>
        <v>0.24640000000000001</v>
      </c>
      <c r="K16" s="442">
        <f t="shared" si="2"/>
        <v>4592.22</v>
      </c>
      <c r="L16" s="442">
        <f t="shared" si="5"/>
        <v>4592.22</v>
      </c>
    </row>
    <row r="17" spans="2:12" ht="25.5" x14ac:dyDescent="0.25">
      <c r="B17" s="443" t="s">
        <v>1139</v>
      </c>
      <c r="C17" s="443" t="s">
        <v>1140</v>
      </c>
      <c r="D17" s="443" t="s">
        <v>1113</v>
      </c>
      <c r="E17" s="441" t="s">
        <v>761</v>
      </c>
      <c r="F17" s="437" t="s">
        <v>1141</v>
      </c>
      <c r="G17" s="442">
        <v>1</v>
      </c>
      <c r="H17" s="442">
        <v>3342.16</v>
      </c>
      <c r="I17" s="442">
        <f t="shared" si="3"/>
        <v>3342.16</v>
      </c>
      <c r="J17" s="544">
        <f t="shared" si="4"/>
        <v>0.24640000000000001</v>
      </c>
      <c r="K17" s="442">
        <f t="shared" si="2"/>
        <v>4165.66</v>
      </c>
      <c r="L17" s="442">
        <f t="shared" si="5"/>
        <v>4165.66</v>
      </c>
    </row>
    <row r="18" spans="2:12" x14ac:dyDescent="0.25">
      <c r="B18" s="443" t="s">
        <v>1142</v>
      </c>
      <c r="C18" s="443" t="s">
        <v>1143</v>
      </c>
      <c r="D18" s="443" t="s">
        <v>1113</v>
      </c>
      <c r="E18" s="441" t="s">
        <v>763</v>
      </c>
      <c r="F18" s="437" t="s">
        <v>1141</v>
      </c>
      <c r="G18" s="442">
        <v>1</v>
      </c>
      <c r="H18" s="442">
        <v>4829.8100000000004</v>
      </c>
      <c r="I18" s="442">
        <f t="shared" si="3"/>
        <v>4829.8100000000004</v>
      </c>
      <c r="J18" s="544">
        <f t="shared" si="4"/>
        <v>0.24640000000000001</v>
      </c>
      <c r="K18" s="442">
        <f t="shared" si="2"/>
        <v>6019.87</v>
      </c>
      <c r="L18" s="442">
        <f t="shared" si="5"/>
        <v>6019.87</v>
      </c>
    </row>
    <row r="19" spans="2:12" ht="25.5" x14ac:dyDescent="0.25">
      <c r="B19" s="443" t="s">
        <v>1144</v>
      </c>
      <c r="C19" s="443" t="s">
        <v>1145</v>
      </c>
      <c r="D19" s="443" t="s">
        <v>1113</v>
      </c>
      <c r="E19" s="441" t="s">
        <v>765</v>
      </c>
      <c r="F19" s="437" t="s">
        <v>19</v>
      </c>
      <c r="G19" s="442">
        <v>451.2</v>
      </c>
      <c r="H19" s="442">
        <v>47.75</v>
      </c>
      <c r="I19" s="442">
        <f t="shared" si="3"/>
        <v>21544.799999999999</v>
      </c>
      <c r="J19" s="544">
        <f t="shared" si="4"/>
        <v>0.24640000000000001</v>
      </c>
      <c r="K19" s="442">
        <f t="shared" si="2"/>
        <v>59.51</v>
      </c>
      <c r="L19" s="442">
        <f t="shared" si="5"/>
        <v>26850.91</v>
      </c>
    </row>
    <row r="20" spans="2:12" ht="25.5" x14ac:dyDescent="0.25">
      <c r="B20" s="443" t="s">
        <v>1146</v>
      </c>
      <c r="C20" s="443" t="s">
        <v>1147</v>
      </c>
      <c r="D20" s="443" t="s">
        <v>1113</v>
      </c>
      <c r="E20" s="441" t="s">
        <v>767</v>
      </c>
      <c r="F20" s="437" t="s">
        <v>19</v>
      </c>
      <c r="G20" s="442">
        <v>902.4</v>
      </c>
      <c r="H20" s="442">
        <v>7.39</v>
      </c>
      <c r="I20" s="442">
        <f t="shared" si="3"/>
        <v>6668.73</v>
      </c>
      <c r="J20" s="544">
        <f t="shared" si="4"/>
        <v>0.24640000000000001</v>
      </c>
      <c r="K20" s="442">
        <f t="shared" si="2"/>
        <v>9.2100000000000009</v>
      </c>
      <c r="L20" s="442">
        <f t="shared" si="5"/>
        <v>8311.1</v>
      </c>
    </row>
    <row r="21" spans="2:12" ht="25.5" x14ac:dyDescent="0.25">
      <c r="B21" s="443" t="s">
        <v>1148</v>
      </c>
      <c r="C21" s="443" t="s">
        <v>1149</v>
      </c>
      <c r="D21" s="443" t="s">
        <v>1113</v>
      </c>
      <c r="E21" s="441" t="s">
        <v>769</v>
      </c>
      <c r="F21" s="437" t="s">
        <v>19</v>
      </c>
      <c r="G21" s="442">
        <v>7.5</v>
      </c>
      <c r="H21" s="442">
        <v>386.74</v>
      </c>
      <c r="I21" s="442">
        <f t="shared" si="3"/>
        <v>2900.55</v>
      </c>
      <c r="J21" s="544">
        <f t="shared" si="4"/>
        <v>0.24640000000000001</v>
      </c>
      <c r="K21" s="442">
        <f t="shared" si="2"/>
        <v>482.03</v>
      </c>
      <c r="L21" s="442">
        <f t="shared" si="5"/>
        <v>3615.22</v>
      </c>
    </row>
    <row r="22" spans="2:12" x14ac:dyDescent="0.25">
      <c r="B22" s="443" t="s">
        <v>1150</v>
      </c>
      <c r="C22" s="443" t="s">
        <v>1151</v>
      </c>
      <c r="D22" s="443" t="s">
        <v>1113</v>
      </c>
      <c r="E22" s="441" t="s">
        <v>990</v>
      </c>
      <c r="F22" s="437" t="s">
        <v>1152</v>
      </c>
      <c r="G22" s="442">
        <v>1736</v>
      </c>
      <c r="H22" s="442">
        <v>22.5</v>
      </c>
      <c r="I22" s="442">
        <f t="shared" si="3"/>
        <v>39060</v>
      </c>
      <c r="J22" s="544">
        <f t="shared" si="4"/>
        <v>0.24640000000000001</v>
      </c>
      <c r="K22" s="442">
        <f t="shared" si="2"/>
        <v>28.04</v>
      </c>
      <c r="L22" s="442">
        <f t="shared" si="5"/>
        <v>48677.440000000002</v>
      </c>
    </row>
    <row r="23" spans="2:12" x14ac:dyDescent="0.25">
      <c r="B23" s="443" t="s">
        <v>1153</v>
      </c>
      <c r="C23" s="443" t="s">
        <v>1154</v>
      </c>
      <c r="D23" s="443" t="s">
        <v>1113</v>
      </c>
      <c r="E23" s="441" t="s">
        <v>1033</v>
      </c>
      <c r="F23" s="437" t="s">
        <v>1152</v>
      </c>
      <c r="G23" s="442">
        <v>1736</v>
      </c>
      <c r="H23" s="442">
        <v>3.32</v>
      </c>
      <c r="I23" s="442">
        <f t="shared" si="3"/>
        <v>5763.52</v>
      </c>
      <c r="J23" s="544">
        <f t="shared" si="4"/>
        <v>0.24640000000000001</v>
      </c>
      <c r="K23" s="442">
        <f t="shared" si="2"/>
        <v>4.13</v>
      </c>
      <c r="L23" s="442">
        <f t="shared" si="5"/>
        <v>7169.68</v>
      </c>
    </row>
    <row r="24" spans="2:12" x14ac:dyDescent="0.25">
      <c r="B24" s="439" t="s">
        <v>1155</v>
      </c>
      <c r="C24" s="439"/>
      <c r="D24" s="439"/>
      <c r="E24" s="438" t="s">
        <v>40</v>
      </c>
      <c r="F24" s="444"/>
      <c r="G24" s="440"/>
      <c r="H24" s="438"/>
      <c r="I24" s="440">
        <f>SUBTOTAL(9,I25:I31)</f>
        <v>29159.800000000003</v>
      </c>
      <c r="J24" s="438"/>
      <c r="K24" s="440">
        <f t="shared" si="2"/>
        <v>0</v>
      </c>
      <c r="L24" s="440">
        <f>SUBTOTAL(9,L25:L31)</f>
        <v>36340</v>
      </c>
    </row>
    <row r="25" spans="2:12" x14ac:dyDescent="0.25">
      <c r="B25" s="443" t="s">
        <v>1156</v>
      </c>
      <c r="C25" s="443" t="s">
        <v>1157</v>
      </c>
      <c r="D25" s="443" t="s">
        <v>1113</v>
      </c>
      <c r="E25" s="441" t="s">
        <v>752</v>
      </c>
      <c r="F25" s="437" t="s">
        <v>19</v>
      </c>
      <c r="G25" s="442">
        <v>592.63</v>
      </c>
      <c r="H25" s="442">
        <v>0.23</v>
      </c>
      <c r="I25" s="442">
        <f t="shared" ref="I25:I31" si="6">TRUNC(G25 * H25, 2)</f>
        <v>136.30000000000001</v>
      </c>
      <c r="J25" s="544">
        <f t="shared" ref="J25:J31" si="7">+$L$5</f>
        <v>0.24640000000000001</v>
      </c>
      <c r="K25" s="442">
        <f t="shared" si="2"/>
        <v>0.28000000000000003</v>
      </c>
      <c r="L25" s="442">
        <f t="shared" ref="L25:L31" si="8">TRUNC(G25 * K25, 2)</f>
        <v>165.93</v>
      </c>
    </row>
    <row r="26" spans="2:12" ht="25.5" x14ac:dyDescent="0.25">
      <c r="B26" s="443" t="s">
        <v>1158</v>
      </c>
      <c r="C26" s="443" t="s">
        <v>1159</v>
      </c>
      <c r="D26" s="443" t="s">
        <v>1113</v>
      </c>
      <c r="E26" s="441" t="s">
        <v>754</v>
      </c>
      <c r="F26" s="437" t="s">
        <v>19</v>
      </c>
      <c r="G26" s="442">
        <v>58.89</v>
      </c>
      <c r="H26" s="442">
        <v>5.51</v>
      </c>
      <c r="I26" s="442">
        <f t="shared" si="6"/>
        <v>324.48</v>
      </c>
      <c r="J26" s="544">
        <f t="shared" si="7"/>
        <v>0.24640000000000001</v>
      </c>
      <c r="K26" s="442">
        <f t="shared" si="2"/>
        <v>6.86</v>
      </c>
      <c r="L26" s="442">
        <f t="shared" si="8"/>
        <v>403.98</v>
      </c>
    </row>
    <row r="27" spans="2:12" x14ac:dyDescent="0.25">
      <c r="B27" s="443" t="s">
        <v>1160</v>
      </c>
      <c r="C27" s="443" t="s">
        <v>1161</v>
      </c>
      <c r="D27" s="443" t="s">
        <v>1113</v>
      </c>
      <c r="E27" s="441" t="s">
        <v>1162</v>
      </c>
      <c r="F27" s="437" t="s">
        <v>1141</v>
      </c>
      <c r="G27" s="442">
        <v>1</v>
      </c>
      <c r="H27" s="442">
        <v>1486.62</v>
      </c>
      <c r="I27" s="442">
        <f t="shared" si="6"/>
        <v>1486.62</v>
      </c>
      <c r="J27" s="544">
        <f t="shared" si="7"/>
        <v>0.24640000000000001</v>
      </c>
      <c r="K27" s="442">
        <f t="shared" si="2"/>
        <v>1852.92</v>
      </c>
      <c r="L27" s="442">
        <f t="shared" si="8"/>
        <v>1852.92</v>
      </c>
    </row>
    <row r="28" spans="2:12" x14ac:dyDescent="0.25">
      <c r="B28" s="443" t="s">
        <v>1163</v>
      </c>
      <c r="C28" s="443" t="s">
        <v>1164</v>
      </c>
      <c r="D28" s="443" t="s">
        <v>1113</v>
      </c>
      <c r="E28" s="441" t="s">
        <v>1165</v>
      </c>
      <c r="F28" s="437" t="s">
        <v>1141</v>
      </c>
      <c r="G28" s="442">
        <v>42</v>
      </c>
      <c r="H28" s="442">
        <v>15</v>
      </c>
      <c r="I28" s="442">
        <f t="shared" si="6"/>
        <v>630</v>
      </c>
      <c r="J28" s="544">
        <f t="shared" si="7"/>
        <v>0.24640000000000001</v>
      </c>
      <c r="K28" s="442">
        <f t="shared" si="2"/>
        <v>18.690000000000001</v>
      </c>
      <c r="L28" s="442">
        <f t="shared" si="8"/>
        <v>784.98</v>
      </c>
    </row>
    <row r="29" spans="2:12" ht="63.75" x14ac:dyDescent="0.25">
      <c r="B29" s="443" t="s">
        <v>1166</v>
      </c>
      <c r="C29" s="443" t="s">
        <v>1167</v>
      </c>
      <c r="D29" s="443" t="s">
        <v>1168</v>
      </c>
      <c r="E29" s="441" t="s">
        <v>914</v>
      </c>
      <c r="F29" s="437" t="s">
        <v>49</v>
      </c>
      <c r="G29" s="442">
        <v>10</v>
      </c>
      <c r="H29" s="442">
        <v>576</v>
      </c>
      <c r="I29" s="442">
        <f t="shared" si="6"/>
        <v>5760</v>
      </c>
      <c r="J29" s="544">
        <f t="shared" si="7"/>
        <v>0.24640000000000001</v>
      </c>
      <c r="K29" s="442">
        <f t="shared" si="2"/>
        <v>717.92</v>
      </c>
      <c r="L29" s="442">
        <f t="shared" si="8"/>
        <v>7179.2</v>
      </c>
    </row>
    <row r="30" spans="2:12" x14ac:dyDescent="0.25">
      <c r="B30" s="443" t="s">
        <v>1169</v>
      </c>
      <c r="C30" s="443" t="s">
        <v>1170</v>
      </c>
      <c r="D30" s="443" t="s">
        <v>1168</v>
      </c>
      <c r="E30" s="441" t="s">
        <v>919</v>
      </c>
      <c r="F30" s="437" t="s">
        <v>38</v>
      </c>
      <c r="G30" s="442">
        <v>20</v>
      </c>
      <c r="H30" s="442">
        <v>36.9</v>
      </c>
      <c r="I30" s="442">
        <f t="shared" si="6"/>
        <v>738</v>
      </c>
      <c r="J30" s="544">
        <f t="shared" si="7"/>
        <v>0.24640000000000001</v>
      </c>
      <c r="K30" s="442">
        <f t="shared" si="2"/>
        <v>45.99</v>
      </c>
      <c r="L30" s="442">
        <f t="shared" si="8"/>
        <v>919.8</v>
      </c>
    </row>
    <row r="31" spans="2:12" ht="25.5" x14ac:dyDescent="0.25">
      <c r="B31" s="443" t="s">
        <v>1171</v>
      </c>
      <c r="C31" s="443" t="s">
        <v>1172</v>
      </c>
      <c r="D31" s="443" t="s">
        <v>2721</v>
      </c>
      <c r="E31" s="441" t="s">
        <v>982</v>
      </c>
      <c r="F31" s="437" t="s">
        <v>49</v>
      </c>
      <c r="G31" s="442">
        <v>1</v>
      </c>
      <c r="H31" s="442">
        <v>20084.400000000001</v>
      </c>
      <c r="I31" s="442">
        <f t="shared" si="6"/>
        <v>20084.400000000001</v>
      </c>
      <c r="J31" s="544">
        <f t="shared" si="7"/>
        <v>0.24640000000000001</v>
      </c>
      <c r="K31" s="442">
        <f t="shared" si="2"/>
        <v>25033.19</v>
      </c>
      <c r="L31" s="442">
        <f t="shared" si="8"/>
        <v>25033.19</v>
      </c>
    </row>
    <row r="32" spans="2:12" x14ac:dyDescent="0.25">
      <c r="B32" s="439" t="s">
        <v>1173</v>
      </c>
      <c r="C32" s="439"/>
      <c r="D32" s="439"/>
      <c r="E32" s="438" t="s">
        <v>725</v>
      </c>
      <c r="F32" s="444"/>
      <c r="G32" s="440"/>
      <c r="H32" s="438"/>
      <c r="I32" s="440">
        <f>SUBTOTAL(9,I33:I37)</f>
        <v>39096.130000000005</v>
      </c>
      <c r="J32" s="438"/>
      <c r="K32" s="440">
        <f t="shared" si="2"/>
        <v>0</v>
      </c>
      <c r="L32" s="440">
        <f>SUBTOTAL(9,L33:L37)</f>
        <v>48722.83</v>
      </c>
    </row>
    <row r="33" spans="2:12" ht="25.5" x14ac:dyDescent="0.25">
      <c r="B33" s="443" t="s">
        <v>1174</v>
      </c>
      <c r="C33" s="443" t="s">
        <v>1175</v>
      </c>
      <c r="D33" s="443" t="s">
        <v>1168</v>
      </c>
      <c r="E33" s="441" t="s">
        <v>732</v>
      </c>
      <c r="F33" s="437" t="s">
        <v>45</v>
      </c>
      <c r="G33" s="442">
        <v>39.14</v>
      </c>
      <c r="H33" s="442">
        <v>80.02</v>
      </c>
      <c r="I33" s="442">
        <f t="shared" ref="I33:I37" si="9">TRUNC(G33 * H33, 2)</f>
        <v>3131.98</v>
      </c>
      <c r="J33" s="544">
        <f>+$L$5</f>
        <v>0.24640000000000001</v>
      </c>
      <c r="K33" s="442">
        <f t="shared" si="2"/>
        <v>99.73</v>
      </c>
      <c r="L33" s="442">
        <f>TRUNC(G33 * K33, 2)</f>
        <v>3903.43</v>
      </c>
    </row>
    <row r="34" spans="2:12" ht="25.5" x14ac:dyDescent="0.25">
      <c r="B34" s="443" t="s">
        <v>1176</v>
      </c>
      <c r="C34" s="443" t="s">
        <v>1177</v>
      </c>
      <c r="D34" s="443" t="s">
        <v>1168</v>
      </c>
      <c r="E34" s="441" t="s">
        <v>739</v>
      </c>
      <c r="F34" s="437" t="s">
        <v>45</v>
      </c>
      <c r="G34" s="442">
        <v>12</v>
      </c>
      <c r="H34" s="442">
        <v>171.85</v>
      </c>
      <c r="I34" s="442">
        <f t="shared" si="9"/>
        <v>2062.1999999999998</v>
      </c>
      <c r="J34" s="544">
        <f>+$L$5</f>
        <v>0.24640000000000001</v>
      </c>
      <c r="K34" s="442">
        <f t="shared" si="2"/>
        <v>214.19</v>
      </c>
      <c r="L34" s="442">
        <f>TRUNC(G34 * K34, 2)</f>
        <v>2570.2800000000002</v>
      </c>
    </row>
    <row r="35" spans="2:12" ht="25.5" x14ac:dyDescent="0.25">
      <c r="B35" s="443" t="s">
        <v>1178</v>
      </c>
      <c r="C35" s="443" t="s">
        <v>1179</v>
      </c>
      <c r="D35" s="443" t="s">
        <v>1113</v>
      </c>
      <c r="E35" s="441" t="s">
        <v>733</v>
      </c>
      <c r="F35" s="437" t="s">
        <v>41</v>
      </c>
      <c r="G35" s="442">
        <v>57.7</v>
      </c>
      <c r="H35" s="442">
        <v>20.34</v>
      </c>
      <c r="I35" s="442">
        <f t="shared" si="9"/>
        <v>1173.6099999999999</v>
      </c>
      <c r="J35" s="544">
        <f>+$L$5</f>
        <v>0.24640000000000001</v>
      </c>
      <c r="K35" s="442">
        <f t="shared" si="2"/>
        <v>25.35</v>
      </c>
      <c r="L35" s="442">
        <f>TRUNC(G35 * K35, 2)</f>
        <v>1462.69</v>
      </c>
    </row>
    <row r="36" spans="2:12" ht="25.5" x14ac:dyDescent="0.25">
      <c r="B36" s="443" t="s">
        <v>1180</v>
      </c>
      <c r="C36" s="443" t="s">
        <v>1181</v>
      </c>
      <c r="D36" s="443" t="s">
        <v>1168</v>
      </c>
      <c r="E36" s="441" t="s">
        <v>738</v>
      </c>
      <c r="F36" s="437" t="s">
        <v>19</v>
      </c>
      <c r="G36" s="442">
        <v>241.75</v>
      </c>
      <c r="H36" s="442">
        <v>21.11</v>
      </c>
      <c r="I36" s="442">
        <f t="shared" si="9"/>
        <v>5103.34</v>
      </c>
      <c r="J36" s="544">
        <f>+$L$5</f>
        <v>0.24640000000000001</v>
      </c>
      <c r="K36" s="442">
        <f t="shared" si="2"/>
        <v>26.31</v>
      </c>
      <c r="L36" s="442">
        <f>TRUNC(G36 * K36, 2)</f>
        <v>6360.44</v>
      </c>
    </row>
    <row r="37" spans="2:12" x14ac:dyDescent="0.25">
      <c r="B37" s="443" t="s">
        <v>1182</v>
      </c>
      <c r="C37" s="443" t="s">
        <v>1183</v>
      </c>
      <c r="D37" s="443" t="s">
        <v>1113</v>
      </c>
      <c r="E37" s="441" t="s">
        <v>1184</v>
      </c>
      <c r="F37" s="437" t="s">
        <v>45</v>
      </c>
      <c r="G37" s="442">
        <v>584.78</v>
      </c>
      <c r="H37" s="442">
        <v>47.24</v>
      </c>
      <c r="I37" s="442">
        <f t="shared" si="9"/>
        <v>27625</v>
      </c>
      <c r="J37" s="544">
        <f>+$L$5</f>
        <v>0.24640000000000001</v>
      </c>
      <c r="K37" s="442">
        <f t="shared" si="2"/>
        <v>58.87</v>
      </c>
      <c r="L37" s="442">
        <f>TRUNC(G37 * K37, 2)</f>
        <v>34425.99</v>
      </c>
    </row>
    <row r="38" spans="2:12" x14ac:dyDescent="0.25">
      <c r="B38" s="439" t="s">
        <v>1185</v>
      </c>
      <c r="C38" s="439"/>
      <c r="D38" s="439"/>
      <c r="E38" s="438" t="s">
        <v>44</v>
      </c>
      <c r="F38" s="444"/>
      <c r="G38" s="440"/>
      <c r="H38" s="438"/>
      <c r="I38" s="440">
        <f>SUBTOTAL(9,I39:I50)</f>
        <v>135659.17000000001</v>
      </c>
      <c r="J38" s="438"/>
      <c r="K38" s="440">
        <f t="shared" si="2"/>
        <v>0</v>
      </c>
      <c r="L38" s="440">
        <f>SUBTOTAL(9,L39:L50)</f>
        <v>168993.37</v>
      </c>
    </row>
    <row r="39" spans="2:12" x14ac:dyDescent="0.25">
      <c r="B39" s="443" t="s">
        <v>1186</v>
      </c>
      <c r="C39" s="443" t="s">
        <v>1187</v>
      </c>
      <c r="D39" s="443" t="s">
        <v>1113</v>
      </c>
      <c r="E39" s="441" t="s">
        <v>671</v>
      </c>
      <c r="F39" s="437" t="s">
        <v>45</v>
      </c>
      <c r="G39" s="442">
        <v>33.020000000000003</v>
      </c>
      <c r="H39" s="442">
        <v>37.51</v>
      </c>
      <c r="I39" s="442">
        <f t="shared" ref="I39:I50" si="10">TRUNC(G39 * H39, 2)</f>
        <v>1238.58</v>
      </c>
      <c r="J39" s="544">
        <f t="shared" ref="J39:J50" si="11">+$L$5</f>
        <v>0.24640000000000001</v>
      </c>
      <c r="K39" s="442">
        <f t="shared" si="2"/>
        <v>46.75</v>
      </c>
      <c r="L39" s="442">
        <f t="shared" ref="L39:L50" si="12">TRUNC(G39 * K39, 2)</f>
        <v>1543.68</v>
      </c>
    </row>
    <row r="40" spans="2:12" x14ac:dyDescent="0.25">
      <c r="B40" s="443" t="s">
        <v>1188</v>
      </c>
      <c r="C40" s="443" t="s">
        <v>1189</v>
      </c>
      <c r="D40" s="443" t="s">
        <v>1113</v>
      </c>
      <c r="E40" s="441" t="s">
        <v>1190</v>
      </c>
      <c r="F40" s="437" t="s">
        <v>45</v>
      </c>
      <c r="G40" s="442">
        <v>51.93</v>
      </c>
      <c r="H40" s="442">
        <v>47.5</v>
      </c>
      <c r="I40" s="442">
        <f t="shared" si="10"/>
        <v>2466.67</v>
      </c>
      <c r="J40" s="544">
        <f t="shared" si="11"/>
        <v>0.24640000000000001</v>
      </c>
      <c r="K40" s="442">
        <f t="shared" si="2"/>
        <v>59.2</v>
      </c>
      <c r="L40" s="442">
        <f t="shared" si="12"/>
        <v>3074.25</v>
      </c>
    </row>
    <row r="41" spans="2:12" x14ac:dyDescent="0.25">
      <c r="B41" s="443" t="s">
        <v>1191</v>
      </c>
      <c r="C41" s="443" t="s">
        <v>1192</v>
      </c>
      <c r="D41" s="443" t="s">
        <v>1113</v>
      </c>
      <c r="E41" s="441" t="s">
        <v>1193</v>
      </c>
      <c r="F41" s="437" t="s">
        <v>45</v>
      </c>
      <c r="G41" s="442">
        <v>4125.12</v>
      </c>
      <c r="H41" s="442">
        <v>2.2200000000000002</v>
      </c>
      <c r="I41" s="442">
        <f t="shared" si="10"/>
        <v>9157.76</v>
      </c>
      <c r="J41" s="544">
        <f t="shared" si="11"/>
        <v>0.24640000000000001</v>
      </c>
      <c r="K41" s="442">
        <f t="shared" si="2"/>
        <v>2.76</v>
      </c>
      <c r="L41" s="442">
        <f t="shared" si="12"/>
        <v>11385.33</v>
      </c>
    </row>
    <row r="42" spans="2:12" x14ac:dyDescent="0.25">
      <c r="B42" s="443" t="s">
        <v>1194</v>
      </c>
      <c r="C42" s="443" t="s">
        <v>1195</v>
      </c>
      <c r="D42" s="443" t="s">
        <v>1113</v>
      </c>
      <c r="E42" s="441" t="s">
        <v>273</v>
      </c>
      <c r="F42" s="437" t="s">
        <v>45</v>
      </c>
      <c r="G42" s="442">
        <v>33.9</v>
      </c>
      <c r="H42" s="442">
        <v>47.5</v>
      </c>
      <c r="I42" s="442">
        <f t="shared" si="10"/>
        <v>1610.25</v>
      </c>
      <c r="J42" s="544">
        <f t="shared" si="11"/>
        <v>0.24640000000000001</v>
      </c>
      <c r="K42" s="442">
        <f t="shared" si="2"/>
        <v>59.2</v>
      </c>
      <c r="L42" s="442">
        <f t="shared" si="12"/>
        <v>2006.88</v>
      </c>
    </row>
    <row r="43" spans="2:12" x14ac:dyDescent="0.25">
      <c r="B43" s="443" t="s">
        <v>1196</v>
      </c>
      <c r="C43" s="443" t="s">
        <v>1197</v>
      </c>
      <c r="D43" s="443" t="s">
        <v>1113</v>
      </c>
      <c r="E43" s="441" t="s">
        <v>221</v>
      </c>
      <c r="F43" s="437" t="s">
        <v>19</v>
      </c>
      <c r="G43" s="442">
        <v>3366.29</v>
      </c>
      <c r="H43" s="442">
        <v>5.84</v>
      </c>
      <c r="I43" s="442">
        <f t="shared" si="10"/>
        <v>19659.13</v>
      </c>
      <c r="J43" s="544">
        <f t="shared" si="11"/>
        <v>0.24640000000000001</v>
      </c>
      <c r="K43" s="442">
        <f t="shared" si="2"/>
        <v>7.27</v>
      </c>
      <c r="L43" s="442">
        <f t="shared" si="12"/>
        <v>24472.92</v>
      </c>
    </row>
    <row r="44" spans="2:12" x14ac:dyDescent="0.25">
      <c r="B44" s="443" t="s">
        <v>1198</v>
      </c>
      <c r="C44" s="443" t="s">
        <v>1199</v>
      </c>
      <c r="D44" s="443" t="s">
        <v>1113</v>
      </c>
      <c r="E44" s="441" t="s">
        <v>224</v>
      </c>
      <c r="F44" s="437" t="s">
        <v>45</v>
      </c>
      <c r="G44" s="442">
        <v>5.17</v>
      </c>
      <c r="H44" s="442">
        <v>18.96</v>
      </c>
      <c r="I44" s="442">
        <f t="shared" si="10"/>
        <v>98.02</v>
      </c>
      <c r="J44" s="544">
        <f t="shared" si="11"/>
        <v>0.24640000000000001</v>
      </c>
      <c r="K44" s="442">
        <f t="shared" si="2"/>
        <v>23.63</v>
      </c>
      <c r="L44" s="442">
        <f t="shared" si="12"/>
        <v>122.16</v>
      </c>
    </row>
    <row r="45" spans="2:12" x14ac:dyDescent="0.25">
      <c r="B45" s="443" t="s">
        <v>1200</v>
      </c>
      <c r="C45" s="443" t="s">
        <v>1201</v>
      </c>
      <c r="D45" s="443" t="s">
        <v>1113</v>
      </c>
      <c r="E45" s="441" t="s">
        <v>230</v>
      </c>
      <c r="F45" s="437" t="s">
        <v>1202</v>
      </c>
      <c r="G45" s="442">
        <v>33.619999999999997</v>
      </c>
      <c r="H45" s="442">
        <v>2.64</v>
      </c>
      <c r="I45" s="442">
        <f t="shared" si="10"/>
        <v>88.75</v>
      </c>
      <c r="J45" s="544">
        <f t="shared" si="11"/>
        <v>0.24640000000000001</v>
      </c>
      <c r="K45" s="442">
        <f t="shared" si="2"/>
        <v>3.29</v>
      </c>
      <c r="L45" s="442">
        <f t="shared" si="12"/>
        <v>110.6</v>
      </c>
    </row>
    <row r="46" spans="2:12" x14ac:dyDescent="0.25">
      <c r="B46" s="443" t="s">
        <v>1203</v>
      </c>
      <c r="C46" s="443" t="s">
        <v>1204</v>
      </c>
      <c r="D46" s="443" t="s">
        <v>1113</v>
      </c>
      <c r="E46" s="441" t="s">
        <v>233</v>
      </c>
      <c r="F46" s="437" t="s">
        <v>45</v>
      </c>
      <c r="G46" s="442">
        <v>168.34</v>
      </c>
      <c r="H46" s="442">
        <v>215.03</v>
      </c>
      <c r="I46" s="442">
        <f t="shared" si="10"/>
        <v>36198.15</v>
      </c>
      <c r="J46" s="544">
        <f t="shared" si="11"/>
        <v>0.24640000000000001</v>
      </c>
      <c r="K46" s="442">
        <f t="shared" si="2"/>
        <v>268.01</v>
      </c>
      <c r="L46" s="442">
        <f t="shared" si="12"/>
        <v>45116.800000000003</v>
      </c>
    </row>
    <row r="47" spans="2:12" ht="25.5" x14ac:dyDescent="0.25">
      <c r="B47" s="443" t="s">
        <v>1205</v>
      </c>
      <c r="C47" s="443" t="s">
        <v>1206</v>
      </c>
      <c r="D47" s="443" t="s">
        <v>1113</v>
      </c>
      <c r="E47" s="441" t="s">
        <v>237</v>
      </c>
      <c r="F47" s="437" t="s">
        <v>45</v>
      </c>
      <c r="G47" s="442">
        <v>3204.1</v>
      </c>
      <c r="H47" s="442">
        <v>6.93</v>
      </c>
      <c r="I47" s="442">
        <f t="shared" si="10"/>
        <v>22204.41</v>
      </c>
      <c r="J47" s="544">
        <f t="shared" si="11"/>
        <v>0.24640000000000001</v>
      </c>
      <c r="K47" s="442">
        <f t="shared" si="2"/>
        <v>8.6300000000000008</v>
      </c>
      <c r="L47" s="442">
        <f t="shared" si="12"/>
        <v>27651.38</v>
      </c>
    </row>
    <row r="48" spans="2:12" x14ac:dyDescent="0.25">
      <c r="B48" s="443" t="s">
        <v>1207</v>
      </c>
      <c r="C48" s="443" t="s">
        <v>1208</v>
      </c>
      <c r="D48" s="443" t="s">
        <v>1113</v>
      </c>
      <c r="E48" s="441" t="s">
        <v>279</v>
      </c>
      <c r="F48" s="437" t="s">
        <v>45</v>
      </c>
      <c r="G48" s="442">
        <v>93.53</v>
      </c>
      <c r="H48" s="442">
        <v>4.07</v>
      </c>
      <c r="I48" s="442">
        <f t="shared" si="10"/>
        <v>380.66</v>
      </c>
      <c r="J48" s="544">
        <f t="shared" si="11"/>
        <v>0.24640000000000001</v>
      </c>
      <c r="K48" s="442">
        <f t="shared" si="2"/>
        <v>5.07</v>
      </c>
      <c r="L48" s="442">
        <f t="shared" si="12"/>
        <v>474.19</v>
      </c>
    </row>
    <row r="49" spans="2:12" x14ac:dyDescent="0.25">
      <c r="B49" s="443" t="s">
        <v>1209</v>
      </c>
      <c r="C49" s="443" t="s">
        <v>1210</v>
      </c>
      <c r="D49" s="443" t="s">
        <v>1113</v>
      </c>
      <c r="E49" s="441" t="s">
        <v>1211</v>
      </c>
      <c r="F49" s="437" t="s">
        <v>45</v>
      </c>
      <c r="G49" s="442">
        <v>881.37</v>
      </c>
      <c r="H49" s="442">
        <v>24.85</v>
      </c>
      <c r="I49" s="442">
        <f t="shared" si="10"/>
        <v>21902.04</v>
      </c>
      <c r="J49" s="544">
        <f t="shared" si="11"/>
        <v>0.24640000000000001</v>
      </c>
      <c r="K49" s="442">
        <f t="shared" si="2"/>
        <v>30.97</v>
      </c>
      <c r="L49" s="442">
        <f t="shared" si="12"/>
        <v>27296.02</v>
      </c>
    </row>
    <row r="50" spans="2:12" ht="25.5" x14ac:dyDescent="0.25">
      <c r="B50" s="443" t="s">
        <v>1212</v>
      </c>
      <c r="C50" s="443" t="s">
        <v>1213</v>
      </c>
      <c r="D50" s="443" t="s">
        <v>1168</v>
      </c>
      <c r="E50" s="441" t="s">
        <v>661</v>
      </c>
      <c r="F50" s="437" t="s">
        <v>19</v>
      </c>
      <c r="G50" s="442">
        <v>1057.05</v>
      </c>
      <c r="H50" s="442">
        <v>19.54</v>
      </c>
      <c r="I50" s="442">
        <f t="shared" si="10"/>
        <v>20654.75</v>
      </c>
      <c r="J50" s="544">
        <f t="shared" si="11"/>
        <v>0.24640000000000001</v>
      </c>
      <c r="K50" s="442">
        <f t="shared" si="2"/>
        <v>24.35</v>
      </c>
      <c r="L50" s="442">
        <f t="shared" si="12"/>
        <v>25739.16</v>
      </c>
    </row>
    <row r="51" spans="2:12" x14ac:dyDescent="0.25">
      <c r="B51" s="439" t="s">
        <v>1214</v>
      </c>
      <c r="C51" s="439"/>
      <c r="D51" s="439"/>
      <c r="E51" s="438" t="s">
        <v>47</v>
      </c>
      <c r="F51" s="444"/>
      <c r="G51" s="440"/>
      <c r="H51" s="438"/>
      <c r="I51" s="440">
        <f>SUBTOTAL(9,I52:I77)</f>
        <v>94814.010000000009</v>
      </c>
      <c r="J51" s="438"/>
      <c r="K51" s="440">
        <f t="shared" si="2"/>
        <v>0</v>
      </c>
      <c r="L51" s="440">
        <f>SUBTOTAL(9,L52:L77)</f>
        <v>118158.17</v>
      </c>
    </row>
    <row r="52" spans="2:12" x14ac:dyDescent="0.25">
      <c r="B52" s="439" t="s">
        <v>1215</v>
      </c>
      <c r="C52" s="439"/>
      <c r="D52" s="439"/>
      <c r="E52" s="438" t="s">
        <v>317</v>
      </c>
      <c r="F52" s="444"/>
      <c r="G52" s="440"/>
      <c r="H52" s="438"/>
      <c r="I52" s="440">
        <f>SUBTOTAL(9,I53:I61)</f>
        <v>9400.35</v>
      </c>
      <c r="J52" s="438"/>
      <c r="K52" s="440">
        <f t="shared" si="2"/>
        <v>0</v>
      </c>
      <c r="L52" s="440">
        <f>SUBTOTAL(9,L53:L61)</f>
        <v>11716.07</v>
      </c>
    </row>
    <row r="53" spans="2:12" ht="25.5" x14ac:dyDescent="0.25">
      <c r="B53" s="443" t="s">
        <v>1216</v>
      </c>
      <c r="C53" s="443" t="s">
        <v>1217</v>
      </c>
      <c r="D53" s="443" t="s">
        <v>1113</v>
      </c>
      <c r="E53" s="441" t="s">
        <v>254</v>
      </c>
      <c r="F53" s="437" t="s">
        <v>45</v>
      </c>
      <c r="G53" s="442">
        <v>0.56999999999999995</v>
      </c>
      <c r="H53" s="442">
        <v>477.34</v>
      </c>
      <c r="I53" s="442">
        <f t="shared" ref="I53:I61" si="13">TRUNC(G53 * H53, 2)</f>
        <v>272.08</v>
      </c>
      <c r="J53" s="544">
        <f t="shared" ref="J53:J61" si="14">+$L$5</f>
        <v>0.24640000000000001</v>
      </c>
      <c r="K53" s="442">
        <f t="shared" si="2"/>
        <v>594.95000000000005</v>
      </c>
      <c r="L53" s="442">
        <f t="shared" ref="L53:L61" si="15">TRUNC(G53 * K53, 2)</f>
        <v>339.12</v>
      </c>
    </row>
    <row r="54" spans="2:12" x14ac:dyDescent="0.25">
      <c r="B54" s="443" t="s">
        <v>1218</v>
      </c>
      <c r="C54" s="443" t="s">
        <v>1219</v>
      </c>
      <c r="D54" s="443" t="s">
        <v>1113</v>
      </c>
      <c r="E54" s="441" t="s">
        <v>257</v>
      </c>
      <c r="F54" s="437" t="s">
        <v>19</v>
      </c>
      <c r="G54" s="442">
        <v>13.56</v>
      </c>
      <c r="H54" s="442">
        <v>79.489999999999995</v>
      </c>
      <c r="I54" s="442">
        <f t="shared" si="13"/>
        <v>1077.8800000000001</v>
      </c>
      <c r="J54" s="544">
        <f t="shared" si="14"/>
        <v>0.24640000000000001</v>
      </c>
      <c r="K54" s="442">
        <f t="shared" si="2"/>
        <v>99.07</v>
      </c>
      <c r="L54" s="442">
        <f t="shared" si="15"/>
        <v>1343.38</v>
      </c>
    </row>
    <row r="55" spans="2:12" x14ac:dyDescent="0.25">
      <c r="B55" s="443" t="s">
        <v>1220</v>
      </c>
      <c r="C55" s="443" t="s">
        <v>1221</v>
      </c>
      <c r="D55" s="443" t="s">
        <v>1113</v>
      </c>
      <c r="E55" s="441" t="s">
        <v>259</v>
      </c>
      <c r="F55" s="437" t="s">
        <v>1222</v>
      </c>
      <c r="G55" s="442">
        <v>104.44</v>
      </c>
      <c r="H55" s="442">
        <v>11.04</v>
      </c>
      <c r="I55" s="442">
        <f t="shared" si="13"/>
        <v>1153.01</v>
      </c>
      <c r="J55" s="544">
        <f t="shared" si="14"/>
        <v>0.24640000000000001</v>
      </c>
      <c r="K55" s="442">
        <f t="shared" si="2"/>
        <v>13.76</v>
      </c>
      <c r="L55" s="442">
        <f t="shared" si="15"/>
        <v>1437.09</v>
      </c>
    </row>
    <row r="56" spans="2:12" x14ac:dyDescent="0.25">
      <c r="B56" s="443" t="s">
        <v>1223</v>
      </c>
      <c r="C56" s="443" t="s">
        <v>1224</v>
      </c>
      <c r="D56" s="443" t="s">
        <v>1113</v>
      </c>
      <c r="E56" s="441" t="s">
        <v>261</v>
      </c>
      <c r="F56" s="437" t="s">
        <v>1222</v>
      </c>
      <c r="G56" s="442">
        <v>90.31</v>
      </c>
      <c r="H56" s="442">
        <v>10.97</v>
      </c>
      <c r="I56" s="442">
        <f t="shared" si="13"/>
        <v>990.7</v>
      </c>
      <c r="J56" s="544">
        <f t="shared" si="14"/>
        <v>0.24640000000000001</v>
      </c>
      <c r="K56" s="442">
        <f t="shared" si="2"/>
        <v>13.67</v>
      </c>
      <c r="L56" s="442">
        <f t="shared" si="15"/>
        <v>1234.53</v>
      </c>
    </row>
    <row r="57" spans="2:12" x14ac:dyDescent="0.25">
      <c r="B57" s="443" t="s">
        <v>1225</v>
      </c>
      <c r="C57" s="443" t="s">
        <v>1226</v>
      </c>
      <c r="D57" s="443" t="s">
        <v>1113</v>
      </c>
      <c r="E57" s="441" t="s">
        <v>263</v>
      </c>
      <c r="F57" s="437" t="s">
        <v>1222</v>
      </c>
      <c r="G57" s="442">
        <v>35.44</v>
      </c>
      <c r="H57" s="442">
        <v>10.76</v>
      </c>
      <c r="I57" s="442">
        <f t="shared" si="13"/>
        <v>381.33</v>
      </c>
      <c r="J57" s="544">
        <f t="shared" si="14"/>
        <v>0.24640000000000001</v>
      </c>
      <c r="K57" s="442">
        <f t="shared" si="2"/>
        <v>13.41</v>
      </c>
      <c r="L57" s="442">
        <f t="shared" si="15"/>
        <v>475.25</v>
      </c>
    </row>
    <row r="58" spans="2:12" x14ac:dyDescent="0.25">
      <c r="B58" s="443" t="s">
        <v>1227</v>
      </c>
      <c r="C58" s="443" t="s">
        <v>1228</v>
      </c>
      <c r="D58" s="443" t="s">
        <v>1113</v>
      </c>
      <c r="E58" s="441" t="s">
        <v>266</v>
      </c>
      <c r="F58" s="437" t="s">
        <v>1222</v>
      </c>
      <c r="G58" s="442">
        <v>6.95</v>
      </c>
      <c r="H58" s="442">
        <v>12.72</v>
      </c>
      <c r="I58" s="442">
        <f t="shared" si="13"/>
        <v>88.4</v>
      </c>
      <c r="J58" s="544">
        <f t="shared" si="14"/>
        <v>0.24640000000000001</v>
      </c>
      <c r="K58" s="442">
        <f t="shared" si="2"/>
        <v>15.85</v>
      </c>
      <c r="L58" s="442">
        <f t="shared" si="15"/>
        <v>110.15</v>
      </c>
    </row>
    <row r="59" spans="2:12" x14ac:dyDescent="0.25">
      <c r="B59" s="443" t="s">
        <v>1229</v>
      </c>
      <c r="C59" s="443" t="s">
        <v>1230</v>
      </c>
      <c r="D59" s="443" t="s">
        <v>1113</v>
      </c>
      <c r="E59" s="441" t="s">
        <v>268</v>
      </c>
      <c r="F59" s="437" t="s">
        <v>45</v>
      </c>
      <c r="G59" s="442">
        <v>3.98</v>
      </c>
      <c r="H59" s="442">
        <v>524.19000000000005</v>
      </c>
      <c r="I59" s="442">
        <f t="shared" si="13"/>
        <v>2086.27</v>
      </c>
      <c r="J59" s="544">
        <f t="shared" si="14"/>
        <v>0.24640000000000001</v>
      </c>
      <c r="K59" s="442">
        <f t="shared" si="2"/>
        <v>653.35</v>
      </c>
      <c r="L59" s="442">
        <f t="shared" si="15"/>
        <v>2600.33</v>
      </c>
    </row>
    <row r="60" spans="2:12" x14ac:dyDescent="0.25">
      <c r="B60" s="443" t="s">
        <v>1231</v>
      </c>
      <c r="C60" s="443" t="s">
        <v>1232</v>
      </c>
      <c r="D60" s="443" t="s">
        <v>1113</v>
      </c>
      <c r="E60" s="441" t="s">
        <v>277</v>
      </c>
      <c r="F60" s="437" t="s">
        <v>45</v>
      </c>
      <c r="G60" s="442">
        <v>3.98</v>
      </c>
      <c r="H60" s="442">
        <v>52.04</v>
      </c>
      <c r="I60" s="442">
        <f t="shared" si="13"/>
        <v>207.11</v>
      </c>
      <c r="J60" s="544">
        <f t="shared" si="14"/>
        <v>0.24640000000000001</v>
      </c>
      <c r="K60" s="442">
        <f t="shared" si="2"/>
        <v>64.86</v>
      </c>
      <c r="L60" s="442">
        <f t="shared" si="15"/>
        <v>258.14</v>
      </c>
    </row>
    <row r="61" spans="2:12" ht="25.5" x14ac:dyDescent="0.25">
      <c r="B61" s="443" t="s">
        <v>1233</v>
      </c>
      <c r="C61" s="443" t="s">
        <v>1234</v>
      </c>
      <c r="D61" s="443" t="s">
        <v>1168</v>
      </c>
      <c r="E61" s="441" t="s">
        <v>2722</v>
      </c>
      <c r="F61" s="437" t="s">
        <v>19</v>
      </c>
      <c r="G61" s="442">
        <v>30.16</v>
      </c>
      <c r="H61" s="442">
        <v>104.23</v>
      </c>
      <c r="I61" s="442">
        <f t="shared" si="13"/>
        <v>3143.57</v>
      </c>
      <c r="J61" s="544">
        <f t="shared" si="14"/>
        <v>0.24640000000000001</v>
      </c>
      <c r="K61" s="442">
        <f t="shared" si="2"/>
        <v>129.91</v>
      </c>
      <c r="L61" s="442">
        <f t="shared" si="15"/>
        <v>3918.08</v>
      </c>
    </row>
    <row r="62" spans="2:12" x14ac:dyDescent="0.25">
      <c r="B62" s="439" t="s">
        <v>1235</v>
      </c>
      <c r="C62" s="439"/>
      <c r="D62" s="439"/>
      <c r="E62" s="438" t="s">
        <v>48</v>
      </c>
      <c r="F62" s="440"/>
      <c r="G62" s="440"/>
      <c r="H62" s="438"/>
      <c r="I62" s="440">
        <f>SUBTOTAL(9,I63:I68)</f>
        <v>46233.700000000004</v>
      </c>
      <c r="J62" s="438"/>
      <c r="K62" s="440">
        <f t="shared" si="2"/>
        <v>0</v>
      </c>
      <c r="L62" s="440">
        <f>SUBTOTAL(9,L63:L68)</f>
        <v>57614</v>
      </c>
    </row>
    <row r="63" spans="2:12" x14ac:dyDescent="0.25">
      <c r="B63" s="443" t="s">
        <v>1236</v>
      </c>
      <c r="C63" s="443" t="s">
        <v>1237</v>
      </c>
      <c r="D63" s="443" t="s">
        <v>1168</v>
      </c>
      <c r="E63" s="441" t="s">
        <v>1238</v>
      </c>
      <c r="F63" s="437" t="s">
        <v>41</v>
      </c>
      <c r="G63" s="442">
        <v>300</v>
      </c>
      <c r="H63" s="442">
        <v>30.74</v>
      </c>
      <c r="I63" s="442">
        <f t="shared" ref="I63:I68" si="16">TRUNC(G63 * H63, 2)</f>
        <v>9222</v>
      </c>
      <c r="J63" s="544">
        <f t="shared" ref="J63:J68" si="17">+$L$5</f>
        <v>0.24640000000000001</v>
      </c>
      <c r="K63" s="442">
        <f t="shared" si="2"/>
        <v>38.31</v>
      </c>
      <c r="L63" s="442">
        <f t="shared" ref="L63:L68" si="18">TRUNC(G63 * K63, 2)</f>
        <v>11493</v>
      </c>
    </row>
    <row r="64" spans="2:12" x14ac:dyDescent="0.25">
      <c r="B64" s="443" t="s">
        <v>1239</v>
      </c>
      <c r="C64" s="443" t="s">
        <v>1221</v>
      </c>
      <c r="D64" s="443" t="s">
        <v>1113</v>
      </c>
      <c r="E64" s="441" t="s">
        <v>259</v>
      </c>
      <c r="F64" s="437" t="s">
        <v>1222</v>
      </c>
      <c r="G64" s="442">
        <v>185.22</v>
      </c>
      <c r="H64" s="442">
        <v>11.04</v>
      </c>
      <c r="I64" s="442">
        <f t="shared" si="16"/>
        <v>2044.82</v>
      </c>
      <c r="J64" s="544">
        <f t="shared" si="17"/>
        <v>0.24640000000000001</v>
      </c>
      <c r="K64" s="442">
        <f t="shared" si="2"/>
        <v>13.76</v>
      </c>
      <c r="L64" s="442">
        <f t="shared" si="18"/>
        <v>2548.62</v>
      </c>
    </row>
    <row r="65" spans="2:12" x14ac:dyDescent="0.25">
      <c r="B65" s="443" t="s">
        <v>1240</v>
      </c>
      <c r="C65" s="443" t="s">
        <v>1241</v>
      </c>
      <c r="D65" s="443" t="s">
        <v>1113</v>
      </c>
      <c r="E65" s="441" t="s">
        <v>275</v>
      </c>
      <c r="F65" s="437" t="s">
        <v>1222</v>
      </c>
      <c r="G65" s="442">
        <v>1136.1600000000001</v>
      </c>
      <c r="H65" s="442">
        <v>11.4</v>
      </c>
      <c r="I65" s="442">
        <f t="shared" si="16"/>
        <v>12952.22</v>
      </c>
      <c r="J65" s="544">
        <f t="shared" si="17"/>
        <v>0.24640000000000001</v>
      </c>
      <c r="K65" s="442">
        <f t="shared" si="2"/>
        <v>14.2</v>
      </c>
      <c r="L65" s="442">
        <f t="shared" si="18"/>
        <v>16133.47</v>
      </c>
    </row>
    <row r="66" spans="2:12" x14ac:dyDescent="0.25">
      <c r="B66" s="443" t="s">
        <v>1242</v>
      </c>
      <c r="C66" s="443" t="s">
        <v>1230</v>
      </c>
      <c r="D66" s="443" t="s">
        <v>1113</v>
      </c>
      <c r="E66" s="441" t="s">
        <v>268</v>
      </c>
      <c r="F66" s="437" t="s">
        <v>45</v>
      </c>
      <c r="G66" s="442">
        <v>37.700000000000003</v>
      </c>
      <c r="H66" s="442">
        <v>524.19000000000005</v>
      </c>
      <c r="I66" s="442">
        <f t="shared" si="16"/>
        <v>19761.96</v>
      </c>
      <c r="J66" s="544">
        <f t="shared" si="17"/>
        <v>0.24640000000000001</v>
      </c>
      <c r="K66" s="442">
        <f t="shared" si="2"/>
        <v>653.35</v>
      </c>
      <c r="L66" s="442">
        <f t="shared" si="18"/>
        <v>24631.29</v>
      </c>
    </row>
    <row r="67" spans="2:12" x14ac:dyDescent="0.25">
      <c r="B67" s="443" t="s">
        <v>1243</v>
      </c>
      <c r="C67" s="443" t="s">
        <v>1232</v>
      </c>
      <c r="D67" s="443" t="s">
        <v>1113</v>
      </c>
      <c r="E67" s="441" t="s">
        <v>277</v>
      </c>
      <c r="F67" s="437" t="s">
        <v>45</v>
      </c>
      <c r="G67" s="442">
        <v>37.700000000000003</v>
      </c>
      <c r="H67" s="442">
        <v>52.04</v>
      </c>
      <c r="I67" s="442">
        <f t="shared" si="16"/>
        <v>1961.9</v>
      </c>
      <c r="J67" s="544">
        <f t="shared" si="17"/>
        <v>0.24640000000000001</v>
      </c>
      <c r="K67" s="442">
        <f t="shared" si="2"/>
        <v>64.86</v>
      </c>
      <c r="L67" s="442">
        <f t="shared" si="18"/>
        <v>2445.2199999999998</v>
      </c>
    </row>
    <row r="68" spans="2:12" ht="25.5" x14ac:dyDescent="0.25">
      <c r="B68" s="443" t="s">
        <v>1244</v>
      </c>
      <c r="C68" s="443" t="s">
        <v>1245</v>
      </c>
      <c r="D68" s="443" t="s">
        <v>1168</v>
      </c>
      <c r="E68" s="441" t="s">
        <v>292</v>
      </c>
      <c r="F68" s="437" t="s">
        <v>38</v>
      </c>
      <c r="G68" s="442">
        <v>20</v>
      </c>
      <c r="H68" s="442">
        <v>14.54</v>
      </c>
      <c r="I68" s="442">
        <f t="shared" si="16"/>
        <v>290.8</v>
      </c>
      <c r="J68" s="544">
        <f t="shared" si="17"/>
        <v>0.24640000000000001</v>
      </c>
      <c r="K68" s="442">
        <f t="shared" si="2"/>
        <v>18.12</v>
      </c>
      <c r="L68" s="442">
        <f t="shared" si="18"/>
        <v>362.4</v>
      </c>
    </row>
    <row r="69" spans="2:12" x14ac:dyDescent="0.25">
      <c r="B69" s="439" t="s">
        <v>1246</v>
      </c>
      <c r="C69" s="439"/>
      <c r="D69" s="439"/>
      <c r="E69" s="438" t="s">
        <v>50</v>
      </c>
      <c r="F69" s="440"/>
      <c r="G69" s="440"/>
      <c r="H69" s="438"/>
      <c r="I69" s="440">
        <f>SUBTOTAL(9,I70:I77)</f>
        <v>39179.96</v>
      </c>
      <c r="J69" s="438"/>
      <c r="K69" s="440">
        <f t="shared" si="2"/>
        <v>0</v>
      </c>
      <c r="L69" s="440">
        <f>SUBTOTAL(9,L70:L77)</f>
        <v>48828.099999999991</v>
      </c>
    </row>
    <row r="70" spans="2:12" ht="25.5" x14ac:dyDescent="0.25">
      <c r="B70" s="443" t="s">
        <v>1247</v>
      </c>
      <c r="C70" s="443" t="s">
        <v>1217</v>
      </c>
      <c r="D70" s="443" t="s">
        <v>1113</v>
      </c>
      <c r="E70" s="441" t="s">
        <v>254</v>
      </c>
      <c r="F70" s="437" t="s">
        <v>45</v>
      </c>
      <c r="G70" s="442">
        <v>1.84</v>
      </c>
      <c r="H70" s="442">
        <v>477.34</v>
      </c>
      <c r="I70" s="442">
        <f t="shared" ref="I70:I77" si="19">TRUNC(G70 * H70, 2)</f>
        <v>878.3</v>
      </c>
      <c r="J70" s="544">
        <f t="shared" ref="J70:J77" si="20">+$L$5</f>
        <v>0.24640000000000001</v>
      </c>
      <c r="K70" s="442">
        <f t="shared" si="2"/>
        <v>594.95000000000005</v>
      </c>
      <c r="L70" s="442">
        <f t="shared" ref="L70:L77" si="21">TRUNC(G70 * K70, 2)</f>
        <v>1094.7</v>
      </c>
    </row>
    <row r="71" spans="2:12" x14ac:dyDescent="0.25">
      <c r="B71" s="443" t="s">
        <v>1248</v>
      </c>
      <c r="C71" s="443" t="s">
        <v>1219</v>
      </c>
      <c r="D71" s="443" t="s">
        <v>1113</v>
      </c>
      <c r="E71" s="441" t="s">
        <v>257</v>
      </c>
      <c r="F71" s="437" t="s">
        <v>19</v>
      </c>
      <c r="G71" s="442">
        <v>114.02</v>
      </c>
      <c r="H71" s="442">
        <v>79.489999999999995</v>
      </c>
      <c r="I71" s="442">
        <f t="shared" si="19"/>
        <v>9063.44</v>
      </c>
      <c r="J71" s="544">
        <f t="shared" si="20"/>
        <v>0.24640000000000001</v>
      </c>
      <c r="K71" s="442">
        <f t="shared" si="2"/>
        <v>99.07</v>
      </c>
      <c r="L71" s="442">
        <f t="shared" si="21"/>
        <v>11295.96</v>
      </c>
    </row>
    <row r="72" spans="2:12" x14ac:dyDescent="0.25">
      <c r="B72" s="443" t="s">
        <v>1249</v>
      </c>
      <c r="C72" s="443" t="s">
        <v>1221</v>
      </c>
      <c r="D72" s="443" t="s">
        <v>1113</v>
      </c>
      <c r="E72" s="441" t="s">
        <v>259</v>
      </c>
      <c r="F72" s="437" t="s">
        <v>1222</v>
      </c>
      <c r="G72" s="442">
        <v>157</v>
      </c>
      <c r="H72" s="442">
        <v>11.04</v>
      </c>
      <c r="I72" s="442">
        <f t="shared" si="19"/>
        <v>1733.28</v>
      </c>
      <c r="J72" s="544">
        <f t="shared" si="20"/>
        <v>0.24640000000000001</v>
      </c>
      <c r="K72" s="442">
        <f t="shared" si="2"/>
        <v>13.76</v>
      </c>
      <c r="L72" s="442">
        <f t="shared" si="21"/>
        <v>2160.3200000000002</v>
      </c>
    </row>
    <row r="73" spans="2:12" x14ac:dyDescent="0.25">
      <c r="B73" s="443" t="s">
        <v>1250</v>
      </c>
      <c r="C73" s="443" t="s">
        <v>1224</v>
      </c>
      <c r="D73" s="443" t="s">
        <v>1113</v>
      </c>
      <c r="E73" s="441" t="s">
        <v>261</v>
      </c>
      <c r="F73" s="437" t="s">
        <v>1222</v>
      </c>
      <c r="G73" s="442">
        <v>42.83</v>
      </c>
      <c r="H73" s="442">
        <v>10.97</v>
      </c>
      <c r="I73" s="442">
        <f t="shared" si="19"/>
        <v>469.84</v>
      </c>
      <c r="J73" s="544">
        <f t="shared" si="20"/>
        <v>0.24640000000000001</v>
      </c>
      <c r="K73" s="442">
        <f t="shared" si="2"/>
        <v>13.67</v>
      </c>
      <c r="L73" s="442">
        <f t="shared" si="21"/>
        <v>585.48</v>
      </c>
    </row>
    <row r="74" spans="2:12" x14ac:dyDescent="0.25">
      <c r="B74" s="443" t="s">
        <v>1251</v>
      </c>
      <c r="C74" s="443" t="s">
        <v>1241</v>
      </c>
      <c r="D74" s="443" t="s">
        <v>1113</v>
      </c>
      <c r="E74" s="441" t="s">
        <v>275</v>
      </c>
      <c r="F74" s="437" t="s">
        <v>1222</v>
      </c>
      <c r="G74" s="442">
        <v>534.63</v>
      </c>
      <c r="H74" s="442">
        <v>11.4</v>
      </c>
      <c r="I74" s="442">
        <f t="shared" si="19"/>
        <v>6094.78</v>
      </c>
      <c r="J74" s="544">
        <f t="shared" si="20"/>
        <v>0.24640000000000001</v>
      </c>
      <c r="K74" s="442">
        <f t="shared" si="2"/>
        <v>14.2</v>
      </c>
      <c r="L74" s="442">
        <f t="shared" si="21"/>
        <v>7591.74</v>
      </c>
    </row>
    <row r="75" spans="2:12" x14ac:dyDescent="0.25">
      <c r="B75" s="443" t="s">
        <v>1252</v>
      </c>
      <c r="C75" s="443" t="s">
        <v>1230</v>
      </c>
      <c r="D75" s="443" t="s">
        <v>1113</v>
      </c>
      <c r="E75" s="441" t="s">
        <v>268</v>
      </c>
      <c r="F75" s="437" t="s">
        <v>45</v>
      </c>
      <c r="G75" s="442">
        <v>33.75</v>
      </c>
      <c r="H75" s="442">
        <v>524.19000000000005</v>
      </c>
      <c r="I75" s="442">
        <f t="shared" si="19"/>
        <v>17691.41</v>
      </c>
      <c r="J75" s="544">
        <f t="shared" si="20"/>
        <v>0.24640000000000001</v>
      </c>
      <c r="K75" s="442">
        <f t="shared" ref="K75:K138" si="22">TRUNC(H75 * (1 + J75), 2)</f>
        <v>653.35</v>
      </c>
      <c r="L75" s="442">
        <f t="shared" si="21"/>
        <v>22050.560000000001</v>
      </c>
    </row>
    <row r="76" spans="2:12" x14ac:dyDescent="0.25">
      <c r="B76" s="443" t="s">
        <v>1253</v>
      </c>
      <c r="C76" s="443" t="s">
        <v>1232</v>
      </c>
      <c r="D76" s="443" t="s">
        <v>1113</v>
      </c>
      <c r="E76" s="441" t="s">
        <v>277</v>
      </c>
      <c r="F76" s="437" t="s">
        <v>45</v>
      </c>
      <c r="G76" s="442">
        <v>33.75</v>
      </c>
      <c r="H76" s="442">
        <v>52.04</v>
      </c>
      <c r="I76" s="442">
        <f t="shared" si="19"/>
        <v>1756.35</v>
      </c>
      <c r="J76" s="544">
        <f t="shared" si="20"/>
        <v>0.24640000000000001</v>
      </c>
      <c r="K76" s="442">
        <f t="shared" si="22"/>
        <v>64.86</v>
      </c>
      <c r="L76" s="442">
        <f t="shared" si="21"/>
        <v>2189.02</v>
      </c>
    </row>
    <row r="77" spans="2:12" ht="25.5" x14ac:dyDescent="0.25">
      <c r="B77" s="443" t="s">
        <v>1254</v>
      </c>
      <c r="C77" s="443" t="s">
        <v>1255</v>
      </c>
      <c r="D77" s="443" t="s">
        <v>1168</v>
      </c>
      <c r="E77" s="441" t="s">
        <v>1256</v>
      </c>
      <c r="F77" s="437" t="s">
        <v>45</v>
      </c>
      <c r="G77" s="442">
        <v>2.38</v>
      </c>
      <c r="H77" s="442">
        <v>627.13</v>
      </c>
      <c r="I77" s="442">
        <f t="shared" si="19"/>
        <v>1492.56</v>
      </c>
      <c r="J77" s="544">
        <f t="shared" si="20"/>
        <v>0.24640000000000001</v>
      </c>
      <c r="K77" s="442">
        <f t="shared" si="22"/>
        <v>781.65</v>
      </c>
      <c r="L77" s="442">
        <f t="shared" si="21"/>
        <v>1860.32</v>
      </c>
    </row>
    <row r="78" spans="2:12" x14ac:dyDescent="0.25">
      <c r="B78" s="439" t="s">
        <v>1257</v>
      </c>
      <c r="C78" s="439"/>
      <c r="D78" s="439"/>
      <c r="E78" s="438" t="s">
        <v>51</v>
      </c>
      <c r="F78" s="440"/>
      <c r="G78" s="440"/>
      <c r="H78" s="438"/>
      <c r="I78" s="440">
        <f>SUBTOTAL(9,I79:I92)</f>
        <v>154815.16</v>
      </c>
      <c r="J78" s="438"/>
      <c r="K78" s="440">
        <f t="shared" si="22"/>
        <v>0</v>
      </c>
      <c r="L78" s="440">
        <f>SUBTOTAL(9,L79:L92)</f>
        <v>192932.75</v>
      </c>
    </row>
    <row r="79" spans="2:12" x14ac:dyDescent="0.25">
      <c r="B79" s="439" t="s">
        <v>1258</v>
      </c>
      <c r="C79" s="439"/>
      <c r="D79" s="439"/>
      <c r="E79" s="438" t="s">
        <v>52</v>
      </c>
      <c r="F79" s="440"/>
      <c r="G79" s="440"/>
      <c r="H79" s="438"/>
      <c r="I79" s="440">
        <f>SUBTOTAL(9,I80:I80)</f>
        <v>19442.52</v>
      </c>
      <c r="J79" s="438"/>
      <c r="K79" s="440">
        <f t="shared" si="22"/>
        <v>0</v>
      </c>
      <c r="L79" s="440">
        <f>SUBTOTAL(9,L80:L80)</f>
        <v>24232.86</v>
      </c>
    </row>
    <row r="80" spans="2:12" ht="25.5" x14ac:dyDescent="0.25">
      <c r="B80" s="443" t="s">
        <v>1259</v>
      </c>
      <c r="C80" s="443" t="s">
        <v>1260</v>
      </c>
      <c r="D80" s="443" t="s">
        <v>1113</v>
      </c>
      <c r="E80" s="441" t="s">
        <v>296</v>
      </c>
      <c r="F80" s="437" t="s">
        <v>19</v>
      </c>
      <c r="G80" s="442">
        <v>92.8</v>
      </c>
      <c r="H80" s="442">
        <v>209.51</v>
      </c>
      <c r="I80" s="442">
        <f>TRUNC(G80 * H80, 2)</f>
        <v>19442.52</v>
      </c>
      <c r="J80" s="544">
        <f>+$L$5</f>
        <v>0.24640000000000001</v>
      </c>
      <c r="K80" s="442">
        <f t="shared" si="22"/>
        <v>261.13</v>
      </c>
      <c r="L80" s="442">
        <f>TRUNC(G80 * K80, 2)</f>
        <v>24232.86</v>
      </c>
    </row>
    <row r="81" spans="2:12" x14ac:dyDescent="0.25">
      <c r="B81" s="439" t="s">
        <v>1261</v>
      </c>
      <c r="C81" s="439"/>
      <c r="D81" s="439"/>
      <c r="E81" s="438" t="s">
        <v>53</v>
      </c>
      <c r="F81" s="440"/>
      <c r="G81" s="440"/>
      <c r="H81" s="438"/>
      <c r="I81" s="440">
        <f>SUBTOTAL(9,I82:I87)</f>
        <v>87707.920000000013</v>
      </c>
      <c r="J81" s="438"/>
      <c r="K81" s="440">
        <f t="shared" si="22"/>
        <v>0</v>
      </c>
      <c r="L81" s="440">
        <f>SUBTOTAL(9,L82:L87)</f>
        <v>109291.04</v>
      </c>
    </row>
    <row r="82" spans="2:12" x14ac:dyDescent="0.25">
      <c r="B82" s="443" t="s">
        <v>1262</v>
      </c>
      <c r="C82" s="443" t="s">
        <v>1263</v>
      </c>
      <c r="D82" s="443" t="s">
        <v>1113</v>
      </c>
      <c r="E82" s="441" t="s">
        <v>308</v>
      </c>
      <c r="F82" s="437" t="s">
        <v>1222</v>
      </c>
      <c r="G82" s="442">
        <v>23.99</v>
      </c>
      <c r="H82" s="442">
        <v>11.04</v>
      </c>
      <c r="I82" s="442">
        <f t="shared" ref="I82:I87" si="23">TRUNC(G82 * H82, 2)</f>
        <v>264.83999999999997</v>
      </c>
      <c r="J82" s="544">
        <f t="shared" ref="J82:J87" si="24">+$L$5</f>
        <v>0.24640000000000001</v>
      </c>
      <c r="K82" s="442">
        <f t="shared" si="22"/>
        <v>13.76</v>
      </c>
      <c r="L82" s="442">
        <f t="shared" ref="L82:L87" si="25">TRUNC(G82 * K82, 2)</f>
        <v>330.1</v>
      </c>
    </row>
    <row r="83" spans="2:12" x14ac:dyDescent="0.25">
      <c r="B83" s="443" t="s">
        <v>1264</v>
      </c>
      <c r="C83" s="443" t="s">
        <v>1265</v>
      </c>
      <c r="D83" s="443" t="s">
        <v>1113</v>
      </c>
      <c r="E83" s="441" t="s">
        <v>310</v>
      </c>
      <c r="F83" s="437" t="s">
        <v>1222</v>
      </c>
      <c r="G83" s="442">
        <v>694.95</v>
      </c>
      <c r="H83" s="442">
        <v>10.97</v>
      </c>
      <c r="I83" s="442">
        <f t="shared" si="23"/>
        <v>7623.6</v>
      </c>
      <c r="J83" s="544">
        <f t="shared" si="24"/>
        <v>0.24640000000000001</v>
      </c>
      <c r="K83" s="442">
        <f t="shared" si="22"/>
        <v>13.67</v>
      </c>
      <c r="L83" s="442">
        <f t="shared" si="25"/>
        <v>9499.9599999999991</v>
      </c>
    </row>
    <row r="84" spans="2:12" x14ac:dyDescent="0.25">
      <c r="B84" s="443" t="s">
        <v>1266</v>
      </c>
      <c r="C84" s="443" t="s">
        <v>1267</v>
      </c>
      <c r="D84" s="443" t="s">
        <v>1113</v>
      </c>
      <c r="E84" s="441" t="s">
        <v>263</v>
      </c>
      <c r="F84" s="437" t="s">
        <v>1222</v>
      </c>
      <c r="G84" s="442">
        <v>96.62</v>
      </c>
      <c r="H84" s="442">
        <v>10.76</v>
      </c>
      <c r="I84" s="442">
        <f t="shared" si="23"/>
        <v>1039.6300000000001</v>
      </c>
      <c r="J84" s="544">
        <f t="shared" si="24"/>
        <v>0.24640000000000001</v>
      </c>
      <c r="K84" s="442">
        <f t="shared" si="22"/>
        <v>13.41</v>
      </c>
      <c r="L84" s="442">
        <f t="shared" si="25"/>
        <v>1295.67</v>
      </c>
    </row>
    <row r="85" spans="2:12" x14ac:dyDescent="0.25">
      <c r="B85" s="443" t="s">
        <v>1268</v>
      </c>
      <c r="C85" s="443" t="s">
        <v>1269</v>
      </c>
      <c r="D85" s="443" t="s">
        <v>1113</v>
      </c>
      <c r="E85" s="441" t="s">
        <v>314</v>
      </c>
      <c r="F85" s="437" t="s">
        <v>1222</v>
      </c>
      <c r="G85" s="442">
        <v>6101.94</v>
      </c>
      <c r="H85" s="442">
        <v>11.38</v>
      </c>
      <c r="I85" s="442">
        <f t="shared" si="23"/>
        <v>69440.070000000007</v>
      </c>
      <c r="J85" s="544">
        <f t="shared" si="24"/>
        <v>0.24640000000000001</v>
      </c>
      <c r="K85" s="442">
        <f t="shared" si="22"/>
        <v>14.18</v>
      </c>
      <c r="L85" s="442">
        <f t="shared" si="25"/>
        <v>86525.5</v>
      </c>
    </row>
    <row r="86" spans="2:12" x14ac:dyDescent="0.25">
      <c r="B86" s="443" t="s">
        <v>1270</v>
      </c>
      <c r="C86" s="443" t="s">
        <v>1271</v>
      </c>
      <c r="D86" s="443" t="s">
        <v>1113</v>
      </c>
      <c r="E86" s="441" t="s">
        <v>1272</v>
      </c>
      <c r="F86" s="437" t="s">
        <v>1222</v>
      </c>
      <c r="G86" s="442">
        <v>819.92</v>
      </c>
      <c r="H86" s="442">
        <v>11.37</v>
      </c>
      <c r="I86" s="442">
        <f t="shared" si="23"/>
        <v>9322.49</v>
      </c>
      <c r="J86" s="544">
        <f t="shared" si="24"/>
        <v>0.24640000000000001</v>
      </c>
      <c r="K86" s="442">
        <f t="shared" si="22"/>
        <v>14.17</v>
      </c>
      <c r="L86" s="442">
        <f t="shared" si="25"/>
        <v>11618.26</v>
      </c>
    </row>
    <row r="87" spans="2:12" x14ac:dyDescent="0.25">
      <c r="B87" s="443" t="s">
        <v>1273</v>
      </c>
      <c r="C87" s="443" t="s">
        <v>1274</v>
      </c>
      <c r="D87" s="443" t="s">
        <v>1113</v>
      </c>
      <c r="E87" s="441" t="s">
        <v>300</v>
      </c>
      <c r="F87" s="437" t="s">
        <v>1222</v>
      </c>
      <c r="G87" s="442">
        <v>1.36</v>
      </c>
      <c r="H87" s="442">
        <v>12.72</v>
      </c>
      <c r="I87" s="442">
        <f t="shared" si="23"/>
        <v>17.29</v>
      </c>
      <c r="J87" s="544">
        <f t="shared" si="24"/>
        <v>0.24640000000000001</v>
      </c>
      <c r="K87" s="442">
        <f t="shared" si="22"/>
        <v>15.85</v>
      </c>
      <c r="L87" s="442">
        <f t="shared" si="25"/>
        <v>21.55</v>
      </c>
    </row>
    <row r="88" spans="2:12" x14ac:dyDescent="0.25">
      <c r="B88" s="439" t="s">
        <v>1275</v>
      </c>
      <c r="C88" s="439"/>
      <c r="D88" s="439"/>
      <c r="E88" s="438" t="s">
        <v>54</v>
      </c>
      <c r="F88" s="440"/>
      <c r="G88" s="440"/>
      <c r="H88" s="438"/>
      <c r="I88" s="440">
        <f>SUBTOTAL(9,I89:I90)</f>
        <v>47431.67</v>
      </c>
      <c r="J88" s="438"/>
      <c r="K88" s="440">
        <f t="shared" si="22"/>
        <v>0</v>
      </c>
      <c r="L88" s="440">
        <f>SUBTOTAL(9,L89:L90)</f>
        <v>59118.38</v>
      </c>
    </row>
    <row r="89" spans="2:12" x14ac:dyDescent="0.25">
      <c r="B89" s="443" t="s">
        <v>1276</v>
      </c>
      <c r="C89" s="443" t="s">
        <v>1277</v>
      </c>
      <c r="D89" s="443" t="s">
        <v>1113</v>
      </c>
      <c r="E89" s="441" t="s">
        <v>268</v>
      </c>
      <c r="F89" s="437" t="s">
        <v>45</v>
      </c>
      <c r="G89" s="442">
        <v>81.92</v>
      </c>
      <c r="H89" s="442">
        <v>524.19000000000005</v>
      </c>
      <c r="I89" s="442">
        <f t="shared" ref="I89:I90" si="26">TRUNC(G89 * H89, 2)</f>
        <v>42941.64</v>
      </c>
      <c r="J89" s="544">
        <f t="shared" ref="J89:J90" si="27">+$L$5</f>
        <v>0.24640000000000001</v>
      </c>
      <c r="K89" s="442">
        <f t="shared" si="22"/>
        <v>653.35</v>
      </c>
      <c r="L89" s="442">
        <f>TRUNC(G89 * K89, 2)</f>
        <v>53522.43</v>
      </c>
    </row>
    <row r="90" spans="2:12" x14ac:dyDescent="0.25">
      <c r="B90" s="443" t="s">
        <v>1278</v>
      </c>
      <c r="C90" s="443" t="s">
        <v>1279</v>
      </c>
      <c r="D90" s="443" t="s">
        <v>1113</v>
      </c>
      <c r="E90" s="441" t="s">
        <v>1280</v>
      </c>
      <c r="F90" s="437" t="s">
        <v>45</v>
      </c>
      <c r="G90" s="442">
        <v>81.92</v>
      </c>
      <c r="H90" s="442">
        <v>54.81</v>
      </c>
      <c r="I90" s="442">
        <f t="shared" si="26"/>
        <v>4490.03</v>
      </c>
      <c r="J90" s="544">
        <f t="shared" si="27"/>
        <v>0.24640000000000001</v>
      </c>
      <c r="K90" s="442">
        <f t="shared" si="22"/>
        <v>68.31</v>
      </c>
      <c r="L90" s="442">
        <f>TRUNC(G90 * K90, 2)</f>
        <v>5595.95</v>
      </c>
    </row>
    <row r="91" spans="2:12" x14ac:dyDescent="0.25">
      <c r="B91" s="439" t="s">
        <v>1281</v>
      </c>
      <c r="C91" s="439"/>
      <c r="D91" s="439"/>
      <c r="E91" s="438" t="s">
        <v>483</v>
      </c>
      <c r="F91" s="440"/>
      <c r="G91" s="440"/>
      <c r="H91" s="438"/>
      <c r="I91" s="440">
        <f>SUBTOTAL(9,I92:I92)</f>
        <v>233.05</v>
      </c>
      <c r="J91" s="438"/>
      <c r="K91" s="440">
        <f t="shared" si="22"/>
        <v>0</v>
      </c>
      <c r="L91" s="440">
        <f>SUBTOTAL(9,L92:L92)</f>
        <v>290.47000000000003</v>
      </c>
    </row>
    <row r="92" spans="2:12" ht="25.5" x14ac:dyDescent="0.25">
      <c r="B92" s="443" t="s">
        <v>1282</v>
      </c>
      <c r="C92" s="443" t="s">
        <v>1283</v>
      </c>
      <c r="D92" s="443" t="s">
        <v>1113</v>
      </c>
      <c r="E92" s="441" t="s">
        <v>911</v>
      </c>
      <c r="F92" s="437" t="s">
        <v>19</v>
      </c>
      <c r="G92" s="442">
        <v>1.89</v>
      </c>
      <c r="H92" s="442">
        <v>123.31</v>
      </c>
      <c r="I92" s="442">
        <f>TRUNC(G92 * H92, 2)</f>
        <v>233.05</v>
      </c>
      <c r="J92" s="544">
        <f>+$L$5</f>
        <v>0.24640000000000001</v>
      </c>
      <c r="K92" s="442">
        <f t="shared" si="22"/>
        <v>153.69</v>
      </c>
      <c r="L92" s="442">
        <f>TRUNC(G92 * K92, 2)</f>
        <v>290.47000000000003</v>
      </c>
    </row>
    <row r="93" spans="2:12" x14ac:dyDescent="0.25">
      <c r="B93" s="439" t="s">
        <v>1284</v>
      </c>
      <c r="C93" s="439"/>
      <c r="D93" s="439"/>
      <c r="E93" s="438" t="s">
        <v>844</v>
      </c>
      <c r="F93" s="440"/>
      <c r="G93" s="440"/>
      <c r="H93" s="438"/>
      <c r="I93" s="440">
        <f>SUBTOTAL(9,I94:I96)</f>
        <v>31804.09</v>
      </c>
      <c r="J93" s="438"/>
      <c r="K93" s="440">
        <f t="shared" si="22"/>
        <v>0</v>
      </c>
      <c r="L93" s="440">
        <f>SUBTOTAL(9,L94:L96)</f>
        <v>39639.520000000004</v>
      </c>
    </row>
    <row r="94" spans="2:12" x14ac:dyDescent="0.25">
      <c r="B94" s="443" t="s">
        <v>1285</v>
      </c>
      <c r="C94" s="443" t="s">
        <v>1286</v>
      </c>
      <c r="D94" s="443" t="s">
        <v>1113</v>
      </c>
      <c r="E94" s="441" t="s">
        <v>1287</v>
      </c>
      <c r="F94" s="437" t="s">
        <v>19</v>
      </c>
      <c r="G94" s="442">
        <v>21.86</v>
      </c>
      <c r="H94" s="442">
        <v>98.81</v>
      </c>
      <c r="I94" s="442">
        <f t="shared" ref="I94:I96" si="28">TRUNC(G94 * H94, 2)</f>
        <v>2159.98</v>
      </c>
      <c r="J94" s="544">
        <f t="shared" ref="J94:J96" si="29">+$L$5</f>
        <v>0.24640000000000001</v>
      </c>
      <c r="K94" s="442">
        <f t="shared" si="22"/>
        <v>123.15</v>
      </c>
      <c r="L94" s="442">
        <f>TRUNC(G94 * K94, 2)</f>
        <v>2692.05</v>
      </c>
    </row>
    <row r="95" spans="2:12" ht="51" x14ac:dyDescent="0.25">
      <c r="B95" s="443" t="s">
        <v>1288</v>
      </c>
      <c r="C95" s="443" t="s">
        <v>1289</v>
      </c>
      <c r="D95" s="443" t="s">
        <v>1168</v>
      </c>
      <c r="E95" s="441" t="s">
        <v>858</v>
      </c>
      <c r="F95" s="437" t="s">
        <v>19</v>
      </c>
      <c r="G95" s="442">
        <v>126.94</v>
      </c>
      <c r="H95" s="442">
        <v>229.98</v>
      </c>
      <c r="I95" s="442">
        <f t="shared" si="28"/>
        <v>29193.66</v>
      </c>
      <c r="J95" s="544">
        <f t="shared" si="29"/>
        <v>0.24640000000000001</v>
      </c>
      <c r="K95" s="442">
        <f t="shared" si="22"/>
        <v>286.64</v>
      </c>
      <c r="L95" s="442">
        <f>TRUNC(G95 * K95, 2)</f>
        <v>36386.080000000002</v>
      </c>
    </row>
    <row r="96" spans="2:12" x14ac:dyDescent="0.25">
      <c r="B96" s="443" t="s">
        <v>1290</v>
      </c>
      <c r="C96" s="443" t="s">
        <v>1291</v>
      </c>
      <c r="D96" s="443" t="s">
        <v>1113</v>
      </c>
      <c r="E96" s="441" t="s">
        <v>1292</v>
      </c>
      <c r="F96" s="437" t="s">
        <v>19</v>
      </c>
      <c r="G96" s="442">
        <v>6.3</v>
      </c>
      <c r="H96" s="442">
        <v>71.5</v>
      </c>
      <c r="I96" s="442">
        <f t="shared" si="28"/>
        <v>450.45</v>
      </c>
      <c r="J96" s="544">
        <f t="shared" si="29"/>
        <v>0.24640000000000001</v>
      </c>
      <c r="K96" s="442">
        <f t="shared" si="22"/>
        <v>89.11</v>
      </c>
      <c r="L96" s="442">
        <f>TRUNC(G96 * K96, 2)</f>
        <v>561.39</v>
      </c>
    </row>
    <row r="97" spans="2:12" x14ac:dyDescent="0.25">
      <c r="B97" s="439" t="s">
        <v>1293</v>
      </c>
      <c r="C97" s="439"/>
      <c r="D97" s="439"/>
      <c r="E97" s="438" t="s">
        <v>56</v>
      </c>
      <c r="F97" s="440"/>
      <c r="G97" s="440"/>
      <c r="H97" s="438"/>
      <c r="I97" s="440">
        <f>SUBTOTAL(9,I98:I104)</f>
        <v>12220.440000000002</v>
      </c>
      <c r="J97" s="438"/>
      <c r="K97" s="440">
        <f t="shared" si="22"/>
        <v>0</v>
      </c>
      <c r="L97" s="440">
        <f>SUBTOTAL(9,L98:L104)</f>
        <v>15231.449999999999</v>
      </c>
    </row>
    <row r="98" spans="2:12" x14ac:dyDescent="0.25">
      <c r="B98" s="439" t="s">
        <v>1294</v>
      </c>
      <c r="C98" s="439"/>
      <c r="D98" s="439"/>
      <c r="E98" s="438" t="s">
        <v>58</v>
      </c>
      <c r="F98" s="440"/>
      <c r="G98" s="440"/>
      <c r="H98" s="438"/>
      <c r="I98" s="440">
        <f>SUBTOTAL(9,I99:I104)</f>
        <v>12220.440000000002</v>
      </c>
      <c r="J98" s="438"/>
      <c r="K98" s="440">
        <f t="shared" si="22"/>
        <v>0</v>
      </c>
      <c r="L98" s="440">
        <f>SUBTOTAL(9,L99:L104)</f>
        <v>15231.449999999999</v>
      </c>
    </row>
    <row r="99" spans="2:12" x14ac:dyDescent="0.25">
      <c r="B99" s="443" t="s">
        <v>1295</v>
      </c>
      <c r="C99" s="443" t="s">
        <v>1296</v>
      </c>
      <c r="D99" s="443" t="s">
        <v>1168</v>
      </c>
      <c r="E99" s="441" t="s">
        <v>333</v>
      </c>
      <c r="F99" s="437" t="s">
        <v>19</v>
      </c>
      <c r="G99" s="442">
        <v>9.1199999999999992</v>
      </c>
      <c r="H99" s="442">
        <v>673.85</v>
      </c>
      <c r="I99" s="442">
        <f t="shared" ref="I99:I104" si="30">TRUNC(G99 * H99, 2)</f>
        <v>6145.51</v>
      </c>
      <c r="J99" s="544">
        <f t="shared" ref="J99:J104" si="31">+$L$5</f>
        <v>0.24640000000000001</v>
      </c>
      <c r="K99" s="442">
        <f t="shared" si="22"/>
        <v>839.88</v>
      </c>
      <c r="L99" s="442">
        <f t="shared" ref="L99:L104" si="32">TRUNC(G99 * K99, 2)</f>
        <v>7659.7</v>
      </c>
    </row>
    <row r="100" spans="2:12" x14ac:dyDescent="0.25">
      <c r="B100" s="443" t="s">
        <v>1297</v>
      </c>
      <c r="C100" s="443" t="s">
        <v>1298</v>
      </c>
      <c r="D100" s="443" t="s">
        <v>1113</v>
      </c>
      <c r="E100" s="441" t="s">
        <v>1299</v>
      </c>
      <c r="F100" s="437" t="s">
        <v>1141</v>
      </c>
      <c r="G100" s="442">
        <v>1</v>
      </c>
      <c r="H100" s="442">
        <v>38.97</v>
      </c>
      <c r="I100" s="442">
        <f t="shared" si="30"/>
        <v>38.97</v>
      </c>
      <c r="J100" s="544">
        <f t="shared" si="31"/>
        <v>0.24640000000000001</v>
      </c>
      <c r="K100" s="442">
        <f t="shared" si="22"/>
        <v>48.57</v>
      </c>
      <c r="L100" s="442">
        <f t="shared" si="32"/>
        <v>48.57</v>
      </c>
    </row>
    <row r="101" spans="2:12" x14ac:dyDescent="0.25">
      <c r="B101" s="443" t="s">
        <v>1300</v>
      </c>
      <c r="C101" s="443" t="s">
        <v>1301</v>
      </c>
      <c r="D101" s="443" t="s">
        <v>1113</v>
      </c>
      <c r="E101" s="441" t="s">
        <v>645</v>
      </c>
      <c r="F101" s="437" t="s">
        <v>41</v>
      </c>
      <c r="G101" s="442">
        <v>3.2</v>
      </c>
      <c r="H101" s="442">
        <v>387.15</v>
      </c>
      <c r="I101" s="442">
        <f t="shared" si="30"/>
        <v>1238.8800000000001</v>
      </c>
      <c r="J101" s="544">
        <f t="shared" si="31"/>
        <v>0.24640000000000001</v>
      </c>
      <c r="K101" s="442">
        <f t="shared" si="22"/>
        <v>482.54</v>
      </c>
      <c r="L101" s="442">
        <f t="shared" si="32"/>
        <v>1544.12</v>
      </c>
    </row>
    <row r="102" spans="2:12" x14ac:dyDescent="0.25">
      <c r="B102" s="443" t="s">
        <v>1302</v>
      </c>
      <c r="C102" s="443" t="s">
        <v>1303</v>
      </c>
      <c r="D102" s="443" t="s">
        <v>1113</v>
      </c>
      <c r="E102" s="441" t="s">
        <v>1304</v>
      </c>
      <c r="F102" s="437" t="s">
        <v>19</v>
      </c>
      <c r="G102" s="442">
        <v>7.4</v>
      </c>
      <c r="H102" s="442">
        <v>392.13</v>
      </c>
      <c r="I102" s="442">
        <f t="shared" si="30"/>
        <v>2901.76</v>
      </c>
      <c r="J102" s="544">
        <f t="shared" si="31"/>
        <v>0.24640000000000001</v>
      </c>
      <c r="K102" s="442">
        <f t="shared" si="22"/>
        <v>488.75</v>
      </c>
      <c r="L102" s="442">
        <f t="shared" si="32"/>
        <v>3616.75</v>
      </c>
    </row>
    <row r="103" spans="2:12" x14ac:dyDescent="0.25">
      <c r="B103" s="443" t="s">
        <v>1305</v>
      </c>
      <c r="C103" s="443" t="s">
        <v>1306</v>
      </c>
      <c r="D103" s="443" t="s">
        <v>1113</v>
      </c>
      <c r="E103" s="441" t="s">
        <v>1307</v>
      </c>
      <c r="F103" s="437" t="s">
        <v>19</v>
      </c>
      <c r="G103" s="442">
        <v>2.2200000000000002</v>
      </c>
      <c r="H103" s="442">
        <v>421.94</v>
      </c>
      <c r="I103" s="442">
        <f t="shared" si="30"/>
        <v>936.7</v>
      </c>
      <c r="J103" s="544">
        <f t="shared" si="31"/>
        <v>0.24640000000000001</v>
      </c>
      <c r="K103" s="442">
        <f t="shared" si="22"/>
        <v>525.9</v>
      </c>
      <c r="L103" s="442">
        <f t="shared" si="32"/>
        <v>1167.49</v>
      </c>
    </row>
    <row r="104" spans="2:12" x14ac:dyDescent="0.25">
      <c r="B104" s="443" t="s">
        <v>1308</v>
      </c>
      <c r="C104" s="443" t="s">
        <v>1309</v>
      </c>
      <c r="D104" s="443" t="s">
        <v>1113</v>
      </c>
      <c r="E104" s="441" t="s">
        <v>1310</v>
      </c>
      <c r="F104" s="437" t="s">
        <v>19</v>
      </c>
      <c r="G104" s="442">
        <v>1.8</v>
      </c>
      <c r="H104" s="442">
        <v>532.57000000000005</v>
      </c>
      <c r="I104" s="442">
        <f t="shared" si="30"/>
        <v>958.62</v>
      </c>
      <c r="J104" s="544">
        <f t="shared" si="31"/>
        <v>0.24640000000000001</v>
      </c>
      <c r="K104" s="442">
        <f t="shared" si="22"/>
        <v>663.79</v>
      </c>
      <c r="L104" s="442">
        <f t="shared" si="32"/>
        <v>1194.82</v>
      </c>
    </row>
    <row r="105" spans="2:12" x14ac:dyDescent="0.25">
      <c r="B105" s="439" t="s">
        <v>1311</v>
      </c>
      <c r="C105" s="439"/>
      <c r="D105" s="439"/>
      <c r="E105" s="438" t="s">
        <v>59</v>
      </c>
      <c r="F105" s="440"/>
      <c r="G105" s="440"/>
      <c r="H105" s="438"/>
      <c r="I105" s="440">
        <f>SUBTOTAL(9,I106:I110)</f>
        <v>240.85</v>
      </c>
      <c r="J105" s="438"/>
      <c r="K105" s="440">
        <f t="shared" si="22"/>
        <v>0</v>
      </c>
      <c r="L105" s="440">
        <f>SUBTOTAL(9,L106:L110)</f>
        <v>300.17</v>
      </c>
    </row>
    <row r="106" spans="2:12" x14ac:dyDescent="0.25">
      <c r="B106" s="439" t="s">
        <v>1312</v>
      </c>
      <c r="C106" s="439"/>
      <c r="D106" s="439"/>
      <c r="E106" s="438" t="s">
        <v>61</v>
      </c>
      <c r="F106" s="440"/>
      <c r="G106" s="440"/>
      <c r="H106" s="438"/>
      <c r="I106" s="440">
        <f>SUBTOTAL(9,I107:I108)</f>
        <v>83.19</v>
      </c>
      <c r="J106" s="438"/>
      <c r="K106" s="440">
        <f t="shared" si="22"/>
        <v>0</v>
      </c>
      <c r="L106" s="440">
        <f>SUBTOTAL(9,L107:L108)</f>
        <v>103.67</v>
      </c>
    </row>
    <row r="107" spans="2:12" x14ac:dyDescent="0.25">
      <c r="B107" s="443" t="s">
        <v>1313</v>
      </c>
      <c r="C107" s="443" t="s">
        <v>1314</v>
      </c>
      <c r="D107" s="443" t="s">
        <v>1113</v>
      </c>
      <c r="E107" s="441" t="s">
        <v>328</v>
      </c>
      <c r="F107" s="437" t="s">
        <v>19</v>
      </c>
      <c r="G107" s="442">
        <v>1.89</v>
      </c>
      <c r="H107" s="442">
        <v>22.79</v>
      </c>
      <c r="I107" s="442">
        <f t="shared" ref="I107:I108" si="33">TRUNC(G107 * H107, 2)</f>
        <v>43.07</v>
      </c>
      <c r="J107" s="544">
        <f t="shared" ref="J107:J108" si="34">+$L$5</f>
        <v>0.24640000000000001</v>
      </c>
      <c r="K107" s="442">
        <f t="shared" si="22"/>
        <v>28.4</v>
      </c>
      <c r="L107" s="442">
        <f>TRUNC(G107 * K107, 2)</f>
        <v>53.67</v>
      </c>
    </row>
    <row r="108" spans="2:12" x14ac:dyDescent="0.25">
      <c r="B108" s="443" t="s">
        <v>1315</v>
      </c>
      <c r="C108" s="443" t="s">
        <v>1316</v>
      </c>
      <c r="D108" s="443" t="s">
        <v>1113</v>
      </c>
      <c r="E108" s="441" t="s">
        <v>897</v>
      </c>
      <c r="F108" s="437" t="s">
        <v>19</v>
      </c>
      <c r="G108" s="442">
        <v>1.89</v>
      </c>
      <c r="H108" s="442">
        <v>21.23</v>
      </c>
      <c r="I108" s="442">
        <f t="shared" si="33"/>
        <v>40.119999999999997</v>
      </c>
      <c r="J108" s="544">
        <f t="shared" si="34"/>
        <v>0.24640000000000001</v>
      </c>
      <c r="K108" s="442">
        <f t="shared" si="22"/>
        <v>26.46</v>
      </c>
      <c r="L108" s="442">
        <f>TRUNC(G108 * K108, 2)</f>
        <v>50</v>
      </c>
    </row>
    <row r="109" spans="2:12" x14ac:dyDescent="0.25">
      <c r="B109" s="439" t="s">
        <v>1317</v>
      </c>
      <c r="C109" s="439"/>
      <c r="D109" s="439"/>
      <c r="E109" s="438" t="s">
        <v>63</v>
      </c>
      <c r="F109" s="440"/>
      <c r="G109" s="440"/>
      <c r="H109" s="438"/>
      <c r="I109" s="440">
        <f>SUBTOTAL(9,I110:I110)</f>
        <v>157.66</v>
      </c>
      <c r="J109" s="438"/>
      <c r="K109" s="440">
        <f t="shared" si="22"/>
        <v>0</v>
      </c>
      <c r="L109" s="440">
        <f>SUBTOTAL(9,L110:L110)</f>
        <v>196.5</v>
      </c>
    </row>
    <row r="110" spans="2:12" x14ac:dyDescent="0.25">
      <c r="B110" s="443" t="s">
        <v>1318</v>
      </c>
      <c r="C110" s="443" t="s">
        <v>1319</v>
      </c>
      <c r="D110" s="443" t="s">
        <v>1113</v>
      </c>
      <c r="E110" s="441" t="s">
        <v>1320</v>
      </c>
      <c r="F110" s="437" t="s">
        <v>19</v>
      </c>
      <c r="G110" s="442">
        <v>1.89</v>
      </c>
      <c r="H110" s="442">
        <v>83.42</v>
      </c>
      <c r="I110" s="442">
        <f>TRUNC(G110 * H110, 2)</f>
        <v>157.66</v>
      </c>
      <c r="J110" s="544">
        <f>+$L$5</f>
        <v>0.24640000000000001</v>
      </c>
      <c r="K110" s="442">
        <f t="shared" si="22"/>
        <v>103.97</v>
      </c>
      <c r="L110" s="442">
        <f>TRUNC(G110 * K110, 2)</f>
        <v>196.5</v>
      </c>
    </row>
    <row r="111" spans="2:12" x14ac:dyDescent="0.25">
      <c r="B111" s="439" t="s">
        <v>1321</v>
      </c>
      <c r="C111" s="439"/>
      <c r="D111" s="439"/>
      <c r="E111" s="438" t="s">
        <v>899</v>
      </c>
      <c r="F111" s="440"/>
      <c r="G111" s="440"/>
      <c r="H111" s="438"/>
      <c r="I111" s="440">
        <f>SUBTOTAL(9,I112:I117)</f>
        <v>2487.5</v>
      </c>
      <c r="J111" s="438"/>
      <c r="K111" s="440">
        <f t="shared" si="22"/>
        <v>0</v>
      </c>
      <c r="L111" s="440">
        <f>SUBTOTAL(9,L112:L117)</f>
        <v>3100.34</v>
      </c>
    </row>
    <row r="112" spans="2:12" x14ac:dyDescent="0.25">
      <c r="B112" s="439" t="s">
        <v>1322</v>
      </c>
      <c r="C112" s="439"/>
      <c r="D112" s="439"/>
      <c r="E112" s="438" t="s">
        <v>65</v>
      </c>
      <c r="F112" s="440"/>
      <c r="G112" s="440"/>
      <c r="H112" s="438"/>
      <c r="I112" s="440">
        <f>SUBTOTAL(9,I113:I115)</f>
        <v>555.23</v>
      </c>
      <c r="J112" s="438"/>
      <c r="K112" s="440">
        <f t="shared" si="22"/>
        <v>0</v>
      </c>
      <c r="L112" s="440">
        <f>SUBTOTAL(9,L113:L115)</f>
        <v>691.97</v>
      </c>
    </row>
    <row r="113" spans="2:12" x14ac:dyDescent="0.25">
      <c r="B113" s="443" t="s">
        <v>1323</v>
      </c>
      <c r="C113" s="443" t="s">
        <v>1324</v>
      </c>
      <c r="D113" s="443" t="s">
        <v>1113</v>
      </c>
      <c r="E113" s="441" t="s">
        <v>904</v>
      </c>
      <c r="F113" s="437" t="s">
        <v>19</v>
      </c>
      <c r="G113" s="442">
        <v>16.88</v>
      </c>
      <c r="H113" s="442">
        <v>6.05</v>
      </c>
      <c r="I113" s="442">
        <f t="shared" ref="I113:I115" si="35">TRUNC(G113 * H113, 2)</f>
        <v>102.12</v>
      </c>
      <c r="J113" s="544">
        <f t="shared" ref="J113:J117" si="36">+$L$5</f>
        <v>0.24640000000000001</v>
      </c>
      <c r="K113" s="442">
        <f t="shared" si="22"/>
        <v>7.54</v>
      </c>
      <c r="L113" s="442">
        <f>TRUNC(G113 * K113, 2)</f>
        <v>127.27</v>
      </c>
    </row>
    <row r="114" spans="2:12" x14ac:dyDescent="0.25">
      <c r="B114" s="443" t="s">
        <v>1325</v>
      </c>
      <c r="C114" s="443" t="s">
        <v>1326</v>
      </c>
      <c r="D114" s="443" t="s">
        <v>1113</v>
      </c>
      <c r="E114" s="441" t="s">
        <v>905</v>
      </c>
      <c r="F114" s="437" t="s">
        <v>19</v>
      </c>
      <c r="G114" s="442">
        <v>9.1999999999999993</v>
      </c>
      <c r="H114" s="442">
        <v>24.2</v>
      </c>
      <c r="I114" s="442">
        <f t="shared" si="35"/>
        <v>222.64</v>
      </c>
      <c r="J114" s="544">
        <f t="shared" si="36"/>
        <v>0.24640000000000001</v>
      </c>
      <c r="K114" s="442">
        <f t="shared" si="22"/>
        <v>30.16</v>
      </c>
      <c r="L114" s="442">
        <f>TRUNC(G114 * K114, 2)</f>
        <v>277.47000000000003</v>
      </c>
    </row>
    <row r="115" spans="2:12" x14ac:dyDescent="0.25">
      <c r="B115" s="443" t="s">
        <v>1327</v>
      </c>
      <c r="C115" s="443" t="s">
        <v>1328</v>
      </c>
      <c r="D115" s="443" t="s">
        <v>1113</v>
      </c>
      <c r="E115" s="441" t="s">
        <v>906</v>
      </c>
      <c r="F115" s="437" t="s">
        <v>19</v>
      </c>
      <c r="G115" s="442">
        <v>7.68</v>
      </c>
      <c r="H115" s="442">
        <v>30.01</v>
      </c>
      <c r="I115" s="442">
        <f t="shared" si="35"/>
        <v>230.47</v>
      </c>
      <c r="J115" s="544">
        <f t="shared" si="36"/>
        <v>0.24640000000000001</v>
      </c>
      <c r="K115" s="442">
        <f t="shared" si="22"/>
        <v>37.4</v>
      </c>
      <c r="L115" s="442">
        <f>TRUNC(G115 * K115, 2)</f>
        <v>287.23</v>
      </c>
    </row>
    <row r="116" spans="2:12" x14ac:dyDescent="0.25">
      <c r="B116" s="439" t="s">
        <v>1329</v>
      </c>
      <c r="C116" s="439"/>
      <c r="D116" s="439"/>
      <c r="E116" s="438" t="s">
        <v>67</v>
      </c>
      <c r="F116" s="440"/>
      <c r="G116" s="440"/>
      <c r="H116" s="438"/>
      <c r="I116" s="440">
        <f>SUBTOTAL(9,I117:I117)</f>
        <v>1932.27</v>
      </c>
      <c r="J116" s="438"/>
      <c r="K116" s="440">
        <f t="shared" si="22"/>
        <v>0</v>
      </c>
      <c r="L116" s="440">
        <f>SUBTOTAL(9,L117:L117)</f>
        <v>2408.37</v>
      </c>
    </row>
    <row r="117" spans="2:12" x14ac:dyDescent="0.25">
      <c r="B117" s="443" t="s">
        <v>1330</v>
      </c>
      <c r="C117" s="443" t="s">
        <v>1331</v>
      </c>
      <c r="D117" s="443" t="s">
        <v>1113</v>
      </c>
      <c r="E117" s="441" t="s">
        <v>907</v>
      </c>
      <c r="F117" s="437" t="s">
        <v>19</v>
      </c>
      <c r="G117" s="442">
        <v>9.1999999999999993</v>
      </c>
      <c r="H117" s="442">
        <v>210.03</v>
      </c>
      <c r="I117" s="442">
        <f>TRUNC(G117 * H117, 2)</f>
        <v>1932.27</v>
      </c>
      <c r="J117" s="544">
        <f t="shared" si="36"/>
        <v>0.24640000000000001</v>
      </c>
      <c r="K117" s="442">
        <f t="shared" si="22"/>
        <v>261.77999999999997</v>
      </c>
      <c r="L117" s="442">
        <f>TRUNC(G117 * K117, 2)</f>
        <v>2408.37</v>
      </c>
    </row>
    <row r="118" spans="2:12" x14ac:dyDescent="0.25">
      <c r="B118" s="439" t="s">
        <v>1332</v>
      </c>
      <c r="C118" s="439"/>
      <c r="D118" s="439"/>
      <c r="E118" s="438" t="s">
        <v>329</v>
      </c>
      <c r="F118" s="440"/>
      <c r="G118" s="440"/>
      <c r="H118" s="438"/>
      <c r="I118" s="440">
        <f>SUBTOTAL(9,I119:I125)</f>
        <v>69094.11</v>
      </c>
      <c r="J118" s="438"/>
      <c r="K118" s="440">
        <f t="shared" si="22"/>
        <v>0</v>
      </c>
      <c r="L118" s="440">
        <f>SUBTOTAL(9,L119:L125)</f>
        <v>86073.98</v>
      </c>
    </row>
    <row r="119" spans="2:12" x14ac:dyDescent="0.25">
      <c r="B119" s="439" t="s">
        <v>1333</v>
      </c>
      <c r="C119" s="439"/>
      <c r="D119" s="439"/>
      <c r="E119" s="438" t="s">
        <v>69</v>
      </c>
      <c r="F119" s="440"/>
      <c r="G119" s="440"/>
      <c r="H119" s="438"/>
      <c r="I119" s="440">
        <f>SUBTOTAL(9,I120:I122)</f>
        <v>8339.92</v>
      </c>
      <c r="J119" s="438"/>
      <c r="K119" s="440">
        <f t="shared" si="22"/>
        <v>0</v>
      </c>
      <c r="L119" s="440">
        <f>SUBTOTAL(9,L120:L122)</f>
        <v>10394.150000000001</v>
      </c>
    </row>
    <row r="120" spans="2:12" x14ac:dyDescent="0.25">
      <c r="B120" s="443" t="s">
        <v>1334</v>
      </c>
      <c r="C120" s="443" t="s">
        <v>1314</v>
      </c>
      <c r="D120" s="443" t="s">
        <v>1113</v>
      </c>
      <c r="E120" s="441" t="s">
        <v>328</v>
      </c>
      <c r="F120" s="437" t="s">
        <v>19</v>
      </c>
      <c r="G120" s="442">
        <v>7.04</v>
      </c>
      <c r="H120" s="442">
        <v>22.79</v>
      </c>
      <c r="I120" s="442">
        <f t="shared" ref="I120:I122" si="37">TRUNC(G120 * H120, 2)</f>
        <v>160.44</v>
      </c>
      <c r="J120" s="544">
        <f t="shared" ref="J120:J122" si="38">+$L$5</f>
        <v>0.24640000000000001</v>
      </c>
      <c r="K120" s="442">
        <f t="shared" si="22"/>
        <v>28.4</v>
      </c>
      <c r="L120" s="442">
        <f>TRUNC(G120 * K120, 2)</f>
        <v>199.93</v>
      </c>
    </row>
    <row r="121" spans="2:12" ht="25.5" x14ac:dyDescent="0.25">
      <c r="B121" s="443" t="s">
        <v>1335</v>
      </c>
      <c r="C121" s="443" t="s">
        <v>1336</v>
      </c>
      <c r="D121" s="443" t="s">
        <v>1113</v>
      </c>
      <c r="E121" s="441" t="s">
        <v>682</v>
      </c>
      <c r="F121" s="437" t="s">
        <v>19</v>
      </c>
      <c r="G121" s="442">
        <v>37.14</v>
      </c>
      <c r="H121" s="442">
        <v>88.79</v>
      </c>
      <c r="I121" s="442">
        <f t="shared" si="37"/>
        <v>3297.66</v>
      </c>
      <c r="J121" s="544">
        <f t="shared" si="38"/>
        <v>0.24640000000000001</v>
      </c>
      <c r="K121" s="442">
        <f t="shared" si="22"/>
        <v>110.66</v>
      </c>
      <c r="L121" s="442">
        <f>TRUNC(G121 * K121, 2)</f>
        <v>4109.91</v>
      </c>
    </row>
    <row r="122" spans="2:12" x14ac:dyDescent="0.25">
      <c r="B122" s="443" t="s">
        <v>1337</v>
      </c>
      <c r="C122" s="443" t="s">
        <v>1338</v>
      </c>
      <c r="D122" s="443" t="s">
        <v>1113</v>
      </c>
      <c r="E122" s="441" t="s">
        <v>1339</v>
      </c>
      <c r="F122" s="437" t="s">
        <v>19</v>
      </c>
      <c r="G122" s="442">
        <v>68.44</v>
      </c>
      <c r="H122" s="442">
        <v>71.33</v>
      </c>
      <c r="I122" s="442">
        <f t="shared" si="37"/>
        <v>4881.82</v>
      </c>
      <c r="J122" s="544">
        <f t="shared" si="38"/>
        <v>0.24640000000000001</v>
      </c>
      <c r="K122" s="442">
        <f t="shared" si="22"/>
        <v>88.9</v>
      </c>
      <c r="L122" s="442">
        <f>TRUNC(G122 * K122, 2)</f>
        <v>6084.31</v>
      </c>
    </row>
    <row r="123" spans="2:12" x14ac:dyDescent="0.25">
      <c r="B123" s="439" t="s">
        <v>1340</v>
      </c>
      <c r="C123" s="439"/>
      <c r="D123" s="439"/>
      <c r="E123" s="438" t="s">
        <v>748</v>
      </c>
      <c r="F123" s="440"/>
      <c r="G123" s="440"/>
      <c r="H123" s="438"/>
      <c r="I123" s="440">
        <f>SUBTOTAL(9,I124:I125)</f>
        <v>60754.189999999995</v>
      </c>
      <c r="J123" s="438"/>
      <c r="K123" s="440">
        <f t="shared" si="22"/>
        <v>0</v>
      </c>
      <c r="L123" s="440">
        <f>SUBTOTAL(9,L124:L125)</f>
        <v>75679.829999999987</v>
      </c>
    </row>
    <row r="124" spans="2:12" ht="25.5" x14ac:dyDescent="0.25">
      <c r="B124" s="443" t="s">
        <v>1341</v>
      </c>
      <c r="C124" s="443" t="s">
        <v>1342</v>
      </c>
      <c r="D124" s="443" t="s">
        <v>2721</v>
      </c>
      <c r="E124" s="441" t="s">
        <v>749</v>
      </c>
      <c r="F124" s="437" t="s">
        <v>19</v>
      </c>
      <c r="G124" s="442">
        <v>4835</v>
      </c>
      <c r="H124" s="442">
        <v>0.36</v>
      </c>
      <c r="I124" s="442">
        <f t="shared" ref="I124:I125" si="39">TRUNC(G124 * H124, 2)</f>
        <v>1740.6</v>
      </c>
      <c r="J124" s="544">
        <f t="shared" ref="J124:J125" si="40">+$L$5</f>
        <v>0.24640000000000001</v>
      </c>
      <c r="K124" s="442">
        <f t="shared" si="22"/>
        <v>0.44</v>
      </c>
      <c r="L124" s="442">
        <f>TRUNC(G124 * K124, 2)</f>
        <v>2127.4</v>
      </c>
    </row>
    <row r="125" spans="2:12" ht="25.5" x14ac:dyDescent="0.25">
      <c r="B125" s="443" t="s">
        <v>1343</v>
      </c>
      <c r="C125" s="443" t="s">
        <v>1344</v>
      </c>
      <c r="D125" s="443" t="s">
        <v>2721</v>
      </c>
      <c r="E125" s="441" t="s">
        <v>750</v>
      </c>
      <c r="F125" s="437" t="s">
        <v>45</v>
      </c>
      <c r="G125" s="442">
        <v>241.75</v>
      </c>
      <c r="H125" s="442">
        <v>244.11</v>
      </c>
      <c r="I125" s="442">
        <f t="shared" si="39"/>
        <v>59013.59</v>
      </c>
      <c r="J125" s="544">
        <f t="shared" si="40"/>
        <v>0.24640000000000001</v>
      </c>
      <c r="K125" s="442">
        <f t="shared" si="22"/>
        <v>304.25</v>
      </c>
      <c r="L125" s="442">
        <f>TRUNC(G125 * K125, 2)</f>
        <v>73552.429999999993</v>
      </c>
    </row>
    <row r="126" spans="2:12" x14ac:dyDescent="0.25">
      <c r="B126" s="439" t="s">
        <v>1345</v>
      </c>
      <c r="C126" s="439"/>
      <c r="D126" s="439"/>
      <c r="E126" s="438" t="s">
        <v>70</v>
      </c>
      <c r="F126" s="440"/>
      <c r="G126" s="440"/>
      <c r="H126" s="438"/>
      <c r="I126" s="440">
        <f>SUBTOTAL(9,I127:I131)</f>
        <v>1815.56</v>
      </c>
      <c r="J126" s="438"/>
      <c r="K126" s="440">
        <f t="shared" si="22"/>
        <v>0</v>
      </c>
      <c r="L126" s="440">
        <f>SUBTOTAL(9,L127:L131)</f>
        <v>2262.7799999999997</v>
      </c>
    </row>
    <row r="127" spans="2:12" x14ac:dyDescent="0.25">
      <c r="B127" s="439" t="s">
        <v>1346</v>
      </c>
      <c r="C127" s="439"/>
      <c r="D127" s="439"/>
      <c r="E127" s="438" t="s">
        <v>913</v>
      </c>
      <c r="F127" s="440"/>
      <c r="G127" s="440"/>
      <c r="H127" s="438"/>
      <c r="I127" s="440">
        <f>SUBTOTAL(9,I128:I129)</f>
        <v>199.20999999999998</v>
      </c>
      <c r="J127" s="438"/>
      <c r="K127" s="440">
        <f t="shared" si="22"/>
        <v>0</v>
      </c>
      <c r="L127" s="440">
        <f>SUBTOTAL(9,L128:L129)</f>
        <v>248.20999999999998</v>
      </c>
    </row>
    <row r="128" spans="2:12" x14ac:dyDescent="0.25">
      <c r="B128" s="443" t="s">
        <v>1347</v>
      </c>
      <c r="C128" s="443" t="s">
        <v>1348</v>
      </c>
      <c r="D128" s="443" t="s">
        <v>1113</v>
      </c>
      <c r="E128" s="441" t="s">
        <v>908</v>
      </c>
      <c r="F128" s="437" t="s">
        <v>19</v>
      </c>
      <c r="G128" s="442">
        <v>7.68</v>
      </c>
      <c r="H128" s="442">
        <v>12.63</v>
      </c>
      <c r="I128" s="442">
        <f t="shared" ref="I128:I129" si="41">TRUNC(G128 * H128, 2)</f>
        <v>96.99</v>
      </c>
      <c r="J128" s="544">
        <f t="shared" ref="J128:J129" si="42">+$L$5</f>
        <v>0.24640000000000001</v>
      </c>
      <c r="K128" s="442">
        <f t="shared" si="22"/>
        <v>15.74</v>
      </c>
      <c r="L128" s="442">
        <f>TRUNC(G128 * K128, 2)</f>
        <v>120.88</v>
      </c>
    </row>
    <row r="129" spans="2:12" x14ac:dyDescent="0.25">
      <c r="B129" s="443" t="s">
        <v>1349</v>
      </c>
      <c r="C129" s="443" t="s">
        <v>1350</v>
      </c>
      <c r="D129" s="443" t="s">
        <v>1113</v>
      </c>
      <c r="E129" s="441" t="s">
        <v>909</v>
      </c>
      <c r="F129" s="437" t="s">
        <v>19</v>
      </c>
      <c r="G129" s="442">
        <v>7.68</v>
      </c>
      <c r="H129" s="442">
        <v>13.31</v>
      </c>
      <c r="I129" s="442">
        <f t="shared" si="41"/>
        <v>102.22</v>
      </c>
      <c r="J129" s="544">
        <f t="shared" si="42"/>
        <v>0.24640000000000001</v>
      </c>
      <c r="K129" s="442">
        <f t="shared" si="22"/>
        <v>16.579999999999998</v>
      </c>
      <c r="L129" s="442">
        <f>TRUNC(G129 * K129, 2)</f>
        <v>127.33</v>
      </c>
    </row>
    <row r="130" spans="2:12" x14ac:dyDescent="0.25">
      <c r="B130" s="439" t="s">
        <v>1351</v>
      </c>
      <c r="C130" s="439"/>
      <c r="D130" s="439"/>
      <c r="E130" s="438" t="s">
        <v>1352</v>
      </c>
      <c r="F130" s="440"/>
      <c r="G130" s="440"/>
      <c r="H130" s="438"/>
      <c r="I130" s="440">
        <f>SUBTOTAL(9,I131:I131)</f>
        <v>1616.35</v>
      </c>
      <c r="J130" s="438"/>
      <c r="K130" s="440">
        <f t="shared" si="22"/>
        <v>0</v>
      </c>
      <c r="L130" s="440">
        <f>SUBTOTAL(9,L131:L131)</f>
        <v>2014.57</v>
      </c>
    </row>
    <row r="131" spans="2:12" x14ac:dyDescent="0.25">
      <c r="B131" s="443" t="s">
        <v>1353</v>
      </c>
      <c r="C131" s="443" t="s">
        <v>1354</v>
      </c>
      <c r="D131" s="443" t="s">
        <v>1113</v>
      </c>
      <c r="E131" s="441" t="s">
        <v>1355</v>
      </c>
      <c r="F131" s="437" t="s">
        <v>19</v>
      </c>
      <c r="G131" s="442">
        <v>61.74</v>
      </c>
      <c r="H131" s="442">
        <v>26.18</v>
      </c>
      <c r="I131" s="442">
        <f>TRUNC(G131 * H131, 2)</f>
        <v>1616.35</v>
      </c>
      <c r="J131" s="544">
        <f>+$L$5</f>
        <v>0.24640000000000001</v>
      </c>
      <c r="K131" s="442">
        <f t="shared" si="22"/>
        <v>32.630000000000003</v>
      </c>
      <c r="L131" s="442">
        <f>TRUNC(G131 * K131, 2)</f>
        <v>2014.57</v>
      </c>
    </row>
    <row r="132" spans="2:12" x14ac:dyDescent="0.25">
      <c r="B132" s="439" t="s">
        <v>1356</v>
      </c>
      <c r="C132" s="439"/>
      <c r="D132" s="439"/>
      <c r="E132" s="438" t="s">
        <v>73</v>
      </c>
      <c r="F132" s="440"/>
      <c r="G132" s="440"/>
      <c r="H132" s="438"/>
      <c r="I132" s="440">
        <f>SUBTOTAL(9,I133:I170)</f>
        <v>21704.329999999998</v>
      </c>
      <c r="J132" s="438"/>
      <c r="K132" s="440">
        <f t="shared" si="22"/>
        <v>0</v>
      </c>
      <c r="L132" s="440">
        <f>SUBTOTAL(9,L133:L170)</f>
        <v>27051.010000000002</v>
      </c>
    </row>
    <row r="133" spans="2:12" x14ac:dyDescent="0.25">
      <c r="B133" s="439" t="s">
        <v>1357</v>
      </c>
      <c r="C133" s="439"/>
      <c r="D133" s="439"/>
      <c r="E133" s="438" t="s">
        <v>427</v>
      </c>
      <c r="F133" s="440"/>
      <c r="G133" s="440"/>
      <c r="H133" s="438"/>
      <c r="I133" s="440">
        <f>SUBTOTAL(9,I134:I137)</f>
        <v>6034.75</v>
      </c>
      <c r="J133" s="438"/>
      <c r="K133" s="440">
        <f t="shared" si="22"/>
        <v>0</v>
      </c>
      <c r="L133" s="440">
        <f>SUBTOTAL(9,L134:L137)</f>
        <v>7520.9500000000007</v>
      </c>
    </row>
    <row r="134" spans="2:12" x14ac:dyDescent="0.25">
      <c r="B134" s="443" t="s">
        <v>1358</v>
      </c>
      <c r="C134" s="443" t="s">
        <v>1359</v>
      </c>
      <c r="D134" s="443" t="s">
        <v>1113</v>
      </c>
      <c r="E134" s="441" t="s">
        <v>1360</v>
      </c>
      <c r="F134" s="437" t="s">
        <v>130</v>
      </c>
      <c r="G134" s="442">
        <v>64.64</v>
      </c>
      <c r="H134" s="442">
        <v>12.3</v>
      </c>
      <c r="I134" s="442">
        <f t="shared" ref="I134:I137" si="43">TRUNC(G134 * H134, 2)</f>
        <v>795.07</v>
      </c>
      <c r="J134" s="544">
        <f t="shared" ref="J134:J137" si="44">+$L$5</f>
        <v>0.24640000000000001</v>
      </c>
      <c r="K134" s="442">
        <f t="shared" si="22"/>
        <v>15.33</v>
      </c>
      <c r="L134" s="442">
        <f>TRUNC(G134 * K134, 2)</f>
        <v>990.93</v>
      </c>
    </row>
    <row r="135" spans="2:12" x14ac:dyDescent="0.25">
      <c r="B135" s="443" t="s">
        <v>1361</v>
      </c>
      <c r="C135" s="443" t="s">
        <v>1362</v>
      </c>
      <c r="D135" s="443" t="s">
        <v>1113</v>
      </c>
      <c r="E135" s="441" t="s">
        <v>1363</v>
      </c>
      <c r="F135" s="437" t="s">
        <v>130</v>
      </c>
      <c r="G135" s="442">
        <v>56.4</v>
      </c>
      <c r="H135" s="442">
        <v>46.51</v>
      </c>
      <c r="I135" s="442">
        <f t="shared" si="43"/>
        <v>2623.16</v>
      </c>
      <c r="J135" s="544">
        <f t="shared" si="44"/>
        <v>0.24640000000000001</v>
      </c>
      <c r="K135" s="442">
        <f t="shared" si="22"/>
        <v>57.97</v>
      </c>
      <c r="L135" s="442">
        <f>TRUNC(G135 * K135, 2)</f>
        <v>3269.5</v>
      </c>
    </row>
    <row r="136" spans="2:12" x14ac:dyDescent="0.25">
      <c r="B136" s="443" t="s">
        <v>1364</v>
      </c>
      <c r="C136" s="443" t="s">
        <v>1365</v>
      </c>
      <c r="D136" s="443" t="s">
        <v>1113</v>
      </c>
      <c r="E136" s="441" t="s">
        <v>1366</v>
      </c>
      <c r="F136" s="437" t="s">
        <v>130</v>
      </c>
      <c r="G136" s="442">
        <v>370.69</v>
      </c>
      <c r="H136" s="442">
        <v>6.46</v>
      </c>
      <c r="I136" s="442">
        <f t="shared" si="43"/>
        <v>2394.65</v>
      </c>
      <c r="J136" s="544">
        <f t="shared" si="44"/>
        <v>0.24640000000000001</v>
      </c>
      <c r="K136" s="442">
        <f t="shared" si="22"/>
        <v>8.0500000000000007</v>
      </c>
      <c r="L136" s="442">
        <f>TRUNC(G136 * K136, 2)</f>
        <v>2984.05</v>
      </c>
    </row>
    <row r="137" spans="2:12" x14ac:dyDescent="0.25">
      <c r="B137" s="443" t="s">
        <v>1367</v>
      </c>
      <c r="C137" s="443" t="s">
        <v>1368</v>
      </c>
      <c r="D137" s="443" t="s">
        <v>1113</v>
      </c>
      <c r="E137" s="441" t="s">
        <v>1369</v>
      </c>
      <c r="F137" s="437" t="s">
        <v>130</v>
      </c>
      <c r="G137" s="442">
        <v>19.16</v>
      </c>
      <c r="H137" s="442">
        <v>11.58</v>
      </c>
      <c r="I137" s="442">
        <f t="shared" si="43"/>
        <v>221.87</v>
      </c>
      <c r="J137" s="544">
        <f t="shared" si="44"/>
        <v>0.24640000000000001</v>
      </c>
      <c r="K137" s="442">
        <f t="shared" si="22"/>
        <v>14.43</v>
      </c>
      <c r="L137" s="442">
        <f>TRUNC(G137 * K137, 2)</f>
        <v>276.47000000000003</v>
      </c>
    </row>
    <row r="138" spans="2:12" x14ac:dyDescent="0.25">
      <c r="B138" s="439" t="s">
        <v>1370</v>
      </c>
      <c r="C138" s="439"/>
      <c r="D138" s="439"/>
      <c r="E138" s="438" t="s">
        <v>428</v>
      </c>
      <c r="F138" s="440"/>
      <c r="G138" s="440"/>
      <c r="H138" s="438"/>
      <c r="I138" s="440">
        <f>SUBTOTAL(9,I139:I170)</f>
        <v>15669.580000000002</v>
      </c>
      <c r="J138" s="438"/>
      <c r="K138" s="440">
        <f t="shared" si="22"/>
        <v>0</v>
      </c>
      <c r="L138" s="440">
        <f>SUBTOTAL(9,L139:L170)</f>
        <v>19530.060000000001</v>
      </c>
    </row>
    <row r="139" spans="2:12" x14ac:dyDescent="0.25">
      <c r="B139" s="443" t="s">
        <v>1371</v>
      </c>
      <c r="C139" s="443" t="s">
        <v>1372</v>
      </c>
      <c r="D139" s="443" t="s">
        <v>1113</v>
      </c>
      <c r="E139" s="441" t="s">
        <v>1373</v>
      </c>
      <c r="F139" s="437" t="s">
        <v>1141</v>
      </c>
      <c r="G139" s="442">
        <v>5</v>
      </c>
      <c r="H139" s="442">
        <v>73.38</v>
      </c>
      <c r="I139" s="442">
        <f t="shared" ref="I139:I170" si="45">TRUNC(G139 * H139, 2)</f>
        <v>366.9</v>
      </c>
      <c r="J139" s="544">
        <f t="shared" ref="J139:J170" si="46">+$L$5</f>
        <v>0.24640000000000001</v>
      </c>
      <c r="K139" s="442">
        <f t="shared" ref="K139:K202" si="47">TRUNC(H139 * (1 + J139), 2)</f>
        <v>91.46</v>
      </c>
      <c r="L139" s="442">
        <f t="shared" ref="L139:L170" si="48">TRUNC(G139 * K139, 2)</f>
        <v>457.3</v>
      </c>
    </row>
    <row r="140" spans="2:12" x14ac:dyDescent="0.25">
      <c r="B140" s="443" t="s">
        <v>1374</v>
      </c>
      <c r="C140" s="443" t="s">
        <v>1375</v>
      </c>
      <c r="D140" s="443" t="s">
        <v>1113</v>
      </c>
      <c r="E140" s="441" t="s">
        <v>1376</v>
      </c>
      <c r="F140" s="437" t="s">
        <v>1141</v>
      </c>
      <c r="G140" s="442">
        <v>14</v>
      </c>
      <c r="H140" s="442">
        <v>6.89</v>
      </c>
      <c r="I140" s="442">
        <f t="shared" si="45"/>
        <v>96.46</v>
      </c>
      <c r="J140" s="544">
        <f t="shared" si="46"/>
        <v>0.24640000000000001</v>
      </c>
      <c r="K140" s="442">
        <f t="shared" si="47"/>
        <v>8.58</v>
      </c>
      <c r="L140" s="442">
        <f t="shared" si="48"/>
        <v>120.12</v>
      </c>
    </row>
    <row r="141" spans="2:12" x14ac:dyDescent="0.25">
      <c r="B141" s="443" t="s">
        <v>1377</v>
      </c>
      <c r="C141" s="443" t="s">
        <v>1378</v>
      </c>
      <c r="D141" s="443" t="s">
        <v>1113</v>
      </c>
      <c r="E141" s="441" t="s">
        <v>1379</v>
      </c>
      <c r="F141" s="437" t="s">
        <v>1141</v>
      </c>
      <c r="G141" s="442">
        <v>5</v>
      </c>
      <c r="H141" s="442">
        <v>14.89</v>
      </c>
      <c r="I141" s="442">
        <f t="shared" si="45"/>
        <v>74.45</v>
      </c>
      <c r="J141" s="544">
        <f t="shared" si="46"/>
        <v>0.24640000000000001</v>
      </c>
      <c r="K141" s="442">
        <f t="shared" si="47"/>
        <v>18.55</v>
      </c>
      <c r="L141" s="442">
        <f t="shared" si="48"/>
        <v>92.75</v>
      </c>
    </row>
    <row r="142" spans="2:12" x14ac:dyDescent="0.25">
      <c r="B142" s="443" t="s">
        <v>1380</v>
      </c>
      <c r="C142" s="443" t="s">
        <v>1381</v>
      </c>
      <c r="D142" s="443" t="s">
        <v>1113</v>
      </c>
      <c r="E142" s="441" t="s">
        <v>1382</v>
      </c>
      <c r="F142" s="437" t="s">
        <v>1141</v>
      </c>
      <c r="G142" s="442">
        <v>5</v>
      </c>
      <c r="H142" s="442">
        <v>7.44</v>
      </c>
      <c r="I142" s="442">
        <f t="shared" si="45"/>
        <v>37.200000000000003</v>
      </c>
      <c r="J142" s="544">
        <f t="shared" si="46"/>
        <v>0.24640000000000001</v>
      </c>
      <c r="K142" s="442">
        <f t="shared" si="47"/>
        <v>9.27</v>
      </c>
      <c r="L142" s="442">
        <f t="shared" si="48"/>
        <v>46.35</v>
      </c>
    </row>
    <row r="143" spans="2:12" x14ac:dyDescent="0.25">
      <c r="B143" s="443" t="s">
        <v>1383</v>
      </c>
      <c r="C143" s="443" t="s">
        <v>1384</v>
      </c>
      <c r="D143" s="443" t="s">
        <v>1113</v>
      </c>
      <c r="E143" s="441" t="s">
        <v>1385</v>
      </c>
      <c r="F143" s="437" t="s">
        <v>1222</v>
      </c>
      <c r="G143" s="442">
        <v>1</v>
      </c>
      <c r="H143" s="442">
        <v>51.7</v>
      </c>
      <c r="I143" s="442">
        <f t="shared" si="45"/>
        <v>51.7</v>
      </c>
      <c r="J143" s="544">
        <f t="shared" si="46"/>
        <v>0.24640000000000001</v>
      </c>
      <c r="K143" s="442">
        <f t="shared" si="47"/>
        <v>64.430000000000007</v>
      </c>
      <c r="L143" s="442">
        <f t="shared" si="48"/>
        <v>64.430000000000007</v>
      </c>
    </row>
    <row r="144" spans="2:12" x14ac:dyDescent="0.25">
      <c r="B144" s="443" t="s">
        <v>1386</v>
      </c>
      <c r="C144" s="443" t="s">
        <v>1387</v>
      </c>
      <c r="D144" s="443" t="s">
        <v>1113</v>
      </c>
      <c r="E144" s="441" t="s">
        <v>1388</v>
      </c>
      <c r="F144" s="437" t="s">
        <v>1141</v>
      </c>
      <c r="G144" s="442">
        <v>16</v>
      </c>
      <c r="H144" s="442">
        <v>2.81</v>
      </c>
      <c r="I144" s="442">
        <f t="shared" si="45"/>
        <v>44.96</v>
      </c>
      <c r="J144" s="544">
        <f t="shared" si="46"/>
        <v>0.24640000000000001</v>
      </c>
      <c r="K144" s="442">
        <f t="shared" si="47"/>
        <v>3.5</v>
      </c>
      <c r="L144" s="442">
        <f t="shared" si="48"/>
        <v>56</v>
      </c>
    </row>
    <row r="145" spans="2:12" ht="25.5" x14ac:dyDescent="0.25">
      <c r="B145" s="443" t="s">
        <v>1389</v>
      </c>
      <c r="C145" s="443" t="s">
        <v>1390</v>
      </c>
      <c r="D145" s="443" t="s">
        <v>1168</v>
      </c>
      <c r="E145" s="441" t="s">
        <v>363</v>
      </c>
      <c r="F145" s="437" t="s">
        <v>38</v>
      </c>
      <c r="G145" s="442">
        <v>2</v>
      </c>
      <c r="H145" s="442">
        <v>27.61</v>
      </c>
      <c r="I145" s="442">
        <f t="shared" si="45"/>
        <v>55.22</v>
      </c>
      <c r="J145" s="544">
        <f t="shared" si="46"/>
        <v>0.24640000000000001</v>
      </c>
      <c r="K145" s="442">
        <f t="shared" si="47"/>
        <v>34.409999999999997</v>
      </c>
      <c r="L145" s="442">
        <f t="shared" si="48"/>
        <v>68.819999999999993</v>
      </c>
    </row>
    <row r="146" spans="2:12" ht="25.5" x14ac:dyDescent="0.25">
      <c r="B146" s="443" t="s">
        <v>1391</v>
      </c>
      <c r="C146" s="443" t="s">
        <v>1392</v>
      </c>
      <c r="D146" s="443" t="s">
        <v>1168</v>
      </c>
      <c r="E146" s="441" t="s">
        <v>365</v>
      </c>
      <c r="F146" s="437" t="s">
        <v>38</v>
      </c>
      <c r="G146" s="442">
        <v>1</v>
      </c>
      <c r="H146" s="442">
        <v>36.46</v>
      </c>
      <c r="I146" s="442">
        <f t="shared" si="45"/>
        <v>36.46</v>
      </c>
      <c r="J146" s="544">
        <f t="shared" si="46"/>
        <v>0.24640000000000001</v>
      </c>
      <c r="K146" s="442">
        <f t="shared" si="47"/>
        <v>45.44</v>
      </c>
      <c r="L146" s="442">
        <f t="shared" si="48"/>
        <v>45.44</v>
      </c>
    </row>
    <row r="147" spans="2:12" x14ac:dyDescent="0.25">
      <c r="B147" s="443" t="s">
        <v>1393</v>
      </c>
      <c r="C147" s="443" t="s">
        <v>1394</v>
      </c>
      <c r="D147" s="443" t="s">
        <v>1113</v>
      </c>
      <c r="E147" s="441" t="s">
        <v>1395</v>
      </c>
      <c r="F147" s="437" t="s">
        <v>1141</v>
      </c>
      <c r="G147" s="442">
        <v>11</v>
      </c>
      <c r="H147" s="442">
        <v>1.71</v>
      </c>
      <c r="I147" s="442">
        <f t="shared" si="45"/>
        <v>18.809999999999999</v>
      </c>
      <c r="J147" s="544">
        <f t="shared" si="46"/>
        <v>0.24640000000000001</v>
      </c>
      <c r="K147" s="442">
        <f t="shared" si="47"/>
        <v>2.13</v>
      </c>
      <c r="L147" s="442">
        <f t="shared" si="48"/>
        <v>23.43</v>
      </c>
    </row>
    <row r="148" spans="2:12" x14ac:dyDescent="0.25">
      <c r="B148" s="443" t="s">
        <v>1396</v>
      </c>
      <c r="C148" s="443" t="s">
        <v>1397</v>
      </c>
      <c r="D148" s="443" t="s">
        <v>1113</v>
      </c>
      <c r="E148" s="441" t="s">
        <v>1398</v>
      </c>
      <c r="F148" s="437" t="s">
        <v>1141</v>
      </c>
      <c r="G148" s="442">
        <v>1</v>
      </c>
      <c r="H148" s="442">
        <v>13.29</v>
      </c>
      <c r="I148" s="442">
        <f t="shared" si="45"/>
        <v>13.29</v>
      </c>
      <c r="J148" s="544">
        <f t="shared" si="46"/>
        <v>0.24640000000000001</v>
      </c>
      <c r="K148" s="442">
        <f t="shared" si="47"/>
        <v>16.559999999999999</v>
      </c>
      <c r="L148" s="442">
        <f t="shared" si="48"/>
        <v>16.559999999999999</v>
      </c>
    </row>
    <row r="149" spans="2:12" x14ac:dyDescent="0.25">
      <c r="B149" s="443" t="s">
        <v>1399</v>
      </c>
      <c r="C149" s="443" t="s">
        <v>1400</v>
      </c>
      <c r="D149" s="443" t="s">
        <v>1113</v>
      </c>
      <c r="E149" s="441" t="s">
        <v>1401</v>
      </c>
      <c r="F149" s="437" t="s">
        <v>1141</v>
      </c>
      <c r="G149" s="442">
        <v>1</v>
      </c>
      <c r="H149" s="442">
        <v>15.26</v>
      </c>
      <c r="I149" s="442">
        <f t="shared" si="45"/>
        <v>15.26</v>
      </c>
      <c r="J149" s="544">
        <f t="shared" si="46"/>
        <v>0.24640000000000001</v>
      </c>
      <c r="K149" s="442">
        <f t="shared" si="47"/>
        <v>19.02</v>
      </c>
      <c r="L149" s="442">
        <f t="shared" si="48"/>
        <v>19.02</v>
      </c>
    </row>
    <row r="150" spans="2:12" x14ac:dyDescent="0.25">
      <c r="B150" s="443" t="s">
        <v>1402</v>
      </c>
      <c r="C150" s="443" t="s">
        <v>1403</v>
      </c>
      <c r="D150" s="443" t="s">
        <v>1113</v>
      </c>
      <c r="E150" s="441" t="s">
        <v>1404</v>
      </c>
      <c r="F150" s="437" t="s">
        <v>1141</v>
      </c>
      <c r="G150" s="442">
        <v>1</v>
      </c>
      <c r="H150" s="442">
        <v>33.92</v>
      </c>
      <c r="I150" s="442">
        <f t="shared" si="45"/>
        <v>33.92</v>
      </c>
      <c r="J150" s="544">
        <f t="shared" si="46"/>
        <v>0.24640000000000001</v>
      </c>
      <c r="K150" s="442">
        <f t="shared" si="47"/>
        <v>42.27</v>
      </c>
      <c r="L150" s="442">
        <f t="shared" si="48"/>
        <v>42.27</v>
      </c>
    </row>
    <row r="151" spans="2:12" x14ac:dyDescent="0.25">
      <c r="B151" s="443" t="s">
        <v>1405</v>
      </c>
      <c r="C151" s="443" t="s">
        <v>1406</v>
      </c>
      <c r="D151" s="443" t="s">
        <v>1113</v>
      </c>
      <c r="E151" s="441" t="s">
        <v>1407</v>
      </c>
      <c r="F151" s="437" t="s">
        <v>1141</v>
      </c>
      <c r="G151" s="442">
        <v>1</v>
      </c>
      <c r="H151" s="442">
        <v>1179</v>
      </c>
      <c r="I151" s="442">
        <f t="shared" si="45"/>
        <v>1179</v>
      </c>
      <c r="J151" s="544">
        <f t="shared" si="46"/>
        <v>0.24640000000000001</v>
      </c>
      <c r="K151" s="442">
        <f t="shared" si="47"/>
        <v>1469.5</v>
      </c>
      <c r="L151" s="442">
        <f t="shared" si="48"/>
        <v>1469.5</v>
      </c>
    </row>
    <row r="152" spans="2:12" x14ac:dyDescent="0.25">
      <c r="B152" s="443" t="s">
        <v>1408</v>
      </c>
      <c r="C152" s="443" t="s">
        <v>1409</v>
      </c>
      <c r="D152" s="443" t="s">
        <v>1113</v>
      </c>
      <c r="E152" s="441" t="s">
        <v>1410</v>
      </c>
      <c r="F152" s="437" t="s">
        <v>1141</v>
      </c>
      <c r="G152" s="442">
        <v>3</v>
      </c>
      <c r="H152" s="442">
        <v>13.65</v>
      </c>
      <c r="I152" s="442">
        <f t="shared" si="45"/>
        <v>40.950000000000003</v>
      </c>
      <c r="J152" s="544">
        <f t="shared" si="46"/>
        <v>0.24640000000000001</v>
      </c>
      <c r="K152" s="442">
        <f t="shared" si="47"/>
        <v>17.010000000000002</v>
      </c>
      <c r="L152" s="442">
        <f t="shared" si="48"/>
        <v>51.03</v>
      </c>
    </row>
    <row r="153" spans="2:12" x14ac:dyDescent="0.25">
      <c r="B153" s="443" t="s">
        <v>1411</v>
      </c>
      <c r="C153" s="443" t="s">
        <v>1412</v>
      </c>
      <c r="D153" s="443" t="s">
        <v>1113</v>
      </c>
      <c r="E153" s="441" t="s">
        <v>1413</v>
      </c>
      <c r="F153" s="437" t="s">
        <v>1414</v>
      </c>
      <c r="G153" s="442">
        <v>1</v>
      </c>
      <c r="H153" s="442">
        <v>3.21</v>
      </c>
      <c r="I153" s="442">
        <f t="shared" si="45"/>
        <v>3.21</v>
      </c>
      <c r="J153" s="544">
        <f t="shared" si="46"/>
        <v>0.24640000000000001</v>
      </c>
      <c r="K153" s="442">
        <f t="shared" si="47"/>
        <v>4</v>
      </c>
      <c r="L153" s="442">
        <f t="shared" si="48"/>
        <v>4</v>
      </c>
    </row>
    <row r="154" spans="2:12" x14ac:dyDescent="0.25">
      <c r="B154" s="443" t="s">
        <v>1415</v>
      </c>
      <c r="C154" s="443" t="s">
        <v>1416</v>
      </c>
      <c r="D154" s="443" t="s">
        <v>1113</v>
      </c>
      <c r="E154" s="441" t="s">
        <v>1417</v>
      </c>
      <c r="F154" s="437" t="s">
        <v>1141</v>
      </c>
      <c r="G154" s="442">
        <v>6</v>
      </c>
      <c r="H154" s="442">
        <v>17.89</v>
      </c>
      <c r="I154" s="442">
        <f t="shared" si="45"/>
        <v>107.34</v>
      </c>
      <c r="J154" s="544">
        <f t="shared" si="46"/>
        <v>0.24640000000000001</v>
      </c>
      <c r="K154" s="442">
        <f t="shared" si="47"/>
        <v>22.29</v>
      </c>
      <c r="L154" s="442">
        <f t="shared" si="48"/>
        <v>133.74</v>
      </c>
    </row>
    <row r="155" spans="2:12" x14ac:dyDescent="0.25">
      <c r="B155" s="443" t="s">
        <v>1418</v>
      </c>
      <c r="C155" s="443" t="s">
        <v>1419</v>
      </c>
      <c r="D155" s="443" t="s">
        <v>1113</v>
      </c>
      <c r="E155" s="441" t="s">
        <v>1420</v>
      </c>
      <c r="F155" s="437" t="s">
        <v>1141</v>
      </c>
      <c r="G155" s="442">
        <v>1</v>
      </c>
      <c r="H155" s="442">
        <v>9.39</v>
      </c>
      <c r="I155" s="442">
        <f t="shared" si="45"/>
        <v>9.39</v>
      </c>
      <c r="J155" s="544">
        <f t="shared" si="46"/>
        <v>0.24640000000000001</v>
      </c>
      <c r="K155" s="442">
        <f t="shared" si="47"/>
        <v>11.7</v>
      </c>
      <c r="L155" s="442">
        <f t="shared" si="48"/>
        <v>11.7</v>
      </c>
    </row>
    <row r="156" spans="2:12" x14ac:dyDescent="0.25">
      <c r="B156" s="443" t="s">
        <v>1421</v>
      </c>
      <c r="C156" s="443" t="s">
        <v>1422</v>
      </c>
      <c r="D156" s="443" t="s">
        <v>1113</v>
      </c>
      <c r="E156" s="441" t="s">
        <v>409</v>
      </c>
      <c r="F156" s="437" t="s">
        <v>1141</v>
      </c>
      <c r="G156" s="442">
        <v>1</v>
      </c>
      <c r="H156" s="442">
        <v>7.29</v>
      </c>
      <c r="I156" s="442">
        <f t="shared" si="45"/>
        <v>7.29</v>
      </c>
      <c r="J156" s="544">
        <f t="shared" si="46"/>
        <v>0.24640000000000001</v>
      </c>
      <c r="K156" s="442">
        <f t="shared" si="47"/>
        <v>9.08</v>
      </c>
      <c r="L156" s="442">
        <f t="shared" si="48"/>
        <v>9.08</v>
      </c>
    </row>
    <row r="157" spans="2:12" ht="38.25" x14ac:dyDescent="0.25">
      <c r="B157" s="443" t="s">
        <v>1423</v>
      </c>
      <c r="C157" s="443" t="s">
        <v>1424</v>
      </c>
      <c r="D157" s="443" t="s">
        <v>1168</v>
      </c>
      <c r="E157" s="441" t="s">
        <v>414</v>
      </c>
      <c r="F157" s="437" t="s">
        <v>38</v>
      </c>
      <c r="G157" s="442">
        <v>1</v>
      </c>
      <c r="H157" s="442">
        <v>156.91999999999999</v>
      </c>
      <c r="I157" s="442">
        <f t="shared" si="45"/>
        <v>156.91999999999999</v>
      </c>
      <c r="J157" s="544">
        <f t="shared" si="46"/>
        <v>0.24640000000000001</v>
      </c>
      <c r="K157" s="442">
        <f t="shared" si="47"/>
        <v>195.58</v>
      </c>
      <c r="L157" s="442">
        <f t="shared" si="48"/>
        <v>195.58</v>
      </c>
    </row>
    <row r="158" spans="2:12" x14ac:dyDescent="0.25">
      <c r="B158" s="443" t="s">
        <v>1425</v>
      </c>
      <c r="C158" s="443" t="s">
        <v>1426</v>
      </c>
      <c r="D158" s="443" t="s">
        <v>1113</v>
      </c>
      <c r="E158" s="441" t="s">
        <v>1427</v>
      </c>
      <c r="F158" s="437" t="s">
        <v>1141</v>
      </c>
      <c r="G158" s="442">
        <v>4</v>
      </c>
      <c r="H158" s="442">
        <v>23.31</v>
      </c>
      <c r="I158" s="442">
        <f t="shared" si="45"/>
        <v>93.24</v>
      </c>
      <c r="J158" s="544">
        <f t="shared" si="46"/>
        <v>0.24640000000000001</v>
      </c>
      <c r="K158" s="442">
        <f t="shared" si="47"/>
        <v>29.05</v>
      </c>
      <c r="L158" s="442">
        <f t="shared" si="48"/>
        <v>116.2</v>
      </c>
    </row>
    <row r="159" spans="2:12" x14ac:dyDescent="0.25">
      <c r="B159" s="443" t="s">
        <v>1428</v>
      </c>
      <c r="C159" s="443" t="s">
        <v>1429</v>
      </c>
      <c r="D159" s="443" t="s">
        <v>1113</v>
      </c>
      <c r="E159" s="441" t="s">
        <v>1430</v>
      </c>
      <c r="F159" s="437" t="s">
        <v>1141</v>
      </c>
      <c r="G159" s="442">
        <v>2</v>
      </c>
      <c r="H159" s="442">
        <v>26.63</v>
      </c>
      <c r="I159" s="442">
        <f t="shared" si="45"/>
        <v>53.26</v>
      </c>
      <c r="J159" s="544">
        <f t="shared" si="46"/>
        <v>0.24640000000000001</v>
      </c>
      <c r="K159" s="442">
        <f t="shared" si="47"/>
        <v>33.19</v>
      </c>
      <c r="L159" s="442">
        <f t="shared" si="48"/>
        <v>66.38</v>
      </c>
    </row>
    <row r="160" spans="2:12" x14ac:dyDescent="0.25">
      <c r="B160" s="443" t="s">
        <v>1431</v>
      </c>
      <c r="C160" s="443" t="s">
        <v>1432</v>
      </c>
      <c r="D160" s="443" t="s">
        <v>1113</v>
      </c>
      <c r="E160" s="441" t="s">
        <v>1433</v>
      </c>
      <c r="F160" s="437" t="s">
        <v>1141</v>
      </c>
      <c r="G160" s="442">
        <v>1</v>
      </c>
      <c r="H160" s="442">
        <v>105.16</v>
      </c>
      <c r="I160" s="442">
        <f t="shared" si="45"/>
        <v>105.16</v>
      </c>
      <c r="J160" s="544">
        <f t="shared" si="46"/>
        <v>0.24640000000000001</v>
      </c>
      <c r="K160" s="442">
        <f t="shared" si="47"/>
        <v>131.07</v>
      </c>
      <c r="L160" s="442">
        <f t="shared" si="48"/>
        <v>131.07</v>
      </c>
    </row>
    <row r="161" spans="2:12" x14ac:dyDescent="0.25">
      <c r="B161" s="443" t="s">
        <v>1434</v>
      </c>
      <c r="C161" s="443" t="s">
        <v>1435</v>
      </c>
      <c r="D161" s="443" t="s">
        <v>1113</v>
      </c>
      <c r="E161" s="441" t="s">
        <v>1436</v>
      </c>
      <c r="F161" s="437" t="s">
        <v>1141</v>
      </c>
      <c r="G161" s="442">
        <v>1</v>
      </c>
      <c r="H161" s="442">
        <v>105.52</v>
      </c>
      <c r="I161" s="442">
        <f t="shared" si="45"/>
        <v>105.52</v>
      </c>
      <c r="J161" s="544">
        <f t="shared" si="46"/>
        <v>0.24640000000000001</v>
      </c>
      <c r="K161" s="442">
        <f t="shared" si="47"/>
        <v>131.52000000000001</v>
      </c>
      <c r="L161" s="442">
        <f t="shared" si="48"/>
        <v>131.52000000000001</v>
      </c>
    </row>
    <row r="162" spans="2:12" x14ac:dyDescent="0.25">
      <c r="B162" s="443" t="s">
        <v>1437</v>
      </c>
      <c r="C162" s="443" t="s">
        <v>1438</v>
      </c>
      <c r="D162" s="443" t="s">
        <v>1113</v>
      </c>
      <c r="E162" s="441" t="s">
        <v>1439</v>
      </c>
      <c r="F162" s="437" t="s">
        <v>49</v>
      </c>
      <c r="G162" s="442">
        <v>8</v>
      </c>
      <c r="H162" s="442">
        <v>391.75</v>
      </c>
      <c r="I162" s="442">
        <f t="shared" si="45"/>
        <v>3134</v>
      </c>
      <c r="J162" s="544">
        <f t="shared" si="46"/>
        <v>0.24640000000000001</v>
      </c>
      <c r="K162" s="442">
        <f t="shared" si="47"/>
        <v>488.27</v>
      </c>
      <c r="L162" s="442">
        <f t="shared" si="48"/>
        <v>3906.16</v>
      </c>
    </row>
    <row r="163" spans="2:12" x14ac:dyDescent="0.25">
      <c r="B163" s="443" t="s">
        <v>1440</v>
      </c>
      <c r="C163" s="443" t="s">
        <v>1441</v>
      </c>
      <c r="D163" s="443" t="s">
        <v>1113</v>
      </c>
      <c r="E163" s="441" t="s">
        <v>1442</v>
      </c>
      <c r="F163" s="437" t="s">
        <v>45</v>
      </c>
      <c r="G163" s="442">
        <v>1.08</v>
      </c>
      <c r="H163" s="442">
        <v>49.54</v>
      </c>
      <c r="I163" s="442">
        <f t="shared" si="45"/>
        <v>53.5</v>
      </c>
      <c r="J163" s="544">
        <f t="shared" si="46"/>
        <v>0.24640000000000001</v>
      </c>
      <c r="K163" s="442">
        <f t="shared" si="47"/>
        <v>61.74</v>
      </c>
      <c r="L163" s="442">
        <f t="shared" si="48"/>
        <v>66.67</v>
      </c>
    </row>
    <row r="164" spans="2:12" x14ac:dyDescent="0.25">
      <c r="B164" s="443" t="s">
        <v>1443</v>
      </c>
      <c r="C164" s="443" t="s">
        <v>1444</v>
      </c>
      <c r="D164" s="443" t="s">
        <v>1113</v>
      </c>
      <c r="E164" s="441" t="s">
        <v>1445</v>
      </c>
      <c r="F164" s="437" t="s">
        <v>19</v>
      </c>
      <c r="G164" s="442">
        <v>2.16</v>
      </c>
      <c r="H164" s="442">
        <v>91.32</v>
      </c>
      <c r="I164" s="442">
        <f t="shared" si="45"/>
        <v>197.25</v>
      </c>
      <c r="J164" s="544">
        <f t="shared" si="46"/>
        <v>0.24640000000000001</v>
      </c>
      <c r="K164" s="442">
        <f t="shared" si="47"/>
        <v>113.82</v>
      </c>
      <c r="L164" s="442">
        <f t="shared" si="48"/>
        <v>245.85</v>
      </c>
    </row>
    <row r="165" spans="2:12" ht="25.5" x14ac:dyDescent="0.25">
      <c r="B165" s="443" t="s">
        <v>1446</v>
      </c>
      <c r="C165" s="443" t="s">
        <v>1447</v>
      </c>
      <c r="D165" s="443" t="s">
        <v>1113</v>
      </c>
      <c r="E165" s="441" t="s">
        <v>1448</v>
      </c>
      <c r="F165" s="437" t="s">
        <v>19</v>
      </c>
      <c r="G165" s="442">
        <v>7.2</v>
      </c>
      <c r="H165" s="442">
        <v>157.84</v>
      </c>
      <c r="I165" s="442">
        <f t="shared" si="45"/>
        <v>1136.44</v>
      </c>
      <c r="J165" s="544">
        <f t="shared" si="46"/>
        <v>0.24640000000000001</v>
      </c>
      <c r="K165" s="442">
        <f t="shared" si="47"/>
        <v>196.73</v>
      </c>
      <c r="L165" s="442">
        <f t="shared" si="48"/>
        <v>1416.45</v>
      </c>
    </row>
    <row r="166" spans="2:12" x14ac:dyDescent="0.25">
      <c r="B166" s="443" t="s">
        <v>1449</v>
      </c>
      <c r="C166" s="443" t="s">
        <v>1450</v>
      </c>
      <c r="D166" s="443" t="s">
        <v>1113</v>
      </c>
      <c r="E166" s="441" t="s">
        <v>379</v>
      </c>
      <c r="F166" s="437" t="s">
        <v>45</v>
      </c>
      <c r="G166" s="442">
        <v>0.12</v>
      </c>
      <c r="H166" s="442">
        <v>215.03</v>
      </c>
      <c r="I166" s="442">
        <f t="shared" si="45"/>
        <v>25.8</v>
      </c>
      <c r="J166" s="544">
        <f t="shared" si="46"/>
        <v>0.24640000000000001</v>
      </c>
      <c r="K166" s="442">
        <f t="shared" si="47"/>
        <v>268.01</v>
      </c>
      <c r="L166" s="442">
        <f t="shared" si="48"/>
        <v>32.159999999999997</v>
      </c>
    </row>
    <row r="167" spans="2:12" ht="25.5" x14ac:dyDescent="0.25">
      <c r="B167" s="443" t="s">
        <v>1451</v>
      </c>
      <c r="C167" s="443" t="s">
        <v>1452</v>
      </c>
      <c r="D167" s="443" t="s">
        <v>1168</v>
      </c>
      <c r="E167" s="441" t="s">
        <v>2723</v>
      </c>
      <c r="F167" s="437" t="s">
        <v>1141</v>
      </c>
      <c r="G167" s="442">
        <v>4</v>
      </c>
      <c r="H167" s="442">
        <v>695</v>
      </c>
      <c r="I167" s="442">
        <f t="shared" si="45"/>
        <v>2780</v>
      </c>
      <c r="J167" s="544">
        <f t="shared" si="46"/>
        <v>0.24640000000000001</v>
      </c>
      <c r="K167" s="442">
        <f t="shared" si="47"/>
        <v>866.24</v>
      </c>
      <c r="L167" s="442">
        <f t="shared" si="48"/>
        <v>3464.96</v>
      </c>
    </row>
    <row r="168" spans="2:12" x14ac:dyDescent="0.25">
      <c r="B168" s="443" t="s">
        <v>1453</v>
      </c>
      <c r="C168" s="443" t="s">
        <v>1454</v>
      </c>
      <c r="D168" s="443" t="s">
        <v>1113</v>
      </c>
      <c r="E168" s="441" t="s">
        <v>1455</v>
      </c>
      <c r="F168" s="437" t="s">
        <v>45</v>
      </c>
      <c r="G168" s="442">
        <v>5.2</v>
      </c>
      <c r="H168" s="442">
        <v>59.5</v>
      </c>
      <c r="I168" s="442">
        <f t="shared" si="45"/>
        <v>309.39999999999998</v>
      </c>
      <c r="J168" s="544">
        <f t="shared" si="46"/>
        <v>0.24640000000000001</v>
      </c>
      <c r="K168" s="442">
        <f t="shared" si="47"/>
        <v>74.16</v>
      </c>
      <c r="L168" s="442">
        <f t="shared" si="48"/>
        <v>385.63</v>
      </c>
    </row>
    <row r="169" spans="2:12" x14ac:dyDescent="0.25">
      <c r="B169" s="443" t="s">
        <v>1456</v>
      </c>
      <c r="C169" s="443" t="s">
        <v>1457</v>
      </c>
      <c r="D169" s="443" t="s">
        <v>1113</v>
      </c>
      <c r="E169" s="441" t="s">
        <v>1458</v>
      </c>
      <c r="F169" s="437" t="s">
        <v>81</v>
      </c>
      <c r="G169" s="442">
        <v>16</v>
      </c>
      <c r="H169" s="442">
        <v>200</v>
      </c>
      <c r="I169" s="442">
        <f t="shared" si="45"/>
        <v>3200</v>
      </c>
      <c r="J169" s="544">
        <f t="shared" si="46"/>
        <v>0.24640000000000001</v>
      </c>
      <c r="K169" s="442">
        <f t="shared" si="47"/>
        <v>249.28</v>
      </c>
      <c r="L169" s="442">
        <f t="shared" si="48"/>
        <v>3988.48</v>
      </c>
    </row>
    <row r="170" spans="2:12" ht="38.25" x14ac:dyDescent="0.25">
      <c r="B170" s="443" t="s">
        <v>1459</v>
      </c>
      <c r="C170" s="443" t="s">
        <v>1460</v>
      </c>
      <c r="D170" s="443" t="s">
        <v>1113</v>
      </c>
      <c r="E170" s="441" t="s">
        <v>1461</v>
      </c>
      <c r="F170" s="437" t="s">
        <v>19</v>
      </c>
      <c r="G170" s="442">
        <v>4.5599999999999996</v>
      </c>
      <c r="H170" s="442">
        <v>466.51</v>
      </c>
      <c r="I170" s="442">
        <f t="shared" si="45"/>
        <v>2127.2800000000002</v>
      </c>
      <c r="J170" s="544">
        <f t="shared" si="46"/>
        <v>0.24640000000000001</v>
      </c>
      <c r="K170" s="442">
        <f t="shared" si="47"/>
        <v>581.45000000000005</v>
      </c>
      <c r="L170" s="442">
        <f t="shared" si="48"/>
        <v>2651.41</v>
      </c>
    </row>
    <row r="171" spans="2:12" x14ac:dyDescent="0.25">
      <c r="B171" s="439" t="s">
        <v>1462</v>
      </c>
      <c r="C171" s="439"/>
      <c r="D171" s="439"/>
      <c r="E171" s="438" t="s">
        <v>848</v>
      </c>
      <c r="F171" s="440"/>
      <c r="G171" s="440"/>
      <c r="H171" s="438"/>
      <c r="I171" s="440">
        <f>SUBTOTAL(9,I172:I189)</f>
        <v>6166.35</v>
      </c>
      <c r="J171" s="438"/>
      <c r="K171" s="440">
        <f t="shared" si="47"/>
        <v>0</v>
      </c>
      <c r="L171" s="440">
        <f>SUBTOTAL(9,L172:L189)</f>
        <v>7684.8499999999995</v>
      </c>
    </row>
    <row r="172" spans="2:12" x14ac:dyDescent="0.25">
      <c r="B172" s="439" t="s">
        <v>1463</v>
      </c>
      <c r="C172" s="439"/>
      <c r="D172" s="439"/>
      <c r="E172" s="438" t="s">
        <v>427</v>
      </c>
      <c r="F172" s="440"/>
      <c r="G172" s="440"/>
      <c r="H172" s="438"/>
      <c r="I172" s="440">
        <f>SUBTOTAL(9,I173:I176)</f>
        <v>3570.2</v>
      </c>
      <c r="J172" s="438"/>
      <c r="K172" s="440">
        <f t="shared" si="47"/>
        <v>0</v>
      </c>
      <c r="L172" s="440">
        <f>SUBTOTAL(9,L173:L176)</f>
        <v>4449.34</v>
      </c>
    </row>
    <row r="173" spans="2:12" x14ac:dyDescent="0.25">
      <c r="B173" s="443" t="s">
        <v>1464</v>
      </c>
      <c r="C173" s="443" t="s">
        <v>1465</v>
      </c>
      <c r="D173" s="443" t="s">
        <v>1113</v>
      </c>
      <c r="E173" s="441" t="s">
        <v>1466</v>
      </c>
      <c r="F173" s="437" t="s">
        <v>130</v>
      </c>
      <c r="G173" s="442">
        <v>5</v>
      </c>
      <c r="H173" s="442">
        <v>16.850000000000001</v>
      </c>
      <c r="I173" s="442">
        <f t="shared" ref="I173:I176" si="49">TRUNC(G173 * H173, 2)</f>
        <v>84.25</v>
      </c>
      <c r="J173" s="544">
        <f t="shared" ref="J173:J176" si="50">+$L$5</f>
        <v>0.24640000000000001</v>
      </c>
      <c r="K173" s="442">
        <f t="shared" si="47"/>
        <v>21</v>
      </c>
      <c r="L173" s="442">
        <f>TRUNC(G173 * K173, 2)</f>
        <v>105</v>
      </c>
    </row>
    <row r="174" spans="2:12" x14ac:dyDescent="0.25">
      <c r="B174" s="443" t="s">
        <v>1467</v>
      </c>
      <c r="C174" s="443" t="s">
        <v>1468</v>
      </c>
      <c r="D174" s="443" t="s">
        <v>1113</v>
      </c>
      <c r="E174" s="441" t="s">
        <v>1469</v>
      </c>
      <c r="F174" s="437" t="s">
        <v>130</v>
      </c>
      <c r="G174" s="442">
        <v>11.51</v>
      </c>
      <c r="H174" s="442">
        <v>19.239999999999998</v>
      </c>
      <c r="I174" s="442">
        <f t="shared" si="49"/>
        <v>221.45</v>
      </c>
      <c r="J174" s="544">
        <f t="shared" si="50"/>
        <v>0.24640000000000001</v>
      </c>
      <c r="K174" s="442">
        <f t="shared" si="47"/>
        <v>23.98</v>
      </c>
      <c r="L174" s="442">
        <f>TRUNC(G174 * K174, 2)</f>
        <v>276</v>
      </c>
    </row>
    <row r="175" spans="2:12" x14ac:dyDescent="0.25">
      <c r="B175" s="443" t="s">
        <v>1470</v>
      </c>
      <c r="C175" s="443" t="s">
        <v>1471</v>
      </c>
      <c r="D175" s="443" t="s">
        <v>1113</v>
      </c>
      <c r="E175" s="441" t="s">
        <v>1472</v>
      </c>
      <c r="F175" s="437" t="s">
        <v>130</v>
      </c>
      <c r="G175" s="442">
        <v>32.119999999999997</v>
      </c>
      <c r="H175" s="442">
        <v>38.979999999999997</v>
      </c>
      <c r="I175" s="442">
        <f t="shared" si="49"/>
        <v>1252.03</v>
      </c>
      <c r="J175" s="544">
        <f t="shared" si="50"/>
        <v>0.24640000000000001</v>
      </c>
      <c r="K175" s="442">
        <f t="shared" si="47"/>
        <v>48.58</v>
      </c>
      <c r="L175" s="442">
        <f>TRUNC(G175 * K175, 2)</f>
        <v>1560.38</v>
      </c>
    </row>
    <row r="176" spans="2:12" x14ac:dyDescent="0.25">
      <c r="B176" s="443" t="s">
        <v>1473</v>
      </c>
      <c r="C176" s="443" t="s">
        <v>1474</v>
      </c>
      <c r="D176" s="443" t="s">
        <v>1113</v>
      </c>
      <c r="E176" s="441" t="s">
        <v>1475</v>
      </c>
      <c r="F176" s="437" t="s">
        <v>130</v>
      </c>
      <c r="G176" s="442">
        <v>44.24</v>
      </c>
      <c r="H176" s="442">
        <v>45.49</v>
      </c>
      <c r="I176" s="442">
        <f t="shared" si="49"/>
        <v>2012.47</v>
      </c>
      <c r="J176" s="544">
        <f t="shared" si="50"/>
        <v>0.24640000000000001</v>
      </c>
      <c r="K176" s="442">
        <f t="shared" si="47"/>
        <v>56.69</v>
      </c>
      <c r="L176" s="442">
        <f>TRUNC(G176 * K176, 2)</f>
        <v>2507.96</v>
      </c>
    </row>
    <row r="177" spans="2:12" x14ac:dyDescent="0.25">
      <c r="B177" s="439" t="s">
        <v>1476</v>
      </c>
      <c r="C177" s="439"/>
      <c r="D177" s="439"/>
      <c r="E177" s="438" t="s">
        <v>428</v>
      </c>
      <c r="F177" s="440"/>
      <c r="G177" s="440"/>
      <c r="H177" s="438"/>
      <c r="I177" s="440">
        <f>SUBTOTAL(9,I178:I189)</f>
        <v>2596.15</v>
      </c>
      <c r="J177" s="438"/>
      <c r="K177" s="440">
        <f t="shared" si="47"/>
        <v>0</v>
      </c>
      <c r="L177" s="440">
        <f>SUBTOTAL(9,L178:L189)</f>
        <v>3235.5099999999998</v>
      </c>
    </row>
    <row r="178" spans="2:12" ht="25.5" x14ac:dyDescent="0.25">
      <c r="B178" s="443" t="s">
        <v>1477</v>
      </c>
      <c r="C178" s="443" t="s">
        <v>1478</v>
      </c>
      <c r="D178" s="443" t="s">
        <v>1113</v>
      </c>
      <c r="E178" s="441" t="s">
        <v>1479</v>
      </c>
      <c r="F178" s="437" t="s">
        <v>1141</v>
      </c>
      <c r="G178" s="442">
        <v>1</v>
      </c>
      <c r="H178" s="442">
        <v>256.89999999999998</v>
      </c>
      <c r="I178" s="442">
        <f t="shared" ref="I178:I189" si="51">TRUNC(G178 * H178, 2)</f>
        <v>256.89999999999998</v>
      </c>
      <c r="J178" s="544">
        <f t="shared" ref="J178:J189" si="52">+$L$5</f>
        <v>0.24640000000000001</v>
      </c>
      <c r="K178" s="442">
        <f t="shared" si="47"/>
        <v>320.2</v>
      </c>
      <c r="L178" s="442">
        <f t="shared" ref="L178:L189" si="53">TRUNC(G178 * K178, 2)</f>
        <v>320.2</v>
      </c>
    </row>
    <row r="179" spans="2:12" x14ac:dyDescent="0.25">
      <c r="B179" s="443" t="s">
        <v>1480</v>
      </c>
      <c r="C179" s="443" t="s">
        <v>1375</v>
      </c>
      <c r="D179" s="443" t="s">
        <v>1113</v>
      </c>
      <c r="E179" s="441" t="s">
        <v>1376</v>
      </c>
      <c r="F179" s="437" t="s">
        <v>1141</v>
      </c>
      <c r="G179" s="442">
        <v>1</v>
      </c>
      <c r="H179" s="442">
        <v>6.89</v>
      </c>
      <c r="I179" s="442">
        <f t="shared" si="51"/>
        <v>6.89</v>
      </c>
      <c r="J179" s="544">
        <f t="shared" si="52"/>
        <v>0.24640000000000001</v>
      </c>
      <c r="K179" s="442">
        <f t="shared" si="47"/>
        <v>8.58</v>
      </c>
      <c r="L179" s="442">
        <f t="shared" si="53"/>
        <v>8.58</v>
      </c>
    </row>
    <row r="180" spans="2:12" x14ac:dyDescent="0.25">
      <c r="B180" s="443" t="s">
        <v>1481</v>
      </c>
      <c r="C180" s="443" t="s">
        <v>1482</v>
      </c>
      <c r="D180" s="443" t="s">
        <v>1113</v>
      </c>
      <c r="E180" s="441" t="s">
        <v>1483</v>
      </c>
      <c r="F180" s="437" t="s">
        <v>41</v>
      </c>
      <c r="G180" s="442">
        <v>3</v>
      </c>
      <c r="H180" s="442">
        <v>138.36000000000001</v>
      </c>
      <c r="I180" s="442">
        <f t="shared" si="51"/>
        <v>415.08</v>
      </c>
      <c r="J180" s="544">
        <f t="shared" si="52"/>
        <v>0.24640000000000001</v>
      </c>
      <c r="K180" s="442">
        <f t="shared" si="47"/>
        <v>172.45</v>
      </c>
      <c r="L180" s="442">
        <f t="shared" si="53"/>
        <v>517.35</v>
      </c>
    </row>
    <row r="181" spans="2:12" x14ac:dyDescent="0.25">
      <c r="B181" s="443" t="s">
        <v>1484</v>
      </c>
      <c r="C181" s="443" t="s">
        <v>1485</v>
      </c>
      <c r="D181" s="443" t="s">
        <v>1113</v>
      </c>
      <c r="E181" s="441" t="s">
        <v>1486</v>
      </c>
      <c r="F181" s="437" t="s">
        <v>1141</v>
      </c>
      <c r="G181" s="442">
        <v>5</v>
      </c>
      <c r="H181" s="442">
        <v>6.85</v>
      </c>
      <c r="I181" s="442">
        <f t="shared" si="51"/>
        <v>34.25</v>
      </c>
      <c r="J181" s="544">
        <f t="shared" si="52"/>
        <v>0.24640000000000001</v>
      </c>
      <c r="K181" s="442">
        <f t="shared" si="47"/>
        <v>8.5299999999999994</v>
      </c>
      <c r="L181" s="442">
        <f t="shared" si="53"/>
        <v>42.65</v>
      </c>
    </row>
    <row r="182" spans="2:12" x14ac:dyDescent="0.25">
      <c r="B182" s="443" t="s">
        <v>1487</v>
      </c>
      <c r="C182" s="443" t="s">
        <v>1488</v>
      </c>
      <c r="D182" s="443" t="s">
        <v>1113</v>
      </c>
      <c r="E182" s="441" t="s">
        <v>1489</v>
      </c>
      <c r="F182" s="437" t="s">
        <v>1141</v>
      </c>
      <c r="G182" s="442">
        <v>1</v>
      </c>
      <c r="H182" s="442">
        <v>29.11</v>
      </c>
      <c r="I182" s="442">
        <f t="shared" si="51"/>
        <v>29.11</v>
      </c>
      <c r="J182" s="544">
        <f t="shared" si="52"/>
        <v>0.24640000000000001</v>
      </c>
      <c r="K182" s="442">
        <f t="shared" si="47"/>
        <v>36.28</v>
      </c>
      <c r="L182" s="442">
        <f t="shared" si="53"/>
        <v>36.28</v>
      </c>
    </row>
    <row r="183" spans="2:12" x14ac:dyDescent="0.25">
      <c r="B183" s="443" t="s">
        <v>1490</v>
      </c>
      <c r="C183" s="443" t="s">
        <v>1491</v>
      </c>
      <c r="D183" s="443" t="s">
        <v>1113</v>
      </c>
      <c r="E183" s="441" t="s">
        <v>1492</v>
      </c>
      <c r="F183" s="437" t="s">
        <v>1141</v>
      </c>
      <c r="G183" s="442">
        <v>2</v>
      </c>
      <c r="H183" s="442">
        <v>9.3800000000000008</v>
      </c>
      <c r="I183" s="442">
        <f t="shared" si="51"/>
        <v>18.760000000000002</v>
      </c>
      <c r="J183" s="544">
        <f t="shared" si="52"/>
        <v>0.24640000000000001</v>
      </c>
      <c r="K183" s="442">
        <f t="shared" si="47"/>
        <v>11.69</v>
      </c>
      <c r="L183" s="442">
        <f t="shared" si="53"/>
        <v>23.38</v>
      </c>
    </row>
    <row r="184" spans="2:12" x14ac:dyDescent="0.25">
      <c r="B184" s="443" t="s">
        <v>1493</v>
      </c>
      <c r="C184" s="443" t="s">
        <v>1494</v>
      </c>
      <c r="D184" s="443" t="s">
        <v>1113</v>
      </c>
      <c r="E184" s="441" t="s">
        <v>1495</v>
      </c>
      <c r="F184" s="437" t="s">
        <v>49</v>
      </c>
      <c r="G184" s="442">
        <v>15</v>
      </c>
      <c r="H184" s="442">
        <v>28.4</v>
      </c>
      <c r="I184" s="442">
        <f t="shared" si="51"/>
        <v>426</v>
      </c>
      <c r="J184" s="544">
        <f t="shared" si="52"/>
        <v>0.24640000000000001</v>
      </c>
      <c r="K184" s="442">
        <f t="shared" si="47"/>
        <v>35.39</v>
      </c>
      <c r="L184" s="442">
        <f t="shared" si="53"/>
        <v>530.85</v>
      </c>
    </row>
    <row r="185" spans="2:12" ht="25.5" x14ac:dyDescent="0.25">
      <c r="B185" s="443" t="s">
        <v>1496</v>
      </c>
      <c r="C185" s="443" t="s">
        <v>1497</v>
      </c>
      <c r="D185" s="443" t="s">
        <v>1168</v>
      </c>
      <c r="E185" s="441" t="s">
        <v>470</v>
      </c>
      <c r="F185" s="437" t="s">
        <v>38</v>
      </c>
      <c r="G185" s="442">
        <v>3</v>
      </c>
      <c r="H185" s="442">
        <v>43.61</v>
      </c>
      <c r="I185" s="442">
        <f t="shared" si="51"/>
        <v>130.83000000000001</v>
      </c>
      <c r="J185" s="544">
        <f t="shared" si="52"/>
        <v>0.24640000000000001</v>
      </c>
      <c r="K185" s="442">
        <f t="shared" si="47"/>
        <v>54.35</v>
      </c>
      <c r="L185" s="442">
        <f t="shared" si="53"/>
        <v>163.05000000000001</v>
      </c>
    </row>
    <row r="186" spans="2:12" x14ac:dyDescent="0.25">
      <c r="B186" s="443" t="s">
        <v>1498</v>
      </c>
      <c r="C186" s="443" t="s">
        <v>1499</v>
      </c>
      <c r="D186" s="443" t="s">
        <v>1113</v>
      </c>
      <c r="E186" s="441" t="s">
        <v>1500</v>
      </c>
      <c r="F186" s="437" t="s">
        <v>1141</v>
      </c>
      <c r="G186" s="442">
        <v>5</v>
      </c>
      <c r="H186" s="442">
        <v>146.21</v>
      </c>
      <c r="I186" s="442">
        <f t="shared" si="51"/>
        <v>731.05</v>
      </c>
      <c r="J186" s="544">
        <f t="shared" si="52"/>
        <v>0.24640000000000001</v>
      </c>
      <c r="K186" s="442">
        <f t="shared" si="47"/>
        <v>182.23</v>
      </c>
      <c r="L186" s="442">
        <f t="shared" si="53"/>
        <v>911.15</v>
      </c>
    </row>
    <row r="187" spans="2:12" x14ac:dyDescent="0.25">
      <c r="B187" s="443" t="s">
        <v>1501</v>
      </c>
      <c r="C187" s="443" t="s">
        <v>1502</v>
      </c>
      <c r="D187" s="443" t="s">
        <v>1113</v>
      </c>
      <c r="E187" s="441" t="s">
        <v>1503</v>
      </c>
      <c r="F187" s="437" t="s">
        <v>1141</v>
      </c>
      <c r="G187" s="442">
        <v>6</v>
      </c>
      <c r="H187" s="442">
        <v>18.48</v>
      </c>
      <c r="I187" s="442">
        <f t="shared" si="51"/>
        <v>110.88</v>
      </c>
      <c r="J187" s="544">
        <f t="shared" si="52"/>
        <v>0.24640000000000001</v>
      </c>
      <c r="K187" s="442">
        <f t="shared" si="47"/>
        <v>23.03</v>
      </c>
      <c r="L187" s="442">
        <f t="shared" si="53"/>
        <v>138.18</v>
      </c>
    </row>
    <row r="188" spans="2:12" x14ac:dyDescent="0.25">
      <c r="B188" s="443" t="s">
        <v>1504</v>
      </c>
      <c r="C188" s="443" t="s">
        <v>1505</v>
      </c>
      <c r="D188" s="443" t="s">
        <v>1113</v>
      </c>
      <c r="E188" s="441" t="s">
        <v>1506</v>
      </c>
      <c r="F188" s="437" t="s">
        <v>1141</v>
      </c>
      <c r="G188" s="442">
        <v>1</v>
      </c>
      <c r="H188" s="442">
        <v>22.42</v>
      </c>
      <c r="I188" s="442">
        <f t="shared" si="51"/>
        <v>22.42</v>
      </c>
      <c r="J188" s="544">
        <f t="shared" si="52"/>
        <v>0.24640000000000001</v>
      </c>
      <c r="K188" s="442">
        <f t="shared" si="47"/>
        <v>27.94</v>
      </c>
      <c r="L188" s="442">
        <f t="shared" si="53"/>
        <v>27.94</v>
      </c>
    </row>
    <row r="189" spans="2:12" x14ac:dyDescent="0.25">
      <c r="B189" s="443" t="s">
        <v>1507</v>
      </c>
      <c r="C189" s="443" t="s">
        <v>1508</v>
      </c>
      <c r="D189" s="443" t="s">
        <v>1113</v>
      </c>
      <c r="E189" s="441" t="s">
        <v>1509</v>
      </c>
      <c r="F189" s="437" t="s">
        <v>1141</v>
      </c>
      <c r="G189" s="442">
        <v>14</v>
      </c>
      <c r="H189" s="442">
        <v>29.57</v>
      </c>
      <c r="I189" s="442">
        <f t="shared" si="51"/>
        <v>413.98</v>
      </c>
      <c r="J189" s="544">
        <f t="shared" si="52"/>
        <v>0.24640000000000001</v>
      </c>
      <c r="K189" s="442">
        <f t="shared" si="47"/>
        <v>36.85</v>
      </c>
      <c r="L189" s="442">
        <f t="shared" si="53"/>
        <v>515.9</v>
      </c>
    </row>
    <row r="190" spans="2:12" x14ac:dyDescent="0.25">
      <c r="B190" s="439" t="s">
        <v>1510</v>
      </c>
      <c r="C190" s="439"/>
      <c r="D190" s="439"/>
      <c r="E190" s="438" t="s">
        <v>849</v>
      </c>
      <c r="F190" s="440"/>
      <c r="G190" s="440"/>
      <c r="H190" s="438"/>
      <c r="I190" s="440">
        <f>SUBTOTAL(9,I191:I278)</f>
        <v>877662.49</v>
      </c>
      <c r="J190" s="438"/>
      <c r="K190" s="440">
        <f t="shared" si="47"/>
        <v>0</v>
      </c>
      <c r="L190" s="440">
        <f>SUBTOTAL(9,L191:L278)</f>
        <v>1042457.6900000002</v>
      </c>
    </row>
    <row r="191" spans="2:12" ht="38.25" x14ac:dyDescent="0.25">
      <c r="B191" s="443" t="s">
        <v>1511</v>
      </c>
      <c r="C191" s="443" t="s">
        <v>1512</v>
      </c>
      <c r="D191" s="443" t="s">
        <v>1168</v>
      </c>
      <c r="E191" s="441" t="s">
        <v>1513</v>
      </c>
      <c r="F191" s="437" t="s">
        <v>49</v>
      </c>
      <c r="G191" s="442">
        <v>19</v>
      </c>
      <c r="H191" s="442">
        <v>41.68</v>
      </c>
      <c r="I191" s="442">
        <f t="shared" ref="I191:I254" si="54">TRUNC(G191 * H191, 2)</f>
        <v>791.92</v>
      </c>
      <c r="J191" s="544">
        <f t="shared" ref="J191:J254" si="55">+$L$5</f>
        <v>0.24640000000000001</v>
      </c>
      <c r="K191" s="442">
        <f t="shared" si="47"/>
        <v>51.94</v>
      </c>
      <c r="L191" s="442">
        <f t="shared" ref="L191:L254" si="56">TRUNC(G191 * K191, 2)</f>
        <v>986.86</v>
      </c>
    </row>
    <row r="192" spans="2:12" ht="38.25" x14ac:dyDescent="0.25">
      <c r="B192" s="443" t="s">
        <v>1514</v>
      </c>
      <c r="C192" s="443" t="s">
        <v>1515</v>
      </c>
      <c r="D192" s="443" t="s">
        <v>1168</v>
      </c>
      <c r="E192" s="441" t="s">
        <v>487</v>
      </c>
      <c r="F192" s="437" t="s">
        <v>49</v>
      </c>
      <c r="G192" s="442">
        <v>70</v>
      </c>
      <c r="H192" s="442">
        <v>129.19999999999999</v>
      </c>
      <c r="I192" s="442">
        <f t="shared" si="54"/>
        <v>9044</v>
      </c>
      <c r="J192" s="544">
        <f t="shared" si="55"/>
        <v>0.24640000000000001</v>
      </c>
      <c r="K192" s="442">
        <f t="shared" si="47"/>
        <v>161.03</v>
      </c>
      <c r="L192" s="442">
        <f t="shared" si="56"/>
        <v>11272.1</v>
      </c>
    </row>
    <row r="193" spans="2:12" ht="38.25" x14ac:dyDescent="0.25">
      <c r="B193" s="443" t="s">
        <v>1516</v>
      </c>
      <c r="C193" s="443" t="s">
        <v>1517</v>
      </c>
      <c r="D193" s="443" t="s">
        <v>1168</v>
      </c>
      <c r="E193" s="441" t="s">
        <v>489</v>
      </c>
      <c r="F193" s="437" t="s">
        <v>49</v>
      </c>
      <c r="G193" s="442">
        <v>1</v>
      </c>
      <c r="H193" s="442">
        <v>44.93</v>
      </c>
      <c r="I193" s="442">
        <f t="shared" si="54"/>
        <v>44.93</v>
      </c>
      <c r="J193" s="544">
        <f t="shared" si="55"/>
        <v>0.24640000000000001</v>
      </c>
      <c r="K193" s="442">
        <f t="shared" si="47"/>
        <v>56</v>
      </c>
      <c r="L193" s="442">
        <f t="shared" si="56"/>
        <v>56</v>
      </c>
    </row>
    <row r="194" spans="2:12" ht="38.25" x14ac:dyDescent="0.25">
      <c r="B194" s="443" t="s">
        <v>1518</v>
      </c>
      <c r="C194" s="443" t="s">
        <v>1519</v>
      </c>
      <c r="D194" s="443" t="s">
        <v>1168</v>
      </c>
      <c r="E194" s="441" t="s">
        <v>491</v>
      </c>
      <c r="F194" s="437" t="s">
        <v>49</v>
      </c>
      <c r="G194" s="442">
        <v>10</v>
      </c>
      <c r="H194" s="442">
        <v>17.86</v>
      </c>
      <c r="I194" s="442">
        <f t="shared" si="54"/>
        <v>178.6</v>
      </c>
      <c r="J194" s="544">
        <f t="shared" si="55"/>
        <v>0.24640000000000001</v>
      </c>
      <c r="K194" s="442">
        <f t="shared" si="47"/>
        <v>22.26</v>
      </c>
      <c r="L194" s="442">
        <f t="shared" si="56"/>
        <v>222.6</v>
      </c>
    </row>
    <row r="195" spans="2:12" ht="38.25" x14ac:dyDescent="0.25">
      <c r="B195" s="443" t="s">
        <v>1520</v>
      </c>
      <c r="C195" s="443" t="s">
        <v>1521</v>
      </c>
      <c r="D195" s="443" t="s">
        <v>1168</v>
      </c>
      <c r="E195" s="441" t="s">
        <v>493</v>
      </c>
      <c r="F195" s="437" t="s">
        <v>49</v>
      </c>
      <c r="G195" s="442">
        <v>7</v>
      </c>
      <c r="H195" s="442">
        <v>69.78</v>
      </c>
      <c r="I195" s="442">
        <f t="shared" si="54"/>
        <v>488.46</v>
      </c>
      <c r="J195" s="544">
        <f t="shared" si="55"/>
        <v>0.24640000000000001</v>
      </c>
      <c r="K195" s="442">
        <f t="shared" si="47"/>
        <v>86.97</v>
      </c>
      <c r="L195" s="442">
        <f t="shared" si="56"/>
        <v>608.79</v>
      </c>
    </row>
    <row r="196" spans="2:12" ht="38.25" x14ac:dyDescent="0.25">
      <c r="B196" s="443" t="s">
        <v>1522</v>
      </c>
      <c r="C196" s="443" t="s">
        <v>1523</v>
      </c>
      <c r="D196" s="443" t="s">
        <v>1168</v>
      </c>
      <c r="E196" s="441" t="s">
        <v>520</v>
      </c>
      <c r="F196" s="437" t="s">
        <v>49</v>
      </c>
      <c r="G196" s="442">
        <v>6</v>
      </c>
      <c r="H196" s="442">
        <v>21.86</v>
      </c>
      <c r="I196" s="442">
        <f t="shared" si="54"/>
        <v>131.16</v>
      </c>
      <c r="J196" s="544">
        <f t="shared" si="55"/>
        <v>0.24640000000000001</v>
      </c>
      <c r="K196" s="442">
        <f t="shared" si="47"/>
        <v>27.24</v>
      </c>
      <c r="L196" s="442">
        <f t="shared" si="56"/>
        <v>163.44</v>
      </c>
    </row>
    <row r="197" spans="2:12" ht="38.25" x14ac:dyDescent="0.25">
      <c r="B197" s="443" t="s">
        <v>1524</v>
      </c>
      <c r="C197" s="443" t="s">
        <v>1525</v>
      </c>
      <c r="D197" s="443" t="s">
        <v>1168</v>
      </c>
      <c r="E197" s="441" t="s">
        <v>521</v>
      </c>
      <c r="F197" s="437" t="s">
        <v>49</v>
      </c>
      <c r="G197" s="442">
        <v>77</v>
      </c>
      <c r="H197" s="442">
        <v>37.17</v>
      </c>
      <c r="I197" s="442">
        <f t="shared" si="54"/>
        <v>2862.09</v>
      </c>
      <c r="J197" s="544">
        <f t="shared" si="55"/>
        <v>0.24640000000000001</v>
      </c>
      <c r="K197" s="442">
        <f t="shared" si="47"/>
        <v>46.32</v>
      </c>
      <c r="L197" s="442">
        <f t="shared" si="56"/>
        <v>3566.64</v>
      </c>
    </row>
    <row r="198" spans="2:12" ht="38.25" x14ac:dyDescent="0.25">
      <c r="B198" s="443" t="s">
        <v>1526</v>
      </c>
      <c r="C198" s="443" t="s">
        <v>1527</v>
      </c>
      <c r="D198" s="443" t="s">
        <v>1168</v>
      </c>
      <c r="E198" s="441" t="s">
        <v>522</v>
      </c>
      <c r="F198" s="437" t="s">
        <v>49</v>
      </c>
      <c r="G198" s="442">
        <v>48</v>
      </c>
      <c r="H198" s="442">
        <v>45.05</v>
      </c>
      <c r="I198" s="442">
        <f t="shared" si="54"/>
        <v>2162.4</v>
      </c>
      <c r="J198" s="544">
        <f t="shared" si="55"/>
        <v>0.24640000000000001</v>
      </c>
      <c r="K198" s="442">
        <f t="shared" si="47"/>
        <v>56.15</v>
      </c>
      <c r="L198" s="442">
        <f t="shared" si="56"/>
        <v>2695.2</v>
      </c>
    </row>
    <row r="199" spans="2:12" ht="38.25" x14ac:dyDescent="0.25">
      <c r="B199" s="443" t="s">
        <v>1528</v>
      </c>
      <c r="C199" s="443" t="s">
        <v>1529</v>
      </c>
      <c r="D199" s="443" t="s">
        <v>1168</v>
      </c>
      <c r="E199" s="441" t="s">
        <v>523</v>
      </c>
      <c r="F199" s="437" t="s">
        <v>49</v>
      </c>
      <c r="G199" s="442">
        <v>4</v>
      </c>
      <c r="H199" s="442">
        <v>133.29</v>
      </c>
      <c r="I199" s="442">
        <f t="shared" si="54"/>
        <v>533.16</v>
      </c>
      <c r="J199" s="544">
        <f t="shared" si="55"/>
        <v>0.24640000000000001</v>
      </c>
      <c r="K199" s="442">
        <f t="shared" si="47"/>
        <v>166.13</v>
      </c>
      <c r="L199" s="442">
        <f t="shared" si="56"/>
        <v>664.52</v>
      </c>
    </row>
    <row r="200" spans="2:12" ht="38.25" x14ac:dyDescent="0.25">
      <c r="B200" s="443" t="s">
        <v>1530</v>
      </c>
      <c r="C200" s="443" t="s">
        <v>1531</v>
      </c>
      <c r="D200" s="443" t="s">
        <v>1168</v>
      </c>
      <c r="E200" s="441" t="s">
        <v>524</v>
      </c>
      <c r="F200" s="437" t="s">
        <v>49</v>
      </c>
      <c r="G200" s="442">
        <v>5</v>
      </c>
      <c r="H200" s="442">
        <v>72.48</v>
      </c>
      <c r="I200" s="442">
        <f t="shared" si="54"/>
        <v>362.4</v>
      </c>
      <c r="J200" s="544">
        <f t="shared" si="55"/>
        <v>0.24640000000000001</v>
      </c>
      <c r="K200" s="442">
        <f t="shared" si="47"/>
        <v>90.33</v>
      </c>
      <c r="L200" s="442">
        <f t="shared" si="56"/>
        <v>451.65</v>
      </c>
    </row>
    <row r="201" spans="2:12" ht="25.5" x14ac:dyDescent="0.25">
      <c r="B201" s="443" t="s">
        <v>1532</v>
      </c>
      <c r="C201" s="443" t="s">
        <v>1533</v>
      </c>
      <c r="D201" s="443" t="s">
        <v>1168</v>
      </c>
      <c r="E201" s="441" t="s">
        <v>525</v>
      </c>
      <c r="F201" s="437" t="s">
        <v>49</v>
      </c>
      <c r="G201" s="442">
        <v>3</v>
      </c>
      <c r="H201" s="442">
        <v>44.75</v>
      </c>
      <c r="I201" s="442">
        <f t="shared" si="54"/>
        <v>134.25</v>
      </c>
      <c r="J201" s="544">
        <f t="shared" si="55"/>
        <v>0.24640000000000001</v>
      </c>
      <c r="K201" s="442">
        <f t="shared" si="47"/>
        <v>55.77</v>
      </c>
      <c r="L201" s="442">
        <f t="shared" si="56"/>
        <v>167.31</v>
      </c>
    </row>
    <row r="202" spans="2:12" ht="38.25" x14ac:dyDescent="0.25">
      <c r="B202" s="443" t="s">
        <v>1534</v>
      </c>
      <c r="C202" s="443" t="s">
        <v>1535</v>
      </c>
      <c r="D202" s="443" t="s">
        <v>1168</v>
      </c>
      <c r="E202" s="441" t="s">
        <v>526</v>
      </c>
      <c r="F202" s="437" t="s">
        <v>49</v>
      </c>
      <c r="G202" s="442">
        <v>1</v>
      </c>
      <c r="H202" s="442">
        <v>113.24</v>
      </c>
      <c r="I202" s="442">
        <f t="shared" si="54"/>
        <v>113.24</v>
      </c>
      <c r="J202" s="544">
        <f t="shared" si="55"/>
        <v>0.24640000000000001</v>
      </c>
      <c r="K202" s="442">
        <f t="shared" si="47"/>
        <v>141.13999999999999</v>
      </c>
      <c r="L202" s="442">
        <f t="shared" si="56"/>
        <v>141.13999999999999</v>
      </c>
    </row>
    <row r="203" spans="2:12" ht="38.25" x14ac:dyDescent="0.25">
      <c r="B203" s="443" t="s">
        <v>1536</v>
      </c>
      <c r="C203" s="443" t="s">
        <v>1537</v>
      </c>
      <c r="D203" s="443" t="s">
        <v>1168</v>
      </c>
      <c r="E203" s="441" t="s">
        <v>527</v>
      </c>
      <c r="F203" s="437" t="s">
        <v>49</v>
      </c>
      <c r="G203" s="442">
        <v>14</v>
      </c>
      <c r="H203" s="442">
        <v>31.01</v>
      </c>
      <c r="I203" s="442">
        <f t="shared" si="54"/>
        <v>434.14</v>
      </c>
      <c r="J203" s="544">
        <f t="shared" si="55"/>
        <v>0.24640000000000001</v>
      </c>
      <c r="K203" s="442">
        <f t="shared" ref="K203:K266" si="57">TRUNC(H203 * (1 + J203), 2)</f>
        <v>38.65</v>
      </c>
      <c r="L203" s="442">
        <f t="shared" si="56"/>
        <v>541.1</v>
      </c>
    </row>
    <row r="204" spans="2:12" ht="38.25" x14ac:dyDescent="0.25">
      <c r="B204" s="443" t="s">
        <v>1538</v>
      </c>
      <c r="C204" s="443" t="s">
        <v>1539</v>
      </c>
      <c r="D204" s="443" t="s">
        <v>1168</v>
      </c>
      <c r="E204" s="441" t="s">
        <v>528</v>
      </c>
      <c r="F204" s="437" t="s">
        <v>49</v>
      </c>
      <c r="G204" s="442">
        <v>4</v>
      </c>
      <c r="H204" s="442">
        <v>47.6</v>
      </c>
      <c r="I204" s="442">
        <f t="shared" si="54"/>
        <v>190.4</v>
      </c>
      <c r="J204" s="544">
        <f t="shared" si="55"/>
        <v>0.24640000000000001</v>
      </c>
      <c r="K204" s="442">
        <f t="shared" si="57"/>
        <v>59.32</v>
      </c>
      <c r="L204" s="442">
        <f t="shared" si="56"/>
        <v>237.28</v>
      </c>
    </row>
    <row r="205" spans="2:12" ht="38.25" x14ac:dyDescent="0.25">
      <c r="B205" s="443" t="s">
        <v>1540</v>
      </c>
      <c r="C205" s="443" t="s">
        <v>1541</v>
      </c>
      <c r="D205" s="443" t="s">
        <v>1168</v>
      </c>
      <c r="E205" s="441" t="s">
        <v>529</v>
      </c>
      <c r="F205" s="437" t="s">
        <v>49</v>
      </c>
      <c r="G205" s="442">
        <v>3</v>
      </c>
      <c r="H205" s="442">
        <v>91.73</v>
      </c>
      <c r="I205" s="442">
        <f t="shared" si="54"/>
        <v>275.19</v>
      </c>
      <c r="J205" s="544">
        <f t="shared" si="55"/>
        <v>0.24640000000000001</v>
      </c>
      <c r="K205" s="442">
        <f t="shared" si="57"/>
        <v>114.33</v>
      </c>
      <c r="L205" s="442">
        <f t="shared" si="56"/>
        <v>342.99</v>
      </c>
    </row>
    <row r="206" spans="2:12" ht="25.5" x14ac:dyDescent="0.25">
      <c r="B206" s="443" t="s">
        <v>1542</v>
      </c>
      <c r="C206" s="443" t="s">
        <v>1543</v>
      </c>
      <c r="D206" s="443" t="s">
        <v>1168</v>
      </c>
      <c r="E206" s="441" t="s">
        <v>530</v>
      </c>
      <c r="F206" s="437" t="s">
        <v>49</v>
      </c>
      <c r="G206" s="442">
        <v>22</v>
      </c>
      <c r="H206" s="442">
        <v>18.68</v>
      </c>
      <c r="I206" s="442">
        <f t="shared" si="54"/>
        <v>410.96</v>
      </c>
      <c r="J206" s="544">
        <f t="shared" si="55"/>
        <v>0.24640000000000001</v>
      </c>
      <c r="K206" s="442">
        <f t="shared" si="57"/>
        <v>23.28</v>
      </c>
      <c r="L206" s="442">
        <f t="shared" si="56"/>
        <v>512.16</v>
      </c>
    </row>
    <row r="207" spans="2:12" ht="25.5" x14ac:dyDescent="0.25">
      <c r="B207" s="443" t="s">
        <v>1544</v>
      </c>
      <c r="C207" s="443" t="s">
        <v>1545</v>
      </c>
      <c r="D207" s="443" t="s">
        <v>1168</v>
      </c>
      <c r="E207" s="441" t="s">
        <v>531</v>
      </c>
      <c r="F207" s="437" t="s">
        <v>49</v>
      </c>
      <c r="G207" s="442">
        <v>7</v>
      </c>
      <c r="H207" s="442">
        <v>30.64</v>
      </c>
      <c r="I207" s="442">
        <f t="shared" si="54"/>
        <v>214.48</v>
      </c>
      <c r="J207" s="544">
        <f t="shared" si="55"/>
        <v>0.24640000000000001</v>
      </c>
      <c r="K207" s="442">
        <f t="shared" si="57"/>
        <v>38.18</v>
      </c>
      <c r="L207" s="442">
        <f t="shared" si="56"/>
        <v>267.26</v>
      </c>
    </row>
    <row r="208" spans="2:12" ht="38.25" x14ac:dyDescent="0.25">
      <c r="B208" s="443" t="s">
        <v>1546</v>
      </c>
      <c r="C208" s="443" t="s">
        <v>1547</v>
      </c>
      <c r="D208" s="443" t="s">
        <v>1168</v>
      </c>
      <c r="E208" s="441" t="s">
        <v>532</v>
      </c>
      <c r="F208" s="437" t="s">
        <v>38</v>
      </c>
      <c r="G208" s="442">
        <v>4031</v>
      </c>
      <c r="H208" s="442">
        <v>21.28</v>
      </c>
      <c r="I208" s="442">
        <f t="shared" si="54"/>
        <v>85779.68</v>
      </c>
      <c r="J208" s="544">
        <f t="shared" si="55"/>
        <v>0.24640000000000001</v>
      </c>
      <c r="K208" s="442">
        <f t="shared" si="57"/>
        <v>26.52</v>
      </c>
      <c r="L208" s="442">
        <f t="shared" si="56"/>
        <v>106902.12</v>
      </c>
    </row>
    <row r="209" spans="2:12" ht="38.25" x14ac:dyDescent="0.25">
      <c r="B209" s="443" t="s">
        <v>1548</v>
      </c>
      <c r="C209" s="443" t="s">
        <v>1549</v>
      </c>
      <c r="D209" s="443" t="s">
        <v>1168</v>
      </c>
      <c r="E209" s="441" t="s">
        <v>533</v>
      </c>
      <c r="F209" s="437" t="s">
        <v>38</v>
      </c>
      <c r="G209" s="442">
        <v>452</v>
      </c>
      <c r="H209" s="442">
        <v>40.19</v>
      </c>
      <c r="I209" s="442">
        <f t="shared" si="54"/>
        <v>18165.88</v>
      </c>
      <c r="J209" s="544">
        <f t="shared" si="55"/>
        <v>0.24640000000000001</v>
      </c>
      <c r="K209" s="442">
        <f t="shared" si="57"/>
        <v>50.09</v>
      </c>
      <c r="L209" s="442">
        <f t="shared" si="56"/>
        <v>22640.68</v>
      </c>
    </row>
    <row r="210" spans="2:12" ht="38.25" x14ac:dyDescent="0.25">
      <c r="B210" s="443" t="s">
        <v>1550</v>
      </c>
      <c r="C210" s="443" t="s">
        <v>1551</v>
      </c>
      <c r="D210" s="443" t="s">
        <v>1168</v>
      </c>
      <c r="E210" s="441" t="s">
        <v>534</v>
      </c>
      <c r="F210" s="437" t="s">
        <v>38</v>
      </c>
      <c r="G210" s="442">
        <v>352</v>
      </c>
      <c r="H210" s="442">
        <v>65.84</v>
      </c>
      <c r="I210" s="442">
        <f t="shared" si="54"/>
        <v>23175.68</v>
      </c>
      <c r="J210" s="544">
        <f t="shared" si="55"/>
        <v>0.24640000000000001</v>
      </c>
      <c r="K210" s="442">
        <f t="shared" si="57"/>
        <v>82.06</v>
      </c>
      <c r="L210" s="442">
        <f t="shared" si="56"/>
        <v>28885.119999999999</v>
      </c>
    </row>
    <row r="211" spans="2:12" ht="38.25" x14ac:dyDescent="0.25">
      <c r="B211" s="443" t="s">
        <v>1552</v>
      </c>
      <c r="C211" s="443" t="s">
        <v>1553</v>
      </c>
      <c r="D211" s="443" t="s">
        <v>1168</v>
      </c>
      <c r="E211" s="441" t="s">
        <v>535</v>
      </c>
      <c r="F211" s="437" t="s">
        <v>49</v>
      </c>
      <c r="G211" s="442">
        <v>1</v>
      </c>
      <c r="H211" s="442">
        <v>45.27</v>
      </c>
      <c r="I211" s="442">
        <f t="shared" si="54"/>
        <v>45.27</v>
      </c>
      <c r="J211" s="544">
        <f t="shared" si="55"/>
        <v>0.24640000000000001</v>
      </c>
      <c r="K211" s="442">
        <f t="shared" si="57"/>
        <v>56.42</v>
      </c>
      <c r="L211" s="442">
        <f t="shared" si="56"/>
        <v>56.42</v>
      </c>
    </row>
    <row r="212" spans="2:12" ht="25.5" x14ac:dyDescent="0.25">
      <c r="B212" s="443" t="s">
        <v>1554</v>
      </c>
      <c r="C212" s="443" t="s">
        <v>1555</v>
      </c>
      <c r="D212" s="443" t="s">
        <v>1168</v>
      </c>
      <c r="E212" s="441" t="s">
        <v>536</v>
      </c>
      <c r="F212" s="437" t="s">
        <v>49</v>
      </c>
      <c r="G212" s="442">
        <v>4</v>
      </c>
      <c r="H212" s="442">
        <v>23.36</v>
      </c>
      <c r="I212" s="442">
        <f t="shared" si="54"/>
        <v>93.44</v>
      </c>
      <c r="J212" s="544">
        <f t="shared" si="55"/>
        <v>0.24640000000000001</v>
      </c>
      <c r="K212" s="442">
        <f t="shared" si="57"/>
        <v>29.11</v>
      </c>
      <c r="L212" s="442">
        <f t="shared" si="56"/>
        <v>116.44</v>
      </c>
    </row>
    <row r="213" spans="2:12" ht="25.5" x14ac:dyDescent="0.25">
      <c r="B213" s="443" t="s">
        <v>1556</v>
      </c>
      <c r="C213" s="443" t="s">
        <v>1557</v>
      </c>
      <c r="D213" s="443" t="s">
        <v>1168</v>
      </c>
      <c r="E213" s="441" t="s">
        <v>537</v>
      </c>
      <c r="F213" s="437" t="s">
        <v>49</v>
      </c>
      <c r="G213" s="442">
        <v>4</v>
      </c>
      <c r="H213" s="442">
        <v>167.99</v>
      </c>
      <c r="I213" s="442">
        <f t="shared" si="54"/>
        <v>671.96</v>
      </c>
      <c r="J213" s="544">
        <f t="shared" si="55"/>
        <v>0.24640000000000001</v>
      </c>
      <c r="K213" s="442">
        <f t="shared" si="57"/>
        <v>209.38</v>
      </c>
      <c r="L213" s="442">
        <f t="shared" si="56"/>
        <v>837.52</v>
      </c>
    </row>
    <row r="214" spans="2:12" ht="38.25" x14ac:dyDescent="0.25">
      <c r="B214" s="443" t="s">
        <v>1558</v>
      </c>
      <c r="C214" s="443" t="s">
        <v>1559</v>
      </c>
      <c r="D214" s="443" t="s">
        <v>1168</v>
      </c>
      <c r="E214" s="441" t="s">
        <v>539</v>
      </c>
      <c r="F214" s="437" t="s">
        <v>49</v>
      </c>
      <c r="G214" s="442">
        <v>7</v>
      </c>
      <c r="H214" s="442">
        <v>570.97</v>
      </c>
      <c r="I214" s="442">
        <f t="shared" si="54"/>
        <v>3996.79</v>
      </c>
      <c r="J214" s="544">
        <f t="shared" si="55"/>
        <v>0.24640000000000001</v>
      </c>
      <c r="K214" s="442">
        <f t="shared" si="57"/>
        <v>711.65</v>
      </c>
      <c r="L214" s="442">
        <f t="shared" si="56"/>
        <v>4981.55</v>
      </c>
    </row>
    <row r="215" spans="2:12" ht="51" x14ac:dyDescent="0.25">
      <c r="B215" s="443" t="s">
        <v>1560</v>
      </c>
      <c r="C215" s="443" t="s">
        <v>1561</v>
      </c>
      <c r="D215" s="443" t="s">
        <v>1168</v>
      </c>
      <c r="E215" s="441" t="s">
        <v>541</v>
      </c>
      <c r="F215" s="437" t="s">
        <v>130</v>
      </c>
      <c r="G215" s="442">
        <v>15</v>
      </c>
      <c r="H215" s="442">
        <v>46.5</v>
      </c>
      <c r="I215" s="442">
        <f t="shared" si="54"/>
        <v>697.5</v>
      </c>
      <c r="J215" s="544">
        <f t="shared" si="55"/>
        <v>0.24640000000000001</v>
      </c>
      <c r="K215" s="442">
        <f t="shared" si="57"/>
        <v>57.95</v>
      </c>
      <c r="L215" s="442">
        <f t="shared" si="56"/>
        <v>869.25</v>
      </c>
    </row>
    <row r="216" spans="2:12" ht="38.25" x14ac:dyDescent="0.25">
      <c r="B216" s="443" t="s">
        <v>1562</v>
      </c>
      <c r="C216" s="443" t="s">
        <v>1563</v>
      </c>
      <c r="D216" s="443" t="s">
        <v>1168</v>
      </c>
      <c r="E216" s="441" t="s">
        <v>542</v>
      </c>
      <c r="F216" s="437" t="s">
        <v>49</v>
      </c>
      <c r="G216" s="442">
        <v>4</v>
      </c>
      <c r="H216" s="442">
        <v>382.9</v>
      </c>
      <c r="I216" s="442">
        <f t="shared" si="54"/>
        <v>1531.6</v>
      </c>
      <c r="J216" s="544">
        <f t="shared" si="55"/>
        <v>0.24640000000000001</v>
      </c>
      <c r="K216" s="442">
        <f t="shared" si="57"/>
        <v>477.24</v>
      </c>
      <c r="L216" s="442">
        <f t="shared" si="56"/>
        <v>1908.96</v>
      </c>
    </row>
    <row r="217" spans="2:12" ht="25.5" x14ac:dyDescent="0.25">
      <c r="B217" s="443" t="s">
        <v>1564</v>
      </c>
      <c r="C217" s="443" t="s">
        <v>1565</v>
      </c>
      <c r="D217" s="443" t="s">
        <v>1168</v>
      </c>
      <c r="E217" s="441" t="s">
        <v>1566</v>
      </c>
      <c r="F217" s="437" t="s">
        <v>41</v>
      </c>
      <c r="G217" s="442">
        <v>4.3</v>
      </c>
      <c r="H217" s="442">
        <v>837.57</v>
      </c>
      <c r="I217" s="442">
        <f t="shared" si="54"/>
        <v>3601.55</v>
      </c>
      <c r="J217" s="544">
        <f t="shared" si="55"/>
        <v>0.24640000000000001</v>
      </c>
      <c r="K217" s="442">
        <f t="shared" si="57"/>
        <v>1043.94</v>
      </c>
      <c r="L217" s="442">
        <f t="shared" si="56"/>
        <v>4488.9399999999996</v>
      </c>
    </row>
    <row r="218" spans="2:12" ht="51" x14ac:dyDescent="0.25">
      <c r="B218" s="443" t="s">
        <v>1567</v>
      </c>
      <c r="C218" s="443" t="s">
        <v>1568</v>
      </c>
      <c r="D218" s="443" t="s">
        <v>1168</v>
      </c>
      <c r="E218" s="441" t="s">
        <v>544</v>
      </c>
      <c r="F218" s="437" t="s">
        <v>49</v>
      </c>
      <c r="G218" s="442">
        <v>8</v>
      </c>
      <c r="H218" s="442">
        <v>1274.6600000000001</v>
      </c>
      <c r="I218" s="442">
        <f t="shared" si="54"/>
        <v>10197.280000000001</v>
      </c>
      <c r="J218" s="544">
        <f t="shared" si="55"/>
        <v>0.24640000000000001</v>
      </c>
      <c r="K218" s="442">
        <f t="shared" si="57"/>
        <v>1588.73</v>
      </c>
      <c r="L218" s="442">
        <f t="shared" si="56"/>
        <v>12709.84</v>
      </c>
    </row>
    <row r="219" spans="2:12" ht="51" x14ac:dyDescent="0.25">
      <c r="B219" s="443" t="s">
        <v>1569</v>
      </c>
      <c r="C219" s="443" t="s">
        <v>1570</v>
      </c>
      <c r="D219" s="443" t="s">
        <v>1168</v>
      </c>
      <c r="E219" s="441" t="s">
        <v>545</v>
      </c>
      <c r="F219" s="437" t="s">
        <v>49</v>
      </c>
      <c r="G219" s="442">
        <v>2</v>
      </c>
      <c r="H219" s="442">
        <v>8329.83</v>
      </c>
      <c r="I219" s="442">
        <f t="shared" si="54"/>
        <v>16659.66</v>
      </c>
      <c r="J219" s="544">
        <f t="shared" si="55"/>
        <v>0.24640000000000001</v>
      </c>
      <c r="K219" s="442">
        <f t="shared" si="57"/>
        <v>10382.299999999999</v>
      </c>
      <c r="L219" s="442">
        <f t="shared" si="56"/>
        <v>20764.599999999999</v>
      </c>
    </row>
    <row r="220" spans="2:12" ht="51" x14ac:dyDescent="0.25">
      <c r="B220" s="443" t="s">
        <v>1571</v>
      </c>
      <c r="C220" s="443" t="s">
        <v>1572</v>
      </c>
      <c r="D220" s="443" t="s">
        <v>1168</v>
      </c>
      <c r="E220" s="441" t="s">
        <v>546</v>
      </c>
      <c r="F220" s="437" t="s">
        <v>49</v>
      </c>
      <c r="G220" s="442">
        <v>3</v>
      </c>
      <c r="H220" s="442">
        <v>747.45</v>
      </c>
      <c r="I220" s="442">
        <f t="shared" si="54"/>
        <v>2242.35</v>
      </c>
      <c r="J220" s="544">
        <f t="shared" si="55"/>
        <v>0.24640000000000001</v>
      </c>
      <c r="K220" s="442">
        <f t="shared" si="57"/>
        <v>931.62</v>
      </c>
      <c r="L220" s="442">
        <f t="shared" si="56"/>
        <v>2794.86</v>
      </c>
    </row>
    <row r="221" spans="2:12" ht="25.5" x14ac:dyDescent="0.25">
      <c r="B221" s="443" t="s">
        <v>1573</v>
      </c>
      <c r="C221" s="443" t="s">
        <v>1574</v>
      </c>
      <c r="D221" s="443" t="s">
        <v>1168</v>
      </c>
      <c r="E221" s="441" t="s">
        <v>548</v>
      </c>
      <c r="F221" s="437" t="s">
        <v>49</v>
      </c>
      <c r="G221" s="442">
        <v>2</v>
      </c>
      <c r="H221" s="442">
        <v>1961.32</v>
      </c>
      <c r="I221" s="442">
        <f t="shared" si="54"/>
        <v>3922.64</v>
      </c>
      <c r="J221" s="544">
        <f t="shared" si="55"/>
        <v>0.24640000000000001</v>
      </c>
      <c r="K221" s="442">
        <f t="shared" si="57"/>
        <v>2444.58</v>
      </c>
      <c r="L221" s="442">
        <f t="shared" si="56"/>
        <v>4889.16</v>
      </c>
    </row>
    <row r="222" spans="2:12" x14ac:dyDescent="0.25">
      <c r="B222" s="443" t="s">
        <v>1575</v>
      </c>
      <c r="C222" s="443" t="s">
        <v>1576</v>
      </c>
      <c r="D222" s="443" t="s">
        <v>1168</v>
      </c>
      <c r="E222" s="441" t="s">
        <v>2724</v>
      </c>
      <c r="F222" s="437" t="s">
        <v>1141</v>
      </c>
      <c r="G222" s="442">
        <v>1</v>
      </c>
      <c r="H222" s="442">
        <v>416.3</v>
      </c>
      <c r="I222" s="442">
        <f t="shared" si="54"/>
        <v>416.3</v>
      </c>
      <c r="J222" s="544">
        <f t="shared" si="55"/>
        <v>0.24640000000000001</v>
      </c>
      <c r="K222" s="442">
        <f t="shared" si="57"/>
        <v>518.87</v>
      </c>
      <c r="L222" s="442">
        <f t="shared" si="56"/>
        <v>518.87</v>
      </c>
    </row>
    <row r="223" spans="2:12" ht="38.25" x14ac:dyDescent="0.25">
      <c r="B223" s="443" t="s">
        <v>1577</v>
      </c>
      <c r="C223" s="443" t="s">
        <v>1578</v>
      </c>
      <c r="D223" s="443" t="s">
        <v>1168</v>
      </c>
      <c r="E223" s="441" t="s">
        <v>573</v>
      </c>
      <c r="F223" s="437" t="s">
        <v>49</v>
      </c>
      <c r="G223" s="442">
        <v>2</v>
      </c>
      <c r="H223" s="442">
        <v>501.92</v>
      </c>
      <c r="I223" s="442">
        <f t="shared" si="54"/>
        <v>1003.84</v>
      </c>
      <c r="J223" s="544">
        <f t="shared" si="55"/>
        <v>0.24640000000000001</v>
      </c>
      <c r="K223" s="442">
        <f t="shared" si="57"/>
        <v>625.59</v>
      </c>
      <c r="L223" s="442">
        <f t="shared" si="56"/>
        <v>1251.18</v>
      </c>
    </row>
    <row r="224" spans="2:12" ht="51" x14ac:dyDescent="0.25">
      <c r="B224" s="443" t="s">
        <v>1579</v>
      </c>
      <c r="C224" s="443" t="s">
        <v>1580</v>
      </c>
      <c r="D224" s="443" t="s">
        <v>1168</v>
      </c>
      <c r="E224" s="441" t="s">
        <v>574</v>
      </c>
      <c r="F224" s="437" t="s">
        <v>49</v>
      </c>
      <c r="G224" s="442">
        <v>1</v>
      </c>
      <c r="H224" s="442">
        <v>431.59</v>
      </c>
      <c r="I224" s="442">
        <f t="shared" si="54"/>
        <v>431.59</v>
      </c>
      <c r="J224" s="544">
        <f t="shared" si="55"/>
        <v>0.24640000000000001</v>
      </c>
      <c r="K224" s="442">
        <f t="shared" si="57"/>
        <v>537.92999999999995</v>
      </c>
      <c r="L224" s="442">
        <f t="shared" si="56"/>
        <v>537.92999999999995</v>
      </c>
    </row>
    <row r="225" spans="2:12" x14ac:dyDescent="0.25">
      <c r="B225" s="443" t="s">
        <v>1581</v>
      </c>
      <c r="C225" s="443" t="s">
        <v>1582</v>
      </c>
      <c r="D225" s="443" t="s">
        <v>575</v>
      </c>
      <c r="E225" s="441" t="s">
        <v>576</v>
      </c>
      <c r="F225" s="437" t="s">
        <v>49</v>
      </c>
      <c r="G225" s="442">
        <v>10</v>
      </c>
      <c r="H225" s="442">
        <v>14.04</v>
      </c>
      <c r="I225" s="442">
        <f t="shared" si="54"/>
        <v>140.4</v>
      </c>
      <c r="J225" s="544">
        <f t="shared" si="55"/>
        <v>0.24640000000000001</v>
      </c>
      <c r="K225" s="442">
        <f t="shared" si="57"/>
        <v>17.489999999999998</v>
      </c>
      <c r="L225" s="442">
        <f t="shared" si="56"/>
        <v>174.9</v>
      </c>
    </row>
    <row r="226" spans="2:12" x14ac:dyDescent="0.25">
      <c r="B226" s="443" t="s">
        <v>1583</v>
      </c>
      <c r="C226" s="443" t="s">
        <v>1584</v>
      </c>
      <c r="D226" s="443" t="s">
        <v>1168</v>
      </c>
      <c r="E226" s="441" t="s">
        <v>577</v>
      </c>
      <c r="F226" s="437" t="s">
        <v>49</v>
      </c>
      <c r="G226" s="442">
        <v>80</v>
      </c>
      <c r="H226" s="442">
        <v>9.15</v>
      </c>
      <c r="I226" s="442">
        <f t="shared" si="54"/>
        <v>732</v>
      </c>
      <c r="J226" s="544">
        <f t="shared" si="55"/>
        <v>0.24640000000000001</v>
      </c>
      <c r="K226" s="442">
        <f t="shared" si="57"/>
        <v>11.4</v>
      </c>
      <c r="L226" s="442">
        <f t="shared" si="56"/>
        <v>912</v>
      </c>
    </row>
    <row r="227" spans="2:12" ht="25.5" x14ac:dyDescent="0.25">
      <c r="B227" s="443" t="s">
        <v>1585</v>
      </c>
      <c r="C227" s="443" t="s">
        <v>1586</v>
      </c>
      <c r="D227" s="443" t="s">
        <v>1168</v>
      </c>
      <c r="E227" s="441" t="s">
        <v>594</v>
      </c>
      <c r="F227" s="437" t="s">
        <v>38</v>
      </c>
      <c r="G227" s="442">
        <v>2</v>
      </c>
      <c r="H227" s="442">
        <v>3052</v>
      </c>
      <c r="I227" s="442">
        <f t="shared" si="54"/>
        <v>6104</v>
      </c>
      <c r="J227" s="544">
        <f t="shared" si="55"/>
        <v>0.24640000000000001</v>
      </c>
      <c r="K227" s="442">
        <f t="shared" si="57"/>
        <v>3804.01</v>
      </c>
      <c r="L227" s="442">
        <f t="shared" si="56"/>
        <v>7608.02</v>
      </c>
    </row>
    <row r="228" spans="2:12" ht="51" x14ac:dyDescent="0.25">
      <c r="B228" s="443" t="s">
        <v>1587</v>
      </c>
      <c r="C228" s="443" t="s">
        <v>1588</v>
      </c>
      <c r="D228" s="443" t="s">
        <v>1168</v>
      </c>
      <c r="E228" s="441" t="s">
        <v>1589</v>
      </c>
      <c r="F228" s="437" t="s">
        <v>49</v>
      </c>
      <c r="G228" s="442">
        <v>2</v>
      </c>
      <c r="H228" s="442">
        <v>1296.5899999999999</v>
      </c>
      <c r="I228" s="442">
        <f t="shared" si="54"/>
        <v>2593.1799999999998</v>
      </c>
      <c r="J228" s="544">
        <f t="shared" si="55"/>
        <v>0.24640000000000001</v>
      </c>
      <c r="K228" s="442">
        <f t="shared" si="57"/>
        <v>1616.06</v>
      </c>
      <c r="L228" s="442">
        <f t="shared" si="56"/>
        <v>3232.12</v>
      </c>
    </row>
    <row r="229" spans="2:12" ht="63.75" x14ac:dyDescent="0.25">
      <c r="B229" s="443" t="s">
        <v>1590</v>
      </c>
      <c r="C229" s="443" t="s">
        <v>1591</v>
      </c>
      <c r="D229" s="443" t="s">
        <v>1168</v>
      </c>
      <c r="E229" s="441" t="s">
        <v>596</v>
      </c>
      <c r="F229" s="437" t="s">
        <v>49</v>
      </c>
      <c r="G229" s="442">
        <v>2</v>
      </c>
      <c r="H229" s="442">
        <v>815.81</v>
      </c>
      <c r="I229" s="442">
        <f t="shared" si="54"/>
        <v>1631.62</v>
      </c>
      <c r="J229" s="544">
        <f t="shared" si="55"/>
        <v>0.24640000000000001</v>
      </c>
      <c r="K229" s="442">
        <f t="shared" si="57"/>
        <v>1016.82</v>
      </c>
      <c r="L229" s="442">
        <f t="shared" si="56"/>
        <v>2033.64</v>
      </c>
    </row>
    <row r="230" spans="2:12" ht="51" x14ac:dyDescent="0.25">
      <c r="B230" s="443" t="s">
        <v>1592</v>
      </c>
      <c r="C230" s="443" t="s">
        <v>1593</v>
      </c>
      <c r="D230" s="443" t="s">
        <v>1168</v>
      </c>
      <c r="E230" s="441" t="s">
        <v>598</v>
      </c>
      <c r="F230" s="437" t="s">
        <v>49</v>
      </c>
      <c r="G230" s="442">
        <v>1</v>
      </c>
      <c r="H230" s="442">
        <v>720.28</v>
      </c>
      <c r="I230" s="442">
        <f t="shared" si="54"/>
        <v>720.28</v>
      </c>
      <c r="J230" s="544">
        <f t="shared" si="55"/>
        <v>0.24640000000000001</v>
      </c>
      <c r="K230" s="442">
        <f t="shared" si="57"/>
        <v>897.75</v>
      </c>
      <c r="L230" s="442">
        <f t="shared" si="56"/>
        <v>897.75</v>
      </c>
    </row>
    <row r="231" spans="2:12" ht="25.5" x14ac:dyDescent="0.25">
      <c r="B231" s="443" t="s">
        <v>1594</v>
      </c>
      <c r="C231" s="443" t="s">
        <v>1595</v>
      </c>
      <c r="D231" s="443" t="s">
        <v>1168</v>
      </c>
      <c r="E231" s="441" t="s">
        <v>599</v>
      </c>
      <c r="F231" s="437" t="s">
        <v>49</v>
      </c>
      <c r="G231" s="442">
        <v>2</v>
      </c>
      <c r="H231" s="442">
        <v>599.49</v>
      </c>
      <c r="I231" s="442">
        <f t="shared" si="54"/>
        <v>1198.98</v>
      </c>
      <c r="J231" s="544">
        <f t="shared" si="55"/>
        <v>0.24640000000000001</v>
      </c>
      <c r="K231" s="442">
        <f t="shared" si="57"/>
        <v>747.2</v>
      </c>
      <c r="L231" s="442">
        <f t="shared" si="56"/>
        <v>1494.4</v>
      </c>
    </row>
    <row r="232" spans="2:12" ht="25.5" x14ac:dyDescent="0.25">
      <c r="B232" s="443" t="s">
        <v>1596</v>
      </c>
      <c r="C232" s="443" t="s">
        <v>1597</v>
      </c>
      <c r="D232" s="443" t="s">
        <v>1168</v>
      </c>
      <c r="E232" s="441" t="s">
        <v>600</v>
      </c>
      <c r="F232" s="437" t="s">
        <v>49</v>
      </c>
      <c r="G232" s="442">
        <v>1</v>
      </c>
      <c r="H232" s="442">
        <v>2699.96</v>
      </c>
      <c r="I232" s="442">
        <f t="shared" si="54"/>
        <v>2699.96</v>
      </c>
      <c r="J232" s="544">
        <f t="shared" si="55"/>
        <v>0.24640000000000001</v>
      </c>
      <c r="K232" s="442">
        <f t="shared" si="57"/>
        <v>3365.23</v>
      </c>
      <c r="L232" s="442">
        <f t="shared" si="56"/>
        <v>3365.23</v>
      </c>
    </row>
    <row r="233" spans="2:12" ht="51" x14ac:dyDescent="0.25">
      <c r="B233" s="443" t="s">
        <v>1598</v>
      </c>
      <c r="C233" s="443" t="s">
        <v>1599</v>
      </c>
      <c r="D233" s="443" t="s">
        <v>1168</v>
      </c>
      <c r="E233" s="441" t="s">
        <v>601</v>
      </c>
      <c r="F233" s="437" t="s">
        <v>49</v>
      </c>
      <c r="G233" s="442">
        <v>2</v>
      </c>
      <c r="H233" s="442">
        <v>798.52</v>
      </c>
      <c r="I233" s="442">
        <f t="shared" si="54"/>
        <v>1597.04</v>
      </c>
      <c r="J233" s="544">
        <f t="shared" si="55"/>
        <v>0.24640000000000001</v>
      </c>
      <c r="K233" s="442">
        <f t="shared" si="57"/>
        <v>995.27</v>
      </c>
      <c r="L233" s="442">
        <f t="shared" si="56"/>
        <v>1990.54</v>
      </c>
    </row>
    <row r="234" spans="2:12" ht="25.5" x14ac:dyDescent="0.25">
      <c r="B234" s="443" t="s">
        <v>1600</v>
      </c>
      <c r="C234" s="443" t="s">
        <v>1601</v>
      </c>
      <c r="D234" s="443" t="s">
        <v>1168</v>
      </c>
      <c r="E234" s="441" t="s">
        <v>603</v>
      </c>
      <c r="F234" s="437" t="s">
        <v>38</v>
      </c>
      <c r="G234" s="442">
        <v>4</v>
      </c>
      <c r="H234" s="442">
        <v>356.18</v>
      </c>
      <c r="I234" s="442">
        <f t="shared" si="54"/>
        <v>1424.72</v>
      </c>
      <c r="J234" s="544">
        <f t="shared" si="55"/>
        <v>0.24640000000000001</v>
      </c>
      <c r="K234" s="442">
        <f t="shared" si="57"/>
        <v>443.94</v>
      </c>
      <c r="L234" s="442">
        <f t="shared" si="56"/>
        <v>1775.76</v>
      </c>
    </row>
    <row r="235" spans="2:12" ht="38.25" x14ac:dyDescent="0.25">
      <c r="B235" s="443" t="s">
        <v>1602</v>
      </c>
      <c r="C235" s="443" t="s">
        <v>1603</v>
      </c>
      <c r="D235" s="443" t="s">
        <v>1168</v>
      </c>
      <c r="E235" s="441" t="s">
        <v>604</v>
      </c>
      <c r="F235" s="437" t="s">
        <v>41</v>
      </c>
      <c r="G235" s="442">
        <v>643</v>
      </c>
      <c r="H235" s="442">
        <v>96</v>
      </c>
      <c r="I235" s="442">
        <f t="shared" si="54"/>
        <v>61728</v>
      </c>
      <c r="J235" s="544">
        <f t="shared" si="55"/>
        <v>0.24640000000000001</v>
      </c>
      <c r="K235" s="442">
        <f t="shared" si="57"/>
        <v>119.65</v>
      </c>
      <c r="L235" s="442">
        <f t="shared" si="56"/>
        <v>76934.95</v>
      </c>
    </row>
    <row r="236" spans="2:12" ht="25.5" x14ac:dyDescent="0.25">
      <c r="B236" s="443" t="s">
        <v>1604</v>
      </c>
      <c r="C236" s="443" t="s">
        <v>1605</v>
      </c>
      <c r="D236" s="443" t="s">
        <v>1168</v>
      </c>
      <c r="E236" s="441" t="s">
        <v>605</v>
      </c>
      <c r="F236" s="437" t="s">
        <v>49</v>
      </c>
      <c r="G236" s="442">
        <v>6</v>
      </c>
      <c r="H236" s="442">
        <v>635.77</v>
      </c>
      <c r="I236" s="442">
        <f t="shared" si="54"/>
        <v>3814.62</v>
      </c>
      <c r="J236" s="544">
        <f t="shared" si="55"/>
        <v>0.24640000000000001</v>
      </c>
      <c r="K236" s="442">
        <f t="shared" si="57"/>
        <v>792.42</v>
      </c>
      <c r="L236" s="442">
        <f t="shared" si="56"/>
        <v>4754.5200000000004</v>
      </c>
    </row>
    <row r="237" spans="2:12" ht="25.5" x14ac:dyDescent="0.25">
      <c r="B237" s="443" t="s">
        <v>1606</v>
      </c>
      <c r="C237" s="443" t="s">
        <v>1607</v>
      </c>
      <c r="D237" s="443" t="s">
        <v>1168</v>
      </c>
      <c r="E237" s="441" t="s">
        <v>1608</v>
      </c>
      <c r="F237" s="437" t="s">
        <v>41</v>
      </c>
      <c r="G237" s="442">
        <v>8</v>
      </c>
      <c r="H237" s="442">
        <v>1045.6500000000001</v>
      </c>
      <c r="I237" s="442">
        <f t="shared" si="54"/>
        <v>8365.2000000000007</v>
      </c>
      <c r="J237" s="544">
        <f t="shared" si="55"/>
        <v>0.24640000000000001</v>
      </c>
      <c r="K237" s="442">
        <f t="shared" si="57"/>
        <v>1303.29</v>
      </c>
      <c r="L237" s="442">
        <f t="shared" si="56"/>
        <v>10426.32</v>
      </c>
    </row>
    <row r="238" spans="2:12" ht="51" x14ac:dyDescent="0.25">
      <c r="B238" s="443" t="s">
        <v>1609</v>
      </c>
      <c r="C238" s="443" t="s">
        <v>1610</v>
      </c>
      <c r="D238" s="443" t="s">
        <v>1168</v>
      </c>
      <c r="E238" s="441" t="s">
        <v>608</v>
      </c>
      <c r="F238" s="437" t="s">
        <v>49</v>
      </c>
      <c r="G238" s="442">
        <v>4</v>
      </c>
      <c r="H238" s="442">
        <v>2007.76</v>
      </c>
      <c r="I238" s="442">
        <f t="shared" si="54"/>
        <v>8031.04</v>
      </c>
      <c r="J238" s="544">
        <f t="shared" si="55"/>
        <v>0.24640000000000001</v>
      </c>
      <c r="K238" s="442">
        <f t="shared" si="57"/>
        <v>2502.4699999999998</v>
      </c>
      <c r="L238" s="442">
        <f t="shared" si="56"/>
        <v>10009.879999999999</v>
      </c>
    </row>
    <row r="239" spans="2:12" ht="51" x14ac:dyDescent="0.25">
      <c r="B239" s="443" t="s">
        <v>1611</v>
      </c>
      <c r="C239" s="443" t="s">
        <v>1612</v>
      </c>
      <c r="D239" s="443" t="s">
        <v>1168</v>
      </c>
      <c r="E239" s="441" t="s">
        <v>606</v>
      </c>
      <c r="F239" s="437" t="s">
        <v>49</v>
      </c>
      <c r="G239" s="442">
        <v>4</v>
      </c>
      <c r="H239" s="442">
        <v>927.8</v>
      </c>
      <c r="I239" s="442">
        <f t="shared" si="54"/>
        <v>3711.2</v>
      </c>
      <c r="J239" s="544">
        <f t="shared" si="55"/>
        <v>0.24640000000000001</v>
      </c>
      <c r="K239" s="442">
        <f t="shared" si="57"/>
        <v>1156.4000000000001</v>
      </c>
      <c r="L239" s="442">
        <f t="shared" si="56"/>
        <v>4625.6000000000004</v>
      </c>
    </row>
    <row r="240" spans="2:12" ht="51" x14ac:dyDescent="0.25">
      <c r="B240" s="443" t="s">
        <v>1613</v>
      </c>
      <c r="C240" s="443" t="s">
        <v>1614</v>
      </c>
      <c r="D240" s="443" t="s">
        <v>1168</v>
      </c>
      <c r="E240" s="441" t="s">
        <v>609</v>
      </c>
      <c r="F240" s="437" t="s">
        <v>49</v>
      </c>
      <c r="G240" s="442">
        <v>4</v>
      </c>
      <c r="H240" s="442">
        <v>1590.29</v>
      </c>
      <c r="I240" s="442">
        <f t="shared" si="54"/>
        <v>6361.16</v>
      </c>
      <c r="J240" s="544">
        <f t="shared" si="55"/>
        <v>0.24640000000000001</v>
      </c>
      <c r="K240" s="442">
        <f t="shared" si="57"/>
        <v>1982.13</v>
      </c>
      <c r="L240" s="442">
        <f t="shared" si="56"/>
        <v>7928.52</v>
      </c>
    </row>
    <row r="241" spans="2:12" ht="51" x14ac:dyDescent="0.25">
      <c r="B241" s="443" t="s">
        <v>1615</v>
      </c>
      <c r="C241" s="443" t="s">
        <v>1616</v>
      </c>
      <c r="D241" s="443" t="s">
        <v>1168</v>
      </c>
      <c r="E241" s="441" t="s">
        <v>610</v>
      </c>
      <c r="F241" s="437" t="s">
        <v>49</v>
      </c>
      <c r="G241" s="442">
        <v>1</v>
      </c>
      <c r="H241" s="442">
        <v>420.3</v>
      </c>
      <c r="I241" s="442">
        <f t="shared" si="54"/>
        <v>420.3</v>
      </c>
      <c r="J241" s="544">
        <f t="shared" si="55"/>
        <v>0.24640000000000001</v>
      </c>
      <c r="K241" s="442">
        <f t="shared" si="57"/>
        <v>523.86</v>
      </c>
      <c r="L241" s="442">
        <f t="shared" si="56"/>
        <v>523.86</v>
      </c>
    </row>
    <row r="242" spans="2:12" ht="51" x14ac:dyDescent="0.25">
      <c r="B242" s="443" t="s">
        <v>1617</v>
      </c>
      <c r="C242" s="443" t="s">
        <v>1618</v>
      </c>
      <c r="D242" s="443" t="s">
        <v>1168</v>
      </c>
      <c r="E242" s="441" t="s">
        <v>611</v>
      </c>
      <c r="F242" s="437" t="s">
        <v>49</v>
      </c>
      <c r="G242" s="442">
        <v>1</v>
      </c>
      <c r="H242" s="442">
        <v>3310.91</v>
      </c>
      <c r="I242" s="442">
        <f t="shared" si="54"/>
        <v>3310.91</v>
      </c>
      <c r="J242" s="544">
        <f t="shared" si="55"/>
        <v>0.24640000000000001</v>
      </c>
      <c r="K242" s="442">
        <f t="shared" si="57"/>
        <v>4126.71</v>
      </c>
      <c r="L242" s="442">
        <f t="shared" si="56"/>
        <v>4126.71</v>
      </c>
    </row>
    <row r="243" spans="2:12" ht="51" x14ac:dyDescent="0.25">
      <c r="B243" s="443" t="s">
        <v>1619</v>
      </c>
      <c r="C243" s="443" t="s">
        <v>1620</v>
      </c>
      <c r="D243" s="443" t="s">
        <v>1168</v>
      </c>
      <c r="E243" s="441" t="s">
        <v>612</v>
      </c>
      <c r="F243" s="437" t="s">
        <v>49</v>
      </c>
      <c r="G243" s="442">
        <v>1</v>
      </c>
      <c r="H243" s="442">
        <v>1490.92</v>
      </c>
      <c r="I243" s="442">
        <f t="shared" si="54"/>
        <v>1490.92</v>
      </c>
      <c r="J243" s="544">
        <f t="shared" si="55"/>
        <v>0.24640000000000001</v>
      </c>
      <c r="K243" s="442">
        <f t="shared" si="57"/>
        <v>1858.28</v>
      </c>
      <c r="L243" s="442">
        <f t="shared" si="56"/>
        <v>1858.28</v>
      </c>
    </row>
    <row r="244" spans="2:12" ht="25.5" x14ac:dyDescent="0.25">
      <c r="B244" s="443" t="s">
        <v>1621</v>
      </c>
      <c r="C244" s="443" t="s">
        <v>1622</v>
      </c>
      <c r="D244" s="443" t="s">
        <v>1168</v>
      </c>
      <c r="E244" s="441" t="s">
        <v>613</v>
      </c>
      <c r="F244" s="437" t="s">
        <v>49</v>
      </c>
      <c r="G244" s="442">
        <v>1</v>
      </c>
      <c r="H244" s="442">
        <v>1597.65</v>
      </c>
      <c r="I244" s="442">
        <f t="shared" si="54"/>
        <v>1597.65</v>
      </c>
      <c r="J244" s="544">
        <f t="shared" si="55"/>
        <v>0.24640000000000001</v>
      </c>
      <c r="K244" s="442">
        <f t="shared" si="57"/>
        <v>1991.31</v>
      </c>
      <c r="L244" s="442">
        <f t="shared" si="56"/>
        <v>1991.31</v>
      </c>
    </row>
    <row r="245" spans="2:12" ht="25.5" x14ac:dyDescent="0.25">
      <c r="B245" s="443" t="s">
        <v>1623</v>
      </c>
      <c r="C245" s="443" t="s">
        <v>1624</v>
      </c>
      <c r="D245" s="443" t="s">
        <v>1168</v>
      </c>
      <c r="E245" s="441" t="s">
        <v>614</v>
      </c>
      <c r="F245" s="437" t="s">
        <v>41</v>
      </c>
      <c r="G245" s="442">
        <v>14.1</v>
      </c>
      <c r="H245" s="442">
        <v>1276.4100000000001</v>
      </c>
      <c r="I245" s="442">
        <f t="shared" si="54"/>
        <v>17997.38</v>
      </c>
      <c r="J245" s="544">
        <f t="shared" si="55"/>
        <v>0.24640000000000001</v>
      </c>
      <c r="K245" s="442">
        <f t="shared" si="57"/>
        <v>1590.91</v>
      </c>
      <c r="L245" s="442">
        <f t="shared" si="56"/>
        <v>22431.83</v>
      </c>
    </row>
    <row r="246" spans="2:12" ht="51" x14ac:dyDescent="0.25">
      <c r="B246" s="443" t="s">
        <v>1625</v>
      </c>
      <c r="C246" s="443" t="s">
        <v>1626</v>
      </c>
      <c r="D246" s="443" t="s">
        <v>1168</v>
      </c>
      <c r="E246" s="441" t="s">
        <v>1627</v>
      </c>
      <c r="F246" s="437" t="s">
        <v>49</v>
      </c>
      <c r="G246" s="442">
        <v>1</v>
      </c>
      <c r="H246" s="442">
        <v>1202.8900000000001</v>
      </c>
      <c r="I246" s="442">
        <f t="shared" si="54"/>
        <v>1202.8900000000001</v>
      </c>
      <c r="J246" s="544">
        <f t="shared" si="55"/>
        <v>0.24640000000000001</v>
      </c>
      <c r="K246" s="442">
        <f t="shared" si="57"/>
        <v>1499.28</v>
      </c>
      <c r="L246" s="442">
        <f t="shared" si="56"/>
        <v>1499.28</v>
      </c>
    </row>
    <row r="247" spans="2:12" ht="25.5" x14ac:dyDescent="0.25">
      <c r="B247" s="443" t="s">
        <v>1628</v>
      </c>
      <c r="C247" s="443" t="s">
        <v>1629</v>
      </c>
      <c r="D247" s="443" t="s">
        <v>1168</v>
      </c>
      <c r="E247" s="441" t="s">
        <v>616</v>
      </c>
      <c r="F247" s="437" t="s">
        <v>49</v>
      </c>
      <c r="G247" s="442">
        <v>1</v>
      </c>
      <c r="H247" s="442">
        <v>2388</v>
      </c>
      <c r="I247" s="442">
        <f t="shared" si="54"/>
        <v>2388</v>
      </c>
      <c r="J247" s="544">
        <f t="shared" si="55"/>
        <v>0.24640000000000001</v>
      </c>
      <c r="K247" s="442">
        <f t="shared" si="57"/>
        <v>2976.4</v>
      </c>
      <c r="L247" s="442">
        <f t="shared" si="56"/>
        <v>2976.4</v>
      </c>
    </row>
    <row r="248" spans="2:12" ht="51" x14ac:dyDescent="0.25">
      <c r="B248" s="443" t="s">
        <v>1630</v>
      </c>
      <c r="C248" s="443" t="s">
        <v>1631</v>
      </c>
      <c r="D248" s="443" t="s">
        <v>1168</v>
      </c>
      <c r="E248" s="441" t="s">
        <v>617</v>
      </c>
      <c r="F248" s="437" t="s">
        <v>49</v>
      </c>
      <c r="G248" s="442">
        <v>1</v>
      </c>
      <c r="H248" s="442">
        <v>908.7</v>
      </c>
      <c r="I248" s="442">
        <f t="shared" si="54"/>
        <v>908.7</v>
      </c>
      <c r="J248" s="544">
        <f t="shared" si="55"/>
        <v>0.24640000000000001</v>
      </c>
      <c r="K248" s="442">
        <f t="shared" si="57"/>
        <v>1132.5999999999999</v>
      </c>
      <c r="L248" s="442">
        <f t="shared" si="56"/>
        <v>1132.5999999999999</v>
      </c>
    </row>
    <row r="249" spans="2:12" ht="63.75" x14ac:dyDescent="0.25">
      <c r="B249" s="443" t="s">
        <v>1632</v>
      </c>
      <c r="C249" s="443" t="s">
        <v>1633</v>
      </c>
      <c r="D249" s="443" t="s">
        <v>1168</v>
      </c>
      <c r="E249" s="441" t="s">
        <v>618</v>
      </c>
      <c r="F249" s="437" t="s">
        <v>49</v>
      </c>
      <c r="G249" s="442">
        <v>1</v>
      </c>
      <c r="H249" s="442">
        <v>1549.71</v>
      </c>
      <c r="I249" s="442">
        <f t="shared" si="54"/>
        <v>1549.71</v>
      </c>
      <c r="J249" s="544">
        <f t="shared" si="55"/>
        <v>0.24640000000000001</v>
      </c>
      <c r="K249" s="442">
        <f t="shared" si="57"/>
        <v>1931.55</v>
      </c>
      <c r="L249" s="442">
        <f t="shared" si="56"/>
        <v>1931.55</v>
      </c>
    </row>
    <row r="250" spans="2:12" ht="25.5" x14ac:dyDescent="0.25">
      <c r="B250" s="443" t="s">
        <v>1634</v>
      </c>
      <c r="C250" s="443" t="s">
        <v>1635</v>
      </c>
      <c r="D250" s="443" t="s">
        <v>1168</v>
      </c>
      <c r="E250" s="441" t="s">
        <v>619</v>
      </c>
      <c r="F250" s="437" t="s">
        <v>49</v>
      </c>
      <c r="G250" s="442">
        <v>1</v>
      </c>
      <c r="H250" s="442">
        <v>2448.1</v>
      </c>
      <c r="I250" s="442">
        <f t="shared" si="54"/>
        <v>2448.1</v>
      </c>
      <c r="J250" s="544">
        <f t="shared" si="55"/>
        <v>0.24640000000000001</v>
      </c>
      <c r="K250" s="442">
        <f t="shared" si="57"/>
        <v>3051.31</v>
      </c>
      <c r="L250" s="442">
        <f t="shared" si="56"/>
        <v>3051.31</v>
      </c>
    </row>
    <row r="251" spans="2:12" ht="51" x14ac:dyDescent="0.25">
      <c r="B251" s="443" t="s">
        <v>1636</v>
      </c>
      <c r="C251" s="443" t="s">
        <v>1637</v>
      </c>
      <c r="D251" s="443" t="s">
        <v>1168</v>
      </c>
      <c r="E251" s="441" t="s">
        <v>620</v>
      </c>
      <c r="F251" s="437" t="s">
        <v>49</v>
      </c>
      <c r="G251" s="442">
        <v>1</v>
      </c>
      <c r="H251" s="442">
        <v>2513.86</v>
      </c>
      <c r="I251" s="442">
        <f t="shared" si="54"/>
        <v>2513.86</v>
      </c>
      <c r="J251" s="544">
        <f t="shared" si="55"/>
        <v>0.24640000000000001</v>
      </c>
      <c r="K251" s="442">
        <f t="shared" si="57"/>
        <v>3133.27</v>
      </c>
      <c r="L251" s="442">
        <f t="shared" si="56"/>
        <v>3133.27</v>
      </c>
    </row>
    <row r="252" spans="2:12" ht="63.75" x14ac:dyDescent="0.25">
      <c r="B252" s="443" t="s">
        <v>1638</v>
      </c>
      <c r="C252" s="443" t="s">
        <v>1639</v>
      </c>
      <c r="D252" s="443" t="s">
        <v>1168</v>
      </c>
      <c r="E252" s="441" t="s">
        <v>621</v>
      </c>
      <c r="F252" s="437" t="s">
        <v>49</v>
      </c>
      <c r="G252" s="442">
        <v>2</v>
      </c>
      <c r="H252" s="442">
        <v>829.44</v>
      </c>
      <c r="I252" s="442">
        <f t="shared" si="54"/>
        <v>1658.88</v>
      </c>
      <c r="J252" s="544">
        <f t="shared" si="55"/>
        <v>0.24640000000000001</v>
      </c>
      <c r="K252" s="442">
        <f t="shared" si="57"/>
        <v>1033.81</v>
      </c>
      <c r="L252" s="442">
        <f t="shared" si="56"/>
        <v>2067.62</v>
      </c>
    </row>
    <row r="253" spans="2:12" ht="38.25" x14ac:dyDescent="0.25">
      <c r="B253" s="443" t="s">
        <v>1640</v>
      </c>
      <c r="C253" s="443" t="s">
        <v>1641</v>
      </c>
      <c r="D253" s="443" t="s">
        <v>1168</v>
      </c>
      <c r="E253" s="441" t="s">
        <v>1642</v>
      </c>
      <c r="F253" s="437" t="s">
        <v>49</v>
      </c>
      <c r="G253" s="442">
        <v>3</v>
      </c>
      <c r="H253" s="442">
        <v>447.94</v>
      </c>
      <c r="I253" s="442">
        <f t="shared" si="54"/>
        <v>1343.82</v>
      </c>
      <c r="J253" s="544">
        <f t="shared" si="55"/>
        <v>0.24640000000000001</v>
      </c>
      <c r="K253" s="442">
        <f t="shared" si="57"/>
        <v>558.30999999999995</v>
      </c>
      <c r="L253" s="442">
        <f t="shared" si="56"/>
        <v>1674.93</v>
      </c>
    </row>
    <row r="254" spans="2:12" x14ac:dyDescent="0.25">
      <c r="B254" s="443" t="s">
        <v>1643</v>
      </c>
      <c r="C254" s="443" t="s">
        <v>1644</v>
      </c>
      <c r="D254" s="443" t="s">
        <v>1113</v>
      </c>
      <c r="E254" s="441" t="s">
        <v>1645</v>
      </c>
      <c r="F254" s="437" t="s">
        <v>1141</v>
      </c>
      <c r="G254" s="442">
        <v>3</v>
      </c>
      <c r="H254" s="442">
        <v>5.04</v>
      </c>
      <c r="I254" s="442">
        <f t="shared" si="54"/>
        <v>15.12</v>
      </c>
      <c r="J254" s="544">
        <f t="shared" si="55"/>
        <v>0.24640000000000001</v>
      </c>
      <c r="K254" s="442">
        <f t="shared" si="57"/>
        <v>6.28</v>
      </c>
      <c r="L254" s="442">
        <f t="shared" si="56"/>
        <v>18.84</v>
      </c>
    </row>
    <row r="255" spans="2:12" x14ac:dyDescent="0.25">
      <c r="B255" s="443" t="s">
        <v>1646</v>
      </c>
      <c r="C255" s="443" t="s">
        <v>1647</v>
      </c>
      <c r="D255" s="443" t="s">
        <v>1113</v>
      </c>
      <c r="E255" s="441" t="s">
        <v>1648</v>
      </c>
      <c r="F255" s="437" t="s">
        <v>1141</v>
      </c>
      <c r="G255" s="442">
        <v>3</v>
      </c>
      <c r="H255" s="442">
        <v>64.42</v>
      </c>
      <c r="I255" s="442">
        <f t="shared" ref="I255:I278" si="58">TRUNC(G255 * H255, 2)</f>
        <v>193.26</v>
      </c>
      <c r="J255" s="544">
        <f t="shared" ref="J255:J281" si="59">+$L$5</f>
        <v>0.24640000000000001</v>
      </c>
      <c r="K255" s="442">
        <f t="shared" si="57"/>
        <v>80.290000000000006</v>
      </c>
      <c r="L255" s="442">
        <f t="shared" ref="L255:L278" si="60">TRUNC(G255 * K255, 2)</f>
        <v>240.87</v>
      </c>
    </row>
    <row r="256" spans="2:12" ht="25.5" x14ac:dyDescent="0.25">
      <c r="B256" s="443" t="s">
        <v>1649</v>
      </c>
      <c r="C256" s="443" t="s">
        <v>1650</v>
      </c>
      <c r="D256" s="443" t="s">
        <v>1168</v>
      </c>
      <c r="E256" s="441" t="s">
        <v>627</v>
      </c>
      <c r="F256" s="437" t="s">
        <v>49</v>
      </c>
      <c r="G256" s="442">
        <v>3</v>
      </c>
      <c r="H256" s="442">
        <v>19.46</v>
      </c>
      <c r="I256" s="442">
        <f t="shared" si="58"/>
        <v>58.38</v>
      </c>
      <c r="J256" s="544">
        <f t="shared" si="59"/>
        <v>0.24640000000000001</v>
      </c>
      <c r="K256" s="442">
        <f t="shared" si="57"/>
        <v>24.25</v>
      </c>
      <c r="L256" s="442">
        <f t="shared" si="60"/>
        <v>72.75</v>
      </c>
    </row>
    <row r="257" spans="2:12" ht="25.5" x14ac:dyDescent="0.25">
      <c r="B257" s="443" t="s">
        <v>1651</v>
      </c>
      <c r="C257" s="443" t="s">
        <v>1652</v>
      </c>
      <c r="D257" s="443" t="s">
        <v>1168</v>
      </c>
      <c r="E257" s="441" t="s">
        <v>628</v>
      </c>
      <c r="F257" s="437" t="s">
        <v>130</v>
      </c>
      <c r="G257" s="442">
        <v>1.7</v>
      </c>
      <c r="H257" s="442">
        <v>55.71</v>
      </c>
      <c r="I257" s="442">
        <f t="shared" si="58"/>
        <v>94.7</v>
      </c>
      <c r="J257" s="544">
        <f t="shared" si="59"/>
        <v>0.24640000000000001</v>
      </c>
      <c r="K257" s="442">
        <f t="shared" si="57"/>
        <v>69.430000000000007</v>
      </c>
      <c r="L257" s="442">
        <f t="shared" si="60"/>
        <v>118.03</v>
      </c>
    </row>
    <row r="258" spans="2:12" x14ac:dyDescent="0.25">
      <c r="B258" s="443" t="s">
        <v>1653</v>
      </c>
      <c r="C258" s="443" t="s">
        <v>1654</v>
      </c>
      <c r="D258" s="443" t="s">
        <v>1113</v>
      </c>
      <c r="E258" s="441" t="s">
        <v>1655</v>
      </c>
      <c r="F258" s="437" t="s">
        <v>1141</v>
      </c>
      <c r="G258" s="442">
        <v>3</v>
      </c>
      <c r="H258" s="442">
        <v>4.68</v>
      </c>
      <c r="I258" s="442">
        <f t="shared" si="58"/>
        <v>14.04</v>
      </c>
      <c r="J258" s="544">
        <f t="shared" si="59"/>
        <v>0.24640000000000001</v>
      </c>
      <c r="K258" s="442">
        <f t="shared" si="57"/>
        <v>5.83</v>
      </c>
      <c r="L258" s="442">
        <f t="shared" si="60"/>
        <v>17.489999999999998</v>
      </c>
    </row>
    <row r="259" spans="2:12" x14ac:dyDescent="0.25">
      <c r="B259" s="443" t="s">
        <v>1656</v>
      </c>
      <c r="C259" s="443" t="s">
        <v>1657</v>
      </c>
      <c r="D259" s="443" t="s">
        <v>1113</v>
      </c>
      <c r="E259" s="441" t="s">
        <v>1658</v>
      </c>
      <c r="F259" s="437" t="s">
        <v>1141</v>
      </c>
      <c r="G259" s="442">
        <v>3</v>
      </c>
      <c r="H259" s="442">
        <v>8.89</v>
      </c>
      <c r="I259" s="442">
        <f t="shared" si="58"/>
        <v>26.67</v>
      </c>
      <c r="J259" s="544">
        <f t="shared" si="59"/>
        <v>0.24640000000000001</v>
      </c>
      <c r="K259" s="442">
        <f t="shared" si="57"/>
        <v>11.08</v>
      </c>
      <c r="L259" s="442">
        <f t="shared" si="60"/>
        <v>33.24</v>
      </c>
    </row>
    <row r="260" spans="2:12" x14ac:dyDescent="0.25">
      <c r="B260" s="443" t="s">
        <v>1659</v>
      </c>
      <c r="C260" s="443" t="s">
        <v>1660</v>
      </c>
      <c r="D260" s="443" t="s">
        <v>1113</v>
      </c>
      <c r="E260" s="441" t="s">
        <v>1661</v>
      </c>
      <c r="F260" s="437" t="s">
        <v>1141</v>
      </c>
      <c r="G260" s="442">
        <v>8</v>
      </c>
      <c r="H260" s="442">
        <v>8.08</v>
      </c>
      <c r="I260" s="442">
        <f t="shared" si="58"/>
        <v>64.64</v>
      </c>
      <c r="J260" s="544">
        <f t="shared" si="59"/>
        <v>0.24640000000000001</v>
      </c>
      <c r="K260" s="442">
        <f t="shared" si="57"/>
        <v>10.07</v>
      </c>
      <c r="L260" s="442">
        <f t="shared" si="60"/>
        <v>80.56</v>
      </c>
    </row>
    <row r="261" spans="2:12" x14ac:dyDescent="0.25">
      <c r="B261" s="443" t="s">
        <v>1662</v>
      </c>
      <c r="C261" s="443" t="s">
        <v>1663</v>
      </c>
      <c r="D261" s="443" t="s">
        <v>1113</v>
      </c>
      <c r="E261" s="441" t="s">
        <v>1664</v>
      </c>
      <c r="F261" s="437" t="s">
        <v>130</v>
      </c>
      <c r="G261" s="442">
        <v>54</v>
      </c>
      <c r="H261" s="442">
        <v>8.56</v>
      </c>
      <c r="I261" s="442">
        <f t="shared" si="58"/>
        <v>462.24</v>
      </c>
      <c r="J261" s="544">
        <f t="shared" si="59"/>
        <v>0.24640000000000001</v>
      </c>
      <c r="K261" s="442">
        <f t="shared" si="57"/>
        <v>10.66</v>
      </c>
      <c r="L261" s="442">
        <f t="shared" si="60"/>
        <v>575.64</v>
      </c>
    </row>
    <row r="262" spans="2:12" x14ac:dyDescent="0.25">
      <c r="B262" s="443" t="s">
        <v>1665</v>
      </c>
      <c r="C262" s="443" t="s">
        <v>1666</v>
      </c>
      <c r="D262" s="443" t="s">
        <v>1168</v>
      </c>
      <c r="E262" s="441" t="s">
        <v>637</v>
      </c>
      <c r="F262" s="437" t="s">
        <v>38</v>
      </c>
      <c r="G262" s="442">
        <v>1</v>
      </c>
      <c r="H262" s="442">
        <v>56.78</v>
      </c>
      <c r="I262" s="442">
        <f t="shared" si="58"/>
        <v>56.78</v>
      </c>
      <c r="J262" s="544">
        <f t="shared" si="59"/>
        <v>0.24640000000000001</v>
      </c>
      <c r="K262" s="442">
        <f t="shared" si="57"/>
        <v>70.77</v>
      </c>
      <c r="L262" s="442">
        <f t="shared" si="60"/>
        <v>70.77</v>
      </c>
    </row>
    <row r="263" spans="2:12" x14ac:dyDescent="0.25">
      <c r="B263" s="443" t="s">
        <v>1667</v>
      </c>
      <c r="C263" s="443" t="s">
        <v>1668</v>
      </c>
      <c r="D263" s="443" t="s">
        <v>1113</v>
      </c>
      <c r="E263" s="441" t="s">
        <v>1669</v>
      </c>
      <c r="F263" s="437" t="s">
        <v>1141</v>
      </c>
      <c r="G263" s="442">
        <v>1</v>
      </c>
      <c r="H263" s="442">
        <v>60.44</v>
      </c>
      <c r="I263" s="442">
        <f t="shared" si="58"/>
        <v>60.44</v>
      </c>
      <c r="J263" s="544">
        <f t="shared" si="59"/>
        <v>0.24640000000000001</v>
      </c>
      <c r="K263" s="442">
        <f t="shared" si="57"/>
        <v>75.33</v>
      </c>
      <c r="L263" s="442">
        <f t="shared" si="60"/>
        <v>75.33</v>
      </c>
    </row>
    <row r="264" spans="2:12" x14ac:dyDescent="0.25">
      <c r="B264" s="443" t="s">
        <v>1670</v>
      </c>
      <c r="C264" s="443" t="s">
        <v>1671</v>
      </c>
      <c r="D264" s="443" t="s">
        <v>1113</v>
      </c>
      <c r="E264" s="441" t="s">
        <v>1672</v>
      </c>
      <c r="F264" s="437" t="s">
        <v>1141</v>
      </c>
      <c r="G264" s="442">
        <v>1</v>
      </c>
      <c r="H264" s="442">
        <v>12.5</v>
      </c>
      <c r="I264" s="442">
        <f t="shared" si="58"/>
        <v>12.5</v>
      </c>
      <c r="J264" s="544">
        <f t="shared" si="59"/>
        <v>0.24640000000000001</v>
      </c>
      <c r="K264" s="442">
        <f t="shared" si="57"/>
        <v>15.58</v>
      </c>
      <c r="L264" s="442">
        <f t="shared" si="60"/>
        <v>15.58</v>
      </c>
    </row>
    <row r="265" spans="2:12" ht="25.5" x14ac:dyDescent="0.25">
      <c r="B265" s="443" t="s">
        <v>1673</v>
      </c>
      <c r="C265" s="443" t="s">
        <v>1674</v>
      </c>
      <c r="D265" s="443" t="s">
        <v>1168</v>
      </c>
      <c r="E265" s="441" t="s">
        <v>643</v>
      </c>
      <c r="F265" s="437" t="s">
        <v>38</v>
      </c>
      <c r="G265" s="442">
        <v>1</v>
      </c>
      <c r="H265" s="442">
        <v>40.04</v>
      </c>
      <c r="I265" s="442">
        <f t="shared" si="58"/>
        <v>40.04</v>
      </c>
      <c r="J265" s="544">
        <f t="shared" si="59"/>
        <v>0.24640000000000001</v>
      </c>
      <c r="K265" s="442">
        <f t="shared" si="57"/>
        <v>49.9</v>
      </c>
      <c r="L265" s="442">
        <f t="shared" si="60"/>
        <v>49.9</v>
      </c>
    </row>
    <row r="266" spans="2:12" x14ac:dyDescent="0.25">
      <c r="B266" s="443" t="s">
        <v>1675</v>
      </c>
      <c r="C266" s="443" t="s">
        <v>1676</v>
      </c>
      <c r="D266" s="443" t="s">
        <v>575</v>
      </c>
      <c r="E266" s="441" t="s">
        <v>657</v>
      </c>
      <c r="F266" s="437" t="s">
        <v>41</v>
      </c>
      <c r="G266" s="442">
        <v>5569.1</v>
      </c>
      <c r="H266" s="442">
        <v>1.1299999999999999</v>
      </c>
      <c r="I266" s="442">
        <f t="shared" si="58"/>
        <v>6293.08</v>
      </c>
      <c r="J266" s="544">
        <f t="shared" si="59"/>
        <v>0.24640000000000001</v>
      </c>
      <c r="K266" s="442">
        <f t="shared" si="57"/>
        <v>1.4</v>
      </c>
      <c r="L266" s="442">
        <f t="shared" si="60"/>
        <v>7796.74</v>
      </c>
    </row>
    <row r="267" spans="2:12" x14ac:dyDescent="0.25">
      <c r="B267" s="443" t="s">
        <v>1677</v>
      </c>
      <c r="C267" s="443" t="s">
        <v>1678</v>
      </c>
      <c r="D267" s="443" t="s">
        <v>575</v>
      </c>
      <c r="E267" s="441" t="s">
        <v>656</v>
      </c>
      <c r="F267" s="437" t="s">
        <v>41</v>
      </c>
      <c r="G267" s="442">
        <v>5569.1</v>
      </c>
      <c r="H267" s="442">
        <v>1.39</v>
      </c>
      <c r="I267" s="442">
        <f t="shared" si="58"/>
        <v>7741.04</v>
      </c>
      <c r="J267" s="544">
        <f t="shared" si="59"/>
        <v>0.24640000000000001</v>
      </c>
      <c r="K267" s="442">
        <f t="shared" ref="K267:K281" si="61">TRUNC(H267 * (1 + J267), 2)</f>
        <v>1.73</v>
      </c>
      <c r="L267" s="442">
        <f t="shared" si="60"/>
        <v>9634.5400000000009</v>
      </c>
    </row>
    <row r="268" spans="2:12" ht="25.5" x14ac:dyDescent="0.25">
      <c r="B268" s="443" t="s">
        <v>1679</v>
      </c>
      <c r="C268" s="443" t="s">
        <v>1680</v>
      </c>
      <c r="D268" s="443" t="s">
        <v>1168</v>
      </c>
      <c r="E268" s="441" t="s">
        <v>658</v>
      </c>
      <c r="F268" s="437" t="s">
        <v>130</v>
      </c>
      <c r="G268" s="442">
        <v>4031</v>
      </c>
      <c r="H268" s="442">
        <v>0.38</v>
      </c>
      <c r="I268" s="442">
        <f t="shared" si="58"/>
        <v>1531.78</v>
      </c>
      <c r="J268" s="544">
        <f t="shared" si="59"/>
        <v>0.24640000000000001</v>
      </c>
      <c r="K268" s="442">
        <f t="shared" si="61"/>
        <v>0.47</v>
      </c>
      <c r="L268" s="442">
        <f t="shared" si="60"/>
        <v>1894.57</v>
      </c>
    </row>
    <row r="269" spans="2:12" ht="25.5" x14ac:dyDescent="0.25">
      <c r="B269" s="443" t="s">
        <v>1681</v>
      </c>
      <c r="C269" s="443" t="s">
        <v>1682</v>
      </c>
      <c r="D269" s="443" t="s">
        <v>1168</v>
      </c>
      <c r="E269" s="441" t="s">
        <v>659</v>
      </c>
      <c r="F269" s="437" t="s">
        <v>130</v>
      </c>
      <c r="G269" s="442">
        <v>452</v>
      </c>
      <c r="H269" s="442">
        <v>0.67</v>
      </c>
      <c r="I269" s="442">
        <f t="shared" si="58"/>
        <v>302.83999999999997</v>
      </c>
      <c r="J269" s="544">
        <f t="shared" si="59"/>
        <v>0.24640000000000001</v>
      </c>
      <c r="K269" s="442">
        <f t="shared" si="61"/>
        <v>0.83</v>
      </c>
      <c r="L269" s="442">
        <f t="shared" si="60"/>
        <v>375.16</v>
      </c>
    </row>
    <row r="270" spans="2:12" ht="25.5" x14ac:dyDescent="0.25">
      <c r="B270" s="443" t="s">
        <v>1683</v>
      </c>
      <c r="C270" s="443" t="s">
        <v>1684</v>
      </c>
      <c r="D270" s="443" t="s">
        <v>1168</v>
      </c>
      <c r="E270" s="441" t="s">
        <v>660</v>
      </c>
      <c r="F270" s="437" t="s">
        <v>130</v>
      </c>
      <c r="G270" s="442">
        <v>352</v>
      </c>
      <c r="H270" s="442">
        <v>0.74</v>
      </c>
      <c r="I270" s="442">
        <f t="shared" si="58"/>
        <v>260.48</v>
      </c>
      <c r="J270" s="544">
        <f t="shared" si="59"/>
        <v>0.24640000000000001</v>
      </c>
      <c r="K270" s="442">
        <f t="shared" si="61"/>
        <v>0.92</v>
      </c>
      <c r="L270" s="442">
        <f t="shared" si="60"/>
        <v>323.83999999999997</v>
      </c>
    </row>
    <row r="271" spans="2:12" ht="25.5" x14ac:dyDescent="0.25">
      <c r="B271" s="443" t="s">
        <v>1685</v>
      </c>
      <c r="C271" s="443" t="s">
        <v>1686</v>
      </c>
      <c r="D271" s="443" t="s">
        <v>1168</v>
      </c>
      <c r="E271" s="441" t="s">
        <v>886</v>
      </c>
      <c r="F271" s="437" t="s">
        <v>49</v>
      </c>
      <c r="G271" s="442">
        <v>4</v>
      </c>
      <c r="H271" s="442">
        <v>654.48</v>
      </c>
      <c r="I271" s="442">
        <f t="shared" si="58"/>
        <v>2617.92</v>
      </c>
      <c r="J271" s="544">
        <f t="shared" si="59"/>
        <v>0.24640000000000001</v>
      </c>
      <c r="K271" s="442">
        <f t="shared" si="61"/>
        <v>815.74</v>
      </c>
      <c r="L271" s="442">
        <f t="shared" si="60"/>
        <v>3262.96</v>
      </c>
    </row>
    <row r="272" spans="2:12" ht="51" x14ac:dyDescent="0.25">
      <c r="B272" s="443" t="s">
        <v>1687</v>
      </c>
      <c r="C272" s="443" t="s">
        <v>1688</v>
      </c>
      <c r="D272" s="443" t="s">
        <v>1168</v>
      </c>
      <c r="E272" s="441" t="s">
        <v>888</v>
      </c>
      <c r="F272" s="437" t="s">
        <v>49</v>
      </c>
      <c r="G272" s="442">
        <v>1</v>
      </c>
      <c r="H272" s="442">
        <v>594.76</v>
      </c>
      <c r="I272" s="442">
        <f t="shared" si="58"/>
        <v>594.76</v>
      </c>
      <c r="J272" s="544">
        <f t="shared" si="59"/>
        <v>0.24640000000000001</v>
      </c>
      <c r="K272" s="442">
        <f t="shared" si="61"/>
        <v>741.3</v>
      </c>
      <c r="L272" s="442">
        <f t="shared" si="60"/>
        <v>741.3</v>
      </c>
    </row>
    <row r="273" spans="2:13" ht="38.25" x14ac:dyDescent="0.25">
      <c r="B273" s="443" t="s">
        <v>1689</v>
      </c>
      <c r="C273" s="443" t="s">
        <v>1690</v>
      </c>
      <c r="D273" s="443" t="s">
        <v>1168</v>
      </c>
      <c r="E273" s="441" t="s">
        <v>877</v>
      </c>
      <c r="F273" s="437" t="s">
        <v>130</v>
      </c>
      <c r="G273" s="442">
        <v>1.2</v>
      </c>
      <c r="H273" s="442">
        <v>314.55</v>
      </c>
      <c r="I273" s="442">
        <f t="shared" si="58"/>
        <v>377.46</v>
      </c>
      <c r="J273" s="544">
        <f t="shared" si="59"/>
        <v>0.24640000000000001</v>
      </c>
      <c r="K273" s="442">
        <f t="shared" si="61"/>
        <v>392.05</v>
      </c>
      <c r="L273" s="442">
        <f t="shared" si="60"/>
        <v>470.46</v>
      </c>
    </row>
    <row r="274" spans="2:13" ht="38.25" x14ac:dyDescent="0.25">
      <c r="B274" s="443" t="s">
        <v>1691</v>
      </c>
      <c r="C274" s="443" t="s">
        <v>1692</v>
      </c>
      <c r="D274" s="443" t="s">
        <v>1168</v>
      </c>
      <c r="E274" s="441" t="s">
        <v>876</v>
      </c>
      <c r="F274" s="437" t="s">
        <v>130</v>
      </c>
      <c r="G274" s="442">
        <v>11.4</v>
      </c>
      <c r="H274" s="442">
        <v>544.36</v>
      </c>
      <c r="I274" s="442">
        <f t="shared" si="58"/>
        <v>6205.7</v>
      </c>
      <c r="J274" s="544">
        <f t="shared" si="59"/>
        <v>0.24640000000000001</v>
      </c>
      <c r="K274" s="442">
        <f t="shared" si="61"/>
        <v>678.49</v>
      </c>
      <c r="L274" s="442">
        <f t="shared" si="60"/>
        <v>7734.78</v>
      </c>
    </row>
    <row r="275" spans="2:13" ht="38.25" x14ac:dyDescent="0.25">
      <c r="B275" s="443" t="s">
        <v>1693</v>
      </c>
      <c r="C275" s="443" t="s">
        <v>1694</v>
      </c>
      <c r="D275" s="443" t="s">
        <v>1168</v>
      </c>
      <c r="E275" s="441" t="s">
        <v>878</v>
      </c>
      <c r="F275" s="437" t="s">
        <v>130</v>
      </c>
      <c r="G275" s="442">
        <v>6</v>
      </c>
      <c r="H275" s="442">
        <v>745.3</v>
      </c>
      <c r="I275" s="442">
        <f t="shared" si="58"/>
        <v>4471.8</v>
      </c>
      <c r="J275" s="544">
        <f t="shared" si="59"/>
        <v>0.24640000000000001</v>
      </c>
      <c r="K275" s="442">
        <f t="shared" si="61"/>
        <v>928.94</v>
      </c>
      <c r="L275" s="442">
        <f t="shared" si="60"/>
        <v>5573.64</v>
      </c>
    </row>
    <row r="276" spans="2:13" ht="25.5" x14ac:dyDescent="0.25">
      <c r="B276" s="443" t="s">
        <v>1695</v>
      </c>
      <c r="C276" s="443" t="s">
        <v>1696</v>
      </c>
      <c r="D276" s="443" t="s">
        <v>1168</v>
      </c>
      <c r="E276" s="441" t="s">
        <v>881</v>
      </c>
      <c r="F276" s="437" t="s">
        <v>38</v>
      </c>
      <c r="G276" s="442">
        <v>15</v>
      </c>
      <c r="H276" s="442">
        <v>517.28</v>
      </c>
      <c r="I276" s="442">
        <f t="shared" si="58"/>
        <v>7759.2</v>
      </c>
      <c r="J276" s="544">
        <f t="shared" si="59"/>
        <v>0.24640000000000001</v>
      </c>
      <c r="K276" s="442">
        <f t="shared" si="61"/>
        <v>644.73</v>
      </c>
      <c r="L276" s="442">
        <f t="shared" si="60"/>
        <v>9670.9500000000007</v>
      </c>
    </row>
    <row r="277" spans="2:13" ht="25.5" x14ac:dyDescent="0.25">
      <c r="B277" s="443" t="s">
        <v>1697</v>
      </c>
      <c r="C277" s="443" t="s">
        <v>1698</v>
      </c>
      <c r="D277" s="443" t="s">
        <v>1168</v>
      </c>
      <c r="E277" s="441" t="s">
        <v>884</v>
      </c>
      <c r="F277" s="437" t="s">
        <v>38</v>
      </c>
      <c r="G277" s="442">
        <v>16</v>
      </c>
      <c r="H277" s="442">
        <v>389.8</v>
      </c>
      <c r="I277" s="442">
        <f t="shared" si="58"/>
        <v>6236.8</v>
      </c>
      <c r="J277" s="544">
        <f t="shared" si="59"/>
        <v>0.24640000000000001</v>
      </c>
      <c r="K277" s="442">
        <f t="shared" si="61"/>
        <v>485.84</v>
      </c>
      <c r="L277" s="442">
        <f t="shared" si="60"/>
        <v>7773.44</v>
      </c>
    </row>
    <row r="278" spans="2:13" ht="25.5" x14ac:dyDescent="0.25">
      <c r="B278" s="443" t="s">
        <v>1699</v>
      </c>
      <c r="C278" s="443" t="s">
        <v>1700</v>
      </c>
      <c r="D278" s="443" t="s">
        <v>1168</v>
      </c>
      <c r="E278" s="441" t="s">
        <v>920</v>
      </c>
      <c r="F278" s="437" t="s">
        <v>38</v>
      </c>
      <c r="G278" s="442">
        <v>1</v>
      </c>
      <c r="H278" s="442">
        <v>491481.51</v>
      </c>
      <c r="I278" s="442">
        <f t="shared" si="58"/>
        <v>491481.51</v>
      </c>
      <c r="J278" s="544">
        <f>+$L$6</f>
        <v>0.1419</v>
      </c>
      <c r="K278" s="442">
        <f t="shared" si="61"/>
        <v>561222.73</v>
      </c>
      <c r="L278" s="442">
        <f t="shared" si="60"/>
        <v>561222.73</v>
      </c>
    </row>
    <row r="279" spans="2:13" x14ac:dyDescent="0.25">
      <c r="B279" s="439" t="s">
        <v>1701</v>
      </c>
      <c r="C279" s="439"/>
      <c r="D279" s="439"/>
      <c r="E279" s="438" t="s">
        <v>75</v>
      </c>
      <c r="F279" s="440"/>
      <c r="G279" s="440"/>
      <c r="H279" s="438"/>
      <c r="I279" s="440">
        <f>SUBTOTAL(9,I280:I281)</f>
        <v>13220.570000000002</v>
      </c>
      <c r="J279" s="438"/>
      <c r="K279" s="440">
        <f t="shared" si="61"/>
        <v>0</v>
      </c>
      <c r="L279" s="440">
        <f>SUBTOTAL(9,L280:L281)</f>
        <v>16472.64</v>
      </c>
    </row>
    <row r="280" spans="2:13" ht="25.5" x14ac:dyDescent="0.25">
      <c r="B280" s="443" t="s">
        <v>1702</v>
      </c>
      <c r="C280" s="443" t="s">
        <v>1703</v>
      </c>
      <c r="D280" s="443" t="s">
        <v>1113</v>
      </c>
      <c r="E280" s="441" t="s">
        <v>687</v>
      </c>
      <c r="F280" s="437" t="s">
        <v>19</v>
      </c>
      <c r="G280" s="442">
        <v>592.63</v>
      </c>
      <c r="H280" s="442">
        <v>21.75</v>
      </c>
      <c r="I280" s="442">
        <f t="shared" ref="I280:I281" si="62">TRUNC(G280 * H280, 2)</f>
        <v>12889.7</v>
      </c>
      <c r="J280" s="544">
        <f t="shared" si="59"/>
        <v>0.24640000000000001</v>
      </c>
      <c r="K280" s="442">
        <f t="shared" si="61"/>
        <v>27.1</v>
      </c>
      <c r="L280" s="442">
        <f>TRUNC(G280 * K280, 2)</f>
        <v>16060.27</v>
      </c>
    </row>
    <row r="281" spans="2:13" x14ac:dyDescent="0.25">
      <c r="B281" s="443" t="s">
        <v>1704</v>
      </c>
      <c r="C281" s="443" t="s">
        <v>1705</v>
      </c>
      <c r="D281" s="443" t="s">
        <v>1113</v>
      </c>
      <c r="E281" s="441" t="s">
        <v>690</v>
      </c>
      <c r="F281" s="437" t="s">
        <v>19</v>
      </c>
      <c r="G281" s="442">
        <v>80.7</v>
      </c>
      <c r="H281" s="442">
        <v>4.0999999999999996</v>
      </c>
      <c r="I281" s="442">
        <f t="shared" si="62"/>
        <v>330.87</v>
      </c>
      <c r="J281" s="544">
        <f t="shared" si="59"/>
        <v>0.24640000000000001</v>
      </c>
      <c r="K281" s="442">
        <f t="shared" si="61"/>
        <v>5.1100000000000003</v>
      </c>
      <c r="L281" s="442">
        <f>TRUNC(G281 * K281, 2)</f>
        <v>412.37</v>
      </c>
    </row>
    <row r="282" spans="2:13" ht="13.5" thickBot="1" x14ac:dyDescent="0.3">
      <c r="B282" s="422"/>
      <c r="C282" s="422"/>
      <c r="D282" s="422"/>
      <c r="E282" s="422"/>
      <c r="F282" s="422"/>
      <c r="G282" s="422"/>
      <c r="H282" s="422"/>
      <c r="I282" s="422"/>
      <c r="J282" s="422"/>
      <c r="K282" s="422"/>
      <c r="L282" s="422"/>
      <c r="M282" s="422"/>
    </row>
    <row r="283" spans="2:13" ht="24.95" customHeight="1" x14ac:dyDescent="0.25">
      <c r="B283" s="595"/>
      <c r="C283" s="595"/>
      <c r="D283" s="595"/>
      <c r="E283" s="424"/>
      <c r="F283" s="445"/>
      <c r="G283" s="423"/>
      <c r="H283" s="598" t="s">
        <v>1706</v>
      </c>
      <c r="I283" s="587"/>
      <c r="J283" s="587"/>
      <c r="K283" s="599"/>
      <c r="L283" s="588">
        <f>+SUBTOTAL(9,I9:I281)</f>
        <v>1749888.0599999996</v>
      </c>
      <c r="M283" s="589"/>
    </row>
    <row r="284" spans="2:13" ht="24.95" customHeight="1" x14ac:dyDescent="0.25">
      <c r="B284" s="595"/>
      <c r="C284" s="595"/>
      <c r="D284" s="595"/>
      <c r="E284" s="424"/>
      <c r="F284" s="445"/>
      <c r="G284" s="423"/>
      <c r="H284" s="600" t="s">
        <v>1707</v>
      </c>
      <c r="I284" s="591"/>
      <c r="J284" s="591"/>
      <c r="K284" s="601"/>
      <c r="L284" s="592">
        <f>+L285-L283</f>
        <v>379454.7099999995</v>
      </c>
      <c r="M284" s="593"/>
    </row>
    <row r="285" spans="2:13" ht="24.95" customHeight="1" thickBot="1" x14ac:dyDescent="0.3">
      <c r="B285" s="595"/>
      <c r="C285" s="595"/>
      <c r="D285" s="595"/>
      <c r="E285" s="424"/>
      <c r="F285" s="445"/>
      <c r="G285" s="423"/>
      <c r="H285" s="596" t="s">
        <v>1708</v>
      </c>
      <c r="I285" s="582"/>
      <c r="J285" s="582"/>
      <c r="K285" s="597"/>
      <c r="L285" s="576">
        <f>+SUBTOTAL(9,L9:L281)</f>
        <v>2129342.7699999991</v>
      </c>
      <c r="M285" s="577"/>
    </row>
  </sheetData>
  <mergeCells count="12">
    <mergeCell ref="B1:L1"/>
    <mergeCell ref="C5:E6"/>
    <mergeCell ref="B285:D285"/>
    <mergeCell ref="H285:K285"/>
    <mergeCell ref="L285:M285"/>
    <mergeCell ref="B283:D283"/>
    <mergeCell ref="H283:K283"/>
    <mergeCell ref="L283:M283"/>
    <mergeCell ref="B284:D284"/>
    <mergeCell ref="H284:K284"/>
    <mergeCell ref="L284:M284"/>
    <mergeCell ref="C3:E3"/>
  </mergeCells>
  <printOptions horizontalCentered="1"/>
  <pageMargins left="0.51181102362204722" right="0.51181102362204722" top="0.78740157480314965" bottom="0.78740157480314965" header="0.31496062992125984" footer="0.31496062992125984"/>
  <pageSetup paperSize="9" scale="67"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D9949-266C-401F-A8A8-1132C1F0B057}">
  <dimension ref="A1:L2679"/>
  <sheetViews>
    <sheetView showGridLines="0" showZeros="0" view="pageBreakPreview" zoomScale="85" zoomScaleNormal="100" zoomScaleSheetLayoutView="85" workbookViewId="0">
      <selection activeCell="Q14" sqref="Q14:Q15"/>
    </sheetView>
  </sheetViews>
  <sheetFormatPr defaultRowHeight="15" x14ac:dyDescent="0.25"/>
  <cols>
    <col min="1" max="1" width="11.42578125" style="222" bestFit="1" customWidth="1"/>
    <col min="2" max="2" width="13.7109375" style="222" bestFit="1" customWidth="1"/>
    <col min="3" max="3" width="11.42578125" style="222" bestFit="1" customWidth="1"/>
    <col min="4" max="4" width="68.5703125" style="473" bestFit="1" customWidth="1"/>
    <col min="5" max="5" width="17.140625" style="222" bestFit="1" customWidth="1"/>
    <col min="6" max="9" width="13.7109375" style="222" bestFit="1" customWidth="1"/>
    <col min="10" max="10" width="16" style="222" bestFit="1" customWidth="1"/>
    <col min="11" max="11" width="15.140625" style="222" bestFit="1" customWidth="1"/>
    <col min="12" max="16384" width="9.140625" style="222"/>
  </cols>
  <sheetData>
    <row r="1" spans="1:12" s="425" customFormat="1" ht="50.1" customHeight="1" x14ac:dyDescent="0.25">
      <c r="A1" s="585" t="s">
        <v>2837</v>
      </c>
      <c r="B1" s="585"/>
      <c r="C1" s="585"/>
      <c r="D1" s="585"/>
      <c r="E1" s="585"/>
      <c r="F1" s="585"/>
      <c r="G1" s="585"/>
      <c r="H1" s="585"/>
      <c r="I1" s="585"/>
      <c r="J1" s="585"/>
      <c r="K1" s="585"/>
    </row>
    <row r="2" spans="1:12" s="425" customFormat="1" ht="9.9499999999999993" customHeight="1" x14ac:dyDescent="0.25">
      <c r="C2" s="226"/>
      <c r="D2" s="476"/>
      <c r="E2" s="226"/>
      <c r="F2" s="70"/>
      <c r="G2" s="226"/>
      <c r="H2" s="226"/>
      <c r="I2" s="226"/>
      <c r="J2" s="226"/>
      <c r="K2" s="226"/>
    </row>
    <row r="3" spans="1:12" s="426" customFormat="1" ht="24.95" customHeight="1" x14ac:dyDescent="0.25">
      <c r="A3" s="427" t="s">
        <v>16</v>
      </c>
      <c r="B3" s="575" t="str">
        <f>'DADOS DA OBRA'!$B$13</f>
        <v>DEMOLIÇÃO DO RESERVATÓRIO EXISTENTE, EXECUÇÃO DE RESERVATÓRIO METÁLICO ELEVADO E REESTRUTURAÇÃO (COM AMPLIAÇÃO) DA REDE DE DISTRIBUIÇÃO DE ÁGUA TRATADA EXISTENTE NO MUNICÍPIO DE MATRINCHÃ</v>
      </c>
      <c r="C3" s="575"/>
      <c r="D3" s="575"/>
      <c r="E3" s="575"/>
      <c r="F3" s="430" t="s">
        <v>96</v>
      </c>
      <c r="G3" s="431" t="str">
        <f>'DADOS DA OBRA'!$N$22</f>
        <v>04/11/2024</v>
      </c>
      <c r="H3" s="429"/>
      <c r="J3" s="430" t="s">
        <v>1709</v>
      </c>
      <c r="K3" s="432">
        <f>+'ORÇAMENTO SINTÉTICO (SD)'!L3</f>
        <v>1.0884</v>
      </c>
    </row>
    <row r="4" spans="1:12" s="426" customFormat="1" ht="15" customHeight="1" x14ac:dyDescent="0.25">
      <c r="A4" s="427" t="s">
        <v>18</v>
      </c>
      <c r="B4" s="429" t="str">
        <f>+""&amp;'DADOS DA OBRA'!$B$16&amp;", "&amp;'DADOS DA OBRA'!$J$19&amp;", "&amp;'DADOS DA OBRA'!$P$19</f>
        <v>RUAS DIVERSAS, MATRINCHÃ, GO</v>
      </c>
      <c r="D4" s="477"/>
      <c r="F4" s="430" t="s">
        <v>17</v>
      </c>
      <c r="G4" s="431" t="str">
        <f>'DADOS DA OBRA'!$N$25</f>
        <v>00</v>
      </c>
      <c r="J4" s="430" t="s">
        <v>1710</v>
      </c>
      <c r="K4" s="432">
        <f>+'ORÇAMENTO SINTÉTICO (SD)'!L4</f>
        <v>0.67240000000000011</v>
      </c>
    </row>
    <row r="5" spans="1:12" s="426" customFormat="1" ht="15" customHeight="1" x14ac:dyDescent="0.25">
      <c r="A5" s="427" t="s">
        <v>1712</v>
      </c>
      <c r="B5" s="575" t="str">
        <f>'DADOS DA OBRA'!$B$28</f>
        <v>GOINFRA CIVIL-06/2024, GOINFRA RODOVIÁRIA-06/2024, SINAPI-08/2024, ORSE-06/2024, SENFRA-CE-028, SCO-08/2024, CPOS-06/2024, EMBASA-05/2024, SIURB-01/2024</v>
      </c>
      <c r="C5" s="575"/>
      <c r="D5" s="575"/>
      <c r="E5" s="575"/>
      <c r="F5" s="430" t="s">
        <v>2792</v>
      </c>
      <c r="G5" s="431" t="str">
        <f>'DADOS DA OBRA'!$B$25</f>
        <v>04 MESES</v>
      </c>
      <c r="J5" s="430" t="s">
        <v>1711</v>
      </c>
      <c r="K5" s="432">
        <f>+'ORÇAMENTO SINTÉTICO (SD)'!L5</f>
        <v>0.24640000000000001</v>
      </c>
    </row>
    <row r="6" spans="1:12" s="426" customFormat="1" ht="12.75" customHeight="1" x14ac:dyDescent="0.25">
      <c r="B6" s="575"/>
      <c r="C6" s="575"/>
      <c r="D6" s="575"/>
      <c r="E6" s="575"/>
      <c r="J6" s="430" t="s">
        <v>1713</v>
      </c>
      <c r="K6" s="432">
        <f>+'ORÇAMENTO SINTÉTICO (SD)'!L6</f>
        <v>0.1419</v>
      </c>
    </row>
    <row r="7" spans="1:12" s="433" customFormat="1" ht="6.95" customHeight="1" x14ac:dyDescent="0.25">
      <c r="D7" s="120"/>
      <c r="J7" s="434"/>
      <c r="K7" s="435"/>
    </row>
    <row r="8" spans="1:12" ht="16.5" x14ac:dyDescent="0.25">
      <c r="A8" s="610" t="s">
        <v>2836</v>
      </c>
      <c r="B8" s="611"/>
      <c r="C8" s="611"/>
      <c r="D8" s="611"/>
      <c r="E8" s="611"/>
      <c r="F8" s="611"/>
      <c r="G8" s="611"/>
      <c r="H8" s="611"/>
      <c r="I8" s="611"/>
      <c r="J8" s="611"/>
      <c r="K8" s="611"/>
      <c r="L8" s="70"/>
    </row>
    <row r="9" spans="1:12" ht="16.5" x14ac:dyDescent="0.25">
      <c r="A9" s="419" t="s">
        <v>1121</v>
      </c>
      <c r="B9" s="421" t="s">
        <v>76</v>
      </c>
      <c r="C9" s="419" t="s">
        <v>991</v>
      </c>
      <c r="D9" s="419" t="s">
        <v>191</v>
      </c>
      <c r="E9" s="603" t="s">
        <v>77</v>
      </c>
      <c r="F9" s="603"/>
      <c r="G9" s="420" t="s">
        <v>103</v>
      </c>
      <c r="H9" s="421" t="s">
        <v>147</v>
      </c>
      <c r="I9" s="421" t="s">
        <v>1731</v>
      </c>
      <c r="J9" s="421" t="s">
        <v>1117</v>
      </c>
      <c r="K9" s="421" t="s">
        <v>104</v>
      </c>
      <c r="L9" s="70"/>
    </row>
    <row r="10" spans="1:12" ht="25.5" x14ac:dyDescent="0.25">
      <c r="A10" s="441" t="s">
        <v>79</v>
      </c>
      <c r="B10" s="480" t="s">
        <v>1122</v>
      </c>
      <c r="C10" s="441" t="s">
        <v>993</v>
      </c>
      <c r="D10" s="441" t="s">
        <v>1123</v>
      </c>
      <c r="E10" s="604">
        <v>2501</v>
      </c>
      <c r="F10" s="604"/>
      <c r="G10" s="443" t="s">
        <v>81</v>
      </c>
      <c r="H10" s="500">
        <v>1</v>
      </c>
      <c r="I10" s="442"/>
      <c r="J10" s="442">
        <v>96.79</v>
      </c>
      <c r="K10" s="442">
        <v>96.79</v>
      </c>
      <c r="L10" s="70"/>
    </row>
    <row r="11" spans="1:12" ht="25.5" x14ac:dyDescent="0.25">
      <c r="A11" s="501" t="s">
        <v>1732</v>
      </c>
      <c r="B11" s="502" t="s">
        <v>1733</v>
      </c>
      <c r="C11" s="501" t="s">
        <v>993</v>
      </c>
      <c r="D11" s="501" t="s">
        <v>1069</v>
      </c>
      <c r="E11" s="602" t="s">
        <v>972</v>
      </c>
      <c r="F11" s="602"/>
      <c r="G11" s="503" t="s">
        <v>1734</v>
      </c>
      <c r="H11" s="504">
        <v>1</v>
      </c>
      <c r="I11" s="504"/>
      <c r="J11" s="505">
        <v>96.79</v>
      </c>
      <c r="K11" s="505">
        <v>96.79</v>
      </c>
      <c r="L11" s="70"/>
    </row>
    <row r="12" spans="1:12" ht="15.75" customHeight="1" x14ac:dyDescent="0.25">
      <c r="A12" s="445"/>
      <c r="B12" s="445"/>
      <c r="C12" s="445"/>
      <c r="D12" s="445"/>
      <c r="E12" s="445" t="s">
        <v>1735</v>
      </c>
      <c r="F12" s="506">
        <v>96.79</v>
      </c>
      <c r="G12" s="445" t="s">
        <v>1736</v>
      </c>
      <c r="H12" s="506">
        <v>0</v>
      </c>
      <c r="I12" s="445" t="s">
        <v>1737</v>
      </c>
      <c r="J12" s="506">
        <v>96.79</v>
      </c>
      <c r="K12" s="70"/>
      <c r="L12" s="70"/>
    </row>
    <row r="13" spans="1:12" ht="17.25" thickBot="1" x14ac:dyDescent="0.3">
      <c r="A13" s="445"/>
      <c r="B13" s="445"/>
      <c r="C13" s="445"/>
      <c r="D13" s="445"/>
      <c r="E13" s="445" t="s">
        <v>1738</v>
      </c>
      <c r="F13" s="506">
        <v>23.849056000000001</v>
      </c>
      <c r="G13" s="445"/>
      <c r="H13" s="606" t="s">
        <v>1739</v>
      </c>
      <c r="I13" s="606"/>
      <c r="J13" s="506">
        <v>120.63</v>
      </c>
      <c r="K13" s="70"/>
      <c r="L13" s="70"/>
    </row>
    <row r="14" spans="1:12" ht="17.25" thickTop="1" x14ac:dyDescent="0.25">
      <c r="A14" s="507"/>
      <c r="B14" s="507"/>
      <c r="C14" s="507"/>
      <c r="D14" s="507"/>
      <c r="E14" s="507"/>
      <c r="F14" s="507"/>
      <c r="G14" s="507"/>
      <c r="H14" s="507"/>
      <c r="I14" s="507"/>
      <c r="J14" s="507"/>
      <c r="K14" s="507"/>
      <c r="L14" s="70"/>
    </row>
    <row r="15" spans="1:12" ht="16.5" x14ac:dyDescent="0.25">
      <c r="A15" s="419" t="s">
        <v>1124</v>
      </c>
      <c r="B15" s="421" t="s">
        <v>76</v>
      </c>
      <c r="C15" s="419" t="s">
        <v>991</v>
      </c>
      <c r="D15" s="419" t="s">
        <v>191</v>
      </c>
      <c r="E15" s="603" t="s">
        <v>77</v>
      </c>
      <c r="F15" s="603"/>
      <c r="G15" s="420" t="s">
        <v>103</v>
      </c>
      <c r="H15" s="421" t="s">
        <v>147</v>
      </c>
      <c r="I15" s="421" t="s">
        <v>1731</v>
      </c>
      <c r="J15" s="421" t="s">
        <v>1117</v>
      </c>
      <c r="K15" s="421" t="s">
        <v>104</v>
      </c>
      <c r="L15" s="70"/>
    </row>
    <row r="16" spans="1:12" ht="25.5" x14ac:dyDescent="0.25">
      <c r="A16" s="441" t="s">
        <v>79</v>
      </c>
      <c r="B16" s="480" t="s">
        <v>1126</v>
      </c>
      <c r="C16" s="441" t="s">
        <v>993</v>
      </c>
      <c r="D16" s="441" t="s">
        <v>784</v>
      </c>
      <c r="E16" s="604">
        <v>2501</v>
      </c>
      <c r="F16" s="604"/>
      <c r="G16" s="443" t="s">
        <v>81</v>
      </c>
      <c r="H16" s="500">
        <v>1</v>
      </c>
      <c r="I16" s="442"/>
      <c r="J16" s="442">
        <v>26.12</v>
      </c>
      <c r="K16" s="442">
        <v>26.12</v>
      </c>
      <c r="L16" s="70"/>
    </row>
    <row r="17" spans="1:12" ht="25.5" x14ac:dyDescent="0.25">
      <c r="A17" s="501" t="s">
        <v>1732</v>
      </c>
      <c r="B17" s="502" t="s">
        <v>997</v>
      </c>
      <c r="C17" s="501" t="s">
        <v>993</v>
      </c>
      <c r="D17" s="501" t="s">
        <v>998</v>
      </c>
      <c r="E17" s="602" t="s">
        <v>972</v>
      </c>
      <c r="F17" s="602"/>
      <c r="G17" s="503" t="s">
        <v>1734</v>
      </c>
      <c r="H17" s="504">
        <v>1</v>
      </c>
      <c r="I17" s="504"/>
      <c r="J17" s="505">
        <v>26.12</v>
      </c>
      <c r="K17" s="505">
        <v>26.12</v>
      </c>
      <c r="L17" s="70"/>
    </row>
    <row r="18" spans="1:12" ht="15.75" customHeight="1" x14ac:dyDescent="0.25">
      <c r="A18" s="445"/>
      <c r="B18" s="445"/>
      <c r="C18" s="445"/>
      <c r="D18" s="445"/>
      <c r="E18" s="445" t="s">
        <v>1735</v>
      </c>
      <c r="F18" s="506">
        <v>26.12</v>
      </c>
      <c r="G18" s="445" t="s">
        <v>1736</v>
      </c>
      <c r="H18" s="506">
        <v>0</v>
      </c>
      <c r="I18" s="445" t="s">
        <v>1737</v>
      </c>
      <c r="J18" s="506">
        <v>26.12</v>
      </c>
      <c r="K18" s="70"/>
      <c r="L18" s="70"/>
    </row>
    <row r="19" spans="1:12" ht="17.25" thickBot="1" x14ac:dyDescent="0.3">
      <c r="A19" s="445"/>
      <c r="B19" s="445"/>
      <c r="C19" s="445"/>
      <c r="D19" s="445"/>
      <c r="E19" s="445" t="s">
        <v>1738</v>
      </c>
      <c r="F19" s="506">
        <v>6.4359679999999999</v>
      </c>
      <c r="G19" s="445"/>
      <c r="H19" s="606" t="s">
        <v>1739</v>
      </c>
      <c r="I19" s="606"/>
      <c r="J19" s="506">
        <v>32.549999999999997</v>
      </c>
      <c r="K19" s="70"/>
      <c r="L19" s="70"/>
    </row>
    <row r="20" spans="1:12" ht="17.25" thickTop="1" x14ac:dyDescent="0.25">
      <c r="A20" s="507"/>
      <c r="B20" s="507"/>
      <c r="C20" s="507"/>
      <c r="D20" s="507"/>
      <c r="E20" s="507"/>
      <c r="F20" s="507"/>
      <c r="G20" s="507"/>
      <c r="H20" s="507"/>
      <c r="I20" s="507"/>
      <c r="J20" s="507"/>
      <c r="K20" s="507"/>
      <c r="L20" s="70"/>
    </row>
    <row r="21" spans="1:12" ht="16.5" x14ac:dyDescent="0.25">
      <c r="A21" s="419" t="s">
        <v>1125</v>
      </c>
      <c r="B21" s="421" t="s">
        <v>76</v>
      </c>
      <c r="C21" s="419" t="s">
        <v>991</v>
      </c>
      <c r="D21" s="419" t="s">
        <v>191</v>
      </c>
      <c r="E21" s="603" t="s">
        <v>77</v>
      </c>
      <c r="F21" s="603"/>
      <c r="G21" s="420" t="s">
        <v>103</v>
      </c>
      <c r="H21" s="421" t="s">
        <v>147</v>
      </c>
      <c r="I21" s="421" t="s">
        <v>1731</v>
      </c>
      <c r="J21" s="421" t="s">
        <v>1117</v>
      </c>
      <c r="K21" s="421" t="s">
        <v>104</v>
      </c>
      <c r="L21" s="70"/>
    </row>
    <row r="22" spans="1:12" ht="25.5" x14ac:dyDescent="0.25">
      <c r="A22" s="441" t="s">
        <v>79</v>
      </c>
      <c r="B22" s="480" t="s">
        <v>1128</v>
      </c>
      <c r="C22" s="441" t="s">
        <v>993</v>
      </c>
      <c r="D22" s="441" t="s">
        <v>1129</v>
      </c>
      <c r="E22" s="604">
        <v>2501</v>
      </c>
      <c r="F22" s="604"/>
      <c r="G22" s="443" t="s">
        <v>81</v>
      </c>
      <c r="H22" s="500">
        <v>1</v>
      </c>
      <c r="I22" s="442"/>
      <c r="J22" s="442">
        <v>18.760000000000002</v>
      </c>
      <c r="K22" s="442">
        <v>18.760000000000002</v>
      </c>
      <c r="L22" s="70"/>
    </row>
    <row r="23" spans="1:12" ht="25.5" x14ac:dyDescent="0.25">
      <c r="A23" s="501" t="s">
        <v>1732</v>
      </c>
      <c r="B23" s="502" t="s">
        <v>1005</v>
      </c>
      <c r="C23" s="501" t="s">
        <v>993</v>
      </c>
      <c r="D23" s="501" t="s">
        <v>1006</v>
      </c>
      <c r="E23" s="602" t="s">
        <v>972</v>
      </c>
      <c r="F23" s="602"/>
      <c r="G23" s="503" t="s">
        <v>1734</v>
      </c>
      <c r="H23" s="504">
        <v>1</v>
      </c>
      <c r="I23" s="504"/>
      <c r="J23" s="505">
        <v>18.760000000000002</v>
      </c>
      <c r="K23" s="505">
        <v>18.760000000000002</v>
      </c>
      <c r="L23" s="70"/>
    </row>
    <row r="24" spans="1:12" ht="15.75" customHeight="1" x14ac:dyDescent="0.25">
      <c r="A24" s="445"/>
      <c r="B24" s="445"/>
      <c r="C24" s="445"/>
      <c r="D24" s="445"/>
      <c r="E24" s="445" t="s">
        <v>1735</v>
      </c>
      <c r="F24" s="506">
        <v>18.760000000000002</v>
      </c>
      <c r="G24" s="445" t="s">
        <v>1736</v>
      </c>
      <c r="H24" s="506">
        <v>0</v>
      </c>
      <c r="I24" s="445" t="s">
        <v>1737</v>
      </c>
      <c r="J24" s="506">
        <v>18.760000000000002</v>
      </c>
      <c r="K24" s="70"/>
      <c r="L24" s="70"/>
    </row>
    <row r="25" spans="1:12" ht="17.25" thickBot="1" x14ac:dyDescent="0.3">
      <c r="A25" s="445"/>
      <c r="B25" s="445"/>
      <c r="C25" s="445"/>
      <c r="D25" s="445"/>
      <c r="E25" s="445" t="s">
        <v>1738</v>
      </c>
      <c r="F25" s="506">
        <v>4.6224639999999999</v>
      </c>
      <c r="G25" s="445"/>
      <c r="H25" s="606" t="s">
        <v>1739</v>
      </c>
      <c r="I25" s="606"/>
      <c r="J25" s="506">
        <v>23.38</v>
      </c>
      <c r="K25" s="70"/>
      <c r="L25" s="70"/>
    </row>
    <row r="26" spans="1:12" ht="17.25" thickTop="1" x14ac:dyDescent="0.25">
      <c r="A26" s="507"/>
      <c r="B26" s="507"/>
      <c r="C26" s="507"/>
      <c r="D26" s="507"/>
      <c r="E26" s="507"/>
      <c r="F26" s="507"/>
      <c r="G26" s="507"/>
      <c r="H26" s="507"/>
      <c r="I26" s="507"/>
      <c r="J26" s="507"/>
      <c r="K26" s="507"/>
      <c r="L26" s="70"/>
    </row>
    <row r="27" spans="1:12" ht="16.5" x14ac:dyDescent="0.25">
      <c r="A27" s="419" t="s">
        <v>1127</v>
      </c>
      <c r="B27" s="421" t="s">
        <v>76</v>
      </c>
      <c r="C27" s="419" t="s">
        <v>991</v>
      </c>
      <c r="D27" s="419" t="s">
        <v>191</v>
      </c>
      <c r="E27" s="603" t="s">
        <v>77</v>
      </c>
      <c r="F27" s="603"/>
      <c r="G27" s="420" t="s">
        <v>103</v>
      </c>
      <c r="H27" s="421" t="s">
        <v>147</v>
      </c>
      <c r="I27" s="421" t="s">
        <v>1731</v>
      </c>
      <c r="J27" s="421" t="s">
        <v>1117</v>
      </c>
      <c r="K27" s="421" t="s">
        <v>104</v>
      </c>
      <c r="L27" s="70"/>
    </row>
    <row r="28" spans="1:12" ht="25.5" x14ac:dyDescent="0.25">
      <c r="A28" s="441" t="s">
        <v>79</v>
      </c>
      <c r="B28" s="480" t="s">
        <v>1130</v>
      </c>
      <c r="C28" s="441" t="s">
        <v>993</v>
      </c>
      <c r="D28" s="441" t="s">
        <v>1131</v>
      </c>
      <c r="E28" s="604">
        <v>2501</v>
      </c>
      <c r="F28" s="604"/>
      <c r="G28" s="443" t="s">
        <v>81</v>
      </c>
      <c r="H28" s="500">
        <v>1</v>
      </c>
      <c r="I28" s="442"/>
      <c r="J28" s="442">
        <v>18.18</v>
      </c>
      <c r="K28" s="442">
        <v>18.18</v>
      </c>
      <c r="L28" s="70"/>
    </row>
    <row r="29" spans="1:12" ht="25.5" x14ac:dyDescent="0.25">
      <c r="A29" s="501" t="s">
        <v>1732</v>
      </c>
      <c r="B29" s="502" t="s">
        <v>995</v>
      </c>
      <c r="C29" s="501" t="s">
        <v>993</v>
      </c>
      <c r="D29" s="501" t="s">
        <v>996</v>
      </c>
      <c r="E29" s="602" t="s">
        <v>972</v>
      </c>
      <c r="F29" s="602"/>
      <c r="G29" s="503" t="s">
        <v>1734</v>
      </c>
      <c r="H29" s="504">
        <v>1</v>
      </c>
      <c r="I29" s="504"/>
      <c r="J29" s="505">
        <v>18.18</v>
      </c>
      <c r="K29" s="505">
        <v>18.18</v>
      </c>
      <c r="L29" s="70"/>
    </row>
    <row r="30" spans="1:12" ht="15.75" customHeight="1" x14ac:dyDescent="0.25">
      <c r="A30" s="445"/>
      <c r="B30" s="445"/>
      <c r="C30" s="445"/>
      <c r="D30" s="445"/>
      <c r="E30" s="445" t="s">
        <v>1735</v>
      </c>
      <c r="F30" s="506">
        <v>18.18</v>
      </c>
      <c r="G30" s="445" t="s">
        <v>1736</v>
      </c>
      <c r="H30" s="506">
        <v>0</v>
      </c>
      <c r="I30" s="445" t="s">
        <v>1737</v>
      </c>
      <c r="J30" s="506">
        <v>18.18</v>
      </c>
      <c r="K30" s="70"/>
      <c r="L30" s="70"/>
    </row>
    <row r="31" spans="1:12" ht="17.25" thickBot="1" x14ac:dyDescent="0.3">
      <c r="A31" s="445"/>
      <c r="B31" s="445"/>
      <c r="C31" s="445"/>
      <c r="D31" s="445"/>
      <c r="E31" s="445" t="s">
        <v>1738</v>
      </c>
      <c r="F31" s="506">
        <v>4.479552</v>
      </c>
      <c r="G31" s="445"/>
      <c r="H31" s="606" t="s">
        <v>1739</v>
      </c>
      <c r="I31" s="606"/>
      <c r="J31" s="506">
        <v>22.65</v>
      </c>
      <c r="K31" s="70"/>
      <c r="L31" s="70"/>
    </row>
    <row r="32" spans="1:12" ht="17.25" thickTop="1" x14ac:dyDescent="0.25">
      <c r="A32" s="507"/>
      <c r="B32" s="507"/>
      <c r="C32" s="507"/>
      <c r="D32" s="507"/>
      <c r="E32" s="507"/>
      <c r="F32" s="507"/>
      <c r="G32" s="507"/>
      <c r="H32" s="507"/>
      <c r="I32" s="507"/>
      <c r="J32" s="507"/>
      <c r="K32" s="507"/>
      <c r="L32" s="70"/>
    </row>
    <row r="33" spans="1:12" ht="16.5" x14ac:dyDescent="0.25">
      <c r="A33" s="419" t="s">
        <v>1133</v>
      </c>
      <c r="B33" s="421" t="s">
        <v>76</v>
      </c>
      <c r="C33" s="419" t="s">
        <v>991</v>
      </c>
      <c r="D33" s="419" t="s">
        <v>191</v>
      </c>
      <c r="E33" s="603" t="s">
        <v>77</v>
      </c>
      <c r="F33" s="603"/>
      <c r="G33" s="420" t="s">
        <v>103</v>
      </c>
      <c r="H33" s="421" t="s">
        <v>147</v>
      </c>
      <c r="I33" s="421" t="s">
        <v>1731</v>
      </c>
      <c r="J33" s="421" t="s">
        <v>1117</v>
      </c>
      <c r="K33" s="421" t="s">
        <v>104</v>
      </c>
      <c r="L33" s="70"/>
    </row>
    <row r="34" spans="1:12" ht="38.25" x14ac:dyDescent="0.25">
      <c r="A34" s="441" t="s">
        <v>79</v>
      </c>
      <c r="B34" s="480" t="s">
        <v>1134</v>
      </c>
      <c r="C34" s="441" t="s">
        <v>993</v>
      </c>
      <c r="D34" s="441" t="s">
        <v>1135</v>
      </c>
      <c r="E34" s="604">
        <v>202</v>
      </c>
      <c r="F34" s="604"/>
      <c r="G34" s="443" t="s">
        <v>19</v>
      </c>
      <c r="H34" s="500">
        <v>1</v>
      </c>
      <c r="I34" s="442"/>
      <c r="J34" s="442">
        <v>304.16000000000003</v>
      </c>
      <c r="K34" s="442">
        <v>304.16000000000003</v>
      </c>
      <c r="L34" s="70"/>
    </row>
    <row r="35" spans="1:12" ht="25.5" x14ac:dyDescent="0.25">
      <c r="A35" s="501" t="s">
        <v>1732</v>
      </c>
      <c r="B35" s="502" t="s">
        <v>992</v>
      </c>
      <c r="C35" s="501" t="s">
        <v>993</v>
      </c>
      <c r="D35" s="501" t="s">
        <v>994</v>
      </c>
      <c r="E35" s="602" t="s">
        <v>972</v>
      </c>
      <c r="F35" s="602"/>
      <c r="G35" s="503" t="s">
        <v>81</v>
      </c>
      <c r="H35" s="504">
        <v>0.1114</v>
      </c>
      <c r="I35" s="504"/>
      <c r="J35" s="505">
        <v>14.62</v>
      </c>
      <c r="K35" s="505">
        <v>1.62</v>
      </c>
      <c r="L35" s="70"/>
    </row>
    <row r="36" spans="1:12" ht="25.5" x14ac:dyDescent="0.25">
      <c r="A36" s="501" t="s">
        <v>1732</v>
      </c>
      <c r="B36" s="502" t="s">
        <v>1003</v>
      </c>
      <c r="C36" s="501" t="s">
        <v>993</v>
      </c>
      <c r="D36" s="501" t="s">
        <v>1004</v>
      </c>
      <c r="E36" s="602" t="s">
        <v>972</v>
      </c>
      <c r="F36" s="602"/>
      <c r="G36" s="503" t="s">
        <v>81</v>
      </c>
      <c r="H36" s="504">
        <v>7.6799999999999993E-2</v>
      </c>
      <c r="I36" s="504"/>
      <c r="J36" s="505">
        <v>23.41</v>
      </c>
      <c r="K36" s="505">
        <v>1.79</v>
      </c>
      <c r="L36" s="70"/>
    </row>
    <row r="37" spans="1:12" ht="25.5" x14ac:dyDescent="0.25">
      <c r="A37" s="501" t="s">
        <v>1732</v>
      </c>
      <c r="B37" s="502" t="s">
        <v>1025</v>
      </c>
      <c r="C37" s="501" t="s">
        <v>993</v>
      </c>
      <c r="D37" s="501" t="s">
        <v>1026</v>
      </c>
      <c r="E37" s="602" t="s">
        <v>972</v>
      </c>
      <c r="F37" s="602"/>
      <c r="G37" s="503" t="s">
        <v>81</v>
      </c>
      <c r="H37" s="504">
        <v>0.56389999999999996</v>
      </c>
      <c r="I37" s="504"/>
      <c r="J37" s="505">
        <v>23.41</v>
      </c>
      <c r="K37" s="505">
        <v>13.2</v>
      </c>
      <c r="L37" s="70"/>
    </row>
    <row r="38" spans="1:12" ht="25.5" x14ac:dyDescent="0.25">
      <c r="A38" s="501" t="s">
        <v>1732</v>
      </c>
      <c r="B38" s="502" t="s">
        <v>1023</v>
      </c>
      <c r="C38" s="501" t="s">
        <v>993</v>
      </c>
      <c r="D38" s="501" t="s">
        <v>1024</v>
      </c>
      <c r="E38" s="602" t="s">
        <v>972</v>
      </c>
      <c r="F38" s="602"/>
      <c r="G38" s="503" t="s">
        <v>81</v>
      </c>
      <c r="H38" s="504">
        <v>3.2300000000000002E-2</v>
      </c>
      <c r="I38" s="504"/>
      <c r="J38" s="505">
        <v>17.559999999999999</v>
      </c>
      <c r="K38" s="505">
        <v>0.56000000000000005</v>
      </c>
      <c r="L38" s="70"/>
    </row>
    <row r="39" spans="1:12" ht="25.5" x14ac:dyDescent="0.25">
      <c r="A39" s="501" t="s">
        <v>1732</v>
      </c>
      <c r="B39" s="502" t="s">
        <v>1013</v>
      </c>
      <c r="C39" s="501" t="s">
        <v>993</v>
      </c>
      <c r="D39" s="501" t="s">
        <v>1014</v>
      </c>
      <c r="E39" s="602" t="s">
        <v>972</v>
      </c>
      <c r="F39" s="602"/>
      <c r="G39" s="503" t="s">
        <v>81</v>
      </c>
      <c r="H39" s="504">
        <v>0.2863</v>
      </c>
      <c r="I39" s="504"/>
      <c r="J39" s="505">
        <v>23.41</v>
      </c>
      <c r="K39" s="505">
        <v>6.7</v>
      </c>
      <c r="L39" s="70"/>
    </row>
    <row r="40" spans="1:12" ht="25.5" x14ac:dyDescent="0.25">
      <c r="A40" s="501" t="s">
        <v>1732</v>
      </c>
      <c r="B40" s="502" t="s">
        <v>1021</v>
      </c>
      <c r="C40" s="501" t="s">
        <v>993</v>
      </c>
      <c r="D40" s="501" t="s">
        <v>1022</v>
      </c>
      <c r="E40" s="602" t="s">
        <v>972</v>
      </c>
      <c r="F40" s="602"/>
      <c r="G40" s="503" t="s">
        <v>81</v>
      </c>
      <c r="H40" s="504">
        <v>8.8200000000000001E-2</v>
      </c>
      <c r="I40" s="504"/>
      <c r="J40" s="505">
        <v>23.41</v>
      </c>
      <c r="K40" s="505">
        <v>2.06</v>
      </c>
      <c r="L40" s="70"/>
    </row>
    <row r="41" spans="1:12" ht="25.5" x14ac:dyDescent="0.25">
      <c r="A41" s="501" t="s">
        <v>1732</v>
      </c>
      <c r="B41" s="502" t="s">
        <v>1011</v>
      </c>
      <c r="C41" s="501" t="s">
        <v>993</v>
      </c>
      <c r="D41" s="501" t="s">
        <v>1012</v>
      </c>
      <c r="E41" s="602" t="s">
        <v>972</v>
      </c>
      <c r="F41" s="602"/>
      <c r="G41" s="503" t="s">
        <v>81</v>
      </c>
      <c r="H41" s="504">
        <v>0.16969999999999999</v>
      </c>
      <c r="I41" s="504"/>
      <c r="J41" s="505">
        <v>23.41</v>
      </c>
      <c r="K41" s="505">
        <v>3.97</v>
      </c>
      <c r="L41" s="70"/>
    </row>
    <row r="42" spans="1:12" ht="25.5" x14ac:dyDescent="0.25">
      <c r="A42" s="501" t="s">
        <v>1732</v>
      </c>
      <c r="B42" s="502" t="s">
        <v>999</v>
      </c>
      <c r="C42" s="501" t="s">
        <v>993</v>
      </c>
      <c r="D42" s="501" t="s">
        <v>1000</v>
      </c>
      <c r="E42" s="602" t="s">
        <v>972</v>
      </c>
      <c r="F42" s="602"/>
      <c r="G42" s="503" t="s">
        <v>81</v>
      </c>
      <c r="H42" s="504">
        <v>1.3633</v>
      </c>
      <c r="I42" s="504"/>
      <c r="J42" s="505">
        <v>16.04</v>
      </c>
      <c r="K42" s="505">
        <v>21.86</v>
      </c>
      <c r="L42" s="70"/>
    </row>
    <row r="43" spans="1:12" ht="25.5" x14ac:dyDescent="0.25">
      <c r="A43" s="501" t="s">
        <v>1732</v>
      </c>
      <c r="B43" s="502" t="s">
        <v>1740</v>
      </c>
      <c r="C43" s="501" t="s">
        <v>993</v>
      </c>
      <c r="D43" s="501" t="s">
        <v>1741</v>
      </c>
      <c r="E43" s="602" t="s">
        <v>972</v>
      </c>
      <c r="F43" s="602"/>
      <c r="G43" s="503" t="s">
        <v>81</v>
      </c>
      <c r="H43" s="504">
        <v>2.0000000000000001E-4</v>
      </c>
      <c r="I43" s="504"/>
      <c r="J43" s="505">
        <v>21.01</v>
      </c>
      <c r="K43" s="505">
        <v>0</v>
      </c>
      <c r="L43" s="70"/>
    </row>
    <row r="44" spans="1:12" ht="25.5" x14ac:dyDescent="0.25">
      <c r="A44" s="501" t="s">
        <v>1732</v>
      </c>
      <c r="B44" s="502" t="s">
        <v>1009</v>
      </c>
      <c r="C44" s="501" t="s">
        <v>993</v>
      </c>
      <c r="D44" s="501" t="s">
        <v>1010</v>
      </c>
      <c r="E44" s="602" t="s">
        <v>972</v>
      </c>
      <c r="F44" s="602"/>
      <c r="G44" s="503" t="s">
        <v>81</v>
      </c>
      <c r="H44" s="504">
        <v>0.77839999999999998</v>
      </c>
      <c r="I44" s="504"/>
      <c r="J44" s="505">
        <v>23.41</v>
      </c>
      <c r="K44" s="505">
        <v>18.22</v>
      </c>
      <c r="L44" s="70"/>
    </row>
    <row r="45" spans="1:12" ht="25.5" x14ac:dyDescent="0.25">
      <c r="A45" s="501" t="s">
        <v>1732</v>
      </c>
      <c r="B45" s="502" t="s">
        <v>1742</v>
      </c>
      <c r="C45" s="501" t="s">
        <v>993</v>
      </c>
      <c r="D45" s="501" t="s">
        <v>1743</v>
      </c>
      <c r="E45" s="602" t="s">
        <v>972</v>
      </c>
      <c r="F45" s="602"/>
      <c r="G45" s="503" t="s">
        <v>81</v>
      </c>
      <c r="H45" s="504">
        <v>1.6000000000000001E-3</v>
      </c>
      <c r="I45" s="504"/>
      <c r="J45" s="505">
        <v>23.41</v>
      </c>
      <c r="K45" s="505">
        <v>0.03</v>
      </c>
      <c r="L45" s="70"/>
    </row>
    <row r="46" spans="1:12" ht="25.5" x14ac:dyDescent="0.25">
      <c r="A46" s="501" t="s">
        <v>1732</v>
      </c>
      <c r="B46" s="502" t="s">
        <v>1744</v>
      </c>
      <c r="C46" s="501" t="s">
        <v>993</v>
      </c>
      <c r="D46" s="501" t="s">
        <v>1745</v>
      </c>
      <c r="E46" s="602" t="s">
        <v>1746</v>
      </c>
      <c r="F46" s="602"/>
      <c r="G46" s="503" t="s">
        <v>49</v>
      </c>
      <c r="H46" s="504">
        <v>4.7999999999999996E-3</v>
      </c>
      <c r="I46" s="504"/>
      <c r="J46" s="505">
        <v>265.44</v>
      </c>
      <c r="K46" s="505">
        <v>1.27</v>
      </c>
      <c r="L46" s="70"/>
    </row>
    <row r="47" spans="1:12" ht="38.25" x14ac:dyDescent="0.25">
      <c r="A47" s="501" t="s">
        <v>1732</v>
      </c>
      <c r="B47" s="502" t="s">
        <v>1747</v>
      </c>
      <c r="C47" s="501" t="s">
        <v>993</v>
      </c>
      <c r="D47" s="501" t="s">
        <v>1748</v>
      </c>
      <c r="E47" s="602" t="s">
        <v>1746</v>
      </c>
      <c r="F47" s="602"/>
      <c r="G47" s="503" t="s">
        <v>49</v>
      </c>
      <c r="H47" s="504">
        <v>4.0000000000000001E-3</v>
      </c>
      <c r="I47" s="504"/>
      <c r="J47" s="505">
        <v>2.5</v>
      </c>
      <c r="K47" s="505">
        <v>0.01</v>
      </c>
      <c r="L47" s="70"/>
    </row>
    <row r="48" spans="1:12" ht="25.5" x14ac:dyDescent="0.25">
      <c r="A48" s="501" t="s">
        <v>1732</v>
      </c>
      <c r="B48" s="502" t="s">
        <v>1749</v>
      </c>
      <c r="C48" s="501" t="s">
        <v>993</v>
      </c>
      <c r="D48" s="501" t="s">
        <v>1750</v>
      </c>
      <c r="E48" s="602" t="s">
        <v>1746</v>
      </c>
      <c r="F48" s="602"/>
      <c r="G48" s="503" t="s">
        <v>1751</v>
      </c>
      <c r="H48" s="504">
        <v>2.8400000000000002E-2</v>
      </c>
      <c r="I48" s="504"/>
      <c r="J48" s="505">
        <v>5.13</v>
      </c>
      <c r="K48" s="505">
        <v>0.14000000000000001</v>
      </c>
      <c r="L48" s="70"/>
    </row>
    <row r="49" spans="1:12" ht="25.5" x14ac:dyDescent="0.25">
      <c r="A49" s="501" t="s">
        <v>1732</v>
      </c>
      <c r="B49" s="502" t="s">
        <v>1752</v>
      </c>
      <c r="C49" s="501" t="s">
        <v>993</v>
      </c>
      <c r="D49" s="501" t="s">
        <v>1753</v>
      </c>
      <c r="E49" s="602" t="s">
        <v>1746</v>
      </c>
      <c r="F49" s="602"/>
      <c r="G49" s="503" t="s">
        <v>49</v>
      </c>
      <c r="H49" s="504">
        <v>1.1299999999999999E-2</v>
      </c>
      <c r="I49" s="504"/>
      <c r="J49" s="505">
        <v>220</v>
      </c>
      <c r="K49" s="505">
        <v>2.48</v>
      </c>
      <c r="L49" s="70"/>
    </row>
    <row r="50" spans="1:12" ht="25.5" x14ac:dyDescent="0.25">
      <c r="A50" s="501" t="s">
        <v>1732</v>
      </c>
      <c r="B50" s="502" t="s">
        <v>1754</v>
      </c>
      <c r="C50" s="501" t="s">
        <v>993</v>
      </c>
      <c r="D50" s="501" t="s">
        <v>1755</v>
      </c>
      <c r="E50" s="602" t="s">
        <v>1746</v>
      </c>
      <c r="F50" s="602"/>
      <c r="G50" s="503" t="s">
        <v>80</v>
      </c>
      <c r="H50" s="504">
        <v>3.8999999999999998E-3</v>
      </c>
      <c r="I50" s="504"/>
      <c r="J50" s="505">
        <v>4.67</v>
      </c>
      <c r="K50" s="505">
        <v>0.01</v>
      </c>
      <c r="L50" s="70"/>
    </row>
    <row r="51" spans="1:12" ht="25.5" x14ac:dyDescent="0.25">
      <c r="A51" s="501" t="s">
        <v>1732</v>
      </c>
      <c r="B51" s="502" t="s">
        <v>1756</v>
      </c>
      <c r="C51" s="501" t="s">
        <v>993</v>
      </c>
      <c r="D51" s="501" t="s">
        <v>1757</v>
      </c>
      <c r="E51" s="602" t="s">
        <v>1746</v>
      </c>
      <c r="F51" s="602"/>
      <c r="G51" s="503" t="s">
        <v>45</v>
      </c>
      <c r="H51" s="504">
        <v>3.8399999999999997E-2</v>
      </c>
      <c r="I51" s="504"/>
      <c r="J51" s="505">
        <v>152.69</v>
      </c>
      <c r="K51" s="505">
        <v>5.86</v>
      </c>
      <c r="L51" s="70"/>
    </row>
    <row r="52" spans="1:12" ht="25.5" x14ac:dyDescent="0.25">
      <c r="A52" s="501" t="s">
        <v>1732</v>
      </c>
      <c r="B52" s="502" t="s">
        <v>1758</v>
      </c>
      <c r="C52" s="501" t="s">
        <v>993</v>
      </c>
      <c r="D52" s="501" t="s">
        <v>1759</v>
      </c>
      <c r="E52" s="602" t="s">
        <v>1746</v>
      </c>
      <c r="F52" s="602"/>
      <c r="G52" s="503" t="s">
        <v>1751</v>
      </c>
      <c r="H52" s="504">
        <v>0.26519999999999999</v>
      </c>
      <c r="I52" s="504"/>
      <c r="J52" s="505">
        <v>11.02</v>
      </c>
      <c r="K52" s="505">
        <v>2.92</v>
      </c>
      <c r="L52" s="70"/>
    </row>
    <row r="53" spans="1:12" ht="25.5" x14ac:dyDescent="0.25">
      <c r="A53" s="501" t="s">
        <v>1732</v>
      </c>
      <c r="B53" s="502" t="s">
        <v>1760</v>
      </c>
      <c r="C53" s="501" t="s">
        <v>993</v>
      </c>
      <c r="D53" s="501" t="s">
        <v>1761</v>
      </c>
      <c r="E53" s="602" t="s">
        <v>1746</v>
      </c>
      <c r="F53" s="602"/>
      <c r="G53" s="503" t="s">
        <v>49</v>
      </c>
      <c r="H53" s="504">
        <v>4.0000000000000002E-4</v>
      </c>
      <c r="I53" s="504"/>
      <c r="J53" s="505">
        <v>993.5</v>
      </c>
      <c r="K53" s="505">
        <v>0.39</v>
      </c>
      <c r="L53" s="70"/>
    </row>
    <row r="54" spans="1:12" ht="25.5" x14ac:dyDescent="0.25">
      <c r="A54" s="501" t="s">
        <v>1732</v>
      </c>
      <c r="B54" s="502" t="s">
        <v>1762</v>
      </c>
      <c r="C54" s="501" t="s">
        <v>993</v>
      </c>
      <c r="D54" s="501" t="s">
        <v>1763</v>
      </c>
      <c r="E54" s="602" t="s">
        <v>1746</v>
      </c>
      <c r="F54" s="602"/>
      <c r="G54" s="503" t="s">
        <v>49</v>
      </c>
      <c r="H54" s="504">
        <v>3.3E-3</v>
      </c>
      <c r="I54" s="504"/>
      <c r="J54" s="505">
        <v>353.33</v>
      </c>
      <c r="K54" s="505">
        <v>1.1599999999999999</v>
      </c>
      <c r="L54" s="70"/>
    </row>
    <row r="55" spans="1:12" ht="25.5" x14ac:dyDescent="0.25">
      <c r="A55" s="501" t="s">
        <v>1732</v>
      </c>
      <c r="B55" s="502" t="s">
        <v>1764</v>
      </c>
      <c r="C55" s="501" t="s">
        <v>993</v>
      </c>
      <c r="D55" s="501" t="s">
        <v>1765</v>
      </c>
      <c r="E55" s="602" t="s">
        <v>1746</v>
      </c>
      <c r="F55" s="602"/>
      <c r="G55" s="503" t="s">
        <v>49</v>
      </c>
      <c r="H55" s="504">
        <v>4.0000000000000002E-4</v>
      </c>
      <c r="I55" s="504"/>
      <c r="J55" s="505">
        <v>2392.16</v>
      </c>
      <c r="K55" s="505">
        <v>0.95</v>
      </c>
      <c r="L55" s="70"/>
    </row>
    <row r="56" spans="1:12" ht="25.5" x14ac:dyDescent="0.25">
      <c r="A56" s="501" t="s">
        <v>1732</v>
      </c>
      <c r="B56" s="502" t="s">
        <v>1766</v>
      </c>
      <c r="C56" s="501" t="s">
        <v>993</v>
      </c>
      <c r="D56" s="501" t="s">
        <v>1767</v>
      </c>
      <c r="E56" s="602" t="s">
        <v>1746</v>
      </c>
      <c r="F56" s="602"/>
      <c r="G56" s="503" t="s">
        <v>1222</v>
      </c>
      <c r="H56" s="504">
        <v>9.4600000000000004E-2</v>
      </c>
      <c r="I56" s="504"/>
      <c r="J56" s="505">
        <v>11.87</v>
      </c>
      <c r="K56" s="505">
        <v>1.1200000000000001</v>
      </c>
      <c r="L56" s="70"/>
    </row>
    <row r="57" spans="1:12" ht="25.5" x14ac:dyDescent="0.25">
      <c r="A57" s="501" t="s">
        <v>1732</v>
      </c>
      <c r="B57" s="502" t="s">
        <v>1768</v>
      </c>
      <c r="C57" s="501" t="s">
        <v>993</v>
      </c>
      <c r="D57" s="501" t="s">
        <v>1769</v>
      </c>
      <c r="E57" s="602" t="s">
        <v>1746</v>
      </c>
      <c r="F57" s="602"/>
      <c r="G57" s="503" t="s">
        <v>1222</v>
      </c>
      <c r="H57" s="504">
        <v>0.27760000000000001</v>
      </c>
      <c r="I57" s="504"/>
      <c r="J57" s="505">
        <v>5.96</v>
      </c>
      <c r="K57" s="505">
        <v>1.65</v>
      </c>
      <c r="L57" s="70"/>
    </row>
    <row r="58" spans="1:12" ht="25.5" x14ac:dyDescent="0.25">
      <c r="A58" s="501" t="s">
        <v>1732</v>
      </c>
      <c r="B58" s="502" t="s">
        <v>1770</v>
      </c>
      <c r="C58" s="501" t="s">
        <v>993</v>
      </c>
      <c r="D58" s="501" t="s">
        <v>1771</v>
      </c>
      <c r="E58" s="602" t="s">
        <v>1746</v>
      </c>
      <c r="F58" s="602"/>
      <c r="G58" s="503" t="s">
        <v>1772</v>
      </c>
      <c r="H58" s="504">
        <v>0.27500000000000002</v>
      </c>
      <c r="I58" s="504"/>
      <c r="J58" s="505">
        <v>16.28</v>
      </c>
      <c r="K58" s="505">
        <v>4.47</v>
      </c>
      <c r="L58" s="70"/>
    </row>
    <row r="59" spans="1:12" ht="25.5" x14ac:dyDescent="0.25">
      <c r="A59" s="501" t="s">
        <v>1732</v>
      </c>
      <c r="B59" s="502" t="s">
        <v>1773</v>
      </c>
      <c r="C59" s="501" t="s">
        <v>993</v>
      </c>
      <c r="D59" s="501" t="s">
        <v>1774</v>
      </c>
      <c r="E59" s="602" t="s">
        <v>1746</v>
      </c>
      <c r="F59" s="602"/>
      <c r="G59" s="503" t="s">
        <v>49</v>
      </c>
      <c r="H59" s="504">
        <v>3.3999999999999998E-3</v>
      </c>
      <c r="I59" s="504"/>
      <c r="J59" s="505">
        <v>40.6</v>
      </c>
      <c r="K59" s="505">
        <v>0.13</v>
      </c>
      <c r="L59" s="70"/>
    </row>
    <row r="60" spans="1:12" ht="25.5" x14ac:dyDescent="0.25">
      <c r="A60" s="501" t="s">
        <v>1732</v>
      </c>
      <c r="B60" s="502" t="s">
        <v>1775</v>
      </c>
      <c r="C60" s="501" t="s">
        <v>993</v>
      </c>
      <c r="D60" s="501" t="s">
        <v>1776</v>
      </c>
      <c r="E60" s="602" t="s">
        <v>1746</v>
      </c>
      <c r="F60" s="602"/>
      <c r="G60" s="503" t="s">
        <v>49</v>
      </c>
      <c r="H60" s="504">
        <v>1.1000000000000001E-3</v>
      </c>
      <c r="I60" s="504"/>
      <c r="J60" s="505">
        <v>46.74</v>
      </c>
      <c r="K60" s="505">
        <v>0.05</v>
      </c>
      <c r="L60" s="70"/>
    </row>
    <row r="61" spans="1:12" ht="25.5" x14ac:dyDescent="0.25">
      <c r="A61" s="501" t="s">
        <v>1732</v>
      </c>
      <c r="B61" s="502" t="s">
        <v>1777</v>
      </c>
      <c r="C61" s="501" t="s">
        <v>993</v>
      </c>
      <c r="D61" s="501" t="s">
        <v>1778</v>
      </c>
      <c r="E61" s="602" t="s">
        <v>1746</v>
      </c>
      <c r="F61" s="602"/>
      <c r="G61" s="503" t="s">
        <v>49</v>
      </c>
      <c r="H61" s="504">
        <v>1.8E-3</v>
      </c>
      <c r="I61" s="504"/>
      <c r="J61" s="505">
        <v>52.41</v>
      </c>
      <c r="K61" s="505">
        <v>0.09</v>
      </c>
      <c r="L61" s="70"/>
    </row>
    <row r="62" spans="1:12" ht="25.5" x14ac:dyDescent="0.25">
      <c r="A62" s="501" t="s">
        <v>1732</v>
      </c>
      <c r="B62" s="502" t="s">
        <v>1779</v>
      </c>
      <c r="C62" s="501" t="s">
        <v>993</v>
      </c>
      <c r="D62" s="501" t="s">
        <v>1780</v>
      </c>
      <c r="E62" s="602" t="s">
        <v>1746</v>
      </c>
      <c r="F62" s="602"/>
      <c r="G62" s="503" t="s">
        <v>49</v>
      </c>
      <c r="H62" s="504">
        <v>13.948700000000001</v>
      </c>
      <c r="I62" s="504"/>
      <c r="J62" s="505">
        <v>0.17</v>
      </c>
      <c r="K62" s="505">
        <v>2.37</v>
      </c>
      <c r="L62" s="70"/>
    </row>
    <row r="63" spans="1:12" ht="25.5" x14ac:dyDescent="0.25">
      <c r="A63" s="501" t="s">
        <v>1732</v>
      </c>
      <c r="B63" s="502" t="s">
        <v>1781</v>
      </c>
      <c r="C63" s="501" t="s">
        <v>993</v>
      </c>
      <c r="D63" s="501" t="s">
        <v>1782</v>
      </c>
      <c r="E63" s="602" t="s">
        <v>1746</v>
      </c>
      <c r="F63" s="602"/>
      <c r="G63" s="503" t="s">
        <v>1772</v>
      </c>
      <c r="H63" s="504">
        <v>0.97709999999999997</v>
      </c>
      <c r="I63" s="504"/>
      <c r="J63" s="505">
        <v>8.82</v>
      </c>
      <c r="K63" s="505">
        <v>8.61</v>
      </c>
      <c r="L63" s="70"/>
    </row>
    <row r="64" spans="1:12" ht="25.5" x14ac:dyDescent="0.25">
      <c r="A64" s="501" t="s">
        <v>1732</v>
      </c>
      <c r="B64" s="502" t="s">
        <v>1783</v>
      </c>
      <c r="C64" s="501" t="s">
        <v>993</v>
      </c>
      <c r="D64" s="501" t="s">
        <v>1784</v>
      </c>
      <c r="E64" s="602" t="s">
        <v>1746</v>
      </c>
      <c r="F64" s="602"/>
      <c r="G64" s="503" t="s">
        <v>49</v>
      </c>
      <c r="H64" s="504">
        <v>5.5899999999999998E-2</v>
      </c>
      <c r="I64" s="504"/>
      <c r="J64" s="505">
        <v>3.69</v>
      </c>
      <c r="K64" s="505">
        <v>0.2</v>
      </c>
      <c r="L64" s="70"/>
    </row>
    <row r="65" spans="1:12" ht="25.5" x14ac:dyDescent="0.25">
      <c r="A65" s="501" t="s">
        <v>1732</v>
      </c>
      <c r="B65" s="502" t="s">
        <v>1785</v>
      </c>
      <c r="C65" s="501" t="s">
        <v>993</v>
      </c>
      <c r="D65" s="501" t="s">
        <v>1786</v>
      </c>
      <c r="E65" s="602" t="s">
        <v>1746</v>
      </c>
      <c r="F65" s="602"/>
      <c r="G65" s="503" t="s">
        <v>1222</v>
      </c>
      <c r="H65" s="504">
        <v>5.1999999999999998E-3</v>
      </c>
      <c r="I65" s="504"/>
      <c r="J65" s="505">
        <v>13.17</v>
      </c>
      <c r="K65" s="505">
        <v>0.06</v>
      </c>
      <c r="L65" s="70"/>
    </row>
    <row r="66" spans="1:12" ht="25.5" x14ac:dyDescent="0.25">
      <c r="A66" s="501" t="s">
        <v>1732</v>
      </c>
      <c r="B66" s="502" t="s">
        <v>1787</v>
      </c>
      <c r="C66" s="501" t="s">
        <v>993</v>
      </c>
      <c r="D66" s="501" t="s">
        <v>1788</v>
      </c>
      <c r="E66" s="602" t="s">
        <v>1746</v>
      </c>
      <c r="F66" s="602"/>
      <c r="G66" s="503" t="s">
        <v>49</v>
      </c>
      <c r="H66" s="504">
        <v>1.8E-3</v>
      </c>
      <c r="I66" s="504"/>
      <c r="J66" s="505">
        <v>48.4</v>
      </c>
      <c r="K66" s="505">
        <v>0.08</v>
      </c>
      <c r="L66" s="70"/>
    </row>
    <row r="67" spans="1:12" ht="25.5" x14ac:dyDescent="0.25">
      <c r="A67" s="501" t="s">
        <v>1732</v>
      </c>
      <c r="B67" s="502" t="s">
        <v>1789</v>
      </c>
      <c r="C67" s="501" t="s">
        <v>993</v>
      </c>
      <c r="D67" s="501" t="s">
        <v>1790</v>
      </c>
      <c r="E67" s="602" t="s">
        <v>1746</v>
      </c>
      <c r="F67" s="602"/>
      <c r="G67" s="503" t="s">
        <v>1791</v>
      </c>
      <c r="H67" s="504">
        <v>7.7700000000000005E-2</v>
      </c>
      <c r="I67" s="504"/>
      <c r="J67" s="505">
        <v>13.98</v>
      </c>
      <c r="K67" s="505">
        <v>1.08</v>
      </c>
      <c r="L67" s="70"/>
    </row>
    <row r="68" spans="1:12" ht="25.5" x14ac:dyDescent="0.25">
      <c r="A68" s="501" t="s">
        <v>1732</v>
      </c>
      <c r="B68" s="502" t="s">
        <v>1792</v>
      </c>
      <c r="C68" s="501" t="s">
        <v>993</v>
      </c>
      <c r="D68" s="501" t="s">
        <v>1793</v>
      </c>
      <c r="E68" s="602" t="s">
        <v>1746</v>
      </c>
      <c r="F68" s="602"/>
      <c r="G68" s="503" t="s">
        <v>49</v>
      </c>
      <c r="H68" s="504">
        <v>5.0000000000000001E-4</v>
      </c>
      <c r="I68" s="504"/>
      <c r="J68" s="505">
        <v>1357.3</v>
      </c>
      <c r="K68" s="505">
        <v>0.67</v>
      </c>
      <c r="L68" s="70"/>
    </row>
    <row r="69" spans="1:12" ht="25.5" x14ac:dyDescent="0.25">
      <c r="A69" s="501" t="s">
        <v>1732</v>
      </c>
      <c r="B69" s="502" t="s">
        <v>1794</v>
      </c>
      <c r="C69" s="501" t="s">
        <v>993</v>
      </c>
      <c r="D69" s="501" t="s">
        <v>1795</v>
      </c>
      <c r="E69" s="602" t="s">
        <v>1746</v>
      </c>
      <c r="F69" s="602"/>
      <c r="G69" s="503" t="s">
        <v>1222</v>
      </c>
      <c r="H69" s="504">
        <v>5.9200000000000003E-2</v>
      </c>
      <c r="I69" s="504"/>
      <c r="J69" s="505">
        <v>20.57</v>
      </c>
      <c r="K69" s="505">
        <v>1.21</v>
      </c>
      <c r="L69" s="70"/>
    </row>
    <row r="70" spans="1:12" ht="25.5" x14ac:dyDescent="0.25">
      <c r="A70" s="501" t="s">
        <v>1732</v>
      </c>
      <c r="B70" s="502" t="s">
        <v>1796</v>
      </c>
      <c r="C70" s="501" t="s">
        <v>993</v>
      </c>
      <c r="D70" s="501" t="s">
        <v>1797</v>
      </c>
      <c r="E70" s="602" t="s">
        <v>1746</v>
      </c>
      <c r="F70" s="602"/>
      <c r="G70" s="503" t="s">
        <v>1222</v>
      </c>
      <c r="H70" s="504">
        <v>5.1999999999999998E-3</v>
      </c>
      <c r="I70" s="504"/>
      <c r="J70" s="505">
        <v>21.99</v>
      </c>
      <c r="K70" s="505">
        <v>0.11</v>
      </c>
      <c r="L70" s="70"/>
    </row>
    <row r="71" spans="1:12" ht="25.5" x14ac:dyDescent="0.25">
      <c r="A71" s="501" t="s">
        <v>1732</v>
      </c>
      <c r="B71" s="502" t="s">
        <v>1798</v>
      </c>
      <c r="C71" s="501" t="s">
        <v>993</v>
      </c>
      <c r="D71" s="501" t="s">
        <v>1799</v>
      </c>
      <c r="E71" s="602" t="s">
        <v>1746</v>
      </c>
      <c r="F71" s="602"/>
      <c r="G71" s="503" t="s">
        <v>41</v>
      </c>
      <c r="H71" s="504">
        <v>2.2090999999999998</v>
      </c>
      <c r="I71" s="504"/>
      <c r="J71" s="505">
        <v>8.2100000000000009</v>
      </c>
      <c r="K71" s="505">
        <v>18.13</v>
      </c>
      <c r="L71" s="70"/>
    </row>
    <row r="72" spans="1:12" ht="25.5" x14ac:dyDescent="0.25">
      <c r="A72" s="501" t="s">
        <v>1732</v>
      </c>
      <c r="B72" s="502" t="s">
        <v>1800</v>
      </c>
      <c r="C72" s="501" t="s">
        <v>993</v>
      </c>
      <c r="D72" s="501" t="s">
        <v>1801</v>
      </c>
      <c r="E72" s="602" t="s">
        <v>1746</v>
      </c>
      <c r="F72" s="602"/>
      <c r="G72" s="503" t="s">
        <v>49</v>
      </c>
      <c r="H72" s="504">
        <v>2.01E-2</v>
      </c>
      <c r="I72" s="504"/>
      <c r="J72" s="505">
        <v>9.85</v>
      </c>
      <c r="K72" s="505">
        <v>0.19</v>
      </c>
      <c r="L72" s="70"/>
    </row>
    <row r="73" spans="1:12" ht="25.5" x14ac:dyDescent="0.25">
      <c r="A73" s="501" t="s">
        <v>1732</v>
      </c>
      <c r="B73" s="502" t="s">
        <v>1802</v>
      </c>
      <c r="C73" s="501" t="s">
        <v>993</v>
      </c>
      <c r="D73" s="501" t="s">
        <v>1803</v>
      </c>
      <c r="E73" s="602" t="s">
        <v>1746</v>
      </c>
      <c r="F73" s="602"/>
      <c r="G73" s="503" t="s">
        <v>49</v>
      </c>
      <c r="H73" s="504">
        <v>3.0099999999999998E-2</v>
      </c>
      <c r="I73" s="504"/>
      <c r="J73" s="505">
        <v>2.1</v>
      </c>
      <c r="K73" s="505">
        <v>0.06</v>
      </c>
      <c r="L73" s="70"/>
    </row>
    <row r="74" spans="1:12" ht="25.5" x14ac:dyDescent="0.25">
      <c r="A74" s="501" t="s">
        <v>1732</v>
      </c>
      <c r="B74" s="502" t="s">
        <v>1804</v>
      </c>
      <c r="C74" s="501" t="s">
        <v>993</v>
      </c>
      <c r="D74" s="501" t="s">
        <v>1805</v>
      </c>
      <c r="E74" s="602" t="s">
        <v>1746</v>
      </c>
      <c r="F74" s="602"/>
      <c r="G74" s="503" t="s">
        <v>49</v>
      </c>
      <c r="H74" s="504">
        <v>1.8E-3</v>
      </c>
      <c r="I74" s="504"/>
      <c r="J74" s="505">
        <v>201.6</v>
      </c>
      <c r="K74" s="505">
        <v>0.36</v>
      </c>
      <c r="L74" s="70"/>
    </row>
    <row r="75" spans="1:12" ht="25.5" x14ac:dyDescent="0.25">
      <c r="A75" s="501" t="s">
        <v>1732</v>
      </c>
      <c r="B75" s="502" t="s">
        <v>1806</v>
      </c>
      <c r="C75" s="501" t="s">
        <v>993</v>
      </c>
      <c r="D75" s="501" t="s">
        <v>1807</v>
      </c>
      <c r="E75" s="602" t="s">
        <v>1746</v>
      </c>
      <c r="F75" s="602"/>
      <c r="G75" s="503" t="s">
        <v>49</v>
      </c>
      <c r="H75" s="504">
        <v>6.0000000000000001E-3</v>
      </c>
      <c r="I75" s="504"/>
      <c r="J75" s="505">
        <v>1.97</v>
      </c>
      <c r="K75" s="505">
        <v>0.01</v>
      </c>
      <c r="L75" s="70"/>
    </row>
    <row r="76" spans="1:12" ht="25.5" x14ac:dyDescent="0.25">
      <c r="A76" s="501" t="s">
        <v>1732</v>
      </c>
      <c r="B76" s="502" t="s">
        <v>1808</v>
      </c>
      <c r="C76" s="501" t="s">
        <v>993</v>
      </c>
      <c r="D76" s="501" t="s">
        <v>1809</v>
      </c>
      <c r="E76" s="602" t="s">
        <v>1746</v>
      </c>
      <c r="F76" s="602"/>
      <c r="G76" s="503" t="s">
        <v>45</v>
      </c>
      <c r="H76" s="504">
        <v>4.1000000000000003E-3</v>
      </c>
      <c r="I76" s="504"/>
      <c r="J76" s="505">
        <v>3946.7</v>
      </c>
      <c r="K76" s="505">
        <v>16.18</v>
      </c>
      <c r="L76" s="70"/>
    </row>
    <row r="77" spans="1:12" ht="25.5" x14ac:dyDescent="0.25">
      <c r="A77" s="501" t="s">
        <v>1732</v>
      </c>
      <c r="B77" s="502" t="s">
        <v>1810</v>
      </c>
      <c r="C77" s="501" t="s">
        <v>993</v>
      </c>
      <c r="D77" s="501" t="s">
        <v>1661</v>
      </c>
      <c r="E77" s="602" t="s">
        <v>1746</v>
      </c>
      <c r="F77" s="602"/>
      <c r="G77" s="503" t="s">
        <v>49</v>
      </c>
      <c r="H77" s="504">
        <v>0.11269999999999999</v>
      </c>
      <c r="I77" s="504"/>
      <c r="J77" s="505">
        <v>0.99</v>
      </c>
      <c r="K77" s="505">
        <v>0.11</v>
      </c>
      <c r="L77" s="70"/>
    </row>
    <row r="78" spans="1:12" ht="25.5" x14ac:dyDescent="0.25">
      <c r="A78" s="501" t="s">
        <v>1732</v>
      </c>
      <c r="B78" s="502" t="s">
        <v>1811</v>
      </c>
      <c r="C78" s="501" t="s">
        <v>993</v>
      </c>
      <c r="D78" s="501" t="s">
        <v>1812</v>
      </c>
      <c r="E78" s="602" t="s">
        <v>1746</v>
      </c>
      <c r="F78" s="602"/>
      <c r="G78" s="503" t="s">
        <v>49</v>
      </c>
      <c r="H78" s="504">
        <v>1.21E-2</v>
      </c>
      <c r="I78" s="504"/>
      <c r="J78" s="505">
        <v>2.6</v>
      </c>
      <c r="K78" s="505">
        <v>0.03</v>
      </c>
      <c r="L78" s="70"/>
    </row>
    <row r="79" spans="1:12" ht="25.5" x14ac:dyDescent="0.25">
      <c r="A79" s="501" t="s">
        <v>1732</v>
      </c>
      <c r="B79" s="502" t="s">
        <v>1813</v>
      </c>
      <c r="C79" s="501" t="s">
        <v>993</v>
      </c>
      <c r="D79" s="501" t="s">
        <v>1814</v>
      </c>
      <c r="E79" s="602" t="s">
        <v>1746</v>
      </c>
      <c r="F79" s="602"/>
      <c r="G79" s="503" t="s">
        <v>49</v>
      </c>
      <c r="H79" s="504">
        <v>9.4000000000000004E-3</v>
      </c>
      <c r="I79" s="504"/>
      <c r="J79" s="505">
        <v>13.17</v>
      </c>
      <c r="K79" s="505">
        <v>0.12</v>
      </c>
      <c r="L79" s="70"/>
    </row>
    <row r="80" spans="1:12" ht="25.5" x14ac:dyDescent="0.25">
      <c r="A80" s="501" t="s">
        <v>1732</v>
      </c>
      <c r="B80" s="502" t="s">
        <v>1815</v>
      </c>
      <c r="C80" s="501" t="s">
        <v>993</v>
      </c>
      <c r="D80" s="501" t="s">
        <v>1816</v>
      </c>
      <c r="E80" s="602" t="s">
        <v>1746</v>
      </c>
      <c r="F80" s="602"/>
      <c r="G80" s="503" t="s">
        <v>49</v>
      </c>
      <c r="H80" s="504">
        <v>0.21809999999999999</v>
      </c>
      <c r="I80" s="504"/>
      <c r="J80" s="505">
        <v>1.82</v>
      </c>
      <c r="K80" s="505">
        <v>0.39</v>
      </c>
      <c r="L80" s="70"/>
    </row>
    <row r="81" spans="1:12" ht="25.5" x14ac:dyDescent="0.25">
      <c r="A81" s="501" t="s">
        <v>1732</v>
      </c>
      <c r="B81" s="502" t="s">
        <v>1817</v>
      </c>
      <c r="C81" s="501" t="s">
        <v>993</v>
      </c>
      <c r="D81" s="501" t="s">
        <v>1818</v>
      </c>
      <c r="E81" s="602" t="s">
        <v>1746</v>
      </c>
      <c r="F81" s="602"/>
      <c r="G81" s="503" t="s">
        <v>49</v>
      </c>
      <c r="H81" s="504">
        <v>1.8E-3</v>
      </c>
      <c r="I81" s="504"/>
      <c r="J81" s="505">
        <v>94.26</v>
      </c>
      <c r="K81" s="505">
        <v>0.16</v>
      </c>
      <c r="L81" s="70"/>
    </row>
    <row r="82" spans="1:12" ht="25.5" x14ac:dyDescent="0.25">
      <c r="A82" s="501" t="s">
        <v>1732</v>
      </c>
      <c r="B82" s="502" t="s">
        <v>1819</v>
      </c>
      <c r="C82" s="501" t="s">
        <v>993</v>
      </c>
      <c r="D82" s="501" t="s">
        <v>1820</v>
      </c>
      <c r="E82" s="602" t="s">
        <v>1746</v>
      </c>
      <c r="F82" s="602"/>
      <c r="G82" s="503" t="s">
        <v>49</v>
      </c>
      <c r="H82" s="504">
        <v>3.8E-3</v>
      </c>
      <c r="I82" s="504"/>
      <c r="J82" s="505">
        <v>4.0199999999999996</v>
      </c>
      <c r="K82" s="505">
        <v>0.01</v>
      </c>
      <c r="L82" s="70"/>
    </row>
    <row r="83" spans="1:12" ht="25.5" x14ac:dyDescent="0.25">
      <c r="A83" s="501" t="s">
        <v>1732</v>
      </c>
      <c r="B83" s="502" t="s">
        <v>1821</v>
      </c>
      <c r="C83" s="501" t="s">
        <v>993</v>
      </c>
      <c r="D83" s="501" t="s">
        <v>1822</v>
      </c>
      <c r="E83" s="602" t="s">
        <v>1746</v>
      </c>
      <c r="F83" s="602"/>
      <c r="G83" s="503" t="s">
        <v>49</v>
      </c>
      <c r="H83" s="504">
        <v>3.04E-2</v>
      </c>
      <c r="I83" s="504"/>
      <c r="J83" s="505">
        <v>9.11</v>
      </c>
      <c r="K83" s="505">
        <v>0.27</v>
      </c>
      <c r="L83" s="70"/>
    </row>
    <row r="84" spans="1:12" ht="25.5" x14ac:dyDescent="0.25">
      <c r="A84" s="501" t="s">
        <v>1732</v>
      </c>
      <c r="B84" s="502" t="s">
        <v>1823</v>
      </c>
      <c r="C84" s="501" t="s">
        <v>993</v>
      </c>
      <c r="D84" s="501" t="s">
        <v>1824</v>
      </c>
      <c r="E84" s="602" t="s">
        <v>1746</v>
      </c>
      <c r="F84" s="602"/>
      <c r="G84" s="503" t="s">
        <v>49</v>
      </c>
      <c r="H84" s="504">
        <v>1E-3</v>
      </c>
      <c r="I84" s="504"/>
      <c r="J84" s="505">
        <v>23.15</v>
      </c>
      <c r="K84" s="505">
        <v>0.02</v>
      </c>
      <c r="L84" s="70"/>
    </row>
    <row r="85" spans="1:12" ht="25.5" x14ac:dyDescent="0.25">
      <c r="A85" s="501" t="s">
        <v>1732</v>
      </c>
      <c r="B85" s="502" t="s">
        <v>1825</v>
      </c>
      <c r="C85" s="501" t="s">
        <v>993</v>
      </c>
      <c r="D85" s="501" t="s">
        <v>1826</v>
      </c>
      <c r="E85" s="602" t="s">
        <v>1746</v>
      </c>
      <c r="F85" s="602"/>
      <c r="G85" s="503" t="s">
        <v>49</v>
      </c>
      <c r="H85" s="504">
        <v>1.8E-3</v>
      </c>
      <c r="I85" s="504"/>
      <c r="J85" s="505">
        <v>17.8</v>
      </c>
      <c r="K85" s="505">
        <v>0.03</v>
      </c>
      <c r="L85" s="70"/>
    </row>
    <row r="86" spans="1:12" ht="25.5" x14ac:dyDescent="0.25">
      <c r="A86" s="501" t="s">
        <v>1732</v>
      </c>
      <c r="B86" s="502" t="s">
        <v>1827</v>
      </c>
      <c r="C86" s="501" t="s">
        <v>993</v>
      </c>
      <c r="D86" s="501" t="s">
        <v>1828</v>
      </c>
      <c r="E86" s="602" t="s">
        <v>1746</v>
      </c>
      <c r="F86" s="602"/>
      <c r="G86" s="503" t="s">
        <v>49</v>
      </c>
      <c r="H86" s="504">
        <v>8.0999999999999996E-3</v>
      </c>
      <c r="I86" s="504"/>
      <c r="J86" s="505">
        <v>10.96</v>
      </c>
      <c r="K86" s="505">
        <v>0.08</v>
      </c>
      <c r="L86" s="70"/>
    </row>
    <row r="87" spans="1:12" ht="25.5" x14ac:dyDescent="0.25">
      <c r="A87" s="501" t="s">
        <v>1732</v>
      </c>
      <c r="B87" s="502" t="s">
        <v>1829</v>
      </c>
      <c r="C87" s="501" t="s">
        <v>993</v>
      </c>
      <c r="D87" s="501" t="s">
        <v>1830</v>
      </c>
      <c r="E87" s="602" t="s">
        <v>1746</v>
      </c>
      <c r="F87" s="602"/>
      <c r="G87" s="503" t="s">
        <v>1751</v>
      </c>
      <c r="H87" s="504">
        <v>9.7600000000000006E-2</v>
      </c>
      <c r="I87" s="504"/>
      <c r="J87" s="505">
        <v>13.04</v>
      </c>
      <c r="K87" s="505">
        <v>1.27</v>
      </c>
      <c r="L87" s="70"/>
    </row>
    <row r="88" spans="1:12" ht="25.5" x14ac:dyDescent="0.25">
      <c r="A88" s="501" t="s">
        <v>1732</v>
      </c>
      <c r="B88" s="502" t="s">
        <v>1831</v>
      </c>
      <c r="C88" s="501" t="s">
        <v>993</v>
      </c>
      <c r="D88" s="501" t="s">
        <v>1832</v>
      </c>
      <c r="E88" s="602" t="s">
        <v>1746</v>
      </c>
      <c r="F88" s="602"/>
      <c r="G88" s="503" t="s">
        <v>1414</v>
      </c>
      <c r="H88" s="504">
        <v>3.8E-3</v>
      </c>
      <c r="I88" s="504"/>
      <c r="J88" s="505">
        <v>7.11</v>
      </c>
      <c r="K88" s="505">
        <v>0.02</v>
      </c>
      <c r="L88" s="70"/>
    </row>
    <row r="89" spans="1:12" ht="25.5" x14ac:dyDescent="0.25">
      <c r="A89" s="501" t="s">
        <v>1732</v>
      </c>
      <c r="B89" s="502" t="s">
        <v>1833</v>
      </c>
      <c r="C89" s="501" t="s">
        <v>993</v>
      </c>
      <c r="D89" s="501" t="s">
        <v>1834</v>
      </c>
      <c r="E89" s="602" t="s">
        <v>1746</v>
      </c>
      <c r="F89" s="602"/>
      <c r="G89" s="503" t="s">
        <v>41</v>
      </c>
      <c r="H89" s="504">
        <v>1.121</v>
      </c>
      <c r="I89" s="504"/>
      <c r="J89" s="505">
        <v>2.21</v>
      </c>
      <c r="K89" s="505">
        <v>2.4700000000000002</v>
      </c>
      <c r="L89" s="70"/>
    </row>
    <row r="90" spans="1:12" ht="25.5" x14ac:dyDescent="0.25">
      <c r="A90" s="501" t="s">
        <v>1732</v>
      </c>
      <c r="B90" s="502" t="s">
        <v>1835</v>
      </c>
      <c r="C90" s="501" t="s">
        <v>993</v>
      </c>
      <c r="D90" s="501" t="s">
        <v>1836</v>
      </c>
      <c r="E90" s="602" t="s">
        <v>1746</v>
      </c>
      <c r="F90" s="602"/>
      <c r="G90" s="503" t="s">
        <v>49</v>
      </c>
      <c r="H90" s="504">
        <v>1.5299999999999999E-2</v>
      </c>
      <c r="I90" s="504"/>
      <c r="J90" s="505">
        <v>3</v>
      </c>
      <c r="K90" s="505">
        <v>0.04</v>
      </c>
      <c r="L90" s="70"/>
    </row>
    <row r="91" spans="1:12" ht="25.5" x14ac:dyDescent="0.25">
      <c r="A91" s="501" t="s">
        <v>1732</v>
      </c>
      <c r="B91" s="502" t="s">
        <v>1837</v>
      </c>
      <c r="C91" s="501" t="s">
        <v>993</v>
      </c>
      <c r="D91" s="501" t="s">
        <v>1838</v>
      </c>
      <c r="E91" s="602" t="s">
        <v>1746</v>
      </c>
      <c r="F91" s="602"/>
      <c r="G91" s="503" t="s">
        <v>41</v>
      </c>
      <c r="H91" s="504">
        <v>0.31159999999999999</v>
      </c>
      <c r="I91" s="504"/>
      <c r="J91" s="505">
        <v>3.44</v>
      </c>
      <c r="K91" s="505">
        <v>1.07</v>
      </c>
      <c r="L91" s="70"/>
    </row>
    <row r="92" spans="1:12" ht="25.5" x14ac:dyDescent="0.25">
      <c r="A92" s="501" t="s">
        <v>1732</v>
      </c>
      <c r="B92" s="502" t="s">
        <v>1839</v>
      </c>
      <c r="C92" s="501" t="s">
        <v>993</v>
      </c>
      <c r="D92" s="501" t="s">
        <v>1427</v>
      </c>
      <c r="E92" s="602" t="s">
        <v>1746</v>
      </c>
      <c r="F92" s="602"/>
      <c r="G92" s="503" t="s">
        <v>49</v>
      </c>
      <c r="H92" s="504">
        <v>1.8100000000000002E-2</v>
      </c>
      <c r="I92" s="504"/>
      <c r="J92" s="505">
        <v>11.48</v>
      </c>
      <c r="K92" s="505">
        <v>0.2</v>
      </c>
      <c r="L92" s="70"/>
    </row>
    <row r="93" spans="1:12" ht="25.5" x14ac:dyDescent="0.25">
      <c r="A93" s="501" t="s">
        <v>1732</v>
      </c>
      <c r="B93" s="502" t="s">
        <v>1840</v>
      </c>
      <c r="C93" s="501" t="s">
        <v>993</v>
      </c>
      <c r="D93" s="501" t="s">
        <v>1841</v>
      </c>
      <c r="E93" s="602" t="s">
        <v>1746</v>
      </c>
      <c r="F93" s="602"/>
      <c r="G93" s="503" t="s">
        <v>49</v>
      </c>
      <c r="H93" s="504">
        <v>4.53E-2</v>
      </c>
      <c r="I93" s="504"/>
      <c r="J93" s="505">
        <v>4.55</v>
      </c>
      <c r="K93" s="505">
        <v>0.2</v>
      </c>
      <c r="L93" s="70"/>
    </row>
    <row r="94" spans="1:12" ht="25.5" x14ac:dyDescent="0.25">
      <c r="A94" s="501" t="s">
        <v>1732</v>
      </c>
      <c r="B94" s="502" t="s">
        <v>1842</v>
      </c>
      <c r="C94" s="501" t="s">
        <v>993</v>
      </c>
      <c r="D94" s="501" t="s">
        <v>1843</v>
      </c>
      <c r="E94" s="602" t="s">
        <v>1746</v>
      </c>
      <c r="F94" s="602"/>
      <c r="G94" s="503" t="s">
        <v>49</v>
      </c>
      <c r="H94" s="504">
        <v>2.01E-2</v>
      </c>
      <c r="I94" s="504"/>
      <c r="J94" s="505">
        <v>36.909999999999997</v>
      </c>
      <c r="K94" s="505">
        <v>0.74</v>
      </c>
      <c r="L94" s="70"/>
    </row>
    <row r="95" spans="1:12" ht="25.5" x14ac:dyDescent="0.25">
      <c r="A95" s="501" t="s">
        <v>1732</v>
      </c>
      <c r="B95" s="502" t="s">
        <v>1844</v>
      </c>
      <c r="C95" s="501" t="s">
        <v>993</v>
      </c>
      <c r="D95" s="501" t="s">
        <v>1845</v>
      </c>
      <c r="E95" s="602" t="s">
        <v>1746</v>
      </c>
      <c r="F95" s="602"/>
      <c r="G95" s="503" t="s">
        <v>49</v>
      </c>
      <c r="H95" s="504">
        <v>1.5100000000000001E-2</v>
      </c>
      <c r="I95" s="504"/>
      <c r="J95" s="505">
        <v>56.56</v>
      </c>
      <c r="K95" s="505">
        <v>0.85</v>
      </c>
      <c r="L95" s="70"/>
    </row>
    <row r="96" spans="1:12" ht="25.5" x14ac:dyDescent="0.25">
      <c r="A96" s="501" t="s">
        <v>1732</v>
      </c>
      <c r="B96" s="502" t="s">
        <v>1846</v>
      </c>
      <c r="C96" s="501" t="s">
        <v>993</v>
      </c>
      <c r="D96" s="501" t="s">
        <v>1847</v>
      </c>
      <c r="E96" s="602" t="s">
        <v>1746</v>
      </c>
      <c r="F96" s="602"/>
      <c r="G96" s="503" t="s">
        <v>49</v>
      </c>
      <c r="H96" s="504">
        <v>3.6316000000000002</v>
      </c>
      <c r="I96" s="504"/>
      <c r="J96" s="505">
        <v>0.37</v>
      </c>
      <c r="K96" s="505">
        <v>1.34</v>
      </c>
      <c r="L96" s="70"/>
    </row>
    <row r="97" spans="1:12" ht="25.5" x14ac:dyDescent="0.25">
      <c r="A97" s="501" t="s">
        <v>1732</v>
      </c>
      <c r="B97" s="502" t="s">
        <v>1848</v>
      </c>
      <c r="C97" s="501" t="s">
        <v>993</v>
      </c>
      <c r="D97" s="501" t="s">
        <v>1849</v>
      </c>
      <c r="E97" s="602" t="s">
        <v>1746</v>
      </c>
      <c r="F97" s="602"/>
      <c r="G97" s="503" t="s">
        <v>19</v>
      </c>
      <c r="H97" s="504">
        <v>1.1788000000000001</v>
      </c>
      <c r="I97" s="504"/>
      <c r="J97" s="505">
        <v>32.14</v>
      </c>
      <c r="K97" s="505">
        <v>37.880000000000003</v>
      </c>
      <c r="L97" s="70"/>
    </row>
    <row r="98" spans="1:12" ht="25.5" x14ac:dyDescent="0.25">
      <c r="A98" s="501" t="s">
        <v>1732</v>
      </c>
      <c r="B98" s="502" t="s">
        <v>1850</v>
      </c>
      <c r="C98" s="501" t="s">
        <v>993</v>
      </c>
      <c r="D98" s="501" t="s">
        <v>1851</v>
      </c>
      <c r="E98" s="602" t="s">
        <v>1746</v>
      </c>
      <c r="F98" s="602"/>
      <c r="G98" s="503" t="s">
        <v>19</v>
      </c>
      <c r="H98" s="504">
        <v>9.1999999999999998E-3</v>
      </c>
      <c r="I98" s="504"/>
      <c r="J98" s="505">
        <v>71.11</v>
      </c>
      <c r="K98" s="505">
        <v>0.65</v>
      </c>
      <c r="L98" s="70"/>
    </row>
    <row r="99" spans="1:12" ht="25.5" x14ac:dyDescent="0.25">
      <c r="A99" s="501" t="s">
        <v>1732</v>
      </c>
      <c r="B99" s="502" t="s">
        <v>1852</v>
      </c>
      <c r="C99" s="501" t="s">
        <v>993</v>
      </c>
      <c r="D99" s="501" t="s">
        <v>1853</v>
      </c>
      <c r="E99" s="602" t="s">
        <v>1746</v>
      </c>
      <c r="F99" s="602"/>
      <c r="G99" s="503" t="s">
        <v>19</v>
      </c>
      <c r="H99" s="504">
        <v>7.6700000000000004E-2</v>
      </c>
      <c r="I99" s="504"/>
      <c r="J99" s="505">
        <v>48.35</v>
      </c>
      <c r="K99" s="505">
        <v>3.7</v>
      </c>
      <c r="L99" s="70"/>
    </row>
    <row r="100" spans="1:12" ht="25.5" x14ac:dyDescent="0.25">
      <c r="A100" s="501" t="s">
        <v>1732</v>
      </c>
      <c r="B100" s="502" t="s">
        <v>1854</v>
      </c>
      <c r="C100" s="501" t="s">
        <v>993</v>
      </c>
      <c r="D100" s="501" t="s">
        <v>1855</v>
      </c>
      <c r="E100" s="602" t="s">
        <v>1746</v>
      </c>
      <c r="F100" s="602"/>
      <c r="G100" s="503" t="s">
        <v>1222</v>
      </c>
      <c r="H100" s="504">
        <v>15.326000000000001</v>
      </c>
      <c r="I100" s="504"/>
      <c r="J100" s="505">
        <v>0.65</v>
      </c>
      <c r="K100" s="505">
        <v>9.9600000000000009</v>
      </c>
      <c r="L100" s="70"/>
    </row>
    <row r="101" spans="1:12" ht="25.5" x14ac:dyDescent="0.25">
      <c r="A101" s="501" t="s">
        <v>1732</v>
      </c>
      <c r="B101" s="502" t="s">
        <v>1856</v>
      </c>
      <c r="C101" s="501" t="s">
        <v>993</v>
      </c>
      <c r="D101" s="501" t="s">
        <v>1857</v>
      </c>
      <c r="E101" s="602" t="s">
        <v>1746</v>
      </c>
      <c r="F101" s="602"/>
      <c r="G101" s="503" t="s">
        <v>1222</v>
      </c>
      <c r="H101" s="504">
        <v>2.5999999999999999E-3</v>
      </c>
      <c r="I101" s="504"/>
      <c r="J101" s="505">
        <v>9.18</v>
      </c>
      <c r="K101" s="505">
        <v>0.02</v>
      </c>
      <c r="L101" s="70"/>
    </row>
    <row r="102" spans="1:12" ht="25.5" x14ac:dyDescent="0.25">
      <c r="A102" s="501" t="s">
        <v>1732</v>
      </c>
      <c r="B102" s="502" t="s">
        <v>1858</v>
      </c>
      <c r="C102" s="501" t="s">
        <v>993</v>
      </c>
      <c r="D102" s="501" t="s">
        <v>1859</v>
      </c>
      <c r="E102" s="602" t="s">
        <v>1746</v>
      </c>
      <c r="F102" s="602"/>
      <c r="G102" s="503" t="s">
        <v>49</v>
      </c>
      <c r="H102" s="504">
        <v>7.6E-3</v>
      </c>
      <c r="I102" s="504"/>
      <c r="J102" s="505">
        <v>67.17</v>
      </c>
      <c r="K102" s="505">
        <v>0.51</v>
      </c>
      <c r="L102" s="70"/>
    </row>
    <row r="103" spans="1:12" ht="25.5" x14ac:dyDescent="0.25">
      <c r="A103" s="501" t="s">
        <v>1732</v>
      </c>
      <c r="B103" s="502" t="s">
        <v>1860</v>
      </c>
      <c r="C103" s="501" t="s">
        <v>993</v>
      </c>
      <c r="D103" s="501" t="s">
        <v>1861</v>
      </c>
      <c r="E103" s="602" t="s">
        <v>1746</v>
      </c>
      <c r="F103" s="602"/>
      <c r="G103" s="503" t="s">
        <v>49</v>
      </c>
      <c r="H103" s="504">
        <v>7.0199999999999999E-2</v>
      </c>
      <c r="I103" s="504"/>
      <c r="J103" s="505">
        <v>2.7</v>
      </c>
      <c r="K103" s="505">
        <v>0.18</v>
      </c>
      <c r="L103" s="70"/>
    </row>
    <row r="104" spans="1:12" ht="25.5" x14ac:dyDescent="0.25">
      <c r="A104" s="501" t="s">
        <v>1732</v>
      </c>
      <c r="B104" s="502" t="s">
        <v>1862</v>
      </c>
      <c r="C104" s="501" t="s">
        <v>993</v>
      </c>
      <c r="D104" s="501" t="s">
        <v>1863</v>
      </c>
      <c r="E104" s="602" t="s">
        <v>1746</v>
      </c>
      <c r="F104" s="602"/>
      <c r="G104" s="503" t="s">
        <v>41</v>
      </c>
      <c r="H104" s="504">
        <v>0.47210000000000002</v>
      </c>
      <c r="I104" s="504"/>
      <c r="J104" s="505">
        <v>15.59</v>
      </c>
      <c r="K104" s="505">
        <v>7.36</v>
      </c>
      <c r="L104" s="70"/>
    </row>
    <row r="105" spans="1:12" ht="25.5" x14ac:dyDescent="0.25">
      <c r="A105" s="501" t="s">
        <v>1732</v>
      </c>
      <c r="B105" s="502" t="s">
        <v>1864</v>
      </c>
      <c r="C105" s="501" t="s">
        <v>993</v>
      </c>
      <c r="D105" s="501" t="s">
        <v>1865</v>
      </c>
      <c r="E105" s="602" t="s">
        <v>1746</v>
      </c>
      <c r="F105" s="602"/>
      <c r="G105" s="503" t="s">
        <v>49</v>
      </c>
      <c r="H105" s="504">
        <v>3.7000000000000002E-3</v>
      </c>
      <c r="I105" s="504"/>
      <c r="J105" s="505">
        <v>396.24</v>
      </c>
      <c r="K105" s="505">
        <v>1.46</v>
      </c>
      <c r="L105" s="70"/>
    </row>
    <row r="106" spans="1:12" ht="25.5" x14ac:dyDescent="0.25">
      <c r="A106" s="501" t="s">
        <v>1732</v>
      </c>
      <c r="B106" s="502" t="s">
        <v>1866</v>
      </c>
      <c r="C106" s="501" t="s">
        <v>993</v>
      </c>
      <c r="D106" s="501" t="s">
        <v>1867</v>
      </c>
      <c r="E106" s="602" t="s">
        <v>1746</v>
      </c>
      <c r="F106" s="602"/>
      <c r="G106" s="503" t="s">
        <v>49</v>
      </c>
      <c r="H106" s="504">
        <v>9.4000000000000004E-3</v>
      </c>
      <c r="I106" s="504"/>
      <c r="J106" s="505">
        <v>40.74</v>
      </c>
      <c r="K106" s="505">
        <v>0.38</v>
      </c>
      <c r="L106" s="70"/>
    </row>
    <row r="107" spans="1:12" ht="25.5" x14ac:dyDescent="0.25">
      <c r="A107" s="501" t="s">
        <v>1732</v>
      </c>
      <c r="B107" s="502" t="s">
        <v>1868</v>
      </c>
      <c r="C107" s="501" t="s">
        <v>993</v>
      </c>
      <c r="D107" s="501" t="s">
        <v>1869</v>
      </c>
      <c r="E107" s="602" t="s">
        <v>1746</v>
      </c>
      <c r="F107" s="602"/>
      <c r="G107" s="503" t="s">
        <v>49</v>
      </c>
      <c r="H107" s="504">
        <v>3.32E-2</v>
      </c>
      <c r="I107" s="504"/>
      <c r="J107" s="505">
        <v>5</v>
      </c>
      <c r="K107" s="505">
        <v>0.16</v>
      </c>
      <c r="L107" s="70"/>
    </row>
    <row r="108" spans="1:12" ht="25.5" x14ac:dyDescent="0.25">
      <c r="A108" s="501" t="s">
        <v>1732</v>
      </c>
      <c r="B108" s="502" t="s">
        <v>1870</v>
      </c>
      <c r="C108" s="501" t="s">
        <v>993</v>
      </c>
      <c r="D108" s="501" t="s">
        <v>1871</v>
      </c>
      <c r="E108" s="602" t="s">
        <v>1746</v>
      </c>
      <c r="F108" s="602"/>
      <c r="G108" s="503" t="s">
        <v>49</v>
      </c>
      <c r="H108" s="504">
        <v>3.0300000000000001E-2</v>
      </c>
      <c r="I108" s="504"/>
      <c r="J108" s="505">
        <v>1.08</v>
      </c>
      <c r="K108" s="505">
        <v>0.03</v>
      </c>
      <c r="L108" s="70"/>
    </row>
    <row r="109" spans="1:12" ht="25.5" x14ac:dyDescent="0.25">
      <c r="A109" s="501" t="s">
        <v>1732</v>
      </c>
      <c r="B109" s="502" t="s">
        <v>1872</v>
      </c>
      <c r="C109" s="501" t="s">
        <v>993</v>
      </c>
      <c r="D109" s="501" t="s">
        <v>1873</v>
      </c>
      <c r="E109" s="602" t="s">
        <v>1746</v>
      </c>
      <c r="F109" s="602"/>
      <c r="G109" s="503" t="s">
        <v>45</v>
      </c>
      <c r="H109" s="504">
        <v>1.5299999999999999E-2</v>
      </c>
      <c r="I109" s="504"/>
      <c r="J109" s="505">
        <v>149.94999999999999</v>
      </c>
      <c r="K109" s="505">
        <v>2.29</v>
      </c>
      <c r="L109" s="70"/>
    </row>
    <row r="110" spans="1:12" ht="25.5" x14ac:dyDescent="0.25">
      <c r="A110" s="501" t="s">
        <v>1732</v>
      </c>
      <c r="B110" s="502" t="s">
        <v>1874</v>
      </c>
      <c r="C110" s="501" t="s">
        <v>993</v>
      </c>
      <c r="D110" s="501" t="s">
        <v>1875</v>
      </c>
      <c r="E110" s="602" t="s">
        <v>1746</v>
      </c>
      <c r="F110" s="602"/>
      <c r="G110" s="503" t="s">
        <v>45</v>
      </c>
      <c r="H110" s="504">
        <v>2.29E-2</v>
      </c>
      <c r="I110" s="504"/>
      <c r="J110" s="505">
        <v>148.97999999999999</v>
      </c>
      <c r="K110" s="505">
        <v>3.41</v>
      </c>
      <c r="L110" s="70"/>
    </row>
    <row r="111" spans="1:12" ht="25.5" x14ac:dyDescent="0.25">
      <c r="A111" s="501" t="s">
        <v>1732</v>
      </c>
      <c r="B111" s="502" t="s">
        <v>1876</v>
      </c>
      <c r="C111" s="501" t="s">
        <v>993</v>
      </c>
      <c r="D111" s="501" t="s">
        <v>1877</v>
      </c>
      <c r="E111" s="602" t="s">
        <v>1746</v>
      </c>
      <c r="F111" s="602"/>
      <c r="G111" s="503" t="s">
        <v>49</v>
      </c>
      <c r="H111" s="504">
        <v>0.26040000000000002</v>
      </c>
      <c r="I111" s="504"/>
      <c r="J111" s="505">
        <v>1.32</v>
      </c>
      <c r="K111" s="505">
        <v>0.34</v>
      </c>
      <c r="L111" s="70"/>
    </row>
    <row r="112" spans="1:12" ht="25.5" x14ac:dyDescent="0.25">
      <c r="A112" s="501" t="s">
        <v>1732</v>
      </c>
      <c r="B112" s="502" t="s">
        <v>1878</v>
      </c>
      <c r="C112" s="501" t="s">
        <v>993</v>
      </c>
      <c r="D112" s="501" t="s">
        <v>1879</v>
      </c>
      <c r="E112" s="602" t="s">
        <v>1746</v>
      </c>
      <c r="F112" s="602"/>
      <c r="G112" s="503" t="s">
        <v>49</v>
      </c>
      <c r="H112" s="504">
        <v>7.6E-3</v>
      </c>
      <c r="I112" s="504"/>
      <c r="J112" s="505">
        <v>32.979999999999997</v>
      </c>
      <c r="K112" s="505">
        <v>0.25</v>
      </c>
      <c r="L112" s="70"/>
    </row>
    <row r="113" spans="1:12" ht="25.5" x14ac:dyDescent="0.25">
      <c r="A113" s="501" t="s">
        <v>1732</v>
      </c>
      <c r="B113" s="502" t="s">
        <v>1880</v>
      </c>
      <c r="C113" s="501" t="s">
        <v>993</v>
      </c>
      <c r="D113" s="501" t="s">
        <v>1881</v>
      </c>
      <c r="E113" s="602" t="s">
        <v>1746</v>
      </c>
      <c r="F113" s="602"/>
      <c r="G113" s="503" t="s">
        <v>49</v>
      </c>
      <c r="H113" s="504">
        <v>6.0400000000000002E-2</v>
      </c>
      <c r="I113" s="504"/>
      <c r="J113" s="505">
        <v>0.19</v>
      </c>
      <c r="K113" s="505">
        <v>0.01</v>
      </c>
      <c r="L113" s="70"/>
    </row>
    <row r="114" spans="1:12" ht="25.5" x14ac:dyDescent="0.25">
      <c r="A114" s="501" t="s">
        <v>1732</v>
      </c>
      <c r="B114" s="502" t="s">
        <v>1882</v>
      </c>
      <c r="C114" s="501" t="s">
        <v>993</v>
      </c>
      <c r="D114" s="501" t="s">
        <v>1883</v>
      </c>
      <c r="E114" s="602" t="s">
        <v>1746</v>
      </c>
      <c r="F114" s="602"/>
      <c r="G114" s="503" t="s">
        <v>49</v>
      </c>
      <c r="H114" s="504">
        <v>1.1000000000000001E-3</v>
      </c>
      <c r="I114" s="504"/>
      <c r="J114" s="505">
        <v>1161.9000000000001</v>
      </c>
      <c r="K114" s="505">
        <v>1.27</v>
      </c>
      <c r="L114" s="70"/>
    </row>
    <row r="115" spans="1:12" ht="25.5" x14ac:dyDescent="0.25">
      <c r="A115" s="501" t="s">
        <v>1732</v>
      </c>
      <c r="B115" s="502" t="s">
        <v>1884</v>
      </c>
      <c r="C115" s="501" t="s">
        <v>993</v>
      </c>
      <c r="D115" s="501" t="s">
        <v>1885</v>
      </c>
      <c r="E115" s="602" t="s">
        <v>1746</v>
      </c>
      <c r="F115" s="602"/>
      <c r="G115" s="503" t="s">
        <v>49</v>
      </c>
      <c r="H115" s="504">
        <v>5.0299999999999997E-2</v>
      </c>
      <c r="I115" s="504"/>
      <c r="J115" s="505">
        <v>8.65</v>
      </c>
      <c r="K115" s="505">
        <v>0.43</v>
      </c>
      <c r="L115" s="70"/>
    </row>
    <row r="116" spans="1:12" ht="25.5" x14ac:dyDescent="0.25">
      <c r="A116" s="501" t="s">
        <v>1732</v>
      </c>
      <c r="B116" s="502" t="s">
        <v>1886</v>
      </c>
      <c r="C116" s="501" t="s">
        <v>993</v>
      </c>
      <c r="D116" s="501" t="s">
        <v>1887</v>
      </c>
      <c r="E116" s="602" t="s">
        <v>1746</v>
      </c>
      <c r="F116" s="602"/>
      <c r="G116" s="503" t="s">
        <v>49</v>
      </c>
      <c r="H116" s="504">
        <v>1.21E-2</v>
      </c>
      <c r="I116" s="504"/>
      <c r="J116" s="505">
        <v>2.25</v>
      </c>
      <c r="K116" s="505">
        <v>0.02</v>
      </c>
      <c r="L116" s="70"/>
    </row>
    <row r="117" spans="1:12" ht="25.5" x14ac:dyDescent="0.25">
      <c r="A117" s="501" t="s">
        <v>1732</v>
      </c>
      <c r="B117" s="502" t="s">
        <v>1888</v>
      </c>
      <c r="C117" s="501" t="s">
        <v>993</v>
      </c>
      <c r="D117" s="501" t="s">
        <v>1889</v>
      </c>
      <c r="E117" s="602" t="s">
        <v>1746</v>
      </c>
      <c r="F117" s="602"/>
      <c r="G117" s="503" t="s">
        <v>49</v>
      </c>
      <c r="H117" s="504">
        <v>1.8100000000000002E-2</v>
      </c>
      <c r="I117" s="504"/>
      <c r="J117" s="505">
        <v>18.14</v>
      </c>
      <c r="K117" s="505">
        <v>0.32</v>
      </c>
      <c r="L117" s="70"/>
    </row>
    <row r="118" spans="1:12" ht="25.5" x14ac:dyDescent="0.25">
      <c r="A118" s="501" t="s">
        <v>1732</v>
      </c>
      <c r="B118" s="502" t="s">
        <v>1890</v>
      </c>
      <c r="C118" s="501" t="s">
        <v>993</v>
      </c>
      <c r="D118" s="501" t="s">
        <v>1891</v>
      </c>
      <c r="E118" s="602" t="s">
        <v>1746</v>
      </c>
      <c r="F118" s="602"/>
      <c r="G118" s="503" t="s">
        <v>49</v>
      </c>
      <c r="H118" s="504">
        <v>3.8E-3</v>
      </c>
      <c r="I118" s="504"/>
      <c r="J118" s="505">
        <v>11.02</v>
      </c>
      <c r="K118" s="505">
        <v>0.04</v>
      </c>
      <c r="L118" s="70"/>
    </row>
    <row r="119" spans="1:12" ht="25.5" x14ac:dyDescent="0.25">
      <c r="A119" s="501" t="s">
        <v>1732</v>
      </c>
      <c r="B119" s="502" t="s">
        <v>1892</v>
      </c>
      <c r="C119" s="501" t="s">
        <v>993</v>
      </c>
      <c r="D119" s="501" t="s">
        <v>1893</v>
      </c>
      <c r="E119" s="602" t="s">
        <v>1746</v>
      </c>
      <c r="F119" s="602"/>
      <c r="G119" s="503" t="s">
        <v>41</v>
      </c>
      <c r="H119" s="504">
        <v>0.57479999999999998</v>
      </c>
      <c r="I119" s="504"/>
      <c r="J119" s="505">
        <v>2.4700000000000002</v>
      </c>
      <c r="K119" s="505">
        <v>1.41</v>
      </c>
      <c r="L119" s="70"/>
    </row>
    <row r="120" spans="1:12" ht="25.5" x14ac:dyDescent="0.25">
      <c r="A120" s="501" t="s">
        <v>1732</v>
      </c>
      <c r="B120" s="502" t="s">
        <v>1894</v>
      </c>
      <c r="C120" s="501" t="s">
        <v>993</v>
      </c>
      <c r="D120" s="501" t="s">
        <v>1895</v>
      </c>
      <c r="E120" s="602" t="s">
        <v>1746</v>
      </c>
      <c r="F120" s="602"/>
      <c r="G120" s="503" t="s">
        <v>41</v>
      </c>
      <c r="H120" s="504">
        <v>4.0300000000000002E-2</v>
      </c>
      <c r="I120" s="504"/>
      <c r="J120" s="505">
        <v>16.28</v>
      </c>
      <c r="K120" s="505">
        <v>0.65</v>
      </c>
      <c r="L120" s="70"/>
    </row>
    <row r="121" spans="1:12" ht="25.5" x14ac:dyDescent="0.25">
      <c r="A121" s="501" t="s">
        <v>1732</v>
      </c>
      <c r="B121" s="502" t="s">
        <v>1896</v>
      </c>
      <c r="C121" s="501" t="s">
        <v>993</v>
      </c>
      <c r="D121" s="501" t="s">
        <v>1897</v>
      </c>
      <c r="E121" s="602" t="s">
        <v>1746</v>
      </c>
      <c r="F121" s="602"/>
      <c r="G121" s="503" t="s">
        <v>49</v>
      </c>
      <c r="H121" s="504">
        <v>3.8E-3</v>
      </c>
      <c r="I121" s="504"/>
      <c r="J121" s="505">
        <v>5.9</v>
      </c>
      <c r="K121" s="505">
        <v>0.02</v>
      </c>
      <c r="L121" s="70"/>
    </row>
    <row r="122" spans="1:12" ht="25.5" x14ac:dyDescent="0.25">
      <c r="A122" s="501" t="s">
        <v>1732</v>
      </c>
      <c r="B122" s="502" t="s">
        <v>1898</v>
      </c>
      <c r="C122" s="501" t="s">
        <v>993</v>
      </c>
      <c r="D122" s="501" t="s">
        <v>1899</v>
      </c>
      <c r="E122" s="602" t="s">
        <v>1746</v>
      </c>
      <c r="F122" s="602"/>
      <c r="G122" s="503" t="s">
        <v>49</v>
      </c>
      <c r="H122" s="504">
        <v>1.8E-3</v>
      </c>
      <c r="I122" s="504"/>
      <c r="J122" s="505">
        <v>55.9</v>
      </c>
      <c r="K122" s="505">
        <v>0.1</v>
      </c>
      <c r="L122" s="70"/>
    </row>
    <row r="123" spans="1:12" ht="25.5" x14ac:dyDescent="0.25">
      <c r="A123" s="501" t="s">
        <v>1732</v>
      </c>
      <c r="B123" s="502" t="s">
        <v>1900</v>
      </c>
      <c r="C123" s="501" t="s">
        <v>993</v>
      </c>
      <c r="D123" s="501" t="s">
        <v>1901</v>
      </c>
      <c r="E123" s="602" t="s">
        <v>1746</v>
      </c>
      <c r="F123" s="602"/>
      <c r="G123" s="503" t="s">
        <v>49</v>
      </c>
      <c r="H123" s="504">
        <v>6.0000000000000001E-3</v>
      </c>
      <c r="I123" s="504"/>
      <c r="J123" s="505">
        <v>14.96</v>
      </c>
      <c r="K123" s="505">
        <v>0.08</v>
      </c>
      <c r="L123" s="70"/>
    </row>
    <row r="124" spans="1:12" ht="25.5" x14ac:dyDescent="0.25">
      <c r="A124" s="501" t="s">
        <v>1732</v>
      </c>
      <c r="B124" s="502" t="s">
        <v>1902</v>
      </c>
      <c r="C124" s="501" t="s">
        <v>993</v>
      </c>
      <c r="D124" s="501" t="s">
        <v>1903</v>
      </c>
      <c r="E124" s="602" t="s">
        <v>1746</v>
      </c>
      <c r="F124" s="602"/>
      <c r="G124" s="503" t="s">
        <v>49</v>
      </c>
      <c r="H124" s="504">
        <v>3.8E-3</v>
      </c>
      <c r="I124" s="504"/>
      <c r="J124" s="505">
        <v>28.24</v>
      </c>
      <c r="K124" s="505">
        <v>0.1</v>
      </c>
      <c r="L124" s="70"/>
    </row>
    <row r="125" spans="1:12" ht="25.5" x14ac:dyDescent="0.25">
      <c r="A125" s="501" t="s">
        <v>1732</v>
      </c>
      <c r="B125" s="502" t="s">
        <v>1904</v>
      </c>
      <c r="C125" s="501" t="s">
        <v>993</v>
      </c>
      <c r="D125" s="501" t="s">
        <v>1664</v>
      </c>
      <c r="E125" s="602" t="s">
        <v>1746</v>
      </c>
      <c r="F125" s="602"/>
      <c r="G125" s="503" t="s">
        <v>41</v>
      </c>
      <c r="H125" s="504">
        <v>0.1328</v>
      </c>
      <c r="I125" s="504"/>
      <c r="J125" s="505">
        <v>3.81</v>
      </c>
      <c r="K125" s="505">
        <v>0.5</v>
      </c>
      <c r="L125" s="70"/>
    </row>
    <row r="126" spans="1:12" ht="25.5" x14ac:dyDescent="0.25">
      <c r="A126" s="501" t="s">
        <v>1732</v>
      </c>
      <c r="B126" s="502" t="s">
        <v>1905</v>
      </c>
      <c r="C126" s="501" t="s">
        <v>993</v>
      </c>
      <c r="D126" s="501" t="s">
        <v>1906</v>
      </c>
      <c r="E126" s="602" t="s">
        <v>1746</v>
      </c>
      <c r="F126" s="602"/>
      <c r="G126" s="503" t="s">
        <v>41</v>
      </c>
      <c r="H126" s="504">
        <v>5.0299999999999997E-2</v>
      </c>
      <c r="I126" s="504"/>
      <c r="J126" s="505">
        <v>6.29</v>
      </c>
      <c r="K126" s="505">
        <v>0.31</v>
      </c>
      <c r="L126" s="70"/>
    </row>
    <row r="127" spans="1:12" ht="25.5" x14ac:dyDescent="0.25">
      <c r="A127" s="501" t="s">
        <v>1732</v>
      </c>
      <c r="B127" s="502" t="s">
        <v>1907</v>
      </c>
      <c r="C127" s="501" t="s">
        <v>993</v>
      </c>
      <c r="D127" s="501" t="s">
        <v>1908</v>
      </c>
      <c r="E127" s="602" t="s">
        <v>1746</v>
      </c>
      <c r="F127" s="602"/>
      <c r="G127" s="503" t="s">
        <v>41</v>
      </c>
      <c r="H127" s="504">
        <v>7.0400000000000004E-2</v>
      </c>
      <c r="I127" s="504"/>
      <c r="J127" s="505">
        <v>10</v>
      </c>
      <c r="K127" s="505">
        <v>0.7</v>
      </c>
      <c r="L127" s="70"/>
    </row>
    <row r="128" spans="1:12" ht="25.5" x14ac:dyDescent="0.25">
      <c r="A128" s="501" t="s">
        <v>1732</v>
      </c>
      <c r="B128" s="502" t="s">
        <v>1909</v>
      </c>
      <c r="C128" s="501" t="s">
        <v>993</v>
      </c>
      <c r="D128" s="501" t="s">
        <v>1910</v>
      </c>
      <c r="E128" s="602" t="s">
        <v>1746</v>
      </c>
      <c r="F128" s="602"/>
      <c r="G128" s="503" t="s">
        <v>49</v>
      </c>
      <c r="H128" s="504">
        <v>1E-3</v>
      </c>
      <c r="I128" s="504"/>
      <c r="J128" s="505">
        <v>9.01</v>
      </c>
      <c r="K128" s="505">
        <v>0</v>
      </c>
      <c r="L128" s="70"/>
    </row>
    <row r="129" spans="1:12" ht="25.5" x14ac:dyDescent="0.25">
      <c r="A129" s="501" t="s">
        <v>1732</v>
      </c>
      <c r="B129" s="502" t="s">
        <v>1911</v>
      </c>
      <c r="C129" s="501" t="s">
        <v>993</v>
      </c>
      <c r="D129" s="501" t="s">
        <v>1912</v>
      </c>
      <c r="E129" s="602" t="s">
        <v>1746</v>
      </c>
      <c r="F129" s="602"/>
      <c r="G129" s="503" t="s">
        <v>49</v>
      </c>
      <c r="H129" s="504">
        <v>9.4000000000000004E-3</v>
      </c>
      <c r="I129" s="504"/>
      <c r="J129" s="505">
        <v>13.29</v>
      </c>
      <c r="K129" s="505">
        <v>0.12</v>
      </c>
      <c r="L129" s="70"/>
    </row>
    <row r="130" spans="1:12" ht="25.5" x14ac:dyDescent="0.25">
      <c r="A130" s="501" t="s">
        <v>1732</v>
      </c>
      <c r="B130" s="502" t="s">
        <v>1913</v>
      </c>
      <c r="C130" s="501" t="s">
        <v>993</v>
      </c>
      <c r="D130" s="501" t="s">
        <v>1914</v>
      </c>
      <c r="E130" s="602" t="s">
        <v>1746</v>
      </c>
      <c r="F130" s="602"/>
      <c r="G130" s="503" t="s">
        <v>49</v>
      </c>
      <c r="H130" s="504">
        <v>9.4000000000000004E-3</v>
      </c>
      <c r="I130" s="504"/>
      <c r="J130" s="505">
        <v>29.62</v>
      </c>
      <c r="K130" s="505">
        <v>0.27</v>
      </c>
      <c r="L130" s="70"/>
    </row>
    <row r="131" spans="1:12" ht="25.5" x14ac:dyDescent="0.25">
      <c r="A131" s="501" t="s">
        <v>1732</v>
      </c>
      <c r="B131" s="502" t="s">
        <v>1915</v>
      </c>
      <c r="C131" s="501" t="s">
        <v>993</v>
      </c>
      <c r="D131" s="501" t="s">
        <v>1916</v>
      </c>
      <c r="E131" s="602" t="s">
        <v>1746</v>
      </c>
      <c r="F131" s="602"/>
      <c r="G131" s="503" t="s">
        <v>49</v>
      </c>
      <c r="H131" s="504">
        <v>1.8E-3</v>
      </c>
      <c r="I131" s="504"/>
      <c r="J131" s="505">
        <v>70.47</v>
      </c>
      <c r="K131" s="505">
        <v>0.12</v>
      </c>
      <c r="L131" s="70"/>
    </row>
    <row r="132" spans="1:12" ht="25.5" x14ac:dyDescent="0.25">
      <c r="A132" s="501" t="s">
        <v>1732</v>
      </c>
      <c r="B132" s="502" t="s">
        <v>1917</v>
      </c>
      <c r="C132" s="501" t="s">
        <v>993</v>
      </c>
      <c r="D132" s="501" t="s">
        <v>1918</v>
      </c>
      <c r="E132" s="602" t="s">
        <v>1746</v>
      </c>
      <c r="F132" s="602"/>
      <c r="G132" s="503" t="s">
        <v>49</v>
      </c>
      <c r="H132" s="504">
        <v>1.8E-3</v>
      </c>
      <c r="I132" s="504"/>
      <c r="J132" s="505">
        <v>149.28</v>
      </c>
      <c r="K132" s="505">
        <v>0.26</v>
      </c>
      <c r="L132" s="70"/>
    </row>
    <row r="133" spans="1:12" ht="25.5" x14ac:dyDescent="0.25">
      <c r="A133" s="501" t="s">
        <v>1732</v>
      </c>
      <c r="B133" s="502" t="s">
        <v>1919</v>
      </c>
      <c r="C133" s="501" t="s">
        <v>993</v>
      </c>
      <c r="D133" s="501" t="s">
        <v>1920</v>
      </c>
      <c r="E133" s="602" t="s">
        <v>1746</v>
      </c>
      <c r="F133" s="602"/>
      <c r="G133" s="503" t="s">
        <v>49</v>
      </c>
      <c r="H133" s="504">
        <v>3.6999999999999998E-2</v>
      </c>
      <c r="I133" s="504"/>
      <c r="J133" s="505">
        <v>13.73</v>
      </c>
      <c r="K133" s="505">
        <v>0.5</v>
      </c>
      <c r="L133" s="70"/>
    </row>
    <row r="134" spans="1:12" ht="25.5" x14ac:dyDescent="0.25">
      <c r="A134" s="501" t="s">
        <v>1732</v>
      </c>
      <c r="B134" s="502" t="s">
        <v>1921</v>
      </c>
      <c r="C134" s="501" t="s">
        <v>993</v>
      </c>
      <c r="D134" s="501" t="s">
        <v>1922</v>
      </c>
      <c r="E134" s="602" t="s">
        <v>1746</v>
      </c>
      <c r="F134" s="602"/>
      <c r="G134" s="503" t="s">
        <v>49</v>
      </c>
      <c r="H134" s="504">
        <v>6.0000000000000001E-3</v>
      </c>
      <c r="I134" s="504"/>
      <c r="J134" s="505">
        <v>51.43</v>
      </c>
      <c r="K134" s="505">
        <v>0.3</v>
      </c>
      <c r="L134" s="70"/>
    </row>
    <row r="135" spans="1:12" ht="25.5" x14ac:dyDescent="0.25">
      <c r="A135" s="501" t="s">
        <v>1732</v>
      </c>
      <c r="B135" s="502" t="s">
        <v>1923</v>
      </c>
      <c r="C135" s="501" t="s">
        <v>993</v>
      </c>
      <c r="D135" s="501" t="s">
        <v>1924</v>
      </c>
      <c r="E135" s="602" t="s">
        <v>1746</v>
      </c>
      <c r="F135" s="602"/>
      <c r="G135" s="503" t="s">
        <v>1751</v>
      </c>
      <c r="H135" s="504">
        <v>8.9999999999999998E-4</v>
      </c>
      <c r="I135" s="504"/>
      <c r="J135" s="505">
        <v>103.27</v>
      </c>
      <c r="K135" s="505">
        <v>0.09</v>
      </c>
      <c r="L135" s="70"/>
    </row>
    <row r="136" spans="1:12" ht="25.5" x14ac:dyDescent="0.25">
      <c r="A136" s="501" t="s">
        <v>1732</v>
      </c>
      <c r="B136" s="502" t="s">
        <v>1925</v>
      </c>
      <c r="C136" s="501" t="s">
        <v>993</v>
      </c>
      <c r="D136" s="501" t="s">
        <v>1926</v>
      </c>
      <c r="E136" s="602" t="s">
        <v>1746</v>
      </c>
      <c r="F136" s="602"/>
      <c r="G136" s="503" t="s">
        <v>1751</v>
      </c>
      <c r="H136" s="504">
        <v>8.3199999999999996E-2</v>
      </c>
      <c r="I136" s="504"/>
      <c r="J136" s="505">
        <v>31.08</v>
      </c>
      <c r="K136" s="505">
        <v>2.58</v>
      </c>
      <c r="L136" s="70"/>
    </row>
    <row r="137" spans="1:12" ht="25.5" x14ac:dyDescent="0.25">
      <c r="A137" s="501" t="s">
        <v>1732</v>
      </c>
      <c r="B137" s="502" t="s">
        <v>1927</v>
      </c>
      <c r="C137" s="501" t="s">
        <v>993</v>
      </c>
      <c r="D137" s="501" t="s">
        <v>1928</v>
      </c>
      <c r="E137" s="602" t="s">
        <v>1746</v>
      </c>
      <c r="F137" s="602"/>
      <c r="G137" s="503" t="s">
        <v>49</v>
      </c>
      <c r="H137" s="504">
        <v>1.95E-2</v>
      </c>
      <c r="I137" s="504"/>
      <c r="J137" s="505">
        <v>28.79</v>
      </c>
      <c r="K137" s="505">
        <v>0.56000000000000005</v>
      </c>
      <c r="L137" s="70"/>
    </row>
    <row r="138" spans="1:12" ht="25.5" x14ac:dyDescent="0.25">
      <c r="A138" s="501" t="s">
        <v>1732</v>
      </c>
      <c r="B138" s="502" t="s">
        <v>1929</v>
      </c>
      <c r="C138" s="501" t="s">
        <v>993</v>
      </c>
      <c r="D138" s="501" t="s">
        <v>1930</v>
      </c>
      <c r="E138" s="602" t="s">
        <v>1746</v>
      </c>
      <c r="F138" s="602"/>
      <c r="G138" s="503" t="s">
        <v>49</v>
      </c>
      <c r="H138" s="504">
        <v>9.4000000000000004E-3</v>
      </c>
      <c r="I138" s="504"/>
      <c r="J138" s="505">
        <v>30.53</v>
      </c>
      <c r="K138" s="505">
        <v>0.28000000000000003</v>
      </c>
      <c r="L138" s="70"/>
    </row>
    <row r="139" spans="1:12" ht="25.5" x14ac:dyDescent="0.25">
      <c r="A139" s="501" t="s">
        <v>1732</v>
      </c>
      <c r="B139" s="502" t="s">
        <v>1931</v>
      </c>
      <c r="C139" s="501" t="s">
        <v>993</v>
      </c>
      <c r="D139" s="501" t="s">
        <v>1932</v>
      </c>
      <c r="E139" s="602" t="s">
        <v>1746</v>
      </c>
      <c r="F139" s="602"/>
      <c r="G139" s="503" t="s">
        <v>19</v>
      </c>
      <c r="H139" s="504">
        <v>1.3208</v>
      </c>
      <c r="I139" s="504"/>
      <c r="J139" s="505">
        <v>21.87</v>
      </c>
      <c r="K139" s="505">
        <v>28.88</v>
      </c>
      <c r="L139" s="70"/>
    </row>
    <row r="140" spans="1:12" ht="25.5" x14ac:dyDescent="0.25">
      <c r="A140" s="501" t="s">
        <v>1732</v>
      </c>
      <c r="B140" s="502" t="s">
        <v>1933</v>
      </c>
      <c r="C140" s="501" t="s">
        <v>993</v>
      </c>
      <c r="D140" s="501" t="s">
        <v>1658</v>
      </c>
      <c r="E140" s="602" t="s">
        <v>1746</v>
      </c>
      <c r="F140" s="602"/>
      <c r="G140" s="503" t="s">
        <v>49</v>
      </c>
      <c r="H140" s="504">
        <v>2.4199999999999999E-2</v>
      </c>
      <c r="I140" s="504"/>
      <c r="J140" s="505">
        <v>1.41</v>
      </c>
      <c r="K140" s="505">
        <v>0.03</v>
      </c>
      <c r="L140" s="70"/>
    </row>
    <row r="141" spans="1:12" ht="25.5" x14ac:dyDescent="0.25">
      <c r="A141" s="501" t="s">
        <v>1732</v>
      </c>
      <c r="B141" s="502" t="s">
        <v>1934</v>
      </c>
      <c r="C141" s="501" t="s">
        <v>993</v>
      </c>
      <c r="D141" s="501" t="s">
        <v>1935</v>
      </c>
      <c r="E141" s="602" t="s">
        <v>1746</v>
      </c>
      <c r="F141" s="602"/>
      <c r="G141" s="503" t="s">
        <v>49</v>
      </c>
      <c r="H141" s="504">
        <v>0.16350000000000001</v>
      </c>
      <c r="I141" s="504"/>
      <c r="J141" s="505">
        <v>3.77</v>
      </c>
      <c r="K141" s="505">
        <v>0.61</v>
      </c>
      <c r="L141" s="70"/>
    </row>
    <row r="142" spans="1:12" ht="25.5" x14ac:dyDescent="0.25">
      <c r="A142" s="501" t="s">
        <v>1732</v>
      </c>
      <c r="B142" s="502" t="s">
        <v>1936</v>
      </c>
      <c r="C142" s="501" t="s">
        <v>993</v>
      </c>
      <c r="D142" s="501" t="s">
        <v>1937</v>
      </c>
      <c r="E142" s="602" t="s">
        <v>1746</v>
      </c>
      <c r="F142" s="602"/>
      <c r="G142" s="503" t="s">
        <v>41</v>
      </c>
      <c r="H142" s="504">
        <v>1.1514</v>
      </c>
      <c r="I142" s="504"/>
      <c r="J142" s="505">
        <v>12.8</v>
      </c>
      <c r="K142" s="505">
        <v>14.73</v>
      </c>
      <c r="L142" s="70"/>
    </row>
    <row r="143" spans="1:12" ht="25.5" x14ac:dyDescent="0.25">
      <c r="A143" s="501" t="s">
        <v>1732</v>
      </c>
      <c r="B143" s="502" t="s">
        <v>1938</v>
      </c>
      <c r="C143" s="501" t="s">
        <v>993</v>
      </c>
      <c r="D143" s="501" t="s">
        <v>1939</v>
      </c>
      <c r="E143" s="602" t="s">
        <v>1746</v>
      </c>
      <c r="F143" s="602"/>
      <c r="G143" s="503" t="s">
        <v>49</v>
      </c>
      <c r="H143" s="504">
        <v>4.0000000000000002E-4</v>
      </c>
      <c r="I143" s="504"/>
      <c r="J143" s="505">
        <v>1373.33</v>
      </c>
      <c r="K143" s="505">
        <v>0.54</v>
      </c>
      <c r="L143" s="70"/>
    </row>
    <row r="144" spans="1:12" ht="25.5" x14ac:dyDescent="0.25">
      <c r="A144" s="501" t="s">
        <v>1732</v>
      </c>
      <c r="B144" s="502" t="s">
        <v>1940</v>
      </c>
      <c r="C144" s="501" t="s">
        <v>993</v>
      </c>
      <c r="D144" s="501" t="s">
        <v>1941</v>
      </c>
      <c r="E144" s="602" t="s">
        <v>1746</v>
      </c>
      <c r="F144" s="602"/>
      <c r="G144" s="503" t="s">
        <v>49</v>
      </c>
      <c r="H144" s="504">
        <v>3.0300000000000001E-2</v>
      </c>
      <c r="I144" s="504"/>
      <c r="J144" s="505">
        <v>20.84</v>
      </c>
      <c r="K144" s="505">
        <v>0.63</v>
      </c>
      <c r="L144" s="70"/>
    </row>
    <row r="145" spans="1:12" ht="25.5" x14ac:dyDescent="0.25">
      <c r="A145" s="501" t="s">
        <v>1732</v>
      </c>
      <c r="B145" s="502" t="s">
        <v>1942</v>
      </c>
      <c r="C145" s="501" t="s">
        <v>993</v>
      </c>
      <c r="D145" s="501" t="s">
        <v>1943</v>
      </c>
      <c r="E145" s="602" t="s">
        <v>1746</v>
      </c>
      <c r="F145" s="602"/>
      <c r="G145" s="503" t="s">
        <v>1751</v>
      </c>
      <c r="H145" s="504">
        <v>5.4300000000000001E-2</v>
      </c>
      <c r="I145" s="504"/>
      <c r="J145" s="505">
        <v>17.53</v>
      </c>
      <c r="K145" s="505">
        <v>0.95</v>
      </c>
      <c r="L145" s="70"/>
    </row>
    <row r="146" spans="1:12" ht="25.5" x14ac:dyDescent="0.25">
      <c r="A146" s="501" t="s">
        <v>1732</v>
      </c>
      <c r="B146" s="502" t="s">
        <v>1944</v>
      </c>
      <c r="C146" s="501" t="s">
        <v>993</v>
      </c>
      <c r="D146" s="501" t="s">
        <v>1945</v>
      </c>
      <c r="E146" s="602" t="s">
        <v>1746</v>
      </c>
      <c r="F146" s="602"/>
      <c r="G146" s="503" t="s">
        <v>49</v>
      </c>
      <c r="H146" s="504">
        <v>2E-3</v>
      </c>
      <c r="I146" s="504"/>
      <c r="J146" s="505">
        <v>218.9</v>
      </c>
      <c r="K146" s="505">
        <v>0.43</v>
      </c>
      <c r="L146" s="70"/>
    </row>
    <row r="147" spans="1:12" ht="25.5" x14ac:dyDescent="0.25">
      <c r="A147" s="501" t="s">
        <v>1732</v>
      </c>
      <c r="B147" s="502" t="s">
        <v>1946</v>
      </c>
      <c r="C147" s="501" t="s">
        <v>993</v>
      </c>
      <c r="D147" s="501" t="s">
        <v>1947</v>
      </c>
      <c r="E147" s="602" t="s">
        <v>1746</v>
      </c>
      <c r="F147" s="602"/>
      <c r="G147" s="503" t="s">
        <v>49</v>
      </c>
      <c r="H147" s="504">
        <v>3.8E-3</v>
      </c>
      <c r="I147" s="504"/>
      <c r="J147" s="505">
        <v>9.6199999999999992</v>
      </c>
      <c r="K147" s="505">
        <v>0.03</v>
      </c>
      <c r="L147" s="70"/>
    </row>
    <row r="148" spans="1:12" ht="25.5" x14ac:dyDescent="0.25">
      <c r="A148" s="501" t="s">
        <v>1732</v>
      </c>
      <c r="B148" s="502" t="s">
        <v>1948</v>
      </c>
      <c r="C148" s="501" t="s">
        <v>993</v>
      </c>
      <c r="D148" s="501" t="s">
        <v>1949</v>
      </c>
      <c r="E148" s="602" t="s">
        <v>1746</v>
      </c>
      <c r="F148" s="602"/>
      <c r="G148" s="503" t="s">
        <v>41</v>
      </c>
      <c r="H148" s="504">
        <v>2.0739000000000001</v>
      </c>
      <c r="I148" s="504"/>
      <c r="J148" s="505">
        <v>6.74</v>
      </c>
      <c r="K148" s="505">
        <v>13.97</v>
      </c>
      <c r="L148" s="70"/>
    </row>
    <row r="149" spans="1:12" ht="25.5" x14ac:dyDescent="0.25">
      <c r="A149" s="501" t="s">
        <v>1732</v>
      </c>
      <c r="B149" s="502" t="s">
        <v>1950</v>
      </c>
      <c r="C149" s="501" t="s">
        <v>993</v>
      </c>
      <c r="D149" s="501" t="s">
        <v>1951</v>
      </c>
      <c r="E149" s="602" t="s">
        <v>1746</v>
      </c>
      <c r="F149" s="602"/>
      <c r="G149" s="503" t="s">
        <v>41</v>
      </c>
      <c r="H149" s="504">
        <v>4.87E-2</v>
      </c>
      <c r="I149" s="504"/>
      <c r="J149" s="505">
        <v>6.74</v>
      </c>
      <c r="K149" s="505">
        <v>0.32</v>
      </c>
      <c r="L149" s="70"/>
    </row>
    <row r="150" spans="1:12" ht="25.5" x14ac:dyDescent="0.25">
      <c r="A150" s="501" t="s">
        <v>1732</v>
      </c>
      <c r="B150" s="502" t="s">
        <v>1952</v>
      </c>
      <c r="C150" s="501" t="s">
        <v>993</v>
      </c>
      <c r="D150" s="501" t="s">
        <v>1953</v>
      </c>
      <c r="E150" s="602" t="s">
        <v>1746</v>
      </c>
      <c r="F150" s="602"/>
      <c r="G150" s="503" t="s">
        <v>49</v>
      </c>
      <c r="H150" s="504">
        <v>8.5000000000000006E-3</v>
      </c>
      <c r="I150" s="504"/>
      <c r="J150" s="505">
        <v>69.83</v>
      </c>
      <c r="K150" s="505">
        <v>0.59</v>
      </c>
      <c r="L150" s="70"/>
    </row>
    <row r="151" spans="1:12" ht="25.5" x14ac:dyDescent="0.25">
      <c r="A151" s="501" t="s">
        <v>1732</v>
      </c>
      <c r="B151" s="502" t="s">
        <v>1954</v>
      </c>
      <c r="C151" s="501" t="s">
        <v>993</v>
      </c>
      <c r="D151" s="501" t="s">
        <v>1955</v>
      </c>
      <c r="E151" s="602" t="s">
        <v>1746</v>
      </c>
      <c r="F151" s="602"/>
      <c r="G151" s="503" t="s">
        <v>41</v>
      </c>
      <c r="H151" s="504">
        <v>1.1014999999999999</v>
      </c>
      <c r="I151" s="504"/>
      <c r="J151" s="505">
        <v>3.35</v>
      </c>
      <c r="K151" s="505">
        <v>3.69</v>
      </c>
      <c r="L151" s="70"/>
    </row>
    <row r="152" spans="1:12" ht="25.5" x14ac:dyDescent="0.25">
      <c r="A152" s="501" t="s">
        <v>1732</v>
      </c>
      <c r="B152" s="502" t="s">
        <v>1956</v>
      </c>
      <c r="C152" s="501" t="s">
        <v>993</v>
      </c>
      <c r="D152" s="501" t="s">
        <v>1957</v>
      </c>
      <c r="E152" s="602" t="s">
        <v>1746</v>
      </c>
      <c r="F152" s="602"/>
      <c r="G152" s="503" t="s">
        <v>49</v>
      </c>
      <c r="H152" s="504">
        <v>3.7000000000000002E-3</v>
      </c>
      <c r="I152" s="504"/>
      <c r="J152" s="505">
        <v>70.61</v>
      </c>
      <c r="K152" s="505">
        <v>0.26</v>
      </c>
      <c r="L152" s="70"/>
    </row>
    <row r="153" spans="1:12" ht="25.5" x14ac:dyDescent="0.25">
      <c r="A153" s="501" t="s">
        <v>1732</v>
      </c>
      <c r="B153" s="502" t="s">
        <v>1958</v>
      </c>
      <c r="C153" s="501" t="s">
        <v>993</v>
      </c>
      <c r="D153" s="501" t="s">
        <v>1959</v>
      </c>
      <c r="E153" s="602" t="s">
        <v>1746</v>
      </c>
      <c r="F153" s="602"/>
      <c r="G153" s="503" t="s">
        <v>49</v>
      </c>
      <c r="H153" s="504">
        <v>8.5000000000000006E-3</v>
      </c>
      <c r="I153" s="504"/>
      <c r="J153" s="505">
        <v>145.97</v>
      </c>
      <c r="K153" s="505">
        <v>1.24</v>
      </c>
      <c r="L153" s="70"/>
    </row>
    <row r="154" spans="1:12" ht="25.5" x14ac:dyDescent="0.25">
      <c r="A154" s="501" t="s">
        <v>1732</v>
      </c>
      <c r="B154" s="502" t="s">
        <v>1960</v>
      </c>
      <c r="C154" s="501" t="s">
        <v>993</v>
      </c>
      <c r="D154" s="501" t="s">
        <v>1961</v>
      </c>
      <c r="E154" s="602" t="s">
        <v>1746</v>
      </c>
      <c r="F154" s="602"/>
      <c r="G154" s="503" t="s">
        <v>1222</v>
      </c>
      <c r="H154" s="504">
        <v>9.7999999999999997E-3</v>
      </c>
      <c r="I154" s="504"/>
      <c r="J154" s="505">
        <v>26.83</v>
      </c>
      <c r="K154" s="505">
        <v>0.26</v>
      </c>
      <c r="L154" s="70"/>
    </row>
    <row r="155" spans="1:12" ht="25.5" x14ac:dyDescent="0.25">
      <c r="A155" s="501" t="s">
        <v>1732</v>
      </c>
      <c r="B155" s="502" t="s">
        <v>1962</v>
      </c>
      <c r="C155" s="501" t="s">
        <v>993</v>
      </c>
      <c r="D155" s="501" t="s">
        <v>1963</v>
      </c>
      <c r="E155" s="602" t="s">
        <v>1746</v>
      </c>
      <c r="F155" s="602"/>
      <c r="G155" s="503" t="s">
        <v>1222</v>
      </c>
      <c r="H155" s="504">
        <v>5.7099999999999998E-2</v>
      </c>
      <c r="I155" s="504"/>
      <c r="J155" s="505">
        <v>33.229999999999997</v>
      </c>
      <c r="K155" s="505">
        <v>1.89</v>
      </c>
      <c r="L155" s="70"/>
    </row>
    <row r="156" spans="1:12" ht="25.5" x14ac:dyDescent="0.25">
      <c r="A156" s="501" t="s">
        <v>1732</v>
      </c>
      <c r="B156" s="502" t="s">
        <v>1964</v>
      </c>
      <c r="C156" s="501" t="s">
        <v>993</v>
      </c>
      <c r="D156" s="501" t="s">
        <v>1965</v>
      </c>
      <c r="E156" s="602" t="s">
        <v>1746</v>
      </c>
      <c r="F156" s="602"/>
      <c r="G156" s="503" t="s">
        <v>1222</v>
      </c>
      <c r="H156" s="504">
        <v>0.1026</v>
      </c>
      <c r="I156" s="504"/>
      <c r="J156" s="505">
        <v>23.06</v>
      </c>
      <c r="K156" s="505">
        <v>2.36</v>
      </c>
      <c r="L156" s="70"/>
    </row>
    <row r="157" spans="1:12" ht="25.5" x14ac:dyDescent="0.25">
      <c r="A157" s="501" t="s">
        <v>1732</v>
      </c>
      <c r="B157" s="502" t="s">
        <v>1966</v>
      </c>
      <c r="C157" s="501" t="s">
        <v>993</v>
      </c>
      <c r="D157" s="501" t="s">
        <v>1967</v>
      </c>
      <c r="E157" s="602" t="s">
        <v>1746</v>
      </c>
      <c r="F157" s="602"/>
      <c r="G157" s="503" t="s">
        <v>41</v>
      </c>
      <c r="H157" s="504">
        <v>3.0099999999999998E-2</v>
      </c>
      <c r="I157" s="504"/>
      <c r="J157" s="505">
        <v>8.64</v>
      </c>
      <c r="K157" s="505">
        <v>0.26</v>
      </c>
      <c r="L157" s="70"/>
    </row>
    <row r="158" spans="1:12" ht="25.5" x14ac:dyDescent="0.25">
      <c r="A158" s="501" t="s">
        <v>1732</v>
      </c>
      <c r="B158" s="502" t="s">
        <v>1968</v>
      </c>
      <c r="C158" s="501" t="s">
        <v>993</v>
      </c>
      <c r="D158" s="501" t="s">
        <v>1969</v>
      </c>
      <c r="E158" s="602" t="s">
        <v>1746</v>
      </c>
      <c r="F158" s="602"/>
      <c r="G158" s="503" t="s">
        <v>49</v>
      </c>
      <c r="H158" s="504">
        <v>1.95E-2</v>
      </c>
      <c r="I158" s="504"/>
      <c r="J158" s="505">
        <v>35.5</v>
      </c>
      <c r="K158" s="505">
        <v>0.69</v>
      </c>
      <c r="L158" s="70"/>
    </row>
    <row r="159" spans="1:12" ht="25.5" x14ac:dyDescent="0.25">
      <c r="A159" s="501" t="s">
        <v>1732</v>
      </c>
      <c r="B159" s="502" t="s">
        <v>1970</v>
      </c>
      <c r="C159" s="501" t="s">
        <v>993</v>
      </c>
      <c r="D159" s="501" t="s">
        <v>1971</v>
      </c>
      <c r="E159" s="602" t="s">
        <v>1746</v>
      </c>
      <c r="F159" s="602"/>
      <c r="G159" s="503" t="s">
        <v>49</v>
      </c>
      <c r="H159" s="504">
        <v>1.9199999999999998E-2</v>
      </c>
      <c r="I159" s="504"/>
      <c r="J159" s="505">
        <v>18.45</v>
      </c>
      <c r="K159" s="505">
        <v>0.35</v>
      </c>
      <c r="L159" s="70"/>
    </row>
    <row r="160" spans="1:12" ht="25.5" x14ac:dyDescent="0.25">
      <c r="A160" s="501" t="s">
        <v>1732</v>
      </c>
      <c r="B160" s="502" t="s">
        <v>1972</v>
      </c>
      <c r="C160" s="501" t="s">
        <v>993</v>
      </c>
      <c r="D160" s="501" t="s">
        <v>1973</v>
      </c>
      <c r="E160" s="602" t="s">
        <v>1746</v>
      </c>
      <c r="F160" s="602"/>
      <c r="G160" s="503" t="s">
        <v>49</v>
      </c>
      <c r="H160" s="504">
        <v>1.35E-2</v>
      </c>
      <c r="I160" s="504"/>
      <c r="J160" s="505">
        <v>28.39</v>
      </c>
      <c r="K160" s="505">
        <v>0.38</v>
      </c>
      <c r="L160" s="70"/>
    </row>
    <row r="161" spans="1:12" ht="15.75" customHeight="1" x14ac:dyDescent="0.25">
      <c r="A161" s="445"/>
      <c r="B161" s="445"/>
      <c r="C161" s="445"/>
      <c r="D161" s="445"/>
      <c r="E161" s="445" t="s">
        <v>1735</v>
      </c>
      <c r="F161" s="506">
        <v>70.010000000000005</v>
      </c>
      <c r="G161" s="445" t="s">
        <v>1736</v>
      </c>
      <c r="H161" s="506">
        <v>0</v>
      </c>
      <c r="I161" s="445" t="s">
        <v>1737</v>
      </c>
      <c r="J161" s="506">
        <v>70.010000000000005</v>
      </c>
      <c r="K161" s="70"/>
      <c r="L161" s="70"/>
    </row>
    <row r="162" spans="1:12" ht="17.25" thickBot="1" x14ac:dyDescent="0.3">
      <c r="A162" s="445"/>
      <c r="B162" s="445"/>
      <c r="C162" s="445"/>
      <c r="D162" s="445"/>
      <c r="E162" s="445" t="s">
        <v>1738</v>
      </c>
      <c r="F162" s="506">
        <v>74.945024000000004</v>
      </c>
      <c r="G162" s="445"/>
      <c r="H162" s="606" t="s">
        <v>1739</v>
      </c>
      <c r="I162" s="606"/>
      <c r="J162" s="506">
        <v>379.1</v>
      </c>
      <c r="K162" s="70"/>
      <c r="L162" s="70"/>
    </row>
    <row r="163" spans="1:12" ht="17.25" thickTop="1" x14ac:dyDescent="0.25">
      <c r="A163" s="507"/>
      <c r="B163" s="507"/>
      <c r="C163" s="507"/>
      <c r="D163" s="507"/>
      <c r="E163" s="507"/>
      <c r="F163" s="507"/>
      <c r="G163" s="507"/>
      <c r="H163" s="507"/>
      <c r="I163" s="507"/>
      <c r="J163" s="507"/>
      <c r="K163" s="507"/>
      <c r="L163" s="70"/>
    </row>
    <row r="164" spans="1:12" ht="16.5" x14ac:dyDescent="0.25">
      <c r="A164" s="419" t="s">
        <v>1136</v>
      </c>
      <c r="B164" s="421" t="s">
        <v>76</v>
      </c>
      <c r="C164" s="419" t="s">
        <v>991</v>
      </c>
      <c r="D164" s="419" t="s">
        <v>191</v>
      </c>
      <c r="E164" s="603" t="s">
        <v>77</v>
      </c>
      <c r="F164" s="603"/>
      <c r="G164" s="420" t="s">
        <v>103</v>
      </c>
      <c r="H164" s="421" t="s">
        <v>147</v>
      </c>
      <c r="I164" s="421" t="s">
        <v>1731</v>
      </c>
      <c r="J164" s="421" t="s">
        <v>1117</v>
      </c>
      <c r="K164" s="421" t="s">
        <v>104</v>
      </c>
      <c r="L164" s="70"/>
    </row>
    <row r="165" spans="1:12" ht="25.5" x14ac:dyDescent="0.25">
      <c r="A165" s="441" t="s">
        <v>79</v>
      </c>
      <c r="B165" s="480" t="s">
        <v>1137</v>
      </c>
      <c r="C165" s="441" t="s">
        <v>993</v>
      </c>
      <c r="D165" s="441" t="s">
        <v>1138</v>
      </c>
      <c r="E165" s="604">
        <v>203</v>
      </c>
      <c r="F165" s="604"/>
      <c r="G165" s="443" t="s">
        <v>49</v>
      </c>
      <c r="H165" s="500">
        <v>1</v>
      </c>
      <c r="I165" s="442"/>
      <c r="J165" s="442">
        <v>3684.39</v>
      </c>
      <c r="K165" s="442">
        <v>3684.39</v>
      </c>
      <c r="L165" s="70"/>
    </row>
    <row r="166" spans="1:12" ht="25.5" x14ac:dyDescent="0.25">
      <c r="A166" s="501" t="s">
        <v>1732</v>
      </c>
      <c r="B166" s="502" t="s">
        <v>1021</v>
      </c>
      <c r="C166" s="501" t="s">
        <v>993</v>
      </c>
      <c r="D166" s="501" t="s">
        <v>1022</v>
      </c>
      <c r="E166" s="602" t="s">
        <v>972</v>
      </c>
      <c r="F166" s="602"/>
      <c r="G166" s="503" t="s">
        <v>81</v>
      </c>
      <c r="H166" s="504">
        <v>2</v>
      </c>
      <c r="I166" s="504"/>
      <c r="J166" s="505">
        <v>23.41</v>
      </c>
      <c r="K166" s="505">
        <v>46.82</v>
      </c>
      <c r="L166" s="70"/>
    </row>
    <row r="167" spans="1:12" ht="25.5" x14ac:dyDescent="0.25">
      <c r="A167" s="501" t="s">
        <v>1732</v>
      </c>
      <c r="B167" s="502" t="s">
        <v>1023</v>
      </c>
      <c r="C167" s="501" t="s">
        <v>993</v>
      </c>
      <c r="D167" s="501" t="s">
        <v>1024</v>
      </c>
      <c r="E167" s="602" t="s">
        <v>972</v>
      </c>
      <c r="F167" s="602"/>
      <c r="G167" s="503" t="s">
        <v>81</v>
      </c>
      <c r="H167" s="504">
        <v>1.7781</v>
      </c>
      <c r="I167" s="504"/>
      <c r="J167" s="505">
        <v>17.559999999999999</v>
      </c>
      <c r="K167" s="505">
        <v>31.22</v>
      </c>
      <c r="L167" s="70"/>
    </row>
    <row r="168" spans="1:12" ht="25.5" x14ac:dyDescent="0.25">
      <c r="A168" s="501" t="s">
        <v>1732</v>
      </c>
      <c r="B168" s="502" t="s">
        <v>1025</v>
      </c>
      <c r="C168" s="501" t="s">
        <v>993</v>
      </c>
      <c r="D168" s="501" t="s">
        <v>1026</v>
      </c>
      <c r="E168" s="602" t="s">
        <v>972</v>
      </c>
      <c r="F168" s="602"/>
      <c r="G168" s="503" t="s">
        <v>81</v>
      </c>
      <c r="H168" s="504">
        <v>6</v>
      </c>
      <c r="I168" s="504"/>
      <c r="J168" s="505">
        <v>23.41</v>
      </c>
      <c r="K168" s="505">
        <v>140.46</v>
      </c>
      <c r="L168" s="70"/>
    </row>
    <row r="169" spans="1:12" ht="25.5" x14ac:dyDescent="0.25">
      <c r="A169" s="501" t="s">
        <v>1732</v>
      </c>
      <c r="B169" s="502" t="s">
        <v>992</v>
      </c>
      <c r="C169" s="501" t="s">
        <v>993</v>
      </c>
      <c r="D169" s="501" t="s">
        <v>994</v>
      </c>
      <c r="E169" s="602" t="s">
        <v>972</v>
      </c>
      <c r="F169" s="602"/>
      <c r="G169" s="503" t="s">
        <v>81</v>
      </c>
      <c r="H169" s="504">
        <v>28.970400000000001</v>
      </c>
      <c r="I169" s="504"/>
      <c r="J169" s="505">
        <v>14.62</v>
      </c>
      <c r="K169" s="505">
        <v>423.54</v>
      </c>
      <c r="L169" s="70"/>
    </row>
    <row r="170" spans="1:12" ht="25.5" x14ac:dyDescent="0.25">
      <c r="A170" s="501" t="s">
        <v>1732</v>
      </c>
      <c r="B170" s="502" t="s">
        <v>1003</v>
      </c>
      <c r="C170" s="501" t="s">
        <v>993</v>
      </c>
      <c r="D170" s="501" t="s">
        <v>1004</v>
      </c>
      <c r="E170" s="602" t="s">
        <v>972</v>
      </c>
      <c r="F170" s="602"/>
      <c r="G170" s="503" t="s">
        <v>81</v>
      </c>
      <c r="H170" s="504">
        <v>2.0145</v>
      </c>
      <c r="I170" s="504"/>
      <c r="J170" s="505">
        <v>23.41</v>
      </c>
      <c r="K170" s="505">
        <v>47.15</v>
      </c>
      <c r="L170" s="70"/>
    </row>
    <row r="171" spans="1:12" ht="25.5" x14ac:dyDescent="0.25">
      <c r="A171" s="501" t="s">
        <v>1732</v>
      </c>
      <c r="B171" s="502" t="s">
        <v>999</v>
      </c>
      <c r="C171" s="501" t="s">
        <v>993</v>
      </c>
      <c r="D171" s="501" t="s">
        <v>1000</v>
      </c>
      <c r="E171" s="602" t="s">
        <v>972</v>
      </c>
      <c r="F171" s="602"/>
      <c r="G171" s="503" t="s">
        <v>81</v>
      </c>
      <c r="H171" s="504">
        <v>14.958399999999999</v>
      </c>
      <c r="I171" s="504"/>
      <c r="J171" s="505">
        <v>16.04</v>
      </c>
      <c r="K171" s="505">
        <v>239.93</v>
      </c>
      <c r="L171" s="70"/>
    </row>
    <row r="172" spans="1:12" ht="25.5" x14ac:dyDescent="0.25">
      <c r="A172" s="501" t="s">
        <v>1732</v>
      </c>
      <c r="B172" s="502" t="s">
        <v>1009</v>
      </c>
      <c r="C172" s="501" t="s">
        <v>993</v>
      </c>
      <c r="D172" s="501" t="s">
        <v>1010</v>
      </c>
      <c r="E172" s="602" t="s">
        <v>972</v>
      </c>
      <c r="F172" s="602"/>
      <c r="G172" s="503" t="s">
        <v>81</v>
      </c>
      <c r="H172" s="504">
        <v>14.958399999999999</v>
      </c>
      <c r="I172" s="504"/>
      <c r="J172" s="505">
        <v>23.41</v>
      </c>
      <c r="K172" s="505">
        <v>350.17</v>
      </c>
      <c r="L172" s="70"/>
    </row>
    <row r="173" spans="1:12" ht="25.5" x14ac:dyDescent="0.25">
      <c r="A173" s="501" t="s">
        <v>1732</v>
      </c>
      <c r="B173" s="502" t="s">
        <v>1758</v>
      </c>
      <c r="C173" s="501" t="s">
        <v>993</v>
      </c>
      <c r="D173" s="501" t="s">
        <v>1759</v>
      </c>
      <c r="E173" s="602" t="s">
        <v>1746</v>
      </c>
      <c r="F173" s="602"/>
      <c r="G173" s="503" t="s">
        <v>1751</v>
      </c>
      <c r="H173" s="504">
        <v>3.9203999999999999</v>
      </c>
      <c r="I173" s="504"/>
      <c r="J173" s="505">
        <v>11.02</v>
      </c>
      <c r="K173" s="505">
        <v>43.2</v>
      </c>
      <c r="L173" s="70"/>
    </row>
    <row r="174" spans="1:12" ht="25.5" x14ac:dyDescent="0.25">
      <c r="A174" s="501" t="s">
        <v>1732</v>
      </c>
      <c r="B174" s="502" t="s">
        <v>1964</v>
      </c>
      <c r="C174" s="501" t="s">
        <v>993</v>
      </c>
      <c r="D174" s="501" t="s">
        <v>1965</v>
      </c>
      <c r="E174" s="602" t="s">
        <v>1746</v>
      </c>
      <c r="F174" s="602"/>
      <c r="G174" s="503" t="s">
        <v>1222</v>
      </c>
      <c r="H174" s="504">
        <v>0.1646</v>
      </c>
      <c r="I174" s="504"/>
      <c r="J174" s="505">
        <v>23.06</v>
      </c>
      <c r="K174" s="505">
        <v>3.79</v>
      </c>
      <c r="L174" s="70"/>
    </row>
    <row r="175" spans="1:12" ht="25.5" x14ac:dyDescent="0.25">
      <c r="A175" s="501" t="s">
        <v>1732</v>
      </c>
      <c r="B175" s="502" t="s">
        <v>1960</v>
      </c>
      <c r="C175" s="501" t="s">
        <v>993</v>
      </c>
      <c r="D175" s="501" t="s">
        <v>1961</v>
      </c>
      <c r="E175" s="602" t="s">
        <v>1746</v>
      </c>
      <c r="F175" s="602"/>
      <c r="G175" s="503" t="s">
        <v>1222</v>
      </c>
      <c r="H175" s="504">
        <v>0.33040000000000003</v>
      </c>
      <c r="I175" s="504"/>
      <c r="J175" s="505">
        <v>26.83</v>
      </c>
      <c r="K175" s="505">
        <v>8.86</v>
      </c>
      <c r="L175" s="70"/>
    </row>
    <row r="176" spans="1:12" ht="25.5" x14ac:dyDescent="0.25">
      <c r="A176" s="501" t="s">
        <v>1732</v>
      </c>
      <c r="B176" s="502" t="s">
        <v>1962</v>
      </c>
      <c r="C176" s="501" t="s">
        <v>993</v>
      </c>
      <c r="D176" s="501" t="s">
        <v>1963</v>
      </c>
      <c r="E176" s="602" t="s">
        <v>1746</v>
      </c>
      <c r="F176" s="602"/>
      <c r="G176" s="503" t="s">
        <v>1222</v>
      </c>
      <c r="H176" s="504">
        <v>0.4</v>
      </c>
      <c r="I176" s="504"/>
      <c r="J176" s="505">
        <v>33.229999999999997</v>
      </c>
      <c r="K176" s="505">
        <v>13.29</v>
      </c>
      <c r="L176" s="70"/>
    </row>
    <row r="177" spans="1:12" ht="25.5" x14ac:dyDescent="0.25">
      <c r="A177" s="501" t="s">
        <v>1732</v>
      </c>
      <c r="B177" s="502" t="s">
        <v>1954</v>
      </c>
      <c r="C177" s="501" t="s">
        <v>993</v>
      </c>
      <c r="D177" s="501" t="s">
        <v>1955</v>
      </c>
      <c r="E177" s="602" t="s">
        <v>1746</v>
      </c>
      <c r="F177" s="602"/>
      <c r="G177" s="503" t="s">
        <v>41</v>
      </c>
      <c r="H177" s="504">
        <v>21.114000000000001</v>
      </c>
      <c r="I177" s="504"/>
      <c r="J177" s="505">
        <v>3.35</v>
      </c>
      <c r="K177" s="505">
        <v>70.73</v>
      </c>
      <c r="L177" s="70"/>
    </row>
    <row r="178" spans="1:12" ht="25.5" x14ac:dyDescent="0.25">
      <c r="A178" s="501" t="s">
        <v>1732</v>
      </c>
      <c r="B178" s="502" t="s">
        <v>1950</v>
      </c>
      <c r="C178" s="501" t="s">
        <v>993</v>
      </c>
      <c r="D178" s="501" t="s">
        <v>1951</v>
      </c>
      <c r="E178" s="602" t="s">
        <v>1746</v>
      </c>
      <c r="F178" s="602"/>
      <c r="G178" s="503" t="s">
        <v>41</v>
      </c>
      <c r="H178" s="504">
        <v>6.2880000000000003</v>
      </c>
      <c r="I178" s="504"/>
      <c r="J178" s="505">
        <v>6.74</v>
      </c>
      <c r="K178" s="505">
        <v>42.38</v>
      </c>
      <c r="L178" s="70"/>
    </row>
    <row r="179" spans="1:12" ht="25.5" x14ac:dyDescent="0.25">
      <c r="A179" s="501" t="s">
        <v>1732</v>
      </c>
      <c r="B179" s="502" t="s">
        <v>1934</v>
      </c>
      <c r="C179" s="501" t="s">
        <v>993</v>
      </c>
      <c r="D179" s="501" t="s">
        <v>1935</v>
      </c>
      <c r="E179" s="602" t="s">
        <v>1746</v>
      </c>
      <c r="F179" s="602"/>
      <c r="G179" s="503" t="s">
        <v>49</v>
      </c>
      <c r="H179" s="504">
        <v>2</v>
      </c>
      <c r="I179" s="504"/>
      <c r="J179" s="505">
        <v>3.77</v>
      </c>
      <c r="K179" s="505">
        <v>7.54</v>
      </c>
      <c r="L179" s="70"/>
    </row>
    <row r="180" spans="1:12" ht="25.5" x14ac:dyDescent="0.25">
      <c r="A180" s="501" t="s">
        <v>1732</v>
      </c>
      <c r="B180" s="502" t="s">
        <v>1936</v>
      </c>
      <c r="C180" s="501" t="s">
        <v>993</v>
      </c>
      <c r="D180" s="501" t="s">
        <v>1937</v>
      </c>
      <c r="E180" s="602" t="s">
        <v>1746</v>
      </c>
      <c r="F180" s="602"/>
      <c r="G180" s="503" t="s">
        <v>41</v>
      </c>
      <c r="H180" s="504">
        <v>28.441800000000001</v>
      </c>
      <c r="I180" s="504"/>
      <c r="J180" s="505">
        <v>12.8</v>
      </c>
      <c r="K180" s="505">
        <v>364.05</v>
      </c>
      <c r="L180" s="70"/>
    </row>
    <row r="181" spans="1:12" ht="25.5" x14ac:dyDescent="0.25">
      <c r="A181" s="501" t="s">
        <v>1732</v>
      </c>
      <c r="B181" s="502" t="s">
        <v>1931</v>
      </c>
      <c r="C181" s="501" t="s">
        <v>993</v>
      </c>
      <c r="D181" s="501" t="s">
        <v>1932</v>
      </c>
      <c r="E181" s="602" t="s">
        <v>1746</v>
      </c>
      <c r="F181" s="602"/>
      <c r="G181" s="503" t="s">
        <v>19</v>
      </c>
      <c r="H181" s="504">
        <v>13.176</v>
      </c>
      <c r="I181" s="504"/>
      <c r="J181" s="505">
        <v>21.87</v>
      </c>
      <c r="K181" s="505">
        <v>288.14999999999998</v>
      </c>
      <c r="L181" s="70"/>
    </row>
    <row r="182" spans="1:12" ht="25.5" x14ac:dyDescent="0.25">
      <c r="A182" s="501" t="s">
        <v>1732</v>
      </c>
      <c r="B182" s="502" t="s">
        <v>1892</v>
      </c>
      <c r="C182" s="501" t="s">
        <v>993</v>
      </c>
      <c r="D182" s="501" t="s">
        <v>1893</v>
      </c>
      <c r="E182" s="602" t="s">
        <v>1746</v>
      </c>
      <c r="F182" s="602"/>
      <c r="G182" s="503" t="s">
        <v>41</v>
      </c>
      <c r="H182" s="504">
        <v>2.79</v>
      </c>
      <c r="I182" s="504"/>
      <c r="J182" s="505">
        <v>2.4700000000000002</v>
      </c>
      <c r="K182" s="505">
        <v>6.89</v>
      </c>
      <c r="L182" s="70"/>
    </row>
    <row r="183" spans="1:12" ht="25.5" x14ac:dyDescent="0.25">
      <c r="A183" s="501" t="s">
        <v>1732</v>
      </c>
      <c r="B183" s="502" t="s">
        <v>1974</v>
      </c>
      <c r="C183" s="501" t="s">
        <v>993</v>
      </c>
      <c r="D183" s="501" t="s">
        <v>1975</v>
      </c>
      <c r="E183" s="602" t="s">
        <v>1746</v>
      </c>
      <c r="F183" s="602"/>
      <c r="G183" s="503" t="s">
        <v>45</v>
      </c>
      <c r="H183" s="504">
        <v>0.4022</v>
      </c>
      <c r="I183" s="504"/>
      <c r="J183" s="505">
        <v>172.18</v>
      </c>
      <c r="K183" s="505">
        <v>69.25</v>
      </c>
      <c r="L183" s="70"/>
    </row>
    <row r="184" spans="1:12" ht="25.5" x14ac:dyDescent="0.25">
      <c r="A184" s="501" t="s">
        <v>1732</v>
      </c>
      <c r="B184" s="502" t="s">
        <v>1876</v>
      </c>
      <c r="C184" s="501" t="s">
        <v>993</v>
      </c>
      <c r="D184" s="501" t="s">
        <v>1877</v>
      </c>
      <c r="E184" s="602" t="s">
        <v>1746</v>
      </c>
      <c r="F184" s="602"/>
      <c r="G184" s="503" t="s">
        <v>49</v>
      </c>
      <c r="H184" s="504">
        <v>5</v>
      </c>
      <c r="I184" s="504"/>
      <c r="J184" s="505">
        <v>1.32</v>
      </c>
      <c r="K184" s="505">
        <v>6.6</v>
      </c>
      <c r="L184" s="70"/>
    </row>
    <row r="185" spans="1:12" ht="25.5" x14ac:dyDescent="0.25">
      <c r="A185" s="501" t="s">
        <v>1732</v>
      </c>
      <c r="B185" s="502" t="s">
        <v>1872</v>
      </c>
      <c r="C185" s="501" t="s">
        <v>993</v>
      </c>
      <c r="D185" s="501" t="s">
        <v>1873</v>
      </c>
      <c r="E185" s="602" t="s">
        <v>1746</v>
      </c>
      <c r="F185" s="602"/>
      <c r="G185" s="503" t="s">
        <v>45</v>
      </c>
      <c r="H185" s="504">
        <v>0.43980000000000002</v>
      </c>
      <c r="I185" s="504"/>
      <c r="J185" s="505">
        <v>149.94999999999999</v>
      </c>
      <c r="K185" s="505">
        <v>65.94</v>
      </c>
      <c r="L185" s="70"/>
    </row>
    <row r="186" spans="1:12" ht="25.5" x14ac:dyDescent="0.25">
      <c r="A186" s="501" t="s">
        <v>1732</v>
      </c>
      <c r="B186" s="502" t="s">
        <v>1976</v>
      </c>
      <c r="C186" s="501" t="s">
        <v>993</v>
      </c>
      <c r="D186" s="501" t="s">
        <v>1977</v>
      </c>
      <c r="E186" s="602" t="s">
        <v>1746</v>
      </c>
      <c r="F186" s="602"/>
      <c r="G186" s="503" t="s">
        <v>49</v>
      </c>
      <c r="H186" s="504">
        <v>0.33329999999999999</v>
      </c>
      <c r="I186" s="504"/>
      <c r="J186" s="505">
        <v>25.23</v>
      </c>
      <c r="K186" s="505">
        <v>8.4</v>
      </c>
      <c r="L186" s="70"/>
    </row>
    <row r="187" spans="1:12" ht="25.5" x14ac:dyDescent="0.25">
      <c r="A187" s="501" t="s">
        <v>1732</v>
      </c>
      <c r="B187" s="502" t="s">
        <v>1868</v>
      </c>
      <c r="C187" s="501" t="s">
        <v>993</v>
      </c>
      <c r="D187" s="501" t="s">
        <v>1869</v>
      </c>
      <c r="E187" s="602" t="s">
        <v>1746</v>
      </c>
      <c r="F187" s="602"/>
      <c r="G187" s="503" t="s">
        <v>49</v>
      </c>
      <c r="H187" s="504">
        <v>0.5</v>
      </c>
      <c r="I187" s="504"/>
      <c r="J187" s="505">
        <v>5</v>
      </c>
      <c r="K187" s="505">
        <v>2.5</v>
      </c>
      <c r="L187" s="70"/>
    </row>
    <row r="188" spans="1:12" ht="25.5" x14ac:dyDescent="0.25">
      <c r="A188" s="501" t="s">
        <v>1732</v>
      </c>
      <c r="B188" s="502" t="s">
        <v>1860</v>
      </c>
      <c r="C188" s="501" t="s">
        <v>993</v>
      </c>
      <c r="D188" s="501" t="s">
        <v>1861</v>
      </c>
      <c r="E188" s="602" t="s">
        <v>1746</v>
      </c>
      <c r="F188" s="602"/>
      <c r="G188" s="503" t="s">
        <v>49</v>
      </c>
      <c r="H188" s="504">
        <v>0.5</v>
      </c>
      <c r="I188" s="504"/>
      <c r="J188" s="505">
        <v>2.7</v>
      </c>
      <c r="K188" s="505">
        <v>1.35</v>
      </c>
      <c r="L188" s="70"/>
    </row>
    <row r="189" spans="1:12" ht="25.5" x14ac:dyDescent="0.25">
      <c r="A189" s="501" t="s">
        <v>1732</v>
      </c>
      <c r="B189" s="502" t="s">
        <v>1978</v>
      </c>
      <c r="C189" s="501" t="s">
        <v>993</v>
      </c>
      <c r="D189" s="501" t="s">
        <v>1979</v>
      </c>
      <c r="E189" s="602" t="s">
        <v>1746</v>
      </c>
      <c r="F189" s="602"/>
      <c r="G189" s="503" t="s">
        <v>19</v>
      </c>
      <c r="H189" s="504">
        <v>2.2383000000000002</v>
      </c>
      <c r="I189" s="504"/>
      <c r="J189" s="505">
        <v>34.090000000000003</v>
      </c>
      <c r="K189" s="505">
        <v>76.3</v>
      </c>
      <c r="L189" s="70"/>
    </row>
    <row r="190" spans="1:12" ht="25.5" x14ac:dyDescent="0.25">
      <c r="A190" s="501" t="s">
        <v>1732</v>
      </c>
      <c r="B190" s="502" t="s">
        <v>1854</v>
      </c>
      <c r="C190" s="501" t="s">
        <v>993</v>
      </c>
      <c r="D190" s="501" t="s">
        <v>1855</v>
      </c>
      <c r="E190" s="602" t="s">
        <v>1746</v>
      </c>
      <c r="F190" s="602"/>
      <c r="G190" s="503" t="s">
        <v>1222</v>
      </c>
      <c r="H190" s="504">
        <v>220.7063</v>
      </c>
      <c r="I190" s="504"/>
      <c r="J190" s="505">
        <v>0.65</v>
      </c>
      <c r="K190" s="505">
        <v>143.44999999999999</v>
      </c>
      <c r="L190" s="70"/>
    </row>
    <row r="191" spans="1:12" ht="25.5" x14ac:dyDescent="0.25">
      <c r="A191" s="501" t="s">
        <v>1732</v>
      </c>
      <c r="B191" s="502" t="s">
        <v>1848</v>
      </c>
      <c r="C191" s="501" t="s">
        <v>993</v>
      </c>
      <c r="D191" s="501" t="s">
        <v>1849</v>
      </c>
      <c r="E191" s="602" t="s">
        <v>1746</v>
      </c>
      <c r="F191" s="602"/>
      <c r="G191" s="503" t="s">
        <v>19</v>
      </c>
      <c r="H191" s="504">
        <v>23.957999999999998</v>
      </c>
      <c r="I191" s="504"/>
      <c r="J191" s="505">
        <v>32.14</v>
      </c>
      <c r="K191" s="505">
        <v>770.01</v>
      </c>
      <c r="L191" s="70"/>
    </row>
    <row r="192" spans="1:12" ht="25.5" x14ac:dyDescent="0.25">
      <c r="A192" s="501" t="s">
        <v>1732</v>
      </c>
      <c r="B192" s="502" t="s">
        <v>1846</v>
      </c>
      <c r="C192" s="501" t="s">
        <v>993</v>
      </c>
      <c r="D192" s="501" t="s">
        <v>1847</v>
      </c>
      <c r="E192" s="602" t="s">
        <v>1746</v>
      </c>
      <c r="F192" s="602"/>
      <c r="G192" s="503" t="s">
        <v>49</v>
      </c>
      <c r="H192" s="504">
        <v>31.8</v>
      </c>
      <c r="I192" s="504"/>
      <c r="J192" s="505">
        <v>0.37</v>
      </c>
      <c r="K192" s="505">
        <v>11.76</v>
      </c>
      <c r="L192" s="70"/>
    </row>
    <row r="193" spans="1:12" ht="25.5" x14ac:dyDescent="0.25">
      <c r="A193" s="501" t="s">
        <v>1732</v>
      </c>
      <c r="B193" s="502" t="s">
        <v>1980</v>
      </c>
      <c r="C193" s="501" t="s">
        <v>993</v>
      </c>
      <c r="D193" s="501" t="s">
        <v>1981</v>
      </c>
      <c r="E193" s="602" t="s">
        <v>1746</v>
      </c>
      <c r="F193" s="602"/>
      <c r="G193" s="503" t="s">
        <v>41</v>
      </c>
      <c r="H193" s="504">
        <v>0.2</v>
      </c>
      <c r="I193" s="504"/>
      <c r="J193" s="505">
        <v>14.81</v>
      </c>
      <c r="K193" s="505">
        <v>2.96</v>
      </c>
      <c r="L193" s="70"/>
    </row>
    <row r="194" spans="1:12" ht="25.5" x14ac:dyDescent="0.25">
      <c r="A194" s="501" t="s">
        <v>1732</v>
      </c>
      <c r="B194" s="502" t="s">
        <v>1982</v>
      </c>
      <c r="C194" s="501" t="s">
        <v>993</v>
      </c>
      <c r="D194" s="501" t="s">
        <v>1983</v>
      </c>
      <c r="E194" s="602" t="s">
        <v>1746</v>
      </c>
      <c r="F194" s="602"/>
      <c r="G194" s="503" t="s">
        <v>49</v>
      </c>
      <c r="H194" s="504">
        <v>0.66669999999999996</v>
      </c>
      <c r="I194" s="504"/>
      <c r="J194" s="505">
        <v>9.4600000000000009</v>
      </c>
      <c r="K194" s="505">
        <v>6.3</v>
      </c>
      <c r="L194" s="70"/>
    </row>
    <row r="195" spans="1:12" ht="25.5" x14ac:dyDescent="0.25">
      <c r="A195" s="501" t="s">
        <v>1732</v>
      </c>
      <c r="B195" s="502" t="s">
        <v>1833</v>
      </c>
      <c r="C195" s="501" t="s">
        <v>993</v>
      </c>
      <c r="D195" s="501" t="s">
        <v>1834</v>
      </c>
      <c r="E195" s="602" t="s">
        <v>1746</v>
      </c>
      <c r="F195" s="602"/>
      <c r="G195" s="503" t="s">
        <v>41</v>
      </c>
      <c r="H195" s="504">
        <v>16.63</v>
      </c>
      <c r="I195" s="504"/>
      <c r="J195" s="505">
        <v>2.21</v>
      </c>
      <c r="K195" s="505">
        <v>36.75</v>
      </c>
      <c r="L195" s="70"/>
    </row>
    <row r="196" spans="1:12" ht="25.5" x14ac:dyDescent="0.25">
      <c r="A196" s="501" t="s">
        <v>1732</v>
      </c>
      <c r="B196" s="502" t="s">
        <v>1835</v>
      </c>
      <c r="C196" s="501" t="s">
        <v>993</v>
      </c>
      <c r="D196" s="501" t="s">
        <v>1836</v>
      </c>
      <c r="E196" s="602" t="s">
        <v>1746</v>
      </c>
      <c r="F196" s="602"/>
      <c r="G196" s="503" t="s">
        <v>49</v>
      </c>
      <c r="H196" s="504">
        <v>0.5</v>
      </c>
      <c r="I196" s="504"/>
      <c r="J196" s="505">
        <v>3</v>
      </c>
      <c r="K196" s="505">
        <v>1.5</v>
      </c>
      <c r="L196" s="70"/>
    </row>
    <row r="197" spans="1:12" ht="25.5" x14ac:dyDescent="0.25">
      <c r="A197" s="501" t="s">
        <v>1732</v>
      </c>
      <c r="B197" s="502" t="s">
        <v>1984</v>
      </c>
      <c r="C197" s="501" t="s">
        <v>993</v>
      </c>
      <c r="D197" s="501" t="s">
        <v>1985</v>
      </c>
      <c r="E197" s="602" t="s">
        <v>1746</v>
      </c>
      <c r="F197" s="602"/>
      <c r="G197" s="503" t="s">
        <v>49</v>
      </c>
      <c r="H197" s="504">
        <v>2</v>
      </c>
      <c r="I197" s="504"/>
      <c r="J197" s="505">
        <v>0.54</v>
      </c>
      <c r="K197" s="505">
        <v>1.08</v>
      </c>
      <c r="L197" s="70"/>
    </row>
    <row r="198" spans="1:12" ht="25.5" x14ac:dyDescent="0.25">
      <c r="A198" s="501" t="s">
        <v>1732</v>
      </c>
      <c r="B198" s="502" t="s">
        <v>1986</v>
      </c>
      <c r="C198" s="501" t="s">
        <v>993</v>
      </c>
      <c r="D198" s="501" t="s">
        <v>1987</v>
      </c>
      <c r="E198" s="602" t="s">
        <v>1746</v>
      </c>
      <c r="F198" s="602"/>
      <c r="G198" s="503" t="s">
        <v>49</v>
      </c>
      <c r="H198" s="504">
        <v>1.2251000000000001</v>
      </c>
      <c r="I198" s="504"/>
      <c r="J198" s="505">
        <v>1.1599999999999999</v>
      </c>
      <c r="K198" s="505">
        <v>1.42</v>
      </c>
      <c r="L198" s="70"/>
    </row>
    <row r="199" spans="1:12" ht="25.5" x14ac:dyDescent="0.25">
      <c r="A199" s="501" t="s">
        <v>1732</v>
      </c>
      <c r="B199" s="502" t="s">
        <v>1798</v>
      </c>
      <c r="C199" s="501" t="s">
        <v>993</v>
      </c>
      <c r="D199" s="501" t="s">
        <v>1799</v>
      </c>
      <c r="E199" s="602" t="s">
        <v>1746</v>
      </c>
      <c r="F199" s="602"/>
      <c r="G199" s="503" t="s">
        <v>41</v>
      </c>
      <c r="H199" s="504">
        <v>35.238</v>
      </c>
      <c r="I199" s="504"/>
      <c r="J199" s="505">
        <v>8.2100000000000009</v>
      </c>
      <c r="K199" s="505">
        <v>289.3</v>
      </c>
      <c r="L199" s="70"/>
    </row>
    <row r="200" spans="1:12" ht="25.5" x14ac:dyDescent="0.25">
      <c r="A200" s="501" t="s">
        <v>1732</v>
      </c>
      <c r="B200" s="502" t="s">
        <v>1794</v>
      </c>
      <c r="C200" s="501" t="s">
        <v>993</v>
      </c>
      <c r="D200" s="501" t="s">
        <v>1795</v>
      </c>
      <c r="E200" s="602" t="s">
        <v>1746</v>
      </c>
      <c r="F200" s="602"/>
      <c r="G200" s="503" t="s">
        <v>1222</v>
      </c>
      <c r="H200" s="504">
        <v>0.69110000000000005</v>
      </c>
      <c r="I200" s="504"/>
      <c r="J200" s="505">
        <v>20.57</v>
      </c>
      <c r="K200" s="505">
        <v>14.21</v>
      </c>
      <c r="L200" s="70"/>
    </row>
    <row r="201" spans="1:12" ht="25.5" x14ac:dyDescent="0.25">
      <c r="A201" s="501" t="s">
        <v>1732</v>
      </c>
      <c r="B201" s="502" t="s">
        <v>1796</v>
      </c>
      <c r="C201" s="501" t="s">
        <v>993</v>
      </c>
      <c r="D201" s="501" t="s">
        <v>1797</v>
      </c>
      <c r="E201" s="602" t="s">
        <v>1746</v>
      </c>
      <c r="F201" s="602"/>
      <c r="G201" s="503" t="s">
        <v>1222</v>
      </c>
      <c r="H201" s="504">
        <v>0.65969999999999995</v>
      </c>
      <c r="I201" s="504"/>
      <c r="J201" s="505">
        <v>21.99</v>
      </c>
      <c r="K201" s="505">
        <v>14.5</v>
      </c>
      <c r="L201" s="70"/>
    </row>
    <row r="202" spans="1:12" ht="25.5" x14ac:dyDescent="0.25">
      <c r="A202" s="501" t="s">
        <v>1732</v>
      </c>
      <c r="B202" s="502" t="s">
        <v>1972</v>
      </c>
      <c r="C202" s="501" t="s">
        <v>993</v>
      </c>
      <c r="D202" s="501" t="s">
        <v>1973</v>
      </c>
      <c r="E202" s="602" t="s">
        <v>1746</v>
      </c>
      <c r="F202" s="602"/>
      <c r="G202" s="503" t="s">
        <v>49</v>
      </c>
      <c r="H202" s="504">
        <v>0.5</v>
      </c>
      <c r="I202" s="504"/>
      <c r="J202" s="505">
        <v>28.39</v>
      </c>
      <c r="K202" s="505">
        <v>14.19</v>
      </c>
      <c r="L202" s="70"/>
    </row>
    <row r="203" spans="1:12" ht="25.5" x14ac:dyDescent="0.25">
      <c r="A203" s="501" t="s">
        <v>1732</v>
      </c>
      <c r="B203" s="502" t="s">
        <v>1970</v>
      </c>
      <c r="C203" s="501" t="s">
        <v>993</v>
      </c>
      <c r="D203" s="501" t="s">
        <v>1971</v>
      </c>
      <c r="E203" s="602" t="s">
        <v>1746</v>
      </c>
      <c r="F203" s="602"/>
      <c r="G203" s="503" t="s">
        <v>49</v>
      </c>
      <c r="H203" s="504">
        <v>1</v>
      </c>
      <c r="I203" s="504"/>
      <c r="J203" s="505">
        <v>18.45</v>
      </c>
      <c r="K203" s="505">
        <v>18.45</v>
      </c>
      <c r="L203" s="70"/>
    </row>
    <row r="204" spans="1:12" ht="15.75" customHeight="1" x14ac:dyDescent="0.25">
      <c r="A204" s="445"/>
      <c r="B204" s="445"/>
      <c r="C204" s="445"/>
      <c r="D204" s="445"/>
      <c r="E204" s="445" t="s">
        <v>1735</v>
      </c>
      <c r="F204" s="506">
        <v>1279.29</v>
      </c>
      <c r="G204" s="445" t="s">
        <v>1736</v>
      </c>
      <c r="H204" s="506">
        <v>0</v>
      </c>
      <c r="I204" s="445" t="s">
        <v>1737</v>
      </c>
      <c r="J204" s="506">
        <v>1279.29</v>
      </c>
      <c r="K204" s="70"/>
      <c r="L204" s="70"/>
    </row>
    <row r="205" spans="1:12" ht="17.25" thickBot="1" x14ac:dyDescent="0.3">
      <c r="A205" s="445"/>
      <c r="B205" s="445"/>
      <c r="C205" s="445"/>
      <c r="D205" s="445"/>
      <c r="E205" s="445" t="s">
        <v>1738</v>
      </c>
      <c r="F205" s="506">
        <v>907.83369600000003</v>
      </c>
      <c r="G205" s="445"/>
      <c r="H205" s="606" t="s">
        <v>1739</v>
      </c>
      <c r="I205" s="606"/>
      <c r="J205" s="506">
        <v>4592.22</v>
      </c>
      <c r="K205" s="70"/>
      <c r="L205" s="70"/>
    </row>
    <row r="206" spans="1:12" ht="17.25" thickTop="1" x14ac:dyDescent="0.25">
      <c r="A206" s="507"/>
      <c r="B206" s="507"/>
      <c r="C206" s="507"/>
      <c r="D206" s="507"/>
      <c r="E206" s="507"/>
      <c r="F206" s="507"/>
      <c r="G206" s="507"/>
      <c r="H206" s="507"/>
      <c r="I206" s="507"/>
      <c r="J206" s="507"/>
      <c r="K206" s="507"/>
      <c r="L206" s="70"/>
    </row>
    <row r="207" spans="1:12" ht="16.5" x14ac:dyDescent="0.25">
      <c r="A207" s="419" t="s">
        <v>1139</v>
      </c>
      <c r="B207" s="421" t="s">
        <v>76</v>
      </c>
      <c r="C207" s="419" t="s">
        <v>991</v>
      </c>
      <c r="D207" s="419" t="s">
        <v>191</v>
      </c>
      <c r="E207" s="603" t="s">
        <v>77</v>
      </c>
      <c r="F207" s="603"/>
      <c r="G207" s="420" t="s">
        <v>103</v>
      </c>
      <c r="H207" s="421" t="s">
        <v>147</v>
      </c>
      <c r="I207" s="421" t="s">
        <v>1731</v>
      </c>
      <c r="J207" s="421" t="s">
        <v>1117</v>
      </c>
      <c r="K207" s="421" t="s">
        <v>104</v>
      </c>
      <c r="L207" s="70"/>
    </row>
    <row r="208" spans="1:12" ht="25.5" x14ac:dyDescent="0.25">
      <c r="A208" s="441" t="s">
        <v>79</v>
      </c>
      <c r="B208" s="480" t="s">
        <v>1140</v>
      </c>
      <c r="C208" s="441" t="s">
        <v>993</v>
      </c>
      <c r="D208" s="441" t="s">
        <v>761</v>
      </c>
      <c r="E208" s="604">
        <v>204</v>
      </c>
      <c r="F208" s="604"/>
      <c r="G208" s="443" t="s">
        <v>1141</v>
      </c>
      <c r="H208" s="500">
        <v>1</v>
      </c>
      <c r="I208" s="442"/>
      <c r="J208" s="442">
        <v>3342.16</v>
      </c>
      <c r="K208" s="442">
        <v>3342.16</v>
      </c>
      <c r="L208" s="70"/>
    </row>
    <row r="209" spans="1:12" ht="25.5" x14ac:dyDescent="0.25">
      <c r="A209" s="501" t="s">
        <v>1732</v>
      </c>
      <c r="B209" s="502" t="s">
        <v>999</v>
      </c>
      <c r="C209" s="501" t="s">
        <v>993</v>
      </c>
      <c r="D209" s="501" t="s">
        <v>1000</v>
      </c>
      <c r="E209" s="602" t="s">
        <v>972</v>
      </c>
      <c r="F209" s="602"/>
      <c r="G209" s="503" t="s">
        <v>81</v>
      </c>
      <c r="H209" s="504">
        <v>17.706600000000002</v>
      </c>
      <c r="I209" s="504"/>
      <c r="J209" s="505">
        <v>16.04</v>
      </c>
      <c r="K209" s="505">
        <v>284.01</v>
      </c>
      <c r="L209" s="70"/>
    </row>
    <row r="210" spans="1:12" ht="25.5" x14ac:dyDescent="0.25">
      <c r="A210" s="501" t="s">
        <v>1732</v>
      </c>
      <c r="B210" s="502" t="s">
        <v>1007</v>
      </c>
      <c r="C210" s="501" t="s">
        <v>993</v>
      </c>
      <c r="D210" s="501" t="s">
        <v>1008</v>
      </c>
      <c r="E210" s="602" t="s">
        <v>972</v>
      </c>
      <c r="F210" s="602"/>
      <c r="G210" s="503" t="s">
        <v>81</v>
      </c>
      <c r="H210" s="504">
        <v>0.46</v>
      </c>
      <c r="I210" s="504"/>
      <c r="J210" s="505">
        <v>23.41</v>
      </c>
      <c r="K210" s="505">
        <v>10.76</v>
      </c>
      <c r="L210" s="70"/>
    </row>
    <row r="211" spans="1:12" ht="25.5" x14ac:dyDescent="0.25">
      <c r="A211" s="501" t="s">
        <v>1732</v>
      </c>
      <c r="B211" s="502" t="s">
        <v>1011</v>
      </c>
      <c r="C211" s="501" t="s">
        <v>993</v>
      </c>
      <c r="D211" s="501" t="s">
        <v>1012</v>
      </c>
      <c r="E211" s="602" t="s">
        <v>972</v>
      </c>
      <c r="F211" s="602"/>
      <c r="G211" s="503" t="s">
        <v>81</v>
      </c>
      <c r="H211" s="504">
        <v>17.636600000000001</v>
      </c>
      <c r="I211" s="504"/>
      <c r="J211" s="505">
        <v>23.41</v>
      </c>
      <c r="K211" s="505">
        <v>412.87</v>
      </c>
      <c r="L211" s="70"/>
    </row>
    <row r="212" spans="1:12" ht="25.5" x14ac:dyDescent="0.25">
      <c r="A212" s="501" t="s">
        <v>1732</v>
      </c>
      <c r="B212" s="502" t="s">
        <v>1003</v>
      </c>
      <c r="C212" s="501" t="s">
        <v>993</v>
      </c>
      <c r="D212" s="501" t="s">
        <v>1004</v>
      </c>
      <c r="E212" s="602" t="s">
        <v>972</v>
      </c>
      <c r="F212" s="602"/>
      <c r="G212" s="503" t="s">
        <v>81</v>
      </c>
      <c r="H212" s="504">
        <v>12.007999999999999</v>
      </c>
      <c r="I212" s="504"/>
      <c r="J212" s="505">
        <v>23.41</v>
      </c>
      <c r="K212" s="505">
        <v>281.10000000000002</v>
      </c>
      <c r="L212" s="70"/>
    </row>
    <row r="213" spans="1:12" ht="25.5" x14ac:dyDescent="0.25">
      <c r="A213" s="501" t="s">
        <v>1732</v>
      </c>
      <c r="B213" s="502" t="s">
        <v>1025</v>
      </c>
      <c r="C213" s="501" t="s">
        <v>993</v>
      </c>
      <c r="D213" s="501" t="s">
        <v>1026</v>
      </c>
      <c r="E213" s="602" t="s">
        <v>972</v>
      </c>
      <c r="F213" s="602"/>
      <c r="G213" s="503" t="s">
        <v>81</v>
      </c>
      <c r="H213" s="504">
        <v>0.7</v>
      </c>
      <c r="I213" s="504"/>
      <c r="J213" s="505">
        <v>23.41</v>
      </c>
      <c r="K213" s="505">
        <v>16.38</v>
      </c>
      <c r="L213" s="70"/>
    </row>
    <row r="214" spans="1:12" ht="25.5" x14ac:dyDescent="0.25">
      <c r="A214" s="501" t="s">
        <v>1732</v>
      </c>
      <c r="B214" s="502" t="s">
        <v>992</v>
      </c>
      <c r="C214" s="501" t="s">
        <v>993</v>
      </c>
      <c r="D214" s="501" t="s">
        <v>994</v>
      </c>
      <c r="E214" s="602" t="s">
        <v>972</v>
      </c>
      <c r="F214" s="602"/>
      <c r="G214" s="503" t="s">
        <v>81</v>
      </c>
      <c r="H214" s="504">
        <v>67.530600000000007</v>
      </c>
      <c r="I214" s="504"/>
      <c r="J214" s="505">
        <v>14.62</v>
      </c>
      <c r="K214" s="505">
        <v>987.29</v>
      </c>
      <c r="L214" s="70"/>
    </row>
    <row r="215" spans="1:12" ht="38.25" x14ac:dyDescent="0.25">
      <c r="A215" s="501" t="s">
        <v>1732</v>
      </c>
      <c r="B215" s="502" t="s">
        <v>1747</v>
      </c>
      <c r="C215" s="501" t="s">
        <v>993</v>
      </c>
      <c r="D215" s="501" t="s">
        <v>1748</v>
      </c>
      <c r="E215" s="602" t="s">
        <v>1746</v>
      </c>
      <c r="F215" s="602"/>
      <c r="G215" s="503" t="s">
        <v>49</v>
      </c>
      <c r="H215" s="504">
        <v>3.2000000000000002E-3</v>
      </c>
      <c r="I215" s="504"/>
      <c r="J215" s="505">
        <v>2.5</v>
      </c>
      <c r="K215" s="505">
        <v>0</v>
      </c>
      <c r="L215" s="70"/>
    </row>
    <row r="216" spans="1:12" ht="25.5" x14ac:dyDescent="0.25">
      <c r="A216" s="501" t="s">
        <v>1732</v>
      </c>
      <c r="B216" s="502" t="s">
        <v>1988</v>
      </c>
      <c r="C216" s="501" t="s">
        <v>993</v>
      </c>
      <c r="D216" s="501" t="s">
        <v>1989</v>
      </c>
      <c r="E216" s="602" t="s">
        <v>1746</v>
      </c>
      <c r="F216" s="602"/>
      <c r="G216" s="503" t="s">
        <v>49</v>
      </c>
      <c r="H216" s="504">
        <v>0.33329999999999999</v>
      </c>
      <c r="I216" s="504"/>
      <c r="J216" s="505">
        <v>8.08</v>
      </c>
      <c r="K216" s="505">
        <v>2.69</v>
      </c>
      <c r="L216" s="70"/>
    </row>
    <row r="217" spans="1:12" ht="25.5" x14ac:dyDescent="0.25">
      <c r="A217" s="501" t="s">
        <v>1732</v>
      </c>
      <c r="B217" s="502" t="s">
        <v>1990</v>
      </c>
      <c r="C217" s="501" t="s">
        <v>993</v>
      </c>
      <c r="D217" s="501" t="s">
        <v>1991</v>
      </c>
      <c r="E217" s="602" t="s">
        <v>1746</v>
      </c>
      <c r="F217" s="602"/>
      <c r="G217" s="503" t="s">
        <v>49</v>
      </c>
      <c r="H217" s="504">
        <v>10</v>
      </c>
      <c r="I217" s="504"/>
      <c r="J217" s="505">
        <v>1.01</v>
      </c>
      <c r="K217" s="505">
        <v>10.1</v>
      </c>
      <c r="L217" s="70"/>
    </row>
    <row r="218" spans="1:12" ht="25.5" x14ac:dyDescent="0.25">
      <c r="A218" s="501" t="s">
        <v>1732</v>
      </c>
      <c r="B218" s="502" t="s">
        <v>1992</v>
      </c>
      <c r="C218" s="501" t="s">
        <v>993</v>
      </c>
      <c r="D218" s="501" t="s">
        <v>1993</v>
      </c>
      <c r="E218" s="602" t="s">
        <v>1746</v>
      </c>
      <c r="F218" s="602"/>
      <c r="G218" s="503" t="s">
        <v>49</v>
      </c>
      <c r="H218" s="504">
        <v>18</v>
      </c>
      <c r="I218" s="504"/>
      <c r="J218" s="505">
        <v>2.5499999999999998</v>
      </c>
      <c r="K218" s="505">
        <v>45.9</v>
      </c>
      <c r="L218" s="70"/>
    </row>
    <row r="219" spans="1:12" ht="25.5" x14ac:dyDescent="0.25">
      <c r="A219" s="501" t="s">
        <v>1732</v>
      </c>
      <c r="B219" s="502" t="s">
        <v>1994</v>
      </c>
      <c r="C219" s="501" t="s">
        <v>993</v>
      </c>
      <c r="D219" s="501" t="s">
        <v>1995</v>
      </c>
      <c r="E219" s="602" t="s">
        <v>1746</v>
      </c>
      <c r="F219" s="602"/>
      <c r="G219" s="503" t="s">
        <v>49</v>
      </c>
      <c r="H219" s="504">
        <v>282.24</v>
      </c>
      <c r="I219" s="504"/>
      <c r="J219" s="505">
        <v>0.51</v>
      </c>
      <c r="K219" s="505">
        <v>143.94</v>
      </c>
      <c r="L219" s="70"/>
    </row>
    <row r="220" spans="1:12" ht="25.5" x14ac:dyDescent="0.25">
      <c r="A220" s="501" t="s">
        <v>1732</v>
      </c>
      <c r="B220" s="502" t="s">
        <v>1996</v>
      </c>
      <c r="C220" s="501" t="s">
        <v>993</v>
      </c>
      <c r="D220" s="501" t="s">
        <v>1997</v>
      </c>
      <c r="E220" s="602" t="s">
        <v>1746</v>
      </c>
      <c r="F220" s="602"/>
      <c r="G220" s="503" t="s">
        <v>49</v>
      </c>
      <c r="H220" s="504">
        <v>15.9</v>
      </c>
      <c r="I220" s="504"/>
      <c r="J220" s="505">
        <v>0.77</v>
      </c>
      <c r="K220" s="505">
        <v>12.24</v>
      </c>
      <c r="L220" s="70"/>
    </row>
    <row r="221" spans="1:12" ht="25.5" x14ac:dyDescent="0.25">
      <c r="A221" s="501" t="s">
        <v>1732</v>
      </c>
      <c r="B221" s="502" t="s">
        <v>1998</v>
      </c>
      <c r="C221" s="501" t="s">
        <v>993</v>
      </c>
      <c r="D221" s="501" t="s">
        <v>1999</v>
      </c>
      <c r="E221" s="602" t="s">
        <v>1746</v>
      </c>
      <c r="F221" s="602"/>
      <c r="G221" s="503" t="s">
        <v>1751</v>
      </c>
      <c r="H221" s="504">
        <v>0.06</v>
      </c>
      <c r="I221" s="504"/>
      <c r="J221" s="505">
        <v>47.69</v>
      </c>
      <c r="K221" s="505">
        <v>2.86</v>
      </c>
      <c r="L221" s="70"/>
    </row>
    <row r="222" spans="1:12" ht="25.5" x14ac:dyDescent="0.25">
      <c r="A222" s="501" t="s">
        <v>1732</v>
      </c>
      <c r="B222" s="502" t="s">
        <v>2000</v>
      </c>
      <c r="C222" s="501" t="s">
        <v>993</v>
      </c>
      <c r="D222" s="501" t="s">
        <v>2001</v>
      </c>
      <c r="E222" s="602" t="s">
        <v>1746</v>
      </c>
      <c r="F222" s="602"/>
      <c r="G222" s="503" t="s">
        <v>1751</v>
      </c>
      <c r="H222" s="504">
        <v>0.26</v>
      </c>
      <c r="I222" s="504"/>
      <c r="J222" s="505">
        <v>23.5</v>
      </c>
      <c r="K222" s="505">
        <v>6.11</v>
      </c>
      <c r="L222" s="70"/>
    </row>
    <row r="223" spans="1:12" ht="25.5" x14ac:dyDescent="0.25">
      <c r="A223" s="501" t="s">
        <v>1732</v>
      </c>
      <c r="B223" s="502" t="s">
        <v>2002</v>
      </c>
      <c r="C223" s="501" t="s">
        <v>993</v>
      </c>
      <c r="D223" s="501" t="s">
        <v>2003</v>
      </c>
      <c r="E223" s="602" t="s">
        <v>1746</v>
      </c>
      <c r="F223" s="602"/>
      <c r="G223" s="503" t="s">
        <v>49</v>
      </c>
      <c r="H223" s="504">
        <v>0.66669999999999996</v>
      </c>
      <c r="I223" s="504"/>
      <c r="J223" s="505">
        <v>56.43</v>
      </c>
      <c r="K223" s="505">
        <v>37.619999999999997</v>
      </c>
      <c r="L223" s="70"/>
    </row>
    <row r="224" spans="1:12" ht="25.5" x14ac:dyDescent="0.25">
      <c r="A224" s="501" t="s">
        <v>1732</v>
      </c>
      <c r="B224" s="502" t="s">
        <v>1894</v>
      </c>
      <c r="C224" s="501" t="s">
        <v>993</v>
      </c>
      <c r="D224" s="501" t="s">
        <v>1895</v>
      </c>
      <c r="E224" s="602" t="s">
        <v>1746</v>
      </c>
      <c r="F224" s="602"/>
      <c r="G224" s="503" t="s">
        <v>41</v>
      </c>
      <c r="H224" s="504">
        <v>12.12</v>
      </c>
      <c r="I224" s="504"/>
      <c r="J224" s="505">
        <v>16.28</v>
      </c>
      <c r="K224" s="505">
        <v>197.31</v>
      </c>
      <c r="L224" s="70"/>
    </row>
    <row r="225" spans="1:12" ht="25.5" x14ac:dyDescent="0.25">
      <c r="A225" s="501" t="s">
        <v>1732</v>
      </c>
      <c r="B225" s="502" t="s">
        <v>1904</v>
      </c>
      <c r="C225" s="501" t="s">
        <v>993</v>
      </c>
      <c r="D225" s="501" t="s">
        <v>1664</v>
      </c>
      <c r="E225" s="602" t="s">
        <v>1746</v>
      </c>
      <c r="F225" s="602"/>
      <c r="G225" s="503" t="s">
        <v>41</v>
      </c>
      <c r="H225" s="504">
        <v>21.21</v>
      </c>
      <c r="I225" s="504"/>
      <c r="J225" s="505">
        <v>3.81</v>
      </c>
      <c r="K225" s="505">
        <v>80.81</v>
      </c>
      <c r="L225" s="70"/>
    </row>
    <row r="226" spans="1:12" ht="25.5" x14ac:dyDescent="0.25">
      <c r="A226" s="501" t="s">
        <v>1732</v>
      </c>
      <c r="B226" s="502" t="s">
        <v>1966</v>
      </c>
      <c r="C226" s="501" t="s">
        <v>993</v>
      </c>
      <c r="D226" s="501" t="s">
        <v>1967</v>
      </c>
      <c r="E226" s="602" t="s">
        <v>1746</v>
      </c>
      <c r="F226" s="602"/>
      <c r="G226" s="503" t="s">
        <v>41</v>
      </c>
      <c r="H226" s="504">
        <v>31.1417</v>
      </c>
      <c r="I226" s="504"/>
      <c r="J226" s="505">
        <v>8.64</v>
      </c>
      <c r="K226" s="505">
        <v>269.06</v>
      </c>
      <c r="L226" s="70"/>
    </row>
    <row r="227" spans="1:12" ht="25.5" x14ac:dyDescent="0.25">
      <c r="A227" s="501" t="s">
        <v>1732</v>
      </c>
      <c r="B227" s="502" t="s">
        <v>1950</v>
      </c>
      <c r="C227" s="501" t="s">
        <v>993</v>
      </c>
      <c r="D227" s="501" t="s">
        <v>1951</v>
      </c>
      <c r="E227" s="602" t="s">
        <v>1746</v>
      </c>
      <c r="F227" s="602"/>
      <c r="G227" s="503" t="s">
        <v>41</v>
      </c>
      <c r="H227" s="504">
        <v>7.4</v>
      </c>
      <c r="I227" s="504"/>
      <c r="J227" s="505">
        <v>6.74</v>
      </c>
      <c r="K227" s="505">
        <v>49.87</v>
      </c>
      <c r="L227" s="70"/>
    </row>
    <row r="228" spans="1:12" ht="25.5" x14ac:dyDescent="0.25">
      <c r="A228" s="501" t="s">
        <v>1732</v>
      </c>
      <c r="B228" s="502" t="s">
        <v>2004</v>
      </c>
      <c r="C228" s="501" t="s">
        <v>993</v>
      </c>
      <c r="D228" s="501" t="s">
        <v>2005</v>
      </c>
      <c r="E228" s="602" t="s">
        <v>1746</v>
      </c>
      <c r="F228" s="602"/>
      <c r="G228" s="503" t="s">
        <v>1751</v>
      </c>
      <c r="H228" s="504">
        <v>0.14000000000000001</v>
      </c>
      <c r="I228" s="504"/>
      <c r="J228" s="505">
        <v>8.85</v>
      </c>
      <c r="K228" s="505">
        <v>1.23</v>
      </c>
      <c r="L228" s="70"/>
    </row>
    <row r="229" spans="1:12" ht="25.5" x14ac:dyDescent="0.25">
      <c r="A229" s="501" t="s">
        <v>1732</v>
      </c>
      <c r="B229" s="502" t="s">
        <v>2006</v>
      </c>
      <c r="C229" s="501" t="s">
        <v>993</v>
      </c>
      <c r="D229" s="501" t="s">
        <v>2007</v>
      </c>
      <c r="E229" s="602" t="s">
        <v>1746</v>
      </c>
      <c r="F229" s="602"/>
      <c r="G229" s="503" t="s">
        <v>1222</v>
      </c>
      <c r="H229" s="504">
        <v>1.62</v>
      </c>
      <c r="I229" s="504"/>
      <c r="J229" s="505">
        <v>7.5</v>
      </c>
      <c r="K229" s="505">
        <v>12.15</v>
      </c>
      <c r="L229" s="70"/>
    </row>
    <row r="230" spans="1:12" ht="25.5" x14ac:dyDescent="0.25">
      <c r="A230" s="501" t="s">
        <v>1732</v>
      </c>
      <c r="B230" s="502" t="s">
        <v>2008</v>
      </c>
      <c r="C230" s="501" t="s">
        <v>993</v>
      </c>
      <c r="D230" s="501" t="s">
        <v>2009</v>
      </c>
      <c r="E230" s="602" t="s">
        <v>1746</v>
      </c>
      <c r="F230" s="602"/>
      <c r="G230" s="503" t="s">
        <v>49</v>
      </c>
      <c r="H230" s="504">
        <v>0.33329999999999999</v>
      </c>
      <c r="I230" s="504"/>
      <c r="J230" s="505">
        <v>55.92</v>
      </c>
      <c r="K230" s="505">
        <v>18.63</v>
      </c>
      <c r="L230" s="70"/>
    </row>
    <row r="231" spans="1:12" ht="25.5" x14ac:dyDescent="0.25">
      <c r="A231" s="501" t="s">
        <v>1732</v>
      </c>
      <c r="B231" s="502" t="s">
        <v>1942</v>
      </c>
      <c r="C231" s="501" t="s">
        <v>993</v>
      </c>
      <c r="D231" s="501" t="s">
        <v>1943</v>
      </c>
      <c r="E231" s="602" t="s">
        <v>1746</v>
      </c>
      <c r="F231" s="602"/>
      <c r="G231" s="503" t="s">
        <v>1751</v>
      </c>
      <c r="H231" s="504">
        <v>0.02</v>
      </c>
      <c r="I231" s="504"/>
      <c r="J231" s="505">
        <v>17.53</v>
      </c>
      <c r="K231" s="505">
        <v>0.35</v>
      </c>
      <c r="L231" s="70"/>
    </row>
    <row r="232" spans="1:12" ht="25.5" x14ac:dyDescent="0.25">
      <c r="A232" s="501" t="s">
        <v>1732</v>
      </c>
      <c r="B232" s="502" t="s">
        <v>2010</v>
      </c>
      <c r="C232" s="501" t="s">
        <v>993</v>
      </c>
      <c r="D232" s="501" t="s">
        <v>2011</v>
      </c>
      <c r="E232" s="602" t="s">
        <v>1746</v>
      </c>
      <c r="F232" s="602"/>
      <c r="G232" s="503" t="s">
        <v>49</v>
      </c>
      <c r="H232" s="504">
        <v>0.33329999999999999</v>
      </c>
      <c r="I232" s="504"/>
      <c r="J232" s="505">
        <v>57.16</v>
      </c>
      <c r="K232" s="505">
        <v>19.05</v>
      </c>
      <c r="L232" s="70"/>
    </row>
    <row r="233" spans="1:12" ht="25.5" x14ac:dyDescent="0.25">
      <c r="A233" s="501" t="s">
        <v>1732</v>
      </c>
      <c r="B233" s="502" t="s">
        <v>1796</v>
      </c>
      <c r="C233" s="501" t="s">
        <v>993</v>
      </c>
      <c r="D233" s="501" t="s">
        <v>1797</v>
      </c>
      <c r="E233" s="602" t="s">
        <v>1746</v>
      </c>
      <c r="F233" s="602"/>
      <c r="G233" s="503" t="s">
        <v>1222</v>
      </c>
      <c r="H233" s="504">
        <v>0.2</v>
      </c>
      <c r="I233" s="504"/>
      <c r="J233" s="505">
        <v>21.99</v>
      </c>
      <c r="K233" s="505">
        <v>4.3899999999999997</v>
      </c>
      <c r="L233" s="70"/>
    </row>
    <row r="234" spans="1:12" ht="25.5" x14ac:dyDescent="0.25">
      <c r="A234" s="501" t="s">
        <v>1732</v>
      </c>
      <c r="B234" s="502" t="s">
        <v>2012</v>
      </c>
      <c r="C234" s="501" t="s">
        <v>993</v>
      </c>
      <c r="D234" s="501" t="s">
        <v>2013</v>
      </c>
      <c r="E234" s="602" t="s">
        <v>1746</v>
      </c>
      <c r="F234" s="602"/>
      <c r="G234" s="503" t="s">
        <v>49</v>
      </c>
      <c r="H234" s="504">
        <v>0.11</v>
      </c>
      <c r="I234" s="504"/>
      <c r="J234" s="505">
        <v>3.04</v>
      </c>
      <c r="K234" s="505">
        <v>0.33</v>
      </c>
      <c r="L234" s="70"/>
    </row>
    <row r="235" spans="1:12" ht="25.5" x14ac:dyDescent="0.25">
      <c r="A235" s="501" t="s">
        <v>1732</v>
      </c>
      <c r="B235" s="502" t="s">
        <v>1986</v>
      </c>
      <c r="C235" s="501" t="s">
        <v>993</v>
      </c>
      <c r="D235" s="501" t="s">
        <v>1987</v>
      </c>
      <c r="E235" s="602" t="s">
        <v>1746</v>
      </c>
      <c r="F235" s="602"/>
      <c r="G235" s="503" t="s">
        <v>49</v>
      </c>
      <c r="H235" s="504">
        <v>0.12</v>
      </c>
      <c r="I235" s="504"/>
      <c r="J235" s="505">
        <v>1.1599999999999999</v>
      </c>
      <c r="K235" s="505">
        <v>0.13</v>
      </c>
      <c r="L235" s="70"/>
    </row>
    <row r="236" spans="1:12" ht="25.5" x14ac:dyDescent="0.25">
      <c r="A236" s="501" t="s">
        <v>1732</v>
      </c>
      <c r="B236" s="502" t="s">
        <v>2014</v>
      </c>
      <c r="C236" s="501" t="s">
        <v>993</v>
      </c>
      <c r="D236" s="501" t="s">
        <v>2015</v>
      </c>
      <c r="E236" s="602" t="s">
        <v>1746</v>
      </c>
      <c r="F236" s="602"/>
      <c r="G236" s="503" t="s">
        <v>49</v>
      </c>
      <c r="H236" s="504">
        <v>0.33329999999999999</v>
      </c>
      <c r="I236" s="504"/>
      <c r="J236" s="505">
        <v>4.82</v>
      </c>
      <c r="K236" s="505">
        <v>1.6</v>
      </c>
      <c r="L236" s="70"/>
    </row>
    <row r="237" spans="1:12" ht="25.5" x14ac:dyDescent="0.25">
      <c r="A237" s="501" t="s">
        <v>1732</v>
      </c>
      <c r="B237" s="502" t="s">
        <v>2016</v>
      </c>
      <c r="C237" s="501" t="s">
        <v>993</v>
      </c>
      <c r="D237" s="501" t="s">
        <v>2017</v>
      </c>
      <c r="E237" s="602" t="s">
        <v>1746</v>
      </c>
      <c r="F237" s="602"/>
      <c r="G237" s="503" t="s">
        <v>49</v>
      </c>
      <c r="H237" s="504">
        <v>0.66669999999999996</v>
      </c>
      <c r="I237" s="504"/>
      <c r="J237" s="505">
        <v>6.41</v>
      </c>
      <c r="K237" s="505">
        <v>4.2699999999999996</v>
      </c>
      <c r="L237" s="70"/>
    </row>
    <row r="238" spans="1:12" ht="25.5" x14ac:dyDescent="0.25">
      <c r="A238" s="501" t="s">
        <v>1732</v>
      </c>
      <c r="B238" s="502" t="s">
        <v>1810</v>
      </c>
      <c r="C238" s="501" t="s">
        <v>993</v>
      </c>
      <c r="D238" s="501" t="s">
        <v>1661</v>
      </c>
      <c r="E238" s="602" t="s">
        <v>1746</v>
      </c>
      <c r="F238" s="602"/>
      <c r="G238" s="503" t="s">
        <v>49</v>
      </c>
      <c r="H238" s="504">
        <v>0.66669999999999996</v>
      </c>
      <c r="I238" s="504"/>
      <c r="J238" s="505">
        <v>0.99</v>
      </c>
      <c r="K238" s="505">
        <v>0.66</v>
      </c>
      <c r="L238" s="70"/>
    </row>
    <row r="239" spans="1:12" ht="25.5" x14ac:dyDescent="0.25">
      <c r="A239" s="501" t="s">
        <v>1732</v>
      </c>
      <c r="B239" s="502" t="s">
        <v>2018</v>
      </c>
      <c r="C239" s="501" t="s">
        <v>993</v>
      </c>
      <c r="D239" s="501" t="s">
        <v>2019</v>
      </c>
      <c r="E239" s="602" t="s">
        <v>1746</v>
      </c>
      <c r="F239" s="602"/>
      <c r="G239" s="503" t="s">
        <v>49</v>
      </c>
      <c r="H239" s="504">
        <v>1</v>
      </c>
      <c r="I239" s="504"/>
      <c r="J239" s="505">
        <v>114.37</v>
      </c>
      <c r="K239" s="505">
        <v>114.37</v>
      </c>
      <c r="L239" s="70"/>
    </row>
    <row r="240" spans="1:12" ht="25.5" x14ac:dyDescent="0.25">
      <c r="A240" s="501" t="s">
        <v>1732</v>
      </c>
      <c r="B240" s="502" t="s">
        <v>2020</v>
      </c>
      <c r="C240" s="501" t="s">
        <v>993</v>
      </c>
      <c r="D240" s="501" t="s">
        <v>2021</v>
      </c>
      <c r="E240" s="602" t="s">
        <v>1746</v>
      </c>
      <c r="F240" s="602"/>
      <c r="G240" s="503" t="s">
        <v>41</v>
      </c>
      <c r="H240" s="504">
        <v>10.0411</v>
      </c>
      <c r="I240" s="504"/>
      <c r="J240" s="505">
        <v>0.4</v>
      </c>
      <c r="K240" s="505">
        <v>4.01</v>
      </c>
      <c r="L240" s="70"/>
    </row>
    <row r="241" spans="1:12" ht="25.5" x14ac:dyDescent="0.25">
      <c r="A241" s="501" t="s">
        <v>1732</v>
      </c>
      <c r="B241" s="502" t="s">
        <v>2022</v>
      </c>
      <c r="C241" s="501" t="s">
        <v>993</v>
      </c>
      <c r="D241" s="501" t="s">
        <v>2023</v>
      </c>
      <c r="E241" s="602" t="s">
        <v>1746</v>
      </c>
      <c r="F241" s="602"/>
      <c r="G241" s="503" t="s">
        <v>1222</v>
      </c>
      <c r="H241" s="504">
        <v>18.777999999999999</v>
      </c>
      <c r="I241" s="504"/>
      <c r="J241" s="505">
        <v>0.99</v>
      </c>
      <c r="K241" s="505">
        <v>18.59</v>
      </c>
      <c r="L241" s="70"/>
    </row>
    <row r="242" spans="1:12" ht="25.5" x14ac:dyDescent="0.25">
      <c r="A242" s="501" t="s">
        <v>1732</v>
      </c>
      <c r="B242" s="502" t="s">
        <v>1854</v>
      </c>
      <c r="C242" s="501" t="s">
        <v>993</v>
      </c>
      <c r="D242" s="501" t="s">
        <v>1855</v>
      </c>
      <c r="E242" s="602" t="s">
        <v>1746</v>
      </c>
      <c r="F242" s="602"/>
      <c r="G242" s="503" t="s">
        <v>1222</v>
      </c>
      <c r="H242" s="504">
        <v>98.847999999999999</v>
      </c>
      <c r="I242" s="504"/>
      <c r="J242" s="505">
        <v>0.65</v>
      </c>
      <c r="K242" s="505">
        <v>64.25</v>
      </c>
      <c r="L242" s="70"/>
    </row>
    <row r="243" spans="1:12" ht="25.5" x14ac:dyDescent="0.25">
      <c r="A243" s="501" t="s">
        <v>1732</v>
      </c>
      <c r="B243" s="502" t="s">
        <v>1872</v>
      </c>
      <c r="C243" s="501" t="s">
        <v>993</v>
      </c>
      <c r="D243" s="501" t="s">
        <v>1873</v>
      </c>
      <c r="E243" s="602" t="s">
        <v>1746</v>
      </c>
      <c r="F243" s="602"/>
      <c r="G243" s="503" t="s">
        <v>45</v>
      </c>
      <c r="H243" s="504">
        <v>0.184</v>
      </c>
      <c r="I243" s="504"/>
      <c r="J243" s="505">
        <v>149.94999999999999</v>
      </c>
      <c r="K243" s="505">
        <v>27.59</v>
      </c>
      <c r="L243" s="70"/>
    </row>
    <row r="244" spans="1:12" ht="25.5" x14ac:dyDescent="0.25">
      <c r="A244" s="501" t="s">
        <v>1732</v>
      </c>
      <c r="B244" s="502" t="s">
        <v>1862</v>
      </c>
      <c r="C244" s="501" t="s">
        <v>993</v>
      </c>
      <c r="D244" s="501" t="s">
        <v>1863</v>
      </c>
      <c r="E244" s="602" t="s">
        <v>1746</v>
      </c>
      <c r="F244" s="602"/>
      <c r="G244" s="503" t="s">
        <v>41</v>
      </c>
      <c r="H244" s="504">
        <v>4</v>
      </c>
      <c r="I244" s="504"/>
      <c r="J244" s="505">
        <v>15.59</v>
      </c>
      <c r="K244" s="505">
        <v>62.36</v>
      </c>
      <c r="L244" s="70"/>
    </row>
    <row r="245" spans="1:12" ht="25.5" x14ac:dyDescent="0.25">
      <c r="A245" s="501" t="s">
        <v>1732</v>
      </c>
      <c r="B245" s="502" t="s">
        <v>2024</v>
      </c>
      <c r="C245" s="501" t="s">
        <v>993</v>
      </c>
      <c r="D245" s="501" t="s">
        <v>2025</v>
      </c>
      <c r="E245" s="602" t="s">
        <v>1746</v>
      </c>
      <c r="F245" s="602"/>
      <c r="G245" s="503" t="s">
        <v>1222</v>
      </c>
      <c r="H245" s="504">
        <v>6.72</v>
      </c>
      <c r="I245" s="504"/>
      <c r="J245" s="505">
        <v>6.92</v>
      </c>
      <c r="K245" s="505">
        <v>46.5</v>
      </c>
      <c r="L245" s="70"/>
    </row>
    <row r="246" spans="1:12" ht="25.5" x14ac:dyDescent="0.25">
      <c r="A246" s="501" t="s">
        <v>1732</v>
      </c>
      <c r="B246" s="502" t="s">
        <v>1886</v>
      </c>
      <c r="C246" s="501" t="s">
        <v>993</v>
      </c>
      <c r="D246" s="501" t="s">
        <v>1887</v>
      </c>
      <c r="E246" s="602" t="s">
        <v>1746</v>
      </c>
      <c r="F246" s="602"/>
      <c r="G246" s="503" t="s">
        <v>49</v>
      </c>
      <c r="H246" s="504">
        <v>0.66669999999999996</v>
      </c>
      <c r="I246" s="504"/>
      <c r="J246" s="505">
        <v>2.25</v>
      </c>
      <c r="K246" s="505">
        <v>1.5</v>
      </c>
      <c r="L246" s="70"/>
    </row>
    <row r="247" spans="1:12" ht="25.5" x14ac:dyDescent="0.25">
      <c r="A247" s="501" t="s">
        <v>1732</v>
      </c>
      <c r="B247" s="502" t="s">
        <v>2026</v>
      </c>
      <c r="C247" s="501" t="s">
        <v>993</v>
      </c>
      <c r="D247" s="501" t="s">
        <v>2027</v>
      </c>
      <c r="E247" s="602" t="s">
        <v>1746</v>
      </c>
      <c r="F247" s="602"/>
      <c r="G247" s="503" t="s">
        <v>49</v>
      </c>
      <c r="H247" s="504">
        <v>0.33329999999999999</v>
      </c>
      <c r="I247" s="504"/>
      <c r="J247" s="505">
        <v>58.3</v>
      </c>
      <c r="K247" s="505">
        <v>19.43</v>
      </c>
      <c r="L247" s="70"/>
    </row>
    <row r="248" spans="1:12" ht="25.5" x14ac:dyDescent="0.25">
      <c r="A248" s="501" t="s">
        <v>1732</v>
      </c>
      <c r="B248" s="502" t="s">
        <v>2028</v>
      </c>
      <c r="C248" s="501" t="s">
        <v>993</v>
      </c>
      <c r="D248" s="501" t="s">
        <v>2029</v>
      </c>
      <c r="E248" s="602" t="s">
        <v>1746</v>
      </c>
      <c r="F248" s="602"/>
      <c r="G248" s="503" t="s">
        <v>1222</v>
      </c>
      <c r="H248" s="504">
        <v>7.9000000000000001E-2</v>
      </c>
      <c r="I248" s="504"/>
      <c r="J248" s="505">
        <v>15.94</v>
      </c>
      <c r="K248" s="505">
        <v>1.25</v>
      </c>
      <c r="L248" s="70"/>
    </row>
    <row r="249" spans="1:12" ht="25.5" x14ac:dyDescent="0.25">
      <c r="A249" s="501" t="s">
        <v>1732</v>
      </c>
      <c r="B249" s="502" t="s">
        <v>2030</v>
      </c>
      <c r="C249" s="501" t="s">
        <v>993</v>
      </c>
      <c r="D249" s="501" t="s">
        <v>2031</v>
      </c>
      <c r="E249" s="602" t="s">
        <v>1746</v>
      </c>
      <c r="F249" s="602"/>
      <c r="G249" s="503" t="s">
        <v>1222</v>
      </c>
      <c r="H249" s="504">
        <v>0.18</v>
      </c>
      <c r="I249" s="504"/>
      <c r="J249" s="505">
        <v>14.28</v>
      </c>
      <c r="K249" s="505">
        <v>2.57</v>
      </c>
      <c r="L249" s="70"/>
    </row>
    <row r="250" spans="1:12" ht="25.5" x14ac:dyDescent="0.25">
      <c r="A250" s="501" t="s">
        <v>1732</v>
      </c>
      <c r="B250" s="502" t="s">
        <v>2032</v>
      </c>
      <c r="C250" s="501" t="s">
        <v>993</v>
      </c>
      <c r="D250" s="501" t="s">
        <v>2033</v>
      </c>
      <c r="E250" s="602" t="s">
        <v>1746</v>
      </c>
      <c r="F250" s="602"/>
      <c r="G250" s="503" t="s">
        <v>45</v>
      </c>
      <c r="H250" s="504">
        <v>0.01</v>
      </c>
      <c r="I250" s="504"/>
      <c r="J250" s="505">
        <v>198.88</v>
      </c>
      <c r="K250" s="505">
        <v>1.98</v>
      </c>
      <c r="L250" s="70"/>
    </row>
    <row r="251" spans="1:12" ht="25.5" x14ac:dyDescent="0.25">
      <c r="A251" s="501" t="s">
        <v>1732</v>
      </c>
      <c r="B251" s="502" t="s">
        <v>1974</v>
      </c>
      <c r="C251" s="501" t="s">
        <v>993</v>
      </c>
      <c r="D251" s="501" t="s">
        <v>1975</v>
      </c>
      <c r="E251" s="602" t="s">
        <v>1746</v>
      </c>
      <c r="F251" s="602"/>
      <c r="G251" s="503" t="s">
        <v>45</v>
      </c>
      <c r="H251" s="504">
        <v>0.372</v>
      </c>
      <c r="I251" s="504"/>
      <c r="J251" s="505">
        <v>172.18</v>
      </c>
      <c r="K251" s="505">
        <v>64.05</v>
      </c>
      <c r="L251" s="70"/>
    </row>
    <row r="252" spans="1:12" ht="15.75" customHeight="1" x14ac:dyDescent="0.25">
      <c r="A252" s="445"/>
      <c r="B252" s="445"/>
      <c r="C252" s="445"/>
      <c r="D252" s="445"/>
      <c r="E252" s="445" t="s">
        <v>1735</v>
      </c>
      <c r="F252" s="506">
        <v>1992.41</v>
      </c>
      <c r="G252" s="445" t="s">
        <v>1736</v>
      </c>
      <c r="H252" s="506">
        <v>0</v>
      </c>
      <c r="I252" s="445" t="s">
        <v>1737</v>
      </c>
      <c r="J252" s="506">
        <v>1992.41</v>
      </c>
      <c r="K252" s="70"/>
      <c r="L252" s="70"/>
    </row>
    <row r="253" spans="1:12" ht="17.25" thickBot="1" x14ac:dyDescent="0.3">
      <c r="A253" s="445"/>
      <c r="B253" s="445"/>
      <c r="C253" s="445"/>
      <c r="D253" s="445"/>
      <c r="E253" s="445" t="s">
        <v>1738</v>
      </c>
      <c r="F253" s="506">
        <v>823.50822400000004</v>
      </c>
      <c r="G253" s="445"/>
      <c r="H253" s="606" t="s">
        <v>1739</v>
      </c>
      <c r="I253" s="606"/>
      <c r="J253" s="506">
        <v>4165.66</v>
      </c>
      <c r="K253" s="70"/>
      <c r="L253" s="70"/>
    </row>
    <row r="254" spans="1:12" ht="17.25" thickTop="1" x14ac:dyDescent="0.25">
      <c r="A254" s="507"/>
      <c r="B254" s="507"/>
      <c r="C254" s="507"/>
      <c r="D254" s="507"/>
      <c r="E254" s="507"/>
      <c r="F254" s="507"/>
      <c r="G254" s="507"/>
      <c r="H254" s="507"/>
      <c r="I254" s="507"/>
      <c r="J254" s="507"/>
      <c r="K254" s="507"/>
      <c r="L254" s="70"/>
    </row>
    <row r="255" spans="1:12" ht="16.5" x14ac:dyDescent="0.25">
      <c r="A255" s="419" t="s">
        <v>1142</v>
      </c>
      <c r="B255" s="421" t="s">
        <v>76</v>
      </c>
      <c r="C255" s="419" t="s">
        <v>991</v>
      </c>
      <c r="D255" s="419" t="s">
        <v>191</v>
      </c>
      <c r="E255" s="603" t="s">
        <v>77</v>
      </c>
      <c r="F255" s="603"/>
      <c r="G255" s="420" t="s">
        <v>103</v>
      </c>
      <c r="H255" s="421" t="s">
        <v>147</v>
      </c>
      <c r="I255" s="421" t="s">
        <v>1731</v>
      </c>
      <c r="J255" s="421" t="s">
        <v>1117</v>
      </c>
      <c r="K255" s="421" t="s">
        <v>104</v>
      </c>
      <c r="L255" s="70"/>
    </row>
    <row r="256" spans="1:12" ht="25.5" x14ac:dyDescent="0.25">
      <c r="A256" s="441" t="s">
        <v>79</v>
      </c>
      <c r="B256" s="480" t="s">
        <v>1143</v>
      </c>
      <c r="C256" s="441" t="s">
        <v>993</v>
      </c>
      <c r="D256" s="441" t="s">
        <v>763</v>
      </c>
      <c r="E256" s="604">
        <v>205</v>
      </c>
      <c r="F256" s="604"/>
      <c r="G256" s="443" t="s">
        <v>1141</v>
      </c>
      <c r="H256" s="500">
        <v>1</v>
      </c>
      <c r="I256" s="442"/>
      <c r="J256" s="442">
        <v>4829.8100000000004</v>
      </c>
      <c r="K256" s="442">
        <v>4829.8100000000004</v>
      </c>
      <c r="L256" s="70"/>
    </row>
    <row r="257" spans="1:12" ht="25.5" x14ac:dyDescent="0.25">
      <c r="A257" s="501" t="s">
        <v>1732</v>
      </c>
      <c r="B257" s="502" t="s">
        <v>1023</v>
      </c>
      <c r="C257" s="501" t="s">
        <v>993</v>
      </c>
      <c r="D257" s="501" t="s">
        <v>1024</v>
      </c>
      <c r="E257" s="602" t="s">
        <v>972</v>
      </c>
      <c r="F257" s="602"/>
      <c r="G257" s="503" t="s">
        <v>81</v>
      </c>
      <c r="H257" s="504">
        <v>0.58720000000000006</v>
      </c>
      <c r="I257" s="504"/>
      <c r="J257" s="505">
        <v>17.559999999999999</v>
      </c>
      <c r="K257" s="505">
        <v>10.31</v>
      </c>
      <c r="L257" s="70"/>
    </row>
    <row r="258" spans="1:12" ht="25.5" x14ac:dyDescent="0.25">
      <c r="A258" s="501" t="s">
        <v>1732</v>
      </c>
      <c r="B258" s="502" t="s">
        <v>1021</v>
      </c>
      <c r="C258" s="501" t="s">
        <v>993</v>
      </c>
      <c r="D258" s="501" t="s">
        <v>1022</v>
      </c>
      <c r="E258" s="602" t="s">
        <v>972</v>
      </c>
      <c r="F258" s="602"/>
      <c r="G258" s="503" t="s">
        <v>81</v>
      </c>
      <c r="H258" s="504">
        <v>16.66</v>
      </c>
      <c r="I258" s="504"/>
      <c r="J258" s="505">
        <v>23.41</v>
      </c>
      <c r="K258" s="505">
        <v>390.01</v>
      </c>
      <c r="L258" s="70"/>
    </row>
    <row r="259" spans="1:12" ht="25.5" x14ac:dyDescent="0.25">
      <c r="A259" s="501" t="s">
        <v>1732</v>
      </c>
      <c r="B259" s="502" t="s">
        <v>999</v>
      </c>
      <c r="C259" s="501" t="s">
        <v>993</v>
      </c>
      <c r="D259" s="501" t="s">
        <v>1000</v>
      </c>
      <c r="E259" s="602" t="s">
        <v>972</v>
      </c>
      <c r="F259" s="602"/>
      <c r="G259" s="503" t="s">
        <v>81</v>
      </c>
      <c r="H259" s="504">
        <v>16.66</v>
      </c>
      <c r="I259" s="504"/>
      <c r="J259" s="505">
        <v>16.04</v>
      </c>
      <c r="K259" s="505">
        <v>267.22000000000003</v>
      </c>
      <c r="L259" s="70"/>
    </row>
    <row r="260" spans="1:12" ht="25.5" x14ac:dyDescent="0.25">
      <c r="A260" s="501" t="s">
        <v>1732</v>
      </c>
      <c r="B260" s="502" t="s">
        <v>992</v>
      </c>
      <c r="C260" s="501" t="s">
        <v>993</v>
      </c>
      <c r="D260" s="501" t="s">
        <v>994</v>
      </c>
      <c r="E260" s="602" t="s">
        <v>972</v>
      </c>
      <c r="F260" s="602"/>
      <c r="G260" s="503" t="s">
        <v>81</v>
      </c>
      <c r="H260" s="504">
        <v>5.5907</v>
      </c>
      <c r="I260" s="504"/>
      <c r="J260" s="505">
        <v>14.62</v>
      </c>
      <c r="K260" s="505">
        <v>81.73</v>
      </c>
      <c r="L260" s="70"/>
    </row>
    <row r="261" spans="1:12" ht="25.5" x14ac:dyDescent="0.25">
      <c r="A261" s="501" t="s">
        <v>1732</v>
      </c>
      <c r="B261" s="502" t="s">
        <v>2034</v>
      </c>
      <c r="C261" s="501" t="s">
        <v>993</v>
      </c>
      <c r="D261" s="501" t="s">
        <v>2035</v>
      </c>
      <c r="E261" s="602" t="s">
        <v>1746</v>
      </c>
      <c r="F261" s="602"/>
      <c r="G261" s="503" t="s">
        <v>49</v>
      </c>
      <c r="H261" s="504">
        <v>6.25</v>
      </c>
      <c r="I261" s="504"/>
      <c r="J261" s="505">
        <v>13.01</v>
      </c>
      <c r="K261" s="505">
        <v>81.31</v>
      </c>
      <c r="L261" s="70"/>
    </row>
    <row r="262" spans="1:12" ht="25.5" x14ac:dyDescent="0.25">
      <c r="A262" s="501" t="s">
        <v>1732</v>
      </c>
      <c r="B262" s="502" t="s">
        <v>2036</v>
      </c>
      <c r="C262" s="501" t="s">
        <v>993</v>
      </c>
      <c r="D262" s="501" t="s">
        <v>2037</v>
      </c>
      <c r="E262" s="602" t="s">
        <v>1746</v>
      </c>
      <c r="F262" s="602"/>
      <c r="G262" s="503" t="s">
        <v>41</v>
      </c>
      <c r="H262" s="504">
        <v>26</v>
      </c>
      <c r="I262" s="504"/>
      <c r="J262" s="505">
        <v>27.59</v>
      </c>
      <c r="K262" s="505">
        <v>717.34</v>
      </c>
      <c r="L262" s="70"/>
    </row>
    <row r="263" spans="1:12" ht="25.5" x14ac:dyDescent="0.25">
      <c r="A263" s="501" t="s">
        <v>1732</v>
      </c>
      <c r="B263" s="502" t="s">
        <v>2038</v>
      </c>
      <c r="C263" s="501" t="s">
        <v>993</v>
      </c>
      <c r="D263" s="501" t="s">
        <v>2039</v>
      </c>
      <c r="E263" s="602" t="s">
        <v>1746</v>
      </c>
      <c r="F263" s="602"/>
      <c r="G263" s="503" t="s">
        <v>49</v>
      </c>
      <c r="H263" s="504">
        <v>6.25</v>
      </c>
      <c r="I263" s="504"/>
      <c r="J263" s="505">
        <v>13.37</v>
      </c>
      <c r="K263" s="505">
        <v>83.56</v>
      </c>
      <c r="L263" s="70"/>
    </row>
    <row r="264" spans="1:12" ht="25.5" x14ac:dyDescent="0.25">
      <c r="A264" s="501" t="s">
        <v>1732</v>
      </c>
      <c r="B264" s="502" t="s">
        <v>2040</v>
      </c>
      <c r="C264" s="501" t="s">
        <v>993</v>
      </c>
      <c r="D264" s="501" t="s">
        <v>2041</v>
      </c>
      <c r="E264" s="602" t="s">
        <v>1746</v>
      </c>
      <c r="F264" s="602"/>
      <c r="G264" s="503" t="s">
        <v>49</v>
      </c>
      <c r="H264" s="504">
        <v>1</v>
      </c>
      <c r="I264" s="504"/>
      <c r="J264" s="505">
        <v>17.77</v>
      </c>
      <c r="K264" s="505">
        <v>17.77</v>
      </c>
      <c r="L264" s="70"/>
    </row>
    <row r="265" spans="1:12" ht="25.5" x14ac:dyDescent="0.25">
      <c r="A265" s="501" t="s">
        <v>1732</v>
      </c>
      <c r="B265" s="502" t="s">
        <v>1919</v>
      </c>
      <c r="C265" s="501" t="s">
        <v>993</v>
      </c>
      <c r="D265" s="501" t="s">
        <v>1920</v>
      </c>
      <c r="E265" s="602" t="s">
        <v>1746</v>
      </c>
      <c r="F265" s="602"/>
      <c r="G265" s="503" t="s">
        <v>49</v>
      </c>
      <c r="H265" s="504">
        <v>0.5</v>
      </c>
      <c r="I265" s="504"/>
      <c r="J265" s="505">
        <v>13.73</v>
      </c>
      <c r="K265" s="505">
        <v>6.86</v>
      </c>
      <c r="L265" s="70"/>
    </row>
    <row r="266" spans="1:12" ht="25.5" x14ac:dyDescent="0.25">
      <c r="A266" s="501" t="s">
        <v>1732</v>
      </c>
      <c r="B266" s="502" t="s">
        <v>2042</v>
      </c>
      <c r="C266" s="501" t="s">
        <v>993</v>
      </c>
      <c r="D266" s="501" t="s">
        <v>2043</v>
      </c>
      <c r="E266" s="602" t="s">
        <v>1746</v>
      </c>
      <c r="F266" s="602"/>
      <c r="G266" s="503" t="s">
        <v>49</v>
      </c>
      <c r="H266" s="504">
        <v>16</v>
      </c>
      <c r="I266" s="504"/>
      <c r="J266" s="505">
        <v>5.04</v>
      </c>
      <c r="K266" s="505">
        <v>80.64</v>
      </c>
      <c r="L266" s="70"/>
    </row>
    <row r="267" spans="1:12" ht="25.5" x14ac:dyDescent="0.25">
      <c r="A267" s="501" t="s">
        <v>1732</v>
      </c>
      <c r="B267" s="502" t="s">
        <v>2044</v>
      </c>
      <c r="C267" s="501" t="s">
        <v>993</v>
      </c>
      <c r="D267" s="501" t="s">
        <v>2045</v>
      </c>
      <c r="E267" s="602" t="s">
        <v>1746</v>
      </c>
      <c r="F267" s="602"/>
      <c r="G267" s="503" t="s">
        <v>49</v>
      </c>
      <c r="H267" s="504">
        <v>1</v>
      </c>
      <c r="I267" s="504"/>
      <c r="J267" s="505">
        <v>16.399999999999999</v>
      </c>
      <c r="K267" s="505">
        <v>16.399999999999999</v>
      </c>
      <c r="L267" s="70"/>
    </row>
    <row r="268" spans="1:12" ht="25.5" x14ac:dyDescent="0.25">
      <c r="A268" s="501" t="s">
        <v>1732</v>
      </c>
      <c r="B268" s="502" t="s">
        <v>2046</v>
      </c>
      <c r="C268" s="501" t="s">
        <v>993</v>
      </c>
      <c r="D268" s="501" t="s">
        <v>2047</v>
      </c>
      <c r="E268" s="602" t="s">
        <v>1746</v>
      </c>
      <c r="F268" s="602"/>
      <c r="G268" s="503" t="s">
        <v>49</v>
      </c>
      <c r="H268" s="504">
        <v>1</v>
      </c>
      <c r="I268" s="504"/>
      <c r="J268" s="505">
        <v>111.31</v>
      </c>
      <c r="K268" s="505">
        <v>111.31</v>
      </c>
      <c r="L268" s="70"/>
    </row>
    <row r="269" spans="1:12" ht="25.5" x14ac:dyDescent="0.25">
      <c r="A269" s="501" t="s">
        <v>1732</v>
      </c>
      <c r="B269" s="502" t="s">
        <v>2048</v>
      </c>
      <c r="C269" s="501" t="s">
        <v>993</v>
      </c>
      <c r="D269" s="501" t="s">
        <v>2049</v>
      </c>
      <c r="E269" s="602" t="s">
        <v>1746</v>
      </c>
      <c r="F269" s="602"/>
      <c r="G269" s="503" t="s">
        <v>49</v>
      </c>
      <c r="H269" s="504">
        <v>1</v>
      </c>
      <c r="I269" s="504"/>
      <c r="J269" s="505">
        <v>117.65</v>
      </c>
      <c r="K269" s="505">
        <v>117.65</v>
      </c>
      <c r="L269" s="70"/>
    </row>
    <row r="270" spans="1:12" ht="25.5" x14ac:dyDescent="0.25">
      <c r="A270" s="501" t="s">
        <v>1732</v>
      </c>
      <c r="B270" s="502" t="s">
        <v>2050</v>
      </c>
      <c r="C270" s="501" t="s">
        <v>993</v>
      </c>
      <c r="D270" s="501" t="s">
        <v>2051</v>
      </c>
      <c r="E270" s="602" t="s">
        <v>1746</v>
      </c>
      <c r="F270" s="602"/>
      <c r="G270" s="503" t="s">
        <v>49</v>
      </c>
      <c r="H270" s="504">
        <v>0.25</v>
      </c>
      <c r="I270" s="504"/>
      <c r="J270" s="505">
        <v>83.26</v>
      </c>
      <c r="K270" s="505">
        <v>20.81</v>
      </c>
      <c r="L270" s="70"/>
    </row>
    <row r="271" spans="1:12" ht="25.5" x14ac:dyDescent="0.25">
      <c r="A271" s="501" t="s">
        <v>1732</v>
      </c>
      <c r="B271" s="502" t="s">
        <v>2052</v>
      </c>
      <c r="C271" s="501" t="s">
        <v>993</v>
      </c>
      <c r="D271" s="501" t="s">
        <v>2053</v>
      </c>
      <c r="E271" s="602" t="s">
        <v>1746</v>
      </c>
      <c r="F271" s="602"/>
      <c r="G271" s="503" t="s">
        <v>41</v>
      </c>
      <c r="H271" s="504">
        <v>5.0999999999999996</v>
      </c>
      <c r="I271" s="504"/>
      <c r="J271" s="505">
        <v>14.24</v>
      </c>
      <c r="K271" s="505">
        <v>72.62</v>
      </c>
      <c r="L271" s="70"/>
    </row>
    <row r="272" spans="1:12" ht="25.5" x14ac:dyDescent="0.25">
      <c r="A272" s="501" t="s">
        <v>1732</v>
      </c>
      <c r="B272" s="502" t="s">
        <v>2054</v>
      </c>
      <c r="C272" s="501" t="s">
        <v>993</v>
      </c>
      <c r="D272" s="501" t="s">
        <v>2055</v>
      </c>
      <c r="E272" s="602" t="s">
        <v>1746</v>
      </c>
      <c r="F272" s="602"/>
      <c r="G272" s="503" t="s">
        <v>49</v>
      </c>
      <c r="H272" s="504">
        <v>1.25</v>
      </c>
      <c r="I272" s="504"/>
      <c r="J272" s="505">
        <v>18.34</v>
      </c>
      <c r="K272" s="505">
        <v>22.92</v>
      </c>
      <c r="L272" s="70"/>
    </row>
    <row r="273" spans="1:12" ht="25.5" x14ac:dyDescent="0.25">
      <c r="A273" s="501" t="s">
        <v>1732</v>
      </c>
      <c r="B273" s="502" t="s">
        <v>2056</v>
      </c>
      <c r="C273" s="501" t="s">
        <v>993</v>
      </c>
      <c r="D273" s="501" t="s">
        <v>2057</v>
      </c>
      <c r="E273" s="602" t="s">
        <v>1746</v>
      </c>
      <c r="F273" s="602"/>
      <c r="G273" s="503" t="s">
        <v>49</v>
      </c>
      <c r="H273" s="504">
        <v>1.25</v>
      </c>
      <c r="I273" s="504"/>
      <c r="J273" s="505">
        <v>139.16</v>
      </c>
      <c r="K273" s="505">
        <v>173.95</v>
      </c>
      <c r="L273" s="70"/>
    </row>
    <row r="274" spans="1:12" ht="25.5" x14ac:dyDescent="0.25">
      <c r="A274" s="501" t="s">
        <v>1732</v>
      </c>
      <c r="B274" s="502" t="s">
        <v>1860</v>
      </c>
      <c r="C274" s="501" t="s">
        <v>993</v>
      </c>
      <c r="D274" s="501" t="s">
        <v>1861</v>
      </c>
      <c r="E274" s="602" t="s">
        <v>1746</v>
      </c>
      <c r="F274" s="602"/>
      <c r="G274" s="503" t="s">
        <v>49</v>
      </c>
      <c r="H274" s="504">
        <v>0.5</v>
      </c>
      <c r="I274" s="504"/>
      <c r="J274" s="505">
        <v>2.7</v>
      </c>
      <c r="K274" s="505">
        <v>1.35</v>
      </c>
      <c r="L274" s="70"/>
    </row>
    <row r="275" spans="1:12" ht="25.5" x14ac:dyDescent="0.25">
      <c r="A275" s="501" t="s">
        <v>1732</v>
      </c>
      <c r="B275" s="502" t="s">
        <v>2058</v>
      </c>
      <c r="C275" s="501" t="s">
        <v>993</v>
      </c>
      <c r="D275" s="501" t="s">
        <v>2059</v>
      </c>
      <c r="E275" s="602" t="s">
        <v>1746</v>
      </c>
      <c r="F275" s="602"/>
      <c r="G275" s="503" t="s">
        <v>49</v>
      </c>
      <c r="H275" s="504">
        <v>1</v>
      </c>
      <c r="I275" s="504"/>
      <c r="J275" s="505">
        <v>355.1</v>
      </c>
      <c r="K275" s="505">
        <v>355.1</v>
      </c>
      <c r="L275" s="70"/>
    </row>
    <row r="276" spans="1:12" ht="25.5" x14ac:dyDescent="0.25">
      <c r="A276" s="501" t="s">
        <v>1732</v>
      </c>
      <c r="B276" s="502" t="s">
        <v>1854</v>
      </c>
      <c r="C276" s="501" t="s">
        <v>993</v>
      </c>
      <c r="D276" s="501" t="s">
        <v>1855</v>
      </c>
      <c r="E276" s="602" t="s">
        <v>1746</v>
      </c>
      <c r="F276" s="602"/>
      <c r="G276" s="503" t="s">
        <v>1222</v>
      </c>
      <c r="H276" s="504">
        <v>58.229700000000001</v>
      </c>
      <c r="I276" s="504"/>
      <c r="J276" s="505">
        <v>0.65</v>
      </c>
      <c r="K276" s="505">
        <v>37.840000000000003</v>
      </c>
      <c r="L276" s="70"/>
    </row>
    <row r="277" spans="1:12" ht="25.5" x14ac:dyDescent="0.25">
      <c r="A277" s="501" t="s">
        <v>1732</v>
      </c>
      <c r="B277" s="502" t="s">
        <v>2060</v>
      </c>
      <c r="C277" s="501" t="s">
        <v>993</v>
      </c>
      <c r="D277" s="501" t="s">
        <v>2061</v>
      </c>
      <c r="E277" s="602" t="s">
        <v>1746</v>
      </c>
      <c r="F277" s="602"/>
      <c r="G277" s="503" t="s">
        <v>49</v>
      </c>
      <c r="H277" s="504">
        <v>1</v>
      </c>
      <c r="I277" s="504"/>
      <c r="J277" s="505">
        <v>151.11000000000001</v>
      </c>
      <c r="K277" s="505">
        <v>151.11000000000001</v>
      </c>
      <c r="L277" s="70"/>
    </row>
    <row r="278" spans="1:12" ht="25.5" x14ac:dyDescent="0.25">
      <c r="A278" s="501" t="s">
        <v>1732</v>
      </c>
      <c r="B278" s="502" t="s">
        <v>1839</v>
      </c>
      <c r="C278" s="501" t="s">
        <v>993</v>
      </c>
      <c r="D278" s="501" t="s">
        <v>1427</v>
      </c>
      <c r="E278" s="602" t="s">
        <v>1746</v>
      </c>
      <c r="F278" s="602"/>
      <c r="G278" s="503" t="s">
        <v>49</v>
      </c>
      <c r="H278" s="504">
        <v>0.25</v>
      </c>
      <c r="I278" s="504"/>
      <c r="J278" s="505">
        <v>11.48</v>
      </c>
      <c r="K278" s="505">
        <v>2.87</v>
      </c>
      <c r="L278" s="70"/>
    </row>
    <row r="279" spans="1:12" ht="25.5" x14ac:dyDescent="0.25">
      <c r="A279" s="501" t="s">
        <v>1732</v>
      </c>
      <c r="B279" s="502" t="s">
        <v>2062</v>
      </c>
      <c r="C279" s="501" t="s">
        <v>993</v>
      </c>
      <c r="D279" s="501" t="s">
        <v>2063</v>
      </c>
      <c r="E279" s="602" t="s">
        <v>1746</v>
      </c>
      <c r="F279" s="602"/>
      <c r="G279" s="503" t="s">
        <v>49</v>
      </c>
      <c r="H279" s="504">
        <v>0.75</v>
      </c>
      <c r="I279" s="504"/>
      <c r="J279" s="505">
        <v>70.22</v>
      </c>
      <c r="K279" s="505">
        <v>52.66</v>
      </c>
      <c r="L279" s="70"/>
    </row>
    <row r="280" spans="1:12" ht="25.5" x14ac:dyDescent="0.25">
      <c r="A280" s="501" t="s">
        <v>1732</v>
      </c>
      <c r="B280" s="502" t="s">
        <v>2064</v>
      </c>
      <c r="C280" s="501" t="s">
        <v>993</v>
      </c>
      <c r="D280" s="501" t="s">
        <v>2065</v>
      </c>
      <c r="E280" s="602" t="s">
        <v>1746</v>
      </c>
      <c r="F280" s="602"/>
      <c r="G280" s="503" t="s">
        <v>49</v>
      </c>
      <c r="H280" s="504">
        <v>1.25</v>
      </c>
      <c r="I280" s="504"/>
      <c r="J280" s="505">
        <v>60.44</v>
      </c>
      <c r="K280" s="505">
        <v>75.55</v>
      </c>
      <c r="L280" s="70"/>
    </row>
    <row r="281" spans="1:12" ht="25.5" x14ac:dyDescent="0.25">
      <c r="A281" s="501" t="s">
        <v>1732</v>
      </c>
      <c r="B281" s="502" t="s">
        <v>2066</v>
      </c>
      <c r="C281" s="501" t="s">
        <v>993</v>
      </c>
      <c r="D281" s="501" t="s">
        <v>2067</v>
      </c>
      <c r="E281" s="602" t="s">
        <v>1746</v>
      </c>
      <c r="F281" s="602"/>
      <c r="G281" s="503" t="s">
        <v>49</v>
      </c>
      <c r="H281" s="504">
        <v>0.25</v>
      </c>
      <c r="I281" s="504"/>
      <c r="J281" s="505">
        <v>285.3</v>
      </c>
      <c r="K281" s="505">
        <v>71.319999999999993</v>
      </c>
      <c r="L281" s="70"/>
    </row>
    <row r="282" spans="1:12" ht="25.5" x14ac:dyDescent="0.25">
      <c r="A282" s="501" t="s">
        <v>1732</v>
      </c>
      <c r="B282" s="502" t="s">
        <v>2068</v>
      </c>
      <c r="C282" s="501" t="s">
        <v>993</v>
      </c>
      <c r="D282" s="501" t="s">
        <v>2069</v>
      </c>
      <c r="E282" s="602" t="s">
        <v>1746</v>
      </c>
      <c r="F282" s="602"/>
      <c r="G282" s="503" t="s">
        <v>41</v>
      </c>
      <c r="H282" s="504">
        <v>125.58750000000001</v>
      </c>
      <c r="I282" s="504"/>
      <c r="J282" s="505">
        <v>8.93</v>
      </c>
      <c r="K282" s="505">
        <v>1121.49</v>
      </c>
      <c r="L282" s="70"/>
    </row>
    <row r="283" spans="1:12" ht="25.5" x14ac:dyDescent="0.25">
      <c r="A283" s="501" t="s">
        <v>1732</v>
      </c>
      <c r="B283" s="502" t="s">
        <v>1833</v>
      </c>
      <c r="C283" s="501" t="s">
        <v>993</v>
      </c>
      <c r="D283" s="501" t="s">
        <v>1834</v>
      </c>
      <c r="E283" s="602" t="s">
        <v>1746</v>
      </c>
      <c r="F283" s="602"/>
      <c r="G283" s="503" t="s">
        <v>41</v>
      </c>
      <c r="H283" s="504">
        <v>159.375</v>
      </c>
      <c r="I283" s="504"/>
      <c r="J283" s="505">
        <v>2.21</v>
      </c>
      <c r="K283" s="505">
        <v>352.21</v>
      </c>
      <c r="L283" s="70"/>
    </row>
    <row r="284" spans="1:12" ht="25.5" x14ac:dyDescent="0.25">
      <c r="A284" s="501" t="s">
        <v>1732</v>
      </c>
      <c r="B284" s="502" t="s">
        <v>2070</v>
      </c>
      <c r="C284" s="501" t="s">
        <v>993</v>
      </c>
      <c r="D284" s="501" t="s">
        <v>2071</v>
      </c>
      <c r="E284" s="602" t="s">
        <v>1746</v>
      </c>
      <c r="F284" s="602"/>
      <c r="G284" s="503" t="s">
        <v>49</v>
      </c>
      <c r="H284" s="504">
        <v>0.5</v>
      </c>
      <c r="I284" s="504"/>
      <c r="J284" s="505">
        <v>25.99</v>
      </c>
      <c r="K284" s="505">
        <v>12.99</v>
      </c>
      <c r="L284" s="70"/>
    </row>
    <row r="285" spans="1:12" ht="25.5" x14ac:dyDescent="0.25">
      <c r="A285" s="501" t="s">
        <v>1732</v>
      </c>
      <c r="B285" s="502" t="s">
        <v>2072</v>
      </c>
      <c r="C285" s="501" t="s">
        <v>993</v>
      </c>
      <c r="D285" s="501" t="s">
        <v>2073</v>
      </c>
      <c r="E285" s="602" t="s">
        <v>1746</v>
      </c>
      <c r="F285" s="602"/>
      <c r="G285" s="503" t="s">
        <v>49</v>
      </c>
      <c r="H285" s="504">
        <v>0.5</v>
      </c>
      <c r="I285" s="504"/>
      <c r="J285" s="505">
        <v>8.58</v>
      </c>
      <c r="K285" s="505">
        <v>4.29</v>
      </c>
      <c r="L285" s="70"/>
    </row>
    <row r="286" spans="1:12" ht="25.5" x14ac:dyDescent="0.25">
      <c r="A286" s="501" t="s">
        <v>1732</v>
      </c>
      <c r="B286" s="502" t="s">
        <v>2074</v>
      </c>
      <c r="C286" s="501" t="s">
        <v>993</v>
      </c>
      <c r="D286" s="501" t="s">
        <v>2075</v>
      </c>
      <c r="E286" s="602" t="s">
        <v>1746</v>
      </c>
      <c r="F286" s="602"/>
      <c r="G286" s="503" t="s">
        <v>49</v>
      </c>
      <c r="H286" s="504">
        <v>1</v>
      </c>
      <c r="I286" s="504"/>
      <c r="J286" s="505">
        <v>7.94</v>
      </c>
      <c r="K286" s="505">
        <v>7.94</v>
      </c>
      <c r="L286" s="70"/>
    </row>
    <row r="287" spans="1:12" ht="25.5" x14ac:dyDescent="0.25">
      <c r="A287" s="501" t="s">
        <v>1732</v>
      </c>
      <c r="B287" s="502" t="s">
        <v>2076</v>
      </c>
      <c r="C287" s="501" t="s">
        <v>993</v>
      </c>
      <c r="D287" s="501" t="s">
        <v>2077</v>
      </c>
      <c r="E287" s="602" t="s">
        <v>1746</v>
      </c>
      <c r="F287" s="602"/>
      <c r="G287" s="503" t="s">
        <v>49</v>
      </c>
      <c r="H287" s="504">
        <v>1.25</v>
      </c>
      <c r="I287" s="504"/>
      <c r="J287" s="505">
        <v>111.14</v>
      </c>
      <c r="K287" s="505">
        <v>138.91999999999999</v>
      </c>
      <c r="L287" s="70"/>
    </row>
    <row r="288" spans="1:12" ht="25.5" x14ac:dyDescent="0.25">
      <c r="A288" s="501" t="s">
        <v>1732</v>
      </c>
      <c r="B288" s="502" t="s">
        <v>2078</v>
      </c>
      <c r="C288" s="501" t="s">
        <v>993</v>
      </c>
      <c r="D288" s="501" t="s">
        <v>2079</v>
      </c>
      <c r="E288" s="602" t="s">
        <v>1746</v>
      </c>
      <c r="F288" s="602"/>
      <c r="G288" s="503" t="s">
        <v>49</v>
      </c>
      <c r="H288" s="504">
        <v>1</v>
      </c>
      <c r="I288" s="504"/>
      <c r="J288" s="505">
        <v>16.75</v>
      </c>
      <c r="K288" s="505">
        <v>16.75</v>
      </c>
      <c r="L288" s="70"/>
    </row>
    <row r="289" spans="1:12" ht="25.5" x14ac:dyDescent="0.25">
      <c r="A289" s="501" t="s">
        <v>1732</v>
      </c>
      <c r="B289" s="502" t="s">
        <v>1821</v>
      </c>
      <c r="C289" s="501" t="s">
        <v>993</v>
      </c>
      <c r="D289" s="501" t="s">
        <v>1822</v>
      </c>
      <c r="E289" s="602" t="s">
        <v>1746</v>
      </c>
      <c r="F289" s="602"/>
      <c r="G289" s="503" t="s">
        <v>49</v>
      </c>
      <c r="H289" s="504">
        <v>1.5</v>
      </c>
      <c r="I289" s="504"/>
      <c r="J289" s="505">
        <v>9.11</v>
      </c>
      <c r="K289" s="505">
        <v>13.66</v>
      </c>
      <c r="L289" s="70"/>
    </row>
    <row r="290" spans="1:12" ht="25.5" x14ac:dyDescent="0.25">
      <c r="A290" s="501" t="s">
        <v>1732</v>
      </c>
      <c r="B290" s="502" t="s">
        <v>2080</v>
      </c>
      <c r="C290" s="501" t="s">
        <v>993</v>
      </c>
      <c r="D290" s="501" t="s">
        <v>2081</v>
      </c>
      <c r="E290" s="602" t="s">
        <v>1746</v>
      </c>
      <c r="F290" s="602"/>
      <c r="G290" s="503" t="s">
        <v>49</v>
      </c>
      <c r="H290" s="504">
        <v>21</v>
      </c>
      <c r="I290" s="504"/>
      <c r="J290" s="505">
        <v>0.68</v>
      </c>
      <c r="K290" s="505">
        <v>14.28</v>
      </c>
      <c r="L290" s="70"/>
    </row>
    <row r="291" spans="1:12" ht="25.5" x14ac:dyDescent="0.25">
      <c r="A291" s="501" t="s">
        <v>1732</v>
      </c>
      <c r="B291" s="502" t="s">
        <v>2082</v>
      </c>
      <c r="C291" s="501" t="s">
        <v>993</v>
      </c>
      <c r="D291" s="501" t="s">
        <v>2083</v>
      </c>
      <c r="E291" s="602" t="s">
        <v>1746</v>
      </c>
      <c r="F291" s="602"/>
      <c r="G291" s="503" t="s">
        <v>49</v>
      </c>
      <c r="H291" s="504">
        <v>0.75</v>
      </c>
      <c r="I291" s="504"/>
      <c r="J291" s="505">
        <v>65.709999999999994</v>
      </c>
      <c r="K291" s="505">
        <v>49.28</v>
      </c>
      <c r="L291" s="70"/>
    </row>
    <row r="292" spans="1:12" ht="25.5" x14ac:dyDescent="0.25">
      <c r="A292" s="501" t="s">
        <v>1732</v>
      </c>
      <c r="B292" s="502" t="s">
        <v>2084</v>
      </c>
      <c r="C292" s="501" t="s">
        <v>993</v>
      </c>
      <c r="D292" s="501" t="s">
        <v>2085</v>
      </c>
      <c r="E292" s="602" t="s">
        <v>1746</v>
      </c>
      <c r="F292" s="602"/>
      <c r="G292" s="503" t="s">
        <v>49</v>
      </c>
      <c r="H292" s="504">
        <v>1</v>
      </c>
      <c r="I292" s="504"/>
      <c r="J292" s="505">
        <v>38.61</v>
      </c>
      <c r="K292" s="505">
        <v>38.61</v>
      </c>
      <c r="L292" s="70"/>
    </row>
    <row r="293" spans="1:12" ht="25.5" x14ac:dyDescent="0.25">
      <c r="A293" s="501" t="s">
        <v>1732</v>
      </c>
      <c r="B293" s="502" t="s">
        <v>2086</v>
      </c>
      <c r="C293" s="501" t="s">
        <v>993</v>
      </c>
      <c r="D293" s="501" t="s">
        <v>2087</v>
      </c>
      <c r="E293" s="602" t="s">
        <v>1746</v>
      </c>
      <c r="F293" s="602"/>
      <c r="G293" s="503" t="s">
        <v>49</v>
      </c>
      <c r="H293" s="504">
        <v>1</v>
      </c>
      <c r="I293" s="504"/>
      <c r="J293" s="505">
        <v>39.18</v>
      </c>
      <c r="K293" s="505">
        <v>39.18</v>
      </c>
      <c r="L293" s="70"/>
    </row>
    <row r="294" spans="1:12" ht="15.75" customHeight="1" x14ac:dyDescent="0.25">
      <c r="A294" s="445"/>
      <c r="B294" s="445"/>
      <c r="C294" s="445"/>
      <c r="D294" s="445"/>
      <c r="E294" s="445" t="s">
        <v>1735</v>
      </c>
      <c r="F294" s="506">
        <v>749.27</v>
      </c>
      <c r="G294" s="445" t="s">
        <v>1736</v>
      </c>
      <c r="H294" s="506">
        <v>0</v>
      </c>
      <c r="I294" s="445" t="s">
        <v>1737</v>
      </c>
      <c r="J294" s="506">
        <v>749.27</v>
      </c>
      <c r="K294" s="70"/>
      <c r="L294" s="70"/>
    </row>
    <row r="295" spans="1:12" ht="17.25" thickBot="1" x14ac:dyDescent="0.3">
      <c r="A295" s="445"/>
      <c r="B295" s="445"/>
      <c r="C295" s="445"/>
      <c r="D295" s="445"/>
      <c r="E295" s="445" t="s">
        <v>1738</v>
      </c>
      <c r="F295" s="506">
        <v>1190.065184</v>
      </c>
      <c r="G295" s="445"/>
      <c r="H295" s="606" t="s">
        <v>1739</v>
      </c>
      <c r="I295" s="606"/>
      <c r="J295" s="506">
        <v>6019.87</v>
      </c>
      <c r="K295" s="70"/>
      <c r="L295" s="70"/>
    </row>
    <row r="296" spans="1:12" ht="17.25" thickTop="1" x14ac:dyDescent="0.25">
      <c r="A296" s="507"/>
      <c r="B296" s="507"/>
      <c r="C296" s="507"/>
      <c r="D296" s="507"/>
      <c r="E296" s="507"/>
      <c r="F296" s="507"/>
      <c r="G296" s="507"/>
      <c r="H296" s="507"/>
      <c r="I296" s="507"/>
      <c r="J296" s="507"/>
      <c r="K296" s="507"/>
      <c r="L296" s="70"/>
    </row>
    <row r="297" spans="1:12" ht="16.5" x14ac:dyDescent="0.25">
      <c r="A297" s="419" t="s">
        <v>1144</v>
      </c>
      <c r="B297" s="421" t="s">
        <v>76</v>
      </c>
      <c r="C297" s="419" t="s">
        <v>991</v>
      </c>
      <c r="D297" s="419" t="s">
        <v>191</v>
      </c>
      <c r="E297" s="603" t="s">
        <v>77</v>
      </c>
      <c r="F297" s="603"/>
      <c r="G297" s="420" t="s">
        <v>103</v>
      </c>
      <c r="H297" s="421" t="s">
        <v>147</v>
      </c>
      <c r="I297" s="421" t="s">
        <v>1731</v>
      </c>
      <c r="J297" s="421" t="s">
        <v>1117</v>
      </c>
      <c r="K297" s="421" t="s">
        <v>104</v>
      </c>
      <c r="L297" s="70"/>
    </row>
    <row r="298" spans="1:12" ht="25.5" x14ac:dyDescent="0.25">
      <c r="A298" s="441" t="s">
        <v>79</v>
      </c>
      <c r="B298" s="480" t="s">
        <v>1145</v>
      </c>
      <c r="C298" s="441" t="s">
        <v>993</v>
      </c>
      <c r="D298" s="441" t="s">
        <v>765</v>
      </c>
      <c r="E298" s="604">
        <v>216</v>
      </c>
      <c r="F298" s="604"/>
      <c r="G298" s="443" t="s">
        <v>19</v>
      </c>
      <c r="H298" s="500">
        <v>1</v>
      </c>
      <c r="I298" s="442"/>
      <c r="J298" s="442">
        <v>47.75</v>
      </c>
      <c r="K298" s="442">
        <v>47.75</v>
      </c>
      <c r="L298" s="70"/>
    </row>
    <row r="299" spans="1:12" ht="25.5" x14ac:dyDescent="0.25">
      <c r="A299" s="501" t="s">
        <v>1732</v>
      </c>
      <c r="B299" s="502" t="s">
        <v>2088</v>
      </c>
      <c r="C299" s="501" t="s">
        <v>993</v>
      </c>
      <c r="D299" s="501" t="s">
        <v>2089</v>
      </c>
      <c r="E299" s="602" t="s">
        <v>1746</v>
      </c>
      <c r="F299" s="602"/>
      <c r="G299" s="503" t="s">
        <v>19</v>
      </c>
      <c r="H299" s="504">
        <v>1</v>
      </c>
      <c r="I299" s="504"/>
      <c r="J299" s="505">
        <v>47.75</v>
      </c>
      <c r="K299" s="505">
        <v>47.75</v>
      </c>
      <c r="L299" s="70"/>
    </row>
    <row r="300" spans="1:12" ht="15.75" customHeight="1" x14ac:dyDescent="0.25">
      <c r="A300" s="445"/>
      <c r="B300" s="445"/>
      <c r="C300" s="445"/>
      <c r="D300" s="445"/>
      <c r="E300" s="445" t="s">
        <v>1735</v>
      </c>
      <c r="F300" s="506">
        <v>0</v>
      </c>
      <c r="G300" s="445" t="s">
        <v>1736</v>
      </c>
      <c r="H300" s="506">
        <v>0</v>
      </c>
      <c r="I300" s="445" t="s">
        <v>1737</v>
      </c>
      <c r="J300" s="506">
        <v>0</v>
      </c>
      <c r="K300" s="70"/>
      <c r="L300" s="70"/>
    </row>
    <row r="301" spans="1:12" ht="17.25" thickBot="1" x14ac:dyDescent="0.3">
      <c r="A301" s="445"/>
      <c r="B301" s="445"/>
      <c r="C301" s="445"/>
      <c r="D301" s="445"/>
      <c r="E301" s="445" t="s">
        <v>1738</v>
      </c>
      <c r="F301" s="506">
        <v>11.765599999999999</v>
      </c>
      <c r="G301" s="445"/>
      <c r="H301" s="606" t="s">
        <v>1739</v>
      </c>
      <c r="I301" s="606"/>
      <c r="J301" s="506">
        <v>59.51</v>
      </c>
      <c r="K301" s="70"/>
      <c r="L301" s="70"/>
    </row>
    <row r="302" spans="1:12" ht="17.25" thickTop="1" x14ac:dyDescent="0.25">
      <c r="A302" s="507"/>
      <c r="B302" s="507"/>
      <c r="C302" s="507"/>
      <c r="D302" s="507"/>
      <c r="E302" s="507"/>
      <c r="F302" s="507"/>
      <c r="G302" s="507"/>
      <c r="H302" s="507"/>
      <c r="I302" s="507"/>
      <c r="J302" s="507"/>
      <c r="K302" s="507"/>
      <c r="L302" s="70"/>
    </row>
    <row r="303" spans="1:12" ht="16.5" x14ac:dyDescent="0.25">
      <c r="A303" s="419" t="s">
        <v>1146</v>
      </c>
      <c r="B303" s="421" t="s">
        <v>76</v>
      </c>
      <c r="C303" s="419" t="s">
        <v>991</v>
      </c>
      <c r="D303" s="419" t="s">
        <v>191</v>
      </c>
      <c r="E303" s="603" t="s">
        <v>77</v>
      </c>
      <c r="F303" s="603"/>
      <c r="G303" s="420" t="s">
        <v>103</v>
      </c>
      <c r="H303" s="421" t="s">
        <v>147</v>
      </c>
      <c r="I303" s="421" t="s">
        <v>1731</v>
      </c>
      <c r="J303" s="421" t="s">
        <v>1117</v>
      </c>
      <c r="K303" s="421" t="s">
        <v>104</v>
      </c>
      <c r="L303" s="70"/>
    </row>
    <row r="304" spans="1:12" ht="25.5" x14ac:dyDescent="0.25">
      <c r="A304" s="441" t="s">
        <v>79</v>
      </c>
      <c r="B304" s="480" t="s">
        <v>1147</v>
      </c>
      <c r="C304" s="441" t="s">
        <v>993</v>
      </c>
      <c r="D304" s="441" t="s">
        <v>767</v>
      </c>
      <c r="E304" s="604">
        <v>202</v>
      </c>
      <c r="F304" s="604"/>
      <c r="G304" s="443" t="s">
        <v>19</v>
      </c>
      <c r="H304" s="500">
        <v>1</v>
      </c>
      <c r="I304" s="442"/>
      <c r="J304" s="442">
        <v>7.39</v>
      </c>
      <c r="K304" s="442">
        <v>7.39</v>
      </c>
      <c r="L304" s="70"/>
    </row>
    <row r="305" spans="1:12" ht="25.5" x14ac:dyDescent="0.25">
      <c r="A305" s="501" t="s">
        <v>1732</v>
      </c>
      <c r="B305" s="502" t="s">
        <v>2090</v>
      </c>
      <c r="C305" s="501" t="s">
        <v>993</v>
      </c>
      <c r="D305" s="501" t="s">
        <v>2091</v>
      </c>
      <c r="E305" s="602" t="s">
        <v>1746</v>
      </c>
      <c r="F305" s="602"/>
      <c r="G305" s="503" t="s">
        <v>19</v>
      </c>
      <c r="H305" s="504">
        <v>1</v>
      </c>
      <c r="I305" s="504"/>
      <c r="J305" s="505">
        <v>7.39</v>
      </c>
      <c r="K305" s="505">
        <v>7.39</v>
      </c>
      <c r="L305" s="70"/>
    </row>
    <row r="306" spans="1:12" ht="15.75" customHeight="1" x14ac:dyDescent="0.25">
      <c r="A306" s="445"/>
      <c r="B306" s="445"/>
      <c r="C306" s="445"/>
      <c r="D306" s="445"/>
      <c r="E306" s="445" t="s">
        <v>1735</v>
      </c>
      <c r="F306" s="506">
        <v>0</v>
      </c>
      <c r="G306" s="445" t="s">
        <v>1736</v>
      </c>
      <c r="H306" s="506">
        <v>0</v>
      </c>
      <c r="I306" s="445" t="s">
        <v>1737</v>
      </c>
      <c r="J306" s="506">
        <v>0</v>
      </c>
      <c r="K306" s="70"/>
      <c r="L306" s="70"/>
    </row>
    <row r="307" spans="1:12" ht="17.25" thickBot="1" x14ac:dyDescent="0.3">
      <c r="A307" s="445"/>
      <c r="B307" s="445"/>
      <c r="C307" s="445"/>
      <c r="D307" s="445"/>
      <c r="E307" s="445" t="s">
        <v>1738</v>
      </c>
      <c r="F307" s="506">
        <v>1.8208960000000001</v>
      </c>
      <c r="G307" s="445"/>
      <c r="H307" s="606" t="s">
        <v>1739</v>
      </c>
      <c r="I307" s="606"/>
      <c r="J307" s="506">
        <v>9.2100000000000009</v>
      </c>
      <c r="K307" s="70"/>
      <c r="L307" s="70"/>
    </row>
    <row r="308" spans="1:12" ht="17.25" thickTop="1" x14ac:dyDescent="0.25">
      <c r="A308" s="507"/>
      <c r="B308" s="507"/>
      <c r="C308" s="507"/>
      <c r="D308" s="507"/>
      <c r="E308" s="507"/>
      <c r="F308" s="507"/>
      <c r="G308" s="507"/>
      <c r="H308" s="507"/>
      <c r="I308" s="507"/>
      <c r="J308" s="507"/>
      <c r="K308" s="507"/>
      <c r="L308" s="70"/>
    </row>
    <row r="309" spans="1:12" ht="16.5" x14ac:dyDescent="0.25">
      <c r="A309" s="419" t="s">
        <v>1148</v>
      </c>
      <c r="B309" s="421" t="s">
        <v>76</v>
      </c>
      <c r="C309" s="419" t="s">
        <v>991</v>
      </c>
      <c r="D309" s="419" t="s">
        <v>191</v>
      </c>
      <c r="E309" s="603" t="s">
        <v>77</v>
      </c>
      <c r="F309" s="603"/>
      <c r="G309" s="420" t="s">
        <v>103</v>
      </c>
      <c r="H309" s="421" t="s">
        <v>147</v>
      </c>
      <c r="I309" s="421" t="s">
        <v>1731</v>
      </c>
      <c r="J309" s="421" t="s">
        <v>1117</v>
      </c>
      <c r="K309" s="421" t="s">
        <v>104</v>
      </c>
      <c r="L309" s="70"/>
    </row>
    <row r="310" spans="1:12" ht="25.5" x14ac:dyDescent="0.25">
      <c r="A310" s="441" t="s">
        <v>79</v>
      </c>
      <c r="B310" s="480" t="s">
        <v>1149</v>
      </c>
      <c r="C310" s="441" t="s">
        <v>993</v>
      </c>
      <c r="D310" s="441" t="s">
        <v>769</v>
      </c>
      <c r="E310" s="604">
        <v>213</v>
      </c>
      <c r="F310" s="604"/>
      <c r="G310" s="443" t="s">
        <v>19</v>
      </c>
      <c r="H310" s="500">
        <v>1</v>
      </c>
      <c r="I310" s="442"/>
      <c r="J310" s="442">
        <v>386.74</v>
      </c>
      <c r="K310" s="442">
        <v>386.74</v>
      </c>
      <c r="L310" s="70"/>
    </row>
    <row r="311" spans="1:12" ht="25.5" x14ac:dyDescent="0.25">
      <c r="A311" s="501" t="s">
        <v>1732</v>
      </c>
      <c r="B311" s="502" t="s">
        <v>999</v>
      </c>
      <c r="C311" s="501" t="s">
        <v>993</v>
      </c>
      <c r="D311" s="501" t="s">
        <v>1000</v>
      </c>
      <c r="E311" s="602" t="s">
        <v>972</v>
      </c>
      <c r="F311" s="602"/>
      <c r="G311" s="503" t="s">
        <v>81</v>
      </c>
      <c r="H311" s="504">
        <v>0.16919999999999999</v>
      </c>
      <c r="I311" s="504"/>
      <c r="J311" s="505">
        <v>16.04</v>
      </c>
      <c r="K311" s="505">
        <v>2.71</v>
      </c>
      <c r="L311" s="70"/>
    </row>
    <row r="312" spans="1:12" ht="25.5" x14ac:dyDescent="0.25">
      <c r="A312" s="501" t="s">
        <v>1732</v>
      </c>
      <c r="B312" s="502" t="s">
        <v>1009</v>
      </c>
      <c r="C312" s="501" t="s">
        <v>993</v>
      </c>
      <c r="D312" s="501" t="s">
        <v>1010</v>
      </c>
      <c r="E312" s="602" t="s">
        <v>972</v>
      </c>
      <c r="F312" s="602"/>
      <c r="G312" s="503" t="s">
        <v>81</v>
      </c>
      <c r="H312" s="504">
        <v>2.47E-2</v>
      </c>
      <c r="I312" s="504"/>
      <c r="J312" s="505">
        <v>23.41</v>
      </c>
      <c r="K312" s="505">
        <v>0.56999999999999995</v>
      </c>
      <c r="L312" s="70"/>
    </row>
    <row r="313" spans="1:12" ht="25.5" x14ac:dyDescent="0.25">
      <c r="A313" s="501" t="s">
        <v>1732</v>
      </c>
      <c r="B313" s="502" t="s">
        <v>2036</v>
      </c>
      <c r="C313" s="501" t="s">
        <v>993</v>
      </c>
      <c r="D313" s="501" t="s">
        <v>2037</v>
      </c>
      <c r="E313" s="602" t="s">
        <v>1746</v>
      </c>
      <c r="F313" s="602"/>
      <c r="G313" s="503" t="s">
        <v>41</v>
      </c>
      <c r="H313" s="504">
        <v>2.4022000000000001</v>
      </c>
      <c r="I313" s="504"/>
      <c r="J313" s="505">
        <v>27.59</v>
      </c>
      <c r="K313" s="505">
        <v>66.27</v>
      </c>
      <c r="L313" s="70"/>
    </row>
    <row r="314" spans="1:12" ht="25.5" x14ac:dyDescent="0.25">
      <c r="A314" s="501" t="s">
        <v>1732</v>
      </c>
      <c r="B314" s="502" t="s">
        <v>1950</v>
      </c>
      <c r="C314" s="501" t="s">
        <v>993</v>
      </c>
      <c r="D314" s="501" t="s">
        <v>1951</v>
      </c>
      <c r="E314" s="602" t="s">
        <v>1746</v>
      </c>
      <c r="F314" s="602"/>
      <c r="G314" s="503" t="s">
        <v>41</v>
      </c>
      <c r="H314" s="504">
        <v>1.2613000000000001</v>
      </c>
      <c r="I314" s="504"/>
      <c r="J314" s="505">
        <v>6.74</v>
      </c>
      <c r="K314" s="505">
        <v>8.5</v>
      </c>
      <c r="L314" s="70"/>
    </row>
    <row r="315" spans="1:12" ht="25.5" x14ac:dyDescent="0.25">
      <c r="A315" s="501" t="s">
        <v>1732</v>
      </c>
      <c r="B315" s="502" t="s">
        <v>2092</v>
      </c>
      <c r="C315" s="501" t="s">
        <v>993</v>
      </c>
      <c r="D315" s="501" t="s">
        <v>2093</v>
      </c>
      <c r="E315" s="602" t="s">
        <v>1746</v>
      </c>
      <c r="F315" s="602"/>
      <c r="G315" s="503" t="s">
        <v>49</v>
      </c>
      <c r="H315" s="504">
        <v>1.3332999999999999</v>
      </c>
      <c r="I315" s="504"/>
      <c r="J315" s="505">
        <v>2.37</v>
      </c>
      <c r="K315" s="505">
        <v>3.15</v>
      </c>
      <c r="L315" s="70"/>
    </row>
    <row r="316" spans="1:12" ht="25.5" x14ac:dyDescent="0.25">
      <c r="A316" s="501" t="s">
        <v>1732</v>
      </c>
      <c r="B316" s="502" t="s">
        <v>1802</v>
      </c>
      <c r="C316" s="501" t="s">
        <v>993</v>
      </c>
      <c r="D316" s="501" t="s">
        <v>1803</v>
      </c>
      <c r="E316" s="602" t="s">
        <v>1746</v>
      </c>
      <c r="F316" s="602"/>
      <c r="G316" s="503" t="s">
        <v>49</v>
      </c>
      <c r="H316" s="504">
        <v>1.1852</v>
      </c>
      <c r="I316" s="504"/>
      <c r="J316" s="505">
        <v>2.1</v>
      </c>
      <c r="K316" s="505">
        <v>2.48</v>
      </c>
      <c r="L316" s="70"/>
    </row>
    <row r="317" spans="1:12" ht="25.5" x14ac:dyDescent="0.25">
      <c r="A317" s="501" t="s">
        <v>1732</v>
      </c>
      <c r="B317" s="502" t="s">
        <v>2094</v>
      </c>
      <c r="C317" s="501" t="s">
        <v>993</v>
      </c>
      <c r="D317" s="501" t="s">
        <v>2095</v>
      </c>
      <c r="E317" s="602" t="s">
        <v>1746</v>
      </c>
      <c r="F317" s="602"/>
      <c r="G317" s="503" t="s">
        <v>1222</v>
      </c>
      <c r="H317" s="504">
        <v>5.1400000000000001E-2</v>
      </c>
      <c r="I317" s="504"/>
      <c r="J317" s="505">
        <v>20.399999999999999</v>
      </c>
      <c r="K317" s="505">
        <v>1.04</v>
      </c>
      <c r="L317" s="70"/>
    </row>
    <row r="318" spans="1:12" ht="25.5" x14ac:dyDescent="0.25">
      <c r="A318" s="501" t="s">
        <v>1732</v>
      </c>
      <c r="B318" s="502" t="s">
        <v>2096</v>
      </c>
      <c r="C318" s="501" t="s">
        <v>993</v>
      </c>
      <c r="D318" s="501" t="s">
        <v>2097</v>
      </c>
      <c r="E318" s="602" t="s">
        <v>1746</v>
      </c>
      <c r="F318" s="602"/>
      <c r="G318" s="503" t="s">
        <v>19</v>
      </c>
      <c r="H318" s="504">
        <v>1</v>
      </c>
      <c r="I318" s="504"/>
      <c r="J318" s="505">
        <v>300</v>
      </c>
      <c r="K318" s="505">
        <v>300</v>
      </c>
      <c r="L318" s="70"/>
    </row>
    <row r="319" spans="1:12" ht="25.5" x14ac:dyDescent="0.25">
      <c r="A319" s="501" t="s">
        <v>1732</v>
      </c>
      <c r="B319" s="502" t="s">
        <v>1960</v>
      </c>
      <c r="C319" s="501" t="s">
        <v>993</v>
      </c>
      <c r="D319" s="501" t="s">
        <v>1961</v>
      </c>
      <c r="E319" s="602" t="s">
        <v>1746</v>
      </c>
      <c r="F319" s="602"/>
      <c r="G319" s="503" t="s">
        <v>1222</v>
      </c>
      <c r="H319" s="504">
        <v>1.15E-2</v>
      </c>
      <c r="I319" s="504"/>
      <c r="J319" s="505">
        <v>26.83</v>
      </c>
      <c r="K319" s="505">
        <v>0.3</v>
      </c>
      <c r="L319" s="70"/>
    </row>
    <row r="320" spans="1:12" ht="25.5" x14ac:dyDescent="0.25">
      <c r="A320" s="501" t="s">
        <v>1732</v>
      </c>
      <c r="B320" s="502" t="s">
        <v>1854</v>
      </c>
      <c r="C320" s="501" t="s">
        <v>993</v>
      </c>
      <c r="D320" s="501" t="s">
        <v>1855</v>
      </c>
      <c r="E320" s="602" t="s">
        <v>1746</v>
      </c>
      <c r="F320" s="602"/>
      <c r="G320" s="503" t="s">
        <v>1222</v>
      </c>
      <c r="H320" s="504">
        <v>2.6608000000000001</v>
      </c>
      <c r="I320" s="504"/>
      <c r="J320" s="505">
        <v>0.65</v>
      </c>
      <c r="K320" s="505">
        <v>1.72</v>
      </c>
      <c r="L320" s="70"/>
    </row>
    <row r="321" spans="1:12" ht="15.75" customHeight="1" x14ac:dyDescent="0.25">
      <c r="A321" s="445"/>
      <c r="B321" s="445"/>
      <c r="C321" s="445"/>
      <c r="D321" s="445"/>
      <c r="E321" s="445" t="s">
        <v>1735</v>
      </c>
      <c r="F321" s="506">
        <v>3.28</v>
      </c>
      <c r="G321" s="445" t="s">
        <v>1736</v>
      </c>
      <c r="H321" s="506">
        <v>0</v>
      </c>
      <c r="I321" s="445" t="s">
        <v>1737</v>
      </c>
      <c r="J321" s="506">
        <v>3.28</v>
      </c>
      <c r="K321" s="70"/>
      <c r="L321" s="70"/>
    </row>
    <row r="322" spans="1:12" ht="17.25" thickBot="1" x14ac:dyDescent="0.3">
      <c r="A322" s="445"/>
      <c r="B322" s="445"/>
      <c r="C322" s="445"/>
      <c r="D322" s="445"/>
      <c r="E322" s="445" t="s">
        <v>1738</v>
      </c>
      <c r="F322" s="506">
        <v>95.292736000000005</v>
      </c>
      <c r="G322" s="445"/>
      <c r="H322" s="606" t="s">
        <v>1739</v>
      </c>
      <c r="I322" s="606"/>
      <c r="J322" s="506">
        <v>482.03</v>
      </c>
      <c r="K322" s="70"/>
      <c r="L322" s="70"/>
    </row>
    <row r="323" spans="1:12" ht="17.25" thickTop="1" x14ac:dyDescent="0.25">
      <c r="A323" s="507"/>
      <c r="B323" s="507"/>
      <c r="C323" s="507"/>
      <c r="D323" s="507"/>
      <c r="E323" s="507"/>
      <c r="F323" s="507"/>
      <c r="G323" s="507"/>
      <c r="H323" s="507"/>
      <c r="I323" s="507"/>
      <c r="J323" s="507"/>
      <c r="K323" s="507"/>
      <c r="L323" s="70"/>
    </row>
    <row r="324" spans="1:12" ht="16.5" x14ac:dyDescent="0.25">
      <c r="A324" s="419" t="s">
        <v>1150</v>
      </c>
      <c r="B324" s="421" t="s">
        <v>76</v>
      </c>
      <c r="C324" s="419" t="s">
        <v>991</v>
      </c>
      <c r="D324" s="419" t="s">
        <v>191</v>
      </c>
      <c r="E324" s="603" t="s">
        <v>77</v>
      </c>
      <c r="F324" s="603"/>
      <c r="G324" s="420" t="s">
        <v>103</v>
      </c>
      <c r="H324" s="421" t="s">
        <v>147</v>
      </c>
      <c r="I324" s="421" t="s">
        <v>1731</v>
      </c>
      <c r="J324" s="421" t="s">
        <v>1117</v>
      </c>
      <c r="K324" s="421" t="s">
        <v>104</v>
      </c>
      <c r="L324" s="70"/>
    </row>
    <row r="325" spans="1:12" ht="25.5" x14ac:dyDescent="0.25">
      <c r="A325" s="441" t="s">
        <v>79</v>
      </c>
      <c r="B325" s="480" t="s">
        <v>1151</v>
      </c>
      <c r="C325" s="441" t="s">
        <v>993</v>
      </c>
      <c r="D325" s="441" t="s">
        <v>990</v>
      </c>
      <c r="E325" s="604">
        <v>2715</v>
      </c>
      <c r="F325" s="604"/>
      <c r="G325" s="443" t="s">
        <v>1152</v>
      </c>
      <c r="H325" s="500">
        <v>1</v>
      </c>
      <c r="I325" s="442"/>
      <c r="J325" s="442">
        <v>22.5</v>
      </c>
      <c r="K325" s="442">
        <v>22.5</v>
      </c>
      <c r="L325" s="70"/>
    </row>
    <row r="326" spans="1:12" ht="25.5" x14ac:dyDescent="0.25">
      <c r="A326" s="501" t="s">
        <v>1732</v>
      </c>
      <c r="B326" s="502" t="s">
        <v>2098</v>
      </c>
      <c r="C326" s="501" t="s">
        <v>993</v>
      </c>
      <c r="D326" s="501" t="s">
        <v>2099</v>
      </c>
      <c r="E326" s="602" t="s">
        <v>1746</v>
      </c>
      <c r="F326" s="602"/>
      <c r="G326" s="503" t="s">
        <v>49</v>
      </c>
      <c r="H326" s="504">
        <v>1</v>
      </c>
      <c r="I326" s="504"/>
      <c r="J326" s="505">
        <v>22.5</v>
      </c>
      <c r="K326" s="505">
        <v>22.5</v>
      </c>
      <c r="L326" s="70"/>
    </row>
    <row r="327" spans="1:12" ht="15.75" customHeight="1" x14ac:dyDescent="0.25">
      <c r="A327" s="445"/>
      <c r="B327" s="445"/>
      <c r="C327" s="445"/>
      <c r="D327" s="445"/>
      <c r="E327" s="445" t="s">
        <v>1735</v>
      </c>
      <c r="F327" s="506">
        <v>0</v>
      </c>
      <c r="G327" s="445" t="s">
        <v>1736</v>
      </c>
      <c r="H327" s="506">
        <v>0</v>
      </c>
      <c r="I327" s="445" t="s">
        <v>1737</v>
      </c>
      <c r="J327" s="506">
        <v>0</v>
      </c>
      <c r="K327" s="70"/>
      <c r="L327" s="70"/>
    </row>
    <row r="328" spans="1:12" ht="17.25" thickBot="1" x14ac:dyDescent="0.3">
      <c r="A328" s="445"/>
      <c r="B328" s="445"/>
      <c r="C328" s="445"/>
      <c r="D328" s="445"/>
      <c r="E328" s="445" t="s">
        <v>1738</v>
      </c>
      <c r="F328" s="506">
        <v>5.5439999999999996</v>
      </c>
      <c r="G328" s="445"/>
      <c r="H328" s="606" t="s">
        <v>1739</v>
      </c>
      <c r="I328" s="606"/>
      <c r="J328" s="506">
        <v>28.04</v>
      </c>
      <c r="K328" s="70"/>
      <c r="L328" s="70"/>
    </row>
    <row r="329" spans="1:12" ht="17.25" thickTop="1" x14ac:dyDescent="0.25">
      <c r="A329" s="507"/>
      <c r="B329" s="507"/>
      <c r="C329" s="507"/>
      <c r="D329" s="507"/>
      <c r="E329" s="507"/>
      <c r="F329" s="507"/>
      <c r="G329" s="507"/>
      <c r="H329" s="507"/>
      <c r="I329" s="507"/>
      <c r="J329" s="507"/>
      <c r="K329" s="507"/>
      <c r="L329" s="70"/>
    </row>
    <row r="330" spans="1:12" ht="16.5" x14ac:dyDescent="0.25">
      <c r="A330" s="419" t="s">
        <v>1153</v>
      </c>
      <c r="B330" s="421" t="s">
        <v>76</v>
      </c>
      <c r="C330" s="419" t="s">
        <v>991</v>
      </c>
      <c r="D330" s="419" t="s">
        <v>191</v>
      </c>
      <c r="E330" s="603" t="s">
        <v>77</v>
      </c>
      <c r="F330" s="603"/>
      <c r="G330" s="420" t="s">
        <v>103</v>
      </c>
      <c r="H330" s="421" t="s">
        <v>147</v>
      </c>
      <c r="I330" s="421" t="s">
        <v>1731</v>
      </c>
      <c r="J330" s="421" t="s">
        <v>1117</v>
      </c>
      <c r="K330" s="421" t="s">
        <v>104</v>
      </c>
      <c r="L330" s="70"/>
    </row>
    <row r="331" spans="1:12" ht="25.5" x14ac:dyDescent="0.25">
      <c r="A331" s="441" t="s">
        <v>79</v>
      </c>
      <c r="B331" s="480" t="s">
        <v>1154</v>
      </c>
      <c r="C331" s="441" t="s">
        <v>993</v>
      </c>
      <c r="D331" s="441" t="s">
        <v>1033</v>
      </c>
      <c r="E331" s="604">
        <v>2715</v>
      </c>
      <c r="F331" s="604"/>
      <c r="G331" s="443" t="s">
        <v>1152</v>
      </c>
      <c r="H331" s="500">
        <v>1</v>
      </c>
      <c r="I331" s="442"/>
      <c r="J331" s="442">
        <v>3.32</v>
      </c>
      <c r="K331" s="442">
        <v>3.32</v>
      </c>
      <c r="L331" s="70"/>
    </row>
    <row r="332" spans="1:12" ht="25.5" x14ac:dyDescent="0.25">
      <c r="A332" s="501" t="s">
        <v>1732</v>
      </c>
      <c r="B332" s="502" t="s">
        <v>2100</v>
      </c>
      <c r="C332" s="501" t="s">
        <v>993</v>
      </c>
      <c r="D332" s="501" t="s">
        <v>2101</v>
      </c>
      <c r="E332" s="602" t="s">
        <v>1746</v>
      </c>
      <c r="F332" s="602"/>
      <c r="G332" s="503" t="s">
        <v>49</v>
      </c>
      <c r="H332" s="504">
        <v>1</v>
      </c>
      <c r="I332" s="504"/>
      <c r="J332" s="505">
        <v>3.32</v>
      </c>
      <c r="K332" s="505">
        <v>3.32</v>
      </c>
      <c r="L332" s="70"/>
    </row>
    <row r="333" spans="1:12" ht="15.75" customHeight="1" x14ac:dyDescent="0.25">
      <c r="A333" s="445"/>
      <c r="B333" s="445"/>
      <c r="C333" s="445"/>
      <c r="D333" s="445"/>
      <c r="E333" s="445" t="s">
        <v>1735</v>
      </c>
      <c r="F333" s="506">
        <v>0</v>
      </c>
      <c r="G333" s="445" t="s">
        <v>1736</v>
      </c>
      <c r="H333" s="506">
        <v>0</v>
      </c>
      <c r="I333" s="445" t="s">
        <v>1737</v>
      </c>
      <c r="J333" s="506">
        <v>0</v>
      </c>
      <c r="K333" s="70"/>
      <c r="L333" s="70"/>
    </row>
    <row r="334" spans="1:12" ht="17.25" thickBot="1" x14ac:dyDescent="0.3">
      <c r="A334" s="445"/>
      <c r="B334" s="445"/>
      <c r="C334" s="445"/>
      <c r="D334" s="445"/>
      <c r="E334" s="445" t="s">
        <v>1738</v>
      </c>
      <c r="F334" s="506">
        <v>0.818048</v>
      </c>
      <c r="G334" s="445"/>
      <c r="H334" s="606" t="s">
        <v>1739</v>
      </c>
      <c r="I334" s="606"/>
      <c r="J334" s="506">
        <v>4.13</v>
      </c>
      <c r="K334" s="70"/>
      <c r="L334" s="70"/>
    </row>
    <row r="335" spans="1:12" ht="17.25" thickTop="1" x14ac:dyDescent="0.25">
      <c r="A335" s="507"/>
      <c r="B335" s="507"/>
      <c r="C335" s="507"/>
      <c r="D335" s="507"/>
      <c r="E335" s="507"/>
      <c r="F335" s="507"/>
      <c r="G335" s="507"/>
      <c r="H335" s="507"/>
      <c r="I335" s="507"/>
      <c r="J335" s="507"/>
      <c r="K335" s="507"/>
      <c r="L335" s="70"/>
    </row>
    <row r="336" spans="1:12" ht="16.5" x14ac:dyDescent="0.25">
      <c r="A336" s="419" t="s">
        <v>1156</v>
      </c>
      <c r="B336" s="421" t="s">
        <v>76</v>
      </c>
      <c r="C336" s="419" t="s">
        <v>991</v>
      </c>
      <c r="D336" s="419" t="s">
        <v>191</v>
      </c>
      <c r="E336" s="603" t="s">
        <v>77</v>
      </c>
      <c r="F336" s="603"/>
      <c r="G336" s="420" t="s">
        <v>103</v>
      </c>
      <c r="H336" s="421" t="s">
        <v>147</v>
      </c>
      <c r="I336" s="421" t="s">
        <v>1731</v>
      </c>
      <c r="J336" s="421" t="s">
        <v>1117</v>
      </c>
      <c r="K336" s="421" t="s">
        <v>104</v>
      </c>
      <c r="L336" s="70"/>
    </row>
    <row r="337" spans="1:12" ht="25.5" x14ac:dyDescent="0.25">
      <c r="A337" s="441" t="s">
        <v>79</v>
      </c>
      <c r="B337" s="480" t="s">
        <v>1157</v>
      </c>
      <c r="C337" s="441" t="s">
        <v>993</v>
      </c>
      <c r="D337" s="441" t="s">
        <v>752</v>
      </c>
      <c r="E337" s="604">
        <v>201</v>
      </c>
      <c r="F337" s="604"/>
      <c r="G337" s="443" t="s">
        <v>19</v>
      </c>
      <c r="H337" s="500">
        <v>1</v>
      </c>
      <c r="I337" s="442"/>
      <c r="J337" s="442">
        <v>0.23</v>
      </c>
      <c r="K337" s="442">
        <v>0.23</v>
      </c>
      <c r="L337" s="70"/>
    </row>
    <row r="338" spans="1:12" ht="25.5" x14ac:dyDescent="0.25">
      <c r="A338" s="501" t="s">
        <v>1732</v>
      </c>
      <c r="B338" s="502" t="s">
        <v>2102</v>
      </c>
      <c r="C338" s="501" t="s">
        <v>993</v>
      </c>
      <c r="D338" s="501" t="s">
        <v>2103</v>
      </c>
      <c r="E338" s="602" t="s">
        <v>1746</v>
      </c>
      <c r="F338" s="602"/>
      <c r="G338" s="503" t="s">
        <v>19</v>
      </c>
      <c r="H338" s="504">
        <v>1</v>
      </c>
      <c r="I338" s="504"/>
      <c r="J338" s="505">
        <v>0.23</v>
      </c>
      <c r="K338" s="505">
        <v>0.23</v>
      </c>
      <c r="L338" s="70"/>
    </row>
    <row r="339" spans="1:12" ht="15.75" customHeight="1" x14ac:dyDescent="0.25">
      <c r="A339" s="445"/>
      <c r="B339" s="445"/>
      <c r="C339" s="445"/>
      <c r="D339" s="445"/>
      <c r="E339" s="445" t="s">
        <v>1735</v>
      </c>
      <c r="F339" s="506">
        <v>0</v>
      </c>
      <c r="G339" s="445" t="s">
        <v>1736</v>
      </c>
      <c r="H339" s="506">
        <v>0</v>
      </c>
      <c r="I339" s="445" t="s">
        <v>1737</v>
      </c>
      <c r="J339" s="506">
        <v>0</v>
      </c>
      <c r="K339" s="70"/>
      <c r="L339" s="70"/>
    </row>
    <row r="340" spans="1:12" ht="17.25" thickBot="1" x14ac:dyDescent="0.3">
      <c r="A340" s="445"/>
      <c r="B340" s="445"/>
      <c r="C340" s="445"/>
      <c r="D340" s="445"/>
      <c r="E340" s="445" t="s">
        <v>1738</v>
      </c>
      <c r="F340" s="506">
        <v>5.6672E-2</v>
      </c>
      <c r="G340" s="445"/>
      <c r="H340" s="606" t="s">
        <v>1739</v>
      </c>
      <c r="I340" s="606"/>
      <c r="J340" s="506">
        <v>0.28000000000000003</v>
      </c>
      <c r="K340" s="70"/>
      <c r="L340" s="70"/>
    </row>
    <row r="341" spans="1:12" ht="17.25" thickTop="1" x14ac:dyDescent="0.25">
      <c r="A341" s="507"/>
      <c r="B341" s="507"/>
      <c r="C341" s="507"/>
      <c r="D341" s="507"/>
      <c r="E341" s="507"/>
      <c r="F341" s="507"/>
      <c r="G341" s="507"/>
      <c r="H341" s="507"/>
      <c r="I341" s="507"/>
      <c r="J341" s="507"/>
      <c r="K341" s="507"/>
      <c r="L341" s="70"/>
    </row>
    <row r="342" spans="1:12" ht="16.5" x14ac:dyDescent="0.25">
      <c r="A342" s="419" t="s">
        <v>1158</v>
      </c>
      <c r="B342" s="421" t="s">
        <v>76</v>
      </c>
      <c r="C342" s="419" t="s">
        <v>991</v>
      </c>
      <c r="D342" s="419" t="s">
        <v>191</v>
      </c>
      <c r="E342" s="603" t="s">
        <v>77</v>
      </c>
      <c r="F342" s="603"/>
      <c r="G342" s="420" t="s">
        <v>103</v>
      </c>
      <c r="H342" s="421" t="s">
        <v>147</v>
      </c>
      <c r="I342" s="421" t="s">
        <v>1731</v>
      </c>
      <c r="J342" s="421" t="s">
        <v>1117</v>
      </c>
      <c r="K342" s="421" t="s">
        <v>104</v>
      </c>
      <c r="L342" s="70"/>
    </row>
    <row r="343" spans="1:12" ht="25.5" x14ac:dyDescent="0.25">
      <c r="A343" s="441" t="s">
        <v>79</v>
      </c>
      <c r="B343" s="480" t="s">
        <v>1159</v>
      </c>
      <c r="C343" s="441" t="s">
        <v>993</v>
      </c>
      <c r="D343" s="441" t="s">
        <v>754</v>
      </c>
      <c r="E343" s="604">
        <v>207</v>
      </c>
      <c r="F343" s="604"/>
      <c r="G343" s="443" t="s">
        <v>19</v>
      </c>
      <c r="H343" s="500">
        <v>1</v>
      </c>
      <c r="I343" s="442"/>
      <c r="J343" s="442">
        <v>5.51</v>
      </c>
      <c r="K343" s="442">
        <v>5.51</v>
      </c>
      <c r="L343" s="70"/>
    </row>
    <row r="344" spans="1:12" ht="25.5" x14ac:dyDescent="0.25">
      <c r="A344" s="501" t="s">
        <v>1732</v>
      </c>
      <c r="B344" s="502" t="s">
        <v>1013</v>
      </c>
      <c r="C344" s="501" t="s">
        <v>993</v>
      </c>
      <c r="D344" s="501" t="s">
        <v>1014</v>
      </c>
      <c r="E344" s="602" t="s">
        <v>972</v>
      </c>
      <c r="F344" s="602"/>
      <c r="G344" s="503" t="s">
        <v>81</v>
      </c>
      <c r="H344" s="504">
        <v>3.9800000000000002E-2</v>
      </c>
      <c r="I344" s="504"/>
      <c r="J344" s="505">
        <v>23.41</v>
      </c>
      <c r="K344" s="505">
        <v>0.93</v>
      </c>
      <c r="L344" s="70"/>
    </row>
    <row r="345" spans="1:12" ht="25.5" x14ac:dyDescent="0.25">
      <c r="A345" s="501" t="s">
        <v>1732</v>
      </c>
      <c r="B345" s="502" t="s">
        <v>992</v>
      </c>
      <c r="C345" s="501" t="s">
        <v>993</v>
      </c>
      <c r="D345" s="501" t="s">
        <v>994</v>
      </c>
      <c r="E345" s="602" t="s">
        <v>972</v>
      </c>
      <c r="F345" s="602"/>
      <c r="G345" s="503" t="s">
        <v>81</v>
      </c>
      <c r="H345" s="504">
        <v>5.1700000000000003E-2</v>
      </c>
      <c r="I345" s="504"/>
      <c r="J345" s="505">
        <v>14.62</v>
      </c>
      <c r="K345" s="505">
        <v>0.75</v>
      </c>
      <c r="L345" s="70"/>
    </row>
    <row r="346" spans="1:12" ht="25.5" x14ac:dyDescent="0.25">
      <c r="A346" s="501" t="s">
        <v>1732</v>
      </c>
      <c r="B346" s="502" t="s">
        <v>1758</v>
      </c>
      <c r="C346" s="501" t="s">
        <v>993</v>
      </c>
      <c r="D346" s="501" t="s">
        <v>1759</v>
      </c>
      <c r="E346" s="602" t="s">
        <v>1746</v>
      </c>
      <c r="F346" s="602"/>
      <c r="G346" s="503" t="s">
        <v>1751</v>
      </c>
      <c r="H346" s="504">
        <v>5.7000000000000002E-3</v>
      </c>
      <c r="I346" s="504"/>
      <c r="J346" s="505">
        <v>11.02</v>
      </c>
      <c r="K346" s="505">
        <v>0.06</v>
      </c>
      <c r="L346" s="70"/>
    </row>
    <row r="347" spans="1:12" ht="25.5" x14ac:dyDescent="0.25">
      <c r="A347" s="501" t="s">
        <v>1732</v>
      </c>
      <c r="B347" s="502" t="s">
        <v>1950</v>
      </c>
      <c r="C347" s="501" t="s">
        <v>993</v>
      </c>
      <c r="D347" s="501" t="s">
        <v>1951</v>
      </c>
      <c r="E347" s="602" t="s">
        <v>1746</v>
      </c>
      <c r="F347" s="602"/>
      <c r="G347" s="503" t="s">
        <v>41</v>
      </c>
      <c r="H347" s="504">
        <v>0.15040000000000001</v>
      </c>
      <c r="I347" s="504"/>
      <c r="J347" s="505">
        <v>6.74</v>
      </c>
      <c r="K347" s="505">
        <v>1.01</v>
      </c>
      <c r="L347" s="70"/>
    </row>
    <row r="348" spans="1:12" ht="25.5" x14ac:dyDescent="0.25">
      <c r="A348" s="501" t="s">
        <v>1732</v>
      </c>
      <c r="B348" s="502" t="s">
        <v>1796</v>
      </c>
      <c r="C348" s="501" t="s">
        <v>993</v>
      </c>
      <c r="D348" s="501" t="s">
        <v>1797</v>
      </c>
      <c r="E348" s="602" t="s">
        <v>1746</v>
      </c>
      <c r="F348" s="602"/>
      <c r="G348" s="503" t="s">
        <v>1222</v>
      </c>
      <c r="H348" s="504">
        <v>1.9400000000000001E-2</v>
      </c>
      <c r="I348" s="504"/>
      <c r="J348" s="505">
        <v>21.99</v>
      </c>
      <c r="K348" s="505">
        <v>0.42</v>
      </c>
      <c r="L348" s="70"/>
    </row>
    <row r="349" spans="1:12" ht="25.5" x14ac:dyDescent="0.25">
      <c r="A349" s="501" t="s">
        <v>1732</v>
      </c>
      <c r="B349" s="502" t="s">
        <v>1798</v>
      </c>
      <c r="C349" s="501" t="s">
        <v>993</v>
      </c>
      <c r="D349" s="501" t="s">
        <v>1799</v>
      </c>
      <c r="E349" s="602" t="s">
        <v>1746</v>
      </c>
      <c r="F349" s="602"/>
      <c r="G349" s="503" t="s">
        <v>41</v>
      </c>
      <c r="H349" s="504">
        <v>0.18790000000000001</v>
      </c>
      <c r="I349" s="504"/>
      <c r="J349" s="505">
        <v>8.2100000000000009</v>
      </c>
      <c r="K349" s="505">
        <v>1.54</v>
      </c>
      <c r="L349" s="70"/>
    </row>
    <row r="350" spans="1:12" ht="25.5" x14ac:dyDescent="0.25">
      <c r="A350" s="501" t="s">
        <v>1732</v>
      </c>
      <c r="B350" s="502" t="s">
        <v>2030</v>
      </c>
      <c r="C350" s="501" t="s">
        <v>993</v>
      </c>
      <c r="D350" s="501" t="s">
        <v>2031</v>
      </c>
      <c r="E350" s="602" t="s">
        <v>1746</v>
      </c>
      <c r="F350" s="602"/>
      <c r="G350" s="503" t="s">
        <v>1222</v>
      </c>
      <c r="H350" s="504">
        <v>5.6399999999999999E-2</v>
      </c>
      <c r="I350" s="504"/>
      <c r="J350" s="505">
        <v>14.28</v>
      </c>
      <c r="K350" s="505">
        <v>0.8</v>
      </c>
      <c r="L350" s="70"/>
    </row>
    <row r="351" spans="1:12" ht="15.75" customHeight="1" x14ac:dyDescent="0.25">
      <c r="A351" s="445"/>
      <c r="B351" s="445"/>
      <c r="C351" s="445"/>
      <c r="D351" s="445"/>
      <c r="E351" s="445" t="s">
        <v>1735</v>
      </c>
      <c r="F351" s="506">
        <v>1.68</v>
      </c>
      <c r="G351" s="445" t="s">
        <v>1736</v>
      </c>
      <c r="H351" s="506">
        <v>0</v>
      </c>
      <c r="I351" s="445" t="s">
        <v>1737</v>
      </c>
      <c r="J351" s="506">
        <v>1.68</v>
      </c>
      <c r="K351" s="70"/>
      <c r="L351" s="70"/>
    </row>
    <row r="352" spans="1:12" ht="17.25" thickBot="1" x14ac:dyDescent="0.3">
      <c r="A352" s="445"/>
      <c r="B352" s="445"/>
      <c r="C352" s="445"/>
      <c r="D352" s="445"/>
      <c r="E352" s="445" t="s">
        <v>1738</v>
      </c>
      <c r="F352" s="506">
        <v>1.357664</v>
      </c>
      <c r="G352" s="445"/>
      <c r="H352" s="606" t="s">
        <v>1739</v>
      </c>
      <c r="I352" s="606"/>
      <c r="J352" s="506">
        <v>6.86</v>
      </c>
      <c r="K352" s="70"/>
      <c r="L352" s="70"/>
    </row>
    <row r="353" spans="1:12" ht="17.25" thickTop="1" x14ac:dyDescent="0.25">
      <c r="A353" s="507"/>
      <c r="B353" s="507"/>
      <c r="C353" s="507"/>
      <c r="D353" s="507"/>
      <c r="E353" s="507"/>
      <c r="F353" s="507"/>
      <c r="G353" s="507"/>
      <c r="H353" s="507"/>
      <c r="I353" s="507"/>
      <c r="J353" s="507"/>
      <c r="K353" s="507"/>
      <c r="L353" s="70"/>
    </row>
    <row r="354" spans="1:12" ht="16.5" x14ac:dyDescent="0.25">
      <c r="A354" s="419" t="s">
        <v>1160</v>
      </c>
      <c r="B354" s="421" t="s">
        <v>76</v>
      </c>
      <c r="C354" s="419" t="s">
        <v>991</v>
      </c>
      <c r="D354" s="419" t="s">
        <v>191</v>
      </c>
      <c r="E354" s="603" t="s">
        <v>77</v>
      </c>
      <c r="F354" s="603"/>
      <c r="G354" s="420" t="s">
        <v>103</v>
      </c>
      <c r="H354" s="421" t="s">
        <v>147</v>
      </c>
      <c r="I354" s="421" t="s">
        <v>1731</v>
      </c>
      <c r="J354" s="421" t="s">
        <v>1117</v>
      </c>
      <c r="K354" s="421" t="s">
        <v>104</v>
      </c>
      <c r="L354" s="70"/>
    </row>
    <row r="355" spans="1:12" ht="25.5" x14ac:dyDescent="0.25">
      <c r="A355" s="441" t="s">
        <v>79</v>
      </c>
      <c r="B355" s="480" t="s">
        <v>1161</v>
      </c>
      <c r="C355" s="441" t="s">
        <v>993</v>
      </c>
      <c r="D355" s="441" t="s">
        <v>1162</v>
      </c>
      <c r="E355" s="604">
        <v>502</v>
      </c>
      <c r="F355" s="604"/>
      <c r="G355" s="443" t="s">
        <v>1141</v>
      </c>
      <c r="H355" s="500">
        <v>1</v>
      </c>
      <c r="I355" s="442"/>
      <c r="J355" s="442">
        <v>1486.62</v>
      </c>
      <c r="K355" s="442">
        <v>1486.62</v>
      </c>
      <c r="L355" s="70"/>
    </row>
    <row r="356" spans="1:12" ht="25.5" x14ac:dyDescent="0.25">
      <c r="A356" s="501" t="s">
        <v>1732</v>
      </c>
      <c r="B356" s="502" t="s">
        <v>2104</v>
      </c>
      <c r="C356" s="501" t="s">
        <v>993</v>
      </c>
      <c r="D356" s="501" t="s">
        <v>1162</v>
      </c>
      <c r="E356" s="602" t="s">
        <v>1746</v>
      </c>
      <c r="F356" s="602"/>
      <c r="G356" s="503" t="s">
        <v>49</v>
      </c>
      <c r="H356" s="504">
        <v>1</v>
      </c>
      <c r="I356" s="504"/>
      <c r="J356" s="505">
        <v>1486.62</v>
      </c>
      <c r="K356" s="505">
        <v>1486.62</v>
      </c>
      <c r="L356" s="70"/>
    </row>
    <row r="357" spans="1:12" ht="15.75" customHeight="1" x14ac:dyDescent="0.25">
      <c r="A357" s="445"/>
      <c r="B357" s="445"/>
      <c r="C357" s="445"/>
      <c r="D357" s="445"/>
      <c r="E357" s="445" t="s">
        <v>1735</v>
      </c>
      <c r="F357" s="506">
        <v>0</v>
      </c>
      <c r="G357" s="445" t="s">
        <v>1736</v>
      </c>
      <c r="H357" s="506">
        <v>0</v>
      </c>
      <c r="I357" s="445" t="s">
        <v>1737</v>
      </c>
      <c r="J357" s="506">
        <v>0</v>
      </c>
      <c r="K357" s="70"/>
      <c r="L357" s="70"/>
    </row>
    <row r="358" spans="1:12" ht="17.25" thickBot="1" x14ac:dyDescent="0.3">
      <c r="A358" s="445"/>
      <c r="B358" s="445"/>
      <c r="C358" s="445"/>
      <c r="D358" s="445"/>
      <c r="E358" s="445" t="s">
        <v>1738</v>
      </c>
      <c r="F358" s="506">
        <v>366.30316800000003</v>
      </c>
      <c r="G358" s="445"/>
      <c r="H358" s="606" t="s">
        <v>1739</v>
      </c>
      <c r="I358" s="606"/>
      <c r="J358" s="506">
        <v>1852.92</v>
      </c>
      <c r="K358" s="70"/>
      <c r="L358" s="70"/>
    </row>
    <row r="359" spans="1:12" ht="17.25" thickTop="1" x14ac:dyDescent="0.25">
      <c r="A359" s="507"/>
      <c r="B359" s="507"/>
      <c r="C359" s="507"/>
      <c r="D359" s="507"/>
      <c r="E359" s="507"/>
      <c r="F359" s="507"/>
      <c r="G359" s="507"/>
      <c r="H359" s="507"/>
      <c r="I359" s="507"/>
      <c r="J359" s="507"/>
      <c r="K359" s="507"/>
      <c r="L359" s="70"/>
    </row>
    <row r="360" spans="1:12" ht="16.5" x14ac:dyDescent="0.25">
      <c r="A360" s="419" t="s">
        <v>1163</v>
      </c>
      <c r="B360" s="421" t="s">
        <v>76</v>
      </c>
      <c r="C360" s="419" t="s">
        <v>991</v>
      </c>
      <c r="D360" s="419" t="s">
        <v>191</v>
      </c>
      <c r="E360" s="603" t="s">
        <v>77</v>
      </c>
      <c r="F360" s="603"/>
      <c r="G360" s="420" t="s">
        <v>103</v>
      </c>
      <c r="H360" s="421" t="s">
        <v>147</v>
      </c>
      <c r="I360" s="421" t="s">
        <v>1731</v>
      </c>
      <c r="J360" s="421" t="s">
        <v>1117</v>
      </c>
      <c r="K360" s="421" t="s">
        <v>104</v>
      </c>
      <c r="L360" s="70"/>
    </row>
    <row r="361" spans="1:12" ht="25.5" x14ac:dyDescent="0.25">
      <c r="A361" s="441" t="s">
        <v>79</v>
      </c>
      <c r="B361" s="480" t="s">
        <v>1164</v>
      </c>
      <c r="C361" s="441" t="s">
        <v>993</v>
      </c>
      <c r="D361" s="441" t="s">
        <v>1165</v>
      </c>
      <c r="E361" s="604">
        <v>502</v>
      </c>
      <c r="F361" s="604"/>
      <c r="G361" s="443" t="s">
        <v>1141</v>
      </c>
      <c r="H361" s="500">
        <v>1</v>
      </c>
      <c r="I361" s="442"/>
      <c r="J361" s="442">
        <v>15</v>
      </c>
      <c r="K361" s="442">
        <v>15</v>
      </c>
      <c r="L361" s="70"/>
    </row>
    <row r="362" spans="1:12" ht="25.5" x14ac:dyDescent="0.25">
      <c r="A362" s="501" t="s">
        <v>1732</v>
      </c>
      <c r="B362" s="502" t="s">
        <v>2105</v>
      </c>
      <c r="C362" s="501" t="s">
        <v>993</v>
      </c>
      <c r="D362" s="501" t="s">
        <v>1165</v>
      </c>
      <c r="E362" s="602" t="s">
        <v>1746</v>
      </c>
      <c r="F362" s="602"/>
      <c r="G362" s="503" t="s">
        <v>49</v>
      </c>
      <c r="H362" s="504">
        <v>1</v>
      </c>
      <c r="I362" s="504"/>
      <c r="J362" s="505">
        <v>15</v>
      </c>
      <c r="K362" s="505">
        <v>15</v>
      </c>
      <c r="L362" s="70"/>
    </row>
    <row r="363" spans="1:12" ht="15.75" customHeight="1" x14ac:dyDescent="0.25">
      <c r="A363" s="445"/>
      <c r="B363" s="445"/>
      <c r="C363" s="445"/>
      <c r="D363" s="445"/>
      <c r="E363" s="445" t="s">
        <v>1735</v>
      </c>
      <c r="F363" s="506">
        <v>0</v>
      </c>
      <c r="G363" s="445" t="s">
        <v>1736</v>
      </c>
      <c r="H363" s="506">
        <v>0</v>
      </c>
      <c r="I363" s="445" t="s">
        <v>1737</v>
      </c>
      <c r="J363" s="506">
        <v>0</v>
      </c>
      <c r="K363" s="70"/>
      <c r="L363" s="70"/>
    </row>
    <row r="364" spans="1:12" ht="17.25" thickBot="1" x14ac:dyDescent="0.3">
      <c r="A364" s="445"/>
      <c r="B364" s="445"/>
      <c r="C364" s="445"/>
      <c r="D364" s="445"/>
      <c r="E364" s="445" t="s">
        <v>1738</v>
      </c>
      <c r="F364" s="506">
        <v>3.6960000000000002</v>
      </c>
      <c r="G364" s="445"/>
      <c r="H364" s="606" t="s">
        <v>1739</v>
      </c>
      <c r="I364" s="606"/>
      <c r="J364" s="506">
        <v>18.690000000000001</v>
      </c>
      <c r="K364" s="70"/>
      <c r="L364" s="70"/>
    </row>
    <row r="365" spans="1:12" ht="17.25" thickTop="1" x14ac:dyDescent="0.25">
      <c r="A365" s="507"/>
      <c r="B365" s="507"/>
      <c r="C365" s="507"/>
      <c r="D365" s="507"/>
      <c r="E365" s="507"/>
      <c r="F365" s="507"/>
      <c r="G365" s="507"/>
      <c r="H365" s="507"/>
      <c r="I365" s="507"/>
      <c r="J365" s="507"/>
      <c r="K365" s="507"/>
      <c r="L365" s="70"/>
    </row>
    <row r="366" spans="1:12" ht="16.5" x14ac:dyDescent="0.25">
      <c r="A366" s="419" t="s">
        <v>1166</v>
      </c>
      <c r="B366" s="421" t="s">
        <v>76</v>
      </c>
      <c r="C366" s="419" t="s">
        <v>991</v>
      </c>
      <c r="D366" s="419" t="s">
        <v>191</v>
      </c>
      <c r="E366" s="603" t="s">
        <v>77</v>
      </c>
      <c r="F366" s="603"/>
      <c r="G366" s="420" t="s">
        <v>103</v>
      </c>
      <c r="H366" s="421" t="s">
        <v>147</v>
      </c>
      <c r="I366" s="421" t="s">
        <v>1731</v>
      </c>
      <c r="J366" s="421" t="s">
        <v>1117</v>
      </c>
      <c r="K366" s="421" t="s">
        <v>104</v>
      </c>
      <c r="L366" s="70"/>
    </row>
    <row r="367" spans="1:12" ht="63.75" x14ac:dyDescent="0.25">
      <c r="A367" s="441" t="s">
        <v>79</v>
      </c>
      <c r="B367" s="480" t="s">
        <v>1167</v>
      </c>
      <c r="C367" s="441" t="s">
        <v>1168</v>
      </c>
      <c r="D367" s="441" t="s">
        <v>914</v>
      </c>
      <c r="E367" s="604" t="s">
        <v>2106</v>
      </c>
      <c r="F367" s="604"/>
      <c r="G367" s="443" t="s">
        <v>49</v>
      </c>
      <c r="H367" s="500">
        <v>1</v>
      </c>
      <c r="I367" s="442"/>
      <c r="J367" s="442">
        <v>576</v>
      </c>
      <c r="K367" s="442">
        <v>576</v>
      </c>
      <c r="L367" s="70"/>
    </row>
    <row r="368" spans="1:12" ht="51" x14ac:dyDescent="0.25">
      <c r="A368" s="501" t="s">
        <v>1732</v>
      </c>
      <c r="B368" s="502" t="s">
        <v>2107</v>
      </c>
      <c r="C368" s="501" t="s">
        <v>2108</v>
      </c>
      <c r="D368" s="501" t="s">
        <v>2109</v>
      </c>
      <c r="E368" s="602" t="s">
        <v>1746</v>
      </c>
      <c r="F368" s="602"/>
      <c r="G368" s="503" t="s">
        <v>19</v>
      </c>
      <c r="H368" s="504">
        <v>1</v>
      </c>
      <c r="I368" s="504"/>
      <c r="J368" s="505">
        <v>576</v>
      </c>
      <c r="K368" s="505">
        <v>576</v>
      </c>
      <c r="L368" s="70"/>
    </row>
    <row r="369" spans="1:12" ht="15.75" customHeight="1" x14ac:dyDescent="0.25">
      <c r="A369" s="445"/>
      <c r="B369" s="445"/>
      <c r="C369" s="445"/>
      <c r="D369" s="445"/>
      <c r="E369" s="445" t="s">
        <v>1735</v>
      </c>
      <c r="F369" s="506">
        <v>0</v>
      </c>
      <c r="G369" s="445" t="s">
        <v>1736</v>
      </c>
      <c r="H369" s="506">
        <v>0</v>
      </c>
      <c r="I369" s="445" t="s">
        <v>1737</v>
      </c>
      <c r="J369" s="506">
        <v>0</v>
      </c>
      <c r="K369" s="70"/>
      <c r="L369" s="70"/>
    </row>
    <row r="370" spans="1:12" ht="17.25" thickBot="1" x14ac:dyDescent="0.3">
      <c r="A370" s="445"/>
      <c r="B370" s="445"/>
      <c r="C370" s="445"/>
      <c r="D370" s="445"/>
      <c r="E370" s="445" t="s">
        <v>1738</v>
      </c>
      <c r="F370" s="506">
        <v>141.9264</v>
      </c>
      <c r="G370" s="445"/>
      <c r="H370" s="606" t="s">
        <v>1739</v>
      </c>
      <c r="I370" s="606"/>
      <c r="J370" s="506">
        <v>717.92</v>
      </c>
      <c r="K370" s="70"/>
      <c r="L370" s="70"/>
    </row>
    <row r="371" spans="1:12" ht="17.25" thickTop="1" x14ac:dyDescent="0.25">
      <c r="A371" s="507"/>
      <c r="B371" s="507"/>
      <c r="C371" s="507"/>
      <c r="D371" s="507"/>
      <c r="E371" s="507"/>
      <c r="F371" s="507"/>
      <c r="G371" s="507"/>
      <c r="H371" s="507"/>
      <c r="I371" s="507"/>
      <c r="J371" s="507"/>
      <c r="K371" s="507"/>
      <c r="L371" s="70"/>
    </row>
    <row r="372" spans="1:12" ht="25.5" customHeight="1" x14ac:dyDescent="0.25">
      <c r="A372" s="419" t="s">
        <v>1169</v>
      </c>
      <c r="B372" s="421" t="s">
        <v>76</v>
      </c>
      <c r="C372" s="419" t="s">
        <v>991</v>
      </c>
      <c r="D372" s="419" t="s">
        <v>191</v>
      </c>
      <c r="E372" s="603" t="s">
        <v>77</v>
      </c>
      <c r="F372" s="603"/>
      <c r="G372" s="420" t="s">
        <v>103</v>
      </c>
      <c r="H372" s="421" t="s">
        <v>147</v>
      </c>
      <c r="I372" s="421" t="s">
        <v>1731</v>
      </c>
      <c r="J372" s="421" t="s">
        <v>1117</v>
      </c>
      <c r="K372" s="421" t="s">
        <v>104</v>
      </c>
      <c r="L372" s="70"/>
    </row>
    <row r="373" spans="1:12" ht="16.5" customHeight="1" x14ac:dyDescent="0.25">
      <c r="A373" s="441" t="s">
        <v>79</v>
      </c>
      <c r="B373" s="480" t="s">
        <v>1170</v>
      </c>
      <c r="C373" s="441" t="s">
        <v>1168</v>
      </c>
      <c r="D373" s="441" t="s">
        <v>919</v>
      </c>
      <c r="E373" s="604" t="s">
        <v>2110</v>
      </c>
      <c r="F373" s="604"/>
      <c r="G373" s="443" t="s">
        <v>38</v>
      </c>
      <c r="H373" s="500">
        <v>1</v>
      </c>
      <c r="I373" s="442"/>
      <c r="J373" s="442">
        <v>36.9</v>
      </c>
      <c r="K373" s="442">
        <v>36.9</v>
      </c>
      <c r="L373" s="70"/>
    </row>
    <row r="374" spans="1:12" ht="16.5" x14ac:dyDescent="0.25">
      <c r="A374" s="501" t="s">
        <v>1732</v>
      </c>
      <c r="B374" s="502" t="s">
        <v>2111</v>
      </c>
      <c r="C374" s="501" t="s">
        <v>1115</v>
      </c>
      <c r="D374" s="501" t="s">
        <v>2112</v>
      </c>
      <c r="E374" s="602" t="s">
        <v>1746</v>
      </c>
      <c r="F374" s="602"/>
      <c r="G374" s="503" t="s">
        <v>38</v>
      </c>
      <c r="H374" s="504">
        <v>1</v>
      </c>
      <c r="I374" s="504">
        <v>0</v>
      </c>
      <c r="J374" s="505">
        <v>36.9</v>
      </c>
      <c r="K374" s="505">
        <v>36.9</v>
      </c>
      <c r="L374" s="70"/>
    </row>
    <row r="375" spans="1:12" ht="15.75" customHeight="1" x14ac:dyDescent="0.25">
      <c r="A375" s="445"/>
      <c r="B375" s="445"/>
      <c r="C375" s="445"/>
      <c r="D375" s="445"/>
      <c r="E375" s="445" t="s">
        <v>1735</v>
      </c>
      <c r="F375" s="506">
        <v>0</v>
      </c>
      <c r="G375" s="445" t="s">
        <v>1736</v>
      </c>
      <c r="H375" s="506">
        <v>0</v>
      </c>
      <c r="I375" s="445" t="s">
        <v>1737</v>
      </c>
      <c r="J375" s="506">
        <v>0</v>
      </c>
      <c r="K375" s="70"/>
      <c r="L375" s="70"/>
    </row>
    <row r="376" spans="1:12" ht="17.25" thickBot="1" x14ac:dyDescent="0.3">
      <c r="A376" s="445"/>
      <c r="B376" s="445"/>
      <c r="C376" s="445"/>
      <c r="D376" s="445"/>
      <c r="E376" s="445" t="s">
        <v>1738</v>
      </c>
      <c r="F376" s="506">
        <v>9.0921599999999998</v>
      </c>
      <c r="G376" s="445"/>
      <c r="H376" s="606" t="s">
        <v>1739</v>
      </c>
      <c r="I376" s="606"/>
      <c r="J376" s="506">
        <v>45.99</v>
      </c>
      <c r="K376" s="70"/>
      <c r="L376" s="70"/>
    </row>
    <row r="377" spans="1:12" ht="17.25" thickTop="1" x14ac:dyDescent="0.25">
      <c r="A377" s="507"/>
      <c r="B377" s="507"/>
      <c r="C377" s="507"/>
      <c r="D377" s="507"/>
      <c r="E377" s="507"/>
      <c r="F377" s="507"/>
      <c r="G377" s="507"/>
      <c r="H377" s="507"/>
      <c r="I377" s="507"/>
      <c r="J377" s="507"/>
      <c r="K377" s="507"/>
      <c r="L377" s="70"/>
    </row>
    <row r="378" spans="1:12" ht="16.5" x14ac:dyDescent="0.25">
      <c r="A378" s="419" t="s">
        <v>1171</v>
      </c>
      <c r="B378" s="421" t="s">
        <v>76</v>
      </c>
      <c r="C378" s="419" t="s">
        <v>991</v>
      </c>
      <c r="D378" s="419" t="s">
        <v>191</v>
      </c>
      <c r="E378" s="603" t="s">
        <v>77</v>
      </c>
      <c r="F378" s="603"/>
      <c r="G378" s="420" t="s">
        <v>103</v>
      </c>
      <c r="H378" s="421" t="s">
        <v>147</v>
      </c>
      <c r="I378" s="421" t="s">
        <v>1731</v>
      </c>
      <c r="J378" s="421" t="s">
        <v>1117</v>
      </c>
      <c r="K378" s="421" t="s">
        <v>104</v>
      </c>
      <c r="L378" s="70"/>
    </row>
    <row r="379" spans="1:12" ht="15" customHeight="1" x14ac:dyDescent="0.25">
      <c r="A379" s="441" t="s">
        <v>79</v>
      </c>
      <c r="B379" s="480" t="s">
        <v>1172</v>
      </c>
      <c r="C379" s="441" t="s">
        <v>1071</v>
      </c>
      <c r="D379" s="441" t="s">
        <v>982</v>
      </c>
      <c r="E379" s="604">
        <v>4230</v>
      </c>
      <c r="F379" s="604"/>
      <c r="G379" s="443" t="s">
        <v>49</v>
      </c>
      <c r="H379" s="500">
        <v>1</v>
      </c>
      <c r="I379" s="442"/>
      <c r="J379" s="442">
        <v>20084.400000000001</v>
      </c>
      <c r="K379" s="442">
        <v>20084.400000000001</v>
      </c>
      <c r="L379" s="70"/>
    </row>
    <row r="380" spans="1:12" ht="15" customHeight="1" x14ac:dyDescent="0.25">
      <c r="A380" s="595"/>
      <c r="B380" s="595"/>
      <c r="C380" s="595"/>
      <c r="D380" s="595"/>
      <c r="E380" s="595"/>
      <c r="F380" s="595"/>
      <c r="G380" s="595" t="s">
        <v>2113</v>
      </c>
      <c r="H380" s="595"/>
      <c r="I380" s="595"/>
      <c r="J380" s="508">
        <v>0</v>
      </c>
      <c r="K380" s="70"/>
      <c r="L380" s="70"/>
    </row>
    <row r="381" spans="1:12" ht="15" customHeight="1" x14ac:dyDescent="0.25">
      <c r="A381" s="595"/>
      <c r="B381" s="595"/>
      <c r="C381" s="595"/>
      <c r="D381" s="595"/>
      <c r="E381" s="595"/>
      <c r="F381" s="595"/>
      <c r="G381" s="595" t="s">
        <v>2114</v>
      </c>
      <c r="H381" s="595"/>
      <c r="I381" s="595"/>
      <c r="J381" s="508">
        <v>0</v>
      </c>
      <c r="K381" s="70"/>
      <c r="L381" s="70"/>
    </row>
    <row r="382" spans="1:12" ht="15" customHeight="1" x14ac:dyDescent="0.25">
      <c r="A382" s="595"/>
      <c r="B382" s="595"/>
      <c r="C382" s="595"/>
      <c r="D382" s="595"/>
      <c r="E382" s="595"/>
      <c r="F382" s="595"/>
      <c r="G382" s="595" t="s">
        <v>2115</v>
      </c>
      <c r="H382" s="595"/>
      <c r="I382" s="595"/>
      <c r="J382" s="508">
        <v>0</v>
      </c>
      <c r="K382" s="70"/>
      <c r="L382" s="70"/>
    </row>
    <row r="383" spans="1:12" ht="15" customHeight="1" x14ac:dyDescent="0.25">
      <c r="A383" s="595"/>
      <c r="B383" s="595"/>
      <c r="C383" s="595"/>
      <c r="D383" s="595"/>
      <c r="E383" s="595"/>
      <c r="F383" s="595"/>
      <c r="G383" s="595" t="s">
        <v>2116</v>
      </c>
      <c r="H383" s="595"/>
      <c r="I383" s="595"/>
      <c r="J383" s="508">
        <v>1</v>
      </c>
      <c r="K383" s="70"/>
      <c r="L383" s="70"/>
    </row>
    <row r="384" spans="1:12" ht="15" customHeight="1" x14ac:dyDescent="0.25">
      <c r="A384" s="595"/>
      <c r="B384" s="595"/>
      <c r="C384" s="595"/>
      <c r="D384" s="595"/>
      <c r="E384" s="595"/>
      <c r="F384" s="595"/>
      <c r="G384" s="595" t="s">
        <v>2117</v>
      </c>
      <c r="H384" s="595"/>
      <c r="I384" s="595"/>
      <c r="J384" s="508">
        <v>0</v>
      </c>
      <c r="K384" s="70"/>
      <c r="L384" s="70"/>
    </row>
    <row r="385" spans="1:12" ht="16.5" x14ac:dyDescent="0.25">
      <c r="A385" s="419" t="s">
        <v>2118</v>
      </c>
      <c r="B385" s="421" t="s">
        <v>991</v>
      </c>
      <c r="C385" s="419" t="s">
        <v>76</v>
      </c>
      <c r="D385" s="419" t="s">
        <v>2119</v>
      </c>
      <c r="E385" s="421" t="s">
        <v>78</v>
      </c>
      <c r="F385" s="421" t="s">
        <v>1111</v>
      </c>
      <c r="G385" s="607" t="s">
        <v>1112</v>
      </c>
      <c r="H385" s="607"/>
      <c r="I385" s="607"/>
      <c r="J385" s="421" t="s">
        <v>2120</v>
      </c>
      <c r="K385" s="70"/>
      <c r="L385" s="70"/>
    </row>
    <row r="386" spans="1:12" ht="15" customHeight="1" x14ac:dyDescent="0.25">
      <c r="A386" s="501" t="s">
        <v>1732</v>
      </c>
      <c r="B386" s="502" t="s">
        <v>1168</v>
      </c>
      <c r="C386" s="501" t="s">
        <v>2121</v>
      </c>
      <c r="D386" s="501" t="s">
        <v>982</v>
      </c>
      <c r="E386" s="504">
        <v>1.4802815</v>
      </c>
      <c r="F386" s="503" t="s">
        <v>1114</v>
      </c>
      <c r="G386" s="608">
        <v>13567.96</v>
      </c>
      <c r="H386" s="608"/>
      <c r="I386" s="602"/>
      <c r="J386" s="509">
        <v>20084.400099999999</v>
      </c>
      <c r="K386" s="70"/>
      <c r="L386" s="70"/>
    </row>
    <row r="387" spans="1:12" ht="16.5" customHeight="1" x14ac:dyDescent="0.25">
      <c r="A387" s="595"/>
      <c r="B387" s="595"/>
      <c r="C387" s="595"/>
      <c r="D387" s="595"/>
      <c r="E387" s="595"/>
      <c r="F387" s="595"/>
      <c r="G387" s="595" t="s">
        <v>2122</v>
      </c>
      <c r="H387" s="595"/>
      <c r="I387" s="595"/>
      <c r="J387" s="508">
        <v>20084.400099999999</v>
      </c>
      <c r="K387" s="70"/>
      <c r="L387" s="70"/>
    </row>
    <row r="388" spans="1:12" ht="15.75" customHeight="1" x14ac:dyDescent="0.25">
      <c r="A388" s="445"/>
      <c r="B388" s="445"/>
      <c r="C388" s="445"/>
      <c r="D388" s="445"/>
      <c r="E388" s="445" t="s">
        <v>1735</v>
      </c>
      <c r="F388" s="506">
        <v>0</v>
      </c>
      <c r="G388" s="445" t="s">
        <v>1736</v>
      </c>
      <c r="H388" s="506">
        <v>0</v>
      </c>
      <c r="I388" s="445" t="s">
        <v>1737</v>
      </c>
      <c r="J388" s="506">
        <v>0</v>
      </c>
      <c r="K388" s="70"/>
      <c r="L388" s="70"/>
    </row>
    <row r="389" spans="1:12" ht="17.25" thickBot="1" x14ac:dyDescent="0.3">
      <c r="A389" s="445"/>
      <c r="B389" s="445"/>
      <c r="C389" s="445"/>
      <c r="D389" s="445"/>
      <c r="E389" s="445" t="s">
        <v>1738</v>
      </c>
      <c r="F389" s="506">
        <v>4948.79</v>
      </c>
      <c r="G389" s="445"/>
      <c r="H389" s="606" t="s">
        <v>1739</v>
      </c>
      <c r="I389" s="606"/>
      <c r="J389" s="506">
        <v>25033.19</v>
      </c>
      <c r="K389" s="70"/>
      <c r="L389" s="70"/>
    </row>
    <row r="390" spans="1:12" ht="17.25" thickTop="1" x14ac:dyDescent="0.25">
      <c r="A390" s="507"/>
      <c r="B390" s="507"/>
      <c r="C390" s="507"/>
      <c r="D390" s="507"/>
      <c r="E390" s="507"/>
      <c r="F390" s="507"/>
      <c r="G390" s="507"/>
      <c r="H390" s="507"/>
      <c r="I390" s="507"/>
      <c r="J390" s="507"/>
      <c r="K390" s="507"/>
      <c r="L390" s="70"/>
    </row>
    <row r="391" spans="1:12" ht="16.5" x14ac:dyDescent="0.25">
      <c r="A391" s="419" t="s">
        <v>1174</v>
      </c>
      <c r="B391" s="421" t="s">
        <v>76</v>
      </c>
      <c r="C391" s="419" t="s">
        <v>991</v>
      </c>
      <c r="D391" s="419" t="s">
        <v>191</v>
      </c>
      <c r="E391" s="603" t="s">
        <v>77</v>
      </c>
      <c r="F391" s="603"/>
      <c r="G391" s="420" t="s">
        <v>103</v>
      </c>
      <c r="H391" s="421" t="s">
        <v>147</v>
      </c>
      <c r="I391" s="421" t="s">
        <v>1731</v>
      </c>
      <c r="J391" s="421" t="s">
        <v>1117</v>
      </c>
      <c r="K391" s="421" t="s">
        <v>104</v>
      </c>
      <c r="L391" s="70"/>
    </row>
    <row r="392" spans="1:12" ht="38.25" customHeight="1" x14ac:dyDescent="0.25">
      <c r="A392" s="441" t="s">
        <v>79</v>
      </c>
      <c r="B392" s="480" t="s">
        <v>1175</v>
      </c>
      <c r="C392" s="441" t="s">
        <v>1168</v>
      </c>
      <c r="D392" s="441" t="s">
        <v>732</v>
      </c>
      <c r="E392" s="604" t="s">
        <v>2110</v>
      </c>
      <c r="F392" s="604"/>
      <c r="G392" s="443" t="s">
        <v>45</v>
      </c>
      <c r="H392" s="500">
        <v>1</v>
      </c>
      <c r="I392" s="442"/>
      <c r="J392" s="442">
        <v>80.02</v>
      </c>
      <c r="K392" s="442">
        <v>80.02</v>
      </c>
      <c r="L392" s="70"/>
    </row>
    <row r="393" spans="1:12" ht="38.25" customHeight="1" x14ac:dyDescent="0.25">
      <c r="A393" s="510" t="s">
        <v>2123</v>
      </c>
      <c r="B393" s="511" t="s">
        <v>2124</v>
      </c>
      <c r="C393" s="510" t="s">
        <v>1168</v>
      </c>
      <c r="D393" s="510" t="s">
        <v>2125</v>
      </c>
      <c r="E393" s="605" t="s">
        <v>2126</v>
      </c>
      <c r="F393" s="605"/>
      <c r="G393" s="512" t="s">
        <v>2127</v>
      </c>
      <c r="H393" s="513">
        <v>1.1661999999999999</v>
      </c>
      <c r="I393" s="513"/>
      <c r="J393" s="514">
        <v>24.35</v>
      </c>
      <c r="K393" s="514">
        <v>28.39</v>
      </c>
      <c r="L393" s="70"/>
    </row>
    <row r="394" spans="1:12" ht="25.5" customHeight="1" x14ac:dyDescent="0.25">
      <c r="A394" s="510" t="s">
        <v>2123</v>
      </c>
      <c r="B394" s="511" t="s">
        <v>2128</v>
      </c>
      <c r="C394" s="510" t="s">
        <v>1168</v>
      </c>
      <c r="D394" s="510" t="s">
        <v>2129</v>
      </c>
      <c r="E394" s="605" t="s">
        <v>2126</v>
      </c>
      <c r="F394" s="605"/>
      <c r="G394" s="512" t="s">
        <v>2130</v>
      </c>
      <c r="H394" s="513">
        <v>1.5122</v>
      </c>
      <c r="I394" s="513"/>
      <c r="J394" s="514">
        <v>27.01</v>
      </c>
      <c r="K394" s="514">
        <v>40.840000000000003</v>
      </c>
      <c r="L394" s="70"/>
    </row>
    <row r="395" spans="1:12" ht="25.5" x14ac:dyDescent="0.25">
      <c r="A395" s="501" t="s">
        <v>1732</v>
      </c>
      <c r="B395" s="502" t="s">
        <v>992</v>
      </c>
      <c r="C395" s="501" t="s">
        <v>993</v>
      </c>
      <c r="D395" s="501" t="s">
        <v>994</v>
      </c>
      <c r="E395" s="602" t="s">
        <v>972</v>
      </c>
      <c r="F395" s="602"/>
      <c r="G395" s="503" t="s">
        <v>81</v>
      </c>
      <c r="H395" s="504">
        <v>0.58730000000000004</v>
      </c>
      <c r="I395" s="504">
        <v>0</v>
      </c>
      <c r="J395" s="505">
        <v>14.62</v>
      </c>
      <c r="K395" s="505">
        <v>8.58</v>
      </c>
      <c r="L395" s="70"/>
    </row>
    <row r="396" spans="1:12" ht="25.5" x14ac:dyDescent="0.25">
      <c r="A396" s="501" t="s">
        <v>1732</v>
      </c>
      <c r="B396" s="502" t="s">
        <v>1003</v>
      </c>
      <c r="C396" s="501" t="s">
        <v>993</v>
      </c>
      <c r="D396" s="501" t="s">
        <v>1004</v>
      </c>
      <c r="E396" s="602" t="s">
        <v>972</v>
      </c>
      <c r="F396" s="602"/>
      <c r="G396" s="503" t="s">
        <v>81</v>
      </c>
      <c r="H396" s="504">
        <v>9.4700000000000006E-2</v>
      </c>
      <c r="I396" s="504">
        <v>0</v>
      </c>
      <c r="J396" s="505">
        <v>23.41</v>
      </c>
      <c r="K396" s="505">
        <v>2.21</v>
      </c>
      <c r="L396" s="70"/>
    </row>
    <row r="397" spans="1:12" ht="15.75" customHeight="1" x14ac:dyDescent="0.25">
      <c r="A397" s="445"/>
      <c r="B397" s="445"/>
      <c r="C397" s="445"/>
      <c r="D397" s="445"/>
      <c r="E397" s="445" t="s">
        <v>1735</v>
      </c>
      <c r="F397" s="506">
        <v>73.489999999999995</v>
      </c>
      <c r="G397" s="445" t="s">
        <v>1736</v>
      </c>
      <c r="H397" s="506">
        <v>0</v>
      </c>
      <c r="I397" s="445" t="s">
        <v>1737</v>
      </c>
      <c r="J397" s="506">
        <v>73.489999999999995</v>
      </c>
      <c r="K397" s="70"/>
      <c r="L397" s="70"/>
    </row>
    <row r="398" spans="1:12" ht="17.25" thickBot="1" x14ac:dyDescent="0.3">
      <c r="A398" s="445"/>
      <c r="B398" s="445"/>
      <c r="C398" s="445"/>
      <c r="D398" s="445"/>
      <c r="E398" s="445" t="s">
        <v>1738</v>
      </c>
      <c r="F398" s="506">
        <v>19.716927999999999</v>
      </c>
      <c r="G398" s="445"/>
      <c r="H398" s="606" t="s">
        <v>1739</v>
      </c>
      <c r="I398" s="606"/>
      <c r="J398" s="506">
        <v>99.73</v>
      </c>
      <c r="K398" s="70"/>
      <c r="L398" s="70"/>
    </row>
    <row r="399" spans="1:12" ht="17.25" thickTop="1" x14ac:dyDescent="0.25">
      <c r="A399" s="507"/>
      <c r="B399" s="507"/>
      <c r="C399" s="507"/>
      <c r="D399" s="507"/>
      <c r="E399" s="507"/>
      <c r="F399" s="507"/>
      <c r="G399" s="507"/>
      <c r="H399" s="507"/>
      <c r="I399" s="507"/>
      <c r="J399" s="507"/>
      <c r="K399" s="507"/>
      <c r="L399" s="70"/>
    </row>
    <row r="400" spans="1:12" ht="16.5" x14ac:dyDescent="0.25">
      <c r="A400" s="419" t="s">
        <v>1176</v>
      </c>
      <c r="B400" s="421" t="s">
        <v>76</v>
      </c>
      <c r="C400" s="419" t="s">
        <v>991</v>
      </c>
      <c r="D400" s="419" t="s">
        <v>191</v>
      </c>
      <c r="E400" s="603" t="s">
        <v>77</v>
      </c>
      <c r="F400" s="603"/>
      <c r="G400" s="420" t="s">
        <v>103</v>
      </c>
      <c r="H400" s="421" t="s">
        <v>147</v>
      </c>
      <c r="I400" s="421" t="s">
        <v>1731</v>
      </c>
      <c r="J400" s="421" t="s">
        <v>1117</v>
      </c>
      <c r="K400" s="421" t="s">
        <v>104</v>
      </c>
      <c r="L400" s="70"/>
    </row>
    <row r="401" spans="1:12" ht="38.25" customHeight="1" x14ac:dyDescent="0.25">
      <c r="A401" s="441" t="s">
        <v>79</v>
      </c>
      <c r="B401" s="480" t="s">
        <v>1177</v>
      </c>
      <c r="C401" s="441" t="s">
        <v>1168</v>
      </c>
      <c r="D401" s="441" t="s">
        <v>739</v>
      </c>
      <c r="E401" s="604" t="s">
        <v>2110</v>
      </c>
      <c r="F401" s="604"/>
      <c r="G401" s="443" t="s">
        <v>45</v>
      </c>
      <c r="H401" s="500">
        <v>1</v>
      </c>
      <c r="I401" s="442"/>
      <c r="J401" s="442">
        <v>171.85</v>
      </c>
      <c r="K401" s="442">
        <v>171.85</v>
      </c>
      <c r="L401" s="70"/>
    </row>
    <row r="402" spans="1:12" ht="38.25" customHeight="1" x14ac:dyDescent="0.25">
      <c r="A402" s="510" t="s">
        <v>2123</v>
      </c>
      <c r="B402" s="511" t="s">
        <v>2124</v>
      </c>
      <c r="C402" s="510" t="s">
        <v>1168</v>
      </c>
      <c r="D402" s="510" t="s">
        <v>2125</v>
      </c>
      <c r="E402" s="605" t="s">
        <v>2126</v>
      </c>
      <c r="F402" s="605"/>
      <c r="G402" s="512" t="s">
        <v>2127</v>
      </c>
      <c r="H402" s="513">
        <v>2.504</v>
      </c>
      <c r="I402" s="513"/>
      <c r="J402" s="514">
        <v>24.35</v>
      </c>
      <c r="K402" s="514">
        <v>60.97</v>
      </c>
      <c r="L402" s="70"/>
    </row>
    <row r="403" spans="1:12" ht="25.5" customHeight="1" x14ac:dyDescent="0.25">
      <c r="A403" s="510" t="s">
        <v>2123</v>
      </c>
      <c r="B403" s="511" t="s">
        <v>2128</v>
      </c>
      <c r="C403" s="510" t="s">
        <v>1168</v>
      </c>
      <c r="D403" s="510" t="s">
        <v>2129</v>
      </c>
      <c r="E403" s="605" t="s">
        <v>2126</v>
      </c>
      <c r="F403" s="605"/>
      <c r="G403" s="512" t="s">
        <v>2130</v>
      </c>
      <c r="H403" s="513">
        <v>3.2467999999999999</v>
      </c>
      <c r="I403" s="513"/>
      <c r="J403" s="514">
        <v>27.01</v>
      </c>
      <c r="K403" s="514">
        <v>87.69</v>
      </c>
      <c r="L403" s="70"/>
    </row>
    <row r="404" spans="1:12" ht="25.5" x14ac:dyDescent="0.25">
      <c r="A404" s="501" t="s">
        <v>1732</v>
      </c>
      <c r="B404" s="502" t="s">
        <v>992</v>
      </c>
      <c r="C404" s="501" t="s">
        <v>993</v>
      </c>
      <c r="D404" s="501" t="s">
        <v>994</v>
      </c>
      <c r="E404" s="602" t="s">
        <v>972</v>
      </c>
      <c r="F404" s="602"/>
      <c r="G404" s="503" t="s">
        <v>81</v>
      </c>
      <c r="H404" s="504">
        <v>1.2608999999999999</v>
      </c>
      <c r="I404" s="504">
        <v>0</v>
      </c>
      <c r="J404" s="505">
        <v>14.62</v>
      </c>
      <c r="K404" s="505">
        <v>18.43</v>
      </c>
      <c r="L404" s="70"/>
    </row>
    <row r="405" spans="1:12" ht="25.5" x14ac:dyDescent="0.25">
      <c r="A405" s="501" t="s">
        <v>1732</v>
      </c>
      <c r="B405" s="502" t="s">
        <v>1003</v>
      </c>
      <c r="C405" s="501" t="s">
        <v>993</v>
      </c>
      <c r="D405" s="501" t="s">
        <v>1004</v>
      </c>
      <c r="E405" s="602" t="s">
        <v>972</v>
      </c>
      <c r="F405" s="602"/>
      <c r="G405" s="503" t="s">
        <v>81</v>
      </c>
      <c r="H405" s="504">
        <v>0.2034</v>
      </c>
      <c r="I405" s="504">
        <v>0</v>
      </c>
      <c r="J405" s="505">
        <v>23.41</v>
      </c>
      <c r="K405" s="505">
        <v>4.76</v>
      </c>
      <c r="L405" s="70"/>
    </row>
    <row r="406" spans="1:12" ht="15.75" customHeight="1" x14ac:dyDescent="0.25">
      <c r="A406" s="445"/>
      <c r="B406" s="445"/>
      <c r="C406" s="445"/>
      <c r="D406" s="445"/>
      <c r="E406" s="445" t="s">
        <v>1735</v>
      </c>
      <c r="F406" s="506">
        <v>157.80000000000001</v>
      </c>
      <c r="G406" s="445" t="s">
        <v>1736</v>
      </c>
      <c r="H406" s="506">
        <v>0</v>
      </c>
      <c r="I406" s="445" t="s">
        <v>1737</v>
      </c>
      <c r="J406" s="506">
        <v>157.80000000000001</v>
      </c>
      <c r="K406" s="70"/>
      <c r="L406" s="70"/>
    </row>
    <row r="407" spans="1:12" ht="17.25" thickBot="1" x14ac:dyDescent="0.3">
      <c r="A407" s="445"/>
      <c r="B407" s="445"/>
      <c r="C407" s="445"/>
      <c r="D407" s="445"/>
      <c r="E407" s="445" t="s">
        <v>1738</v>
      </c>
      <c r="F407" s="506">
        <v>42.34384</v>
      </c>
      <c r="G407" s="445"/>
      <c r="H407" s="606" t="s">
        <v>1739</v>
      </c>
      <c r="I407" s="606"/>
      <c r="J407" s="506">
        <v>214.19</v>
      </c>
      <c r="K407" s="70"/>
      <c r="L407" s="70"/>
    </row>
    <row r="408" spans="1:12" ht="17.25" thickTop="1" x14ac:dyDescent="0.25">
      <c r="A408" s="507"/>
      <c r="B408" s="507"/>
      <c r="C408" s="507"/>
      <c r="D408" s="507"/>
      <c r="E408" s="507"/>
      <c r="F408" s="507"/>
      <c r="G408" s="507"/>
      <c r="H408" s="507"/>
      <c r="I408" s="507"/>
      <c r="J408" s="507"/>
      <c r="K408" s="507"/>
      <c r="L408" s="70"/>
    </row>
    <row r="409" spans="1:12" ht="16.5" x14ac:dyDescent="0.25">
      <c r="A409" s="419" t="s">
        <v>1178</v>
      </c>
      <c r="B409" s="421" t="s">
        <v>76</v>
      </c>
      <c r="C409" s="419" t="s">
        <v>991</v>
      </c>
      <c r="D409" s="419" t="s">
        <v>191</v>
      </c>
      <c r="E409" s="603" t="s">
        <v>77</v>
      </c>
      <c r="F409" s="603"/>
      <c r="G409" s="420" t="s">
        <v>103</v>
      </c>
      <c r="H409" s="421" t="s">
        <v>147</v>
      </c>
      <c r="I409" s="421" t="s">
        <v>1731</v>
      </c>
      <c r="J409" s="421" t="s">
        <v>1117</v>
      </c>
      <c r="K409" s="421" t="s">
        <v>104</v>
      </c>
      <c r="L409" s="70"/>
    </row>
    <row r="410" spans="1:12" ht="25.5" x14ac:dyDescent="0.25">
      <c r="A410" s="441" t="s">
        <v>79</v>
      </c>
      <c r="B410" s="480" t="s">
        <v>1179</v>
      </c>
      <c r="C410" s="441" t="s">
        <v>993</v>
      </c>
      <c r="D410" s="441" t="s">
        <v>733</v>
      </c>
      <c r="E410" s="604">
        <v>201</v>
      </c>
      <c r="F410" s="604"/>
      <c r="G410" s="443" t="s">
        <v>41</v>
      </c>
      <c r="H410" s="500">
        <v>1</v>
      </c>
      <c r="I410" s="442"/>
      <c r="J410" s="442">
        <v>20.34</v>
      </c>
      <c r="K410" s="442">
        <v>20.34</v>
      </c>
      <c r="L410" s="70"/>
    </row>
    <row r="411" spans="1:12" ht="25.5" x14ac:dyDescent="0.25">
      <c r="A411" s="501" t="s">
        <v>1732</v>
      </c>
      <c r="B411" s="502" t="s">
        <v>1003</v>
      </c>
      <c r="C411" s="501" t="s">
        <v>993</v>
      </c>
      <c r="D411" s="501" t="s">
        <v>1004</v>
      </c>
      <c r="E411" s="602" t="s">
        <v>972</v>
      </c>
      <c r="F411" s="602"/>
      <c r="G411" s="503" t="s">
        <v>81</v>
      </c>
      <c r="H411" s="504">
        <v>0.12</v>
      </c>
      <c r="I411" s="504"/>
      <c r="J411" s="505">
        <v>23.41</v>
      </c>
      <c r="K411" s="505">
        <v>2.8</v>
      </c>
      <c r="L411" s="70"/>
    </row>
    <row r="412" spans="1:12" ht="25.5" x14ac:dyDescent="0.25">
      <c r="A412" s="501" t="s">
        <v>1732</v>
      </c>
      <c r="B412" s="502" t="s">
        <v>992</v>
      </c>
      <c r="C412" s="501" t="s">
        <v>993</v>
      </c>
      <c r="D412" s="501" t="s">
        <v>994</v>
      </c>
      <c r="E412" s="602" t="s">
        <v>972</v>
      </c>
      <c r="F412" s="602"/>
      <c r="G412" s="503" t="s">
        <v>81</v>
      </c>
      <c r="H412" s="504">
        <v>1.2</v>
      </c>
      <c r="I412" s="504"/>
      <c r="J412" s="505">
        <v>14.62</v>
      </c>
      <c r="K412" s="505">
        <v>17.54</v>
      </c>
      <c r="L412" s="70"/>
    </row>
    <row r="413" spans="1:12" ht="15.75" customHeight="1" x14ac:dyDescent="0.25">
      <c r="A413" s="445"/>
      <c r="B413" s="445"/>
      <c r="C413" s="445"/>
      <c r="D413" s="445"/>
      <c r="E413" s="445" t="s">
        <v>1735</v>
      </c>
      <c r="F413" s="506">
        <v>20.34</v>
      </c>
      <c r="G413" s="445" t="s">
        <v>1736</v>
      </c>
      <c r="H413" s="506">
        <v>0</v>
      </c>
      <c r="I413" s="445" t="s">
        <v>1737</v>
      </c>
      <c r="J413" s="506">
        <v>20.34</v>
      </c>
      <c r="K413" s="70"/>
      <c r="L413" s="70"/>
    </row>
    <row r="414" spans="1:12" ht="17.25" thickBot="1" x14ac:dyDescent="0.3">
      <c r="A414" s="445"/>
      <c r="B414" s="445"/>
      <c r="C414" s="445"/>
      <c r="D414" s="445"/>
      <c r="E414" s="445" t="s">
        <v>1738</v>
      </c>
      <c r="F414" s="506">
        <v>5.0117760000000002</v>
      </c>
      <c r="G414" s="445"/>
      <c r="H414" s="606" t="s">
        <v>1739</v>
      </c>
      <c r="I414" s="606"/>
      <c r="J414" s="506">
        <v>25.35</v>
      </c>
      <c r="K414" s="70"/>
      <c r="L414" s="70"/>
    </row>
    <row r="415" spans="1:12" ht="17.25" thickTop="1" x14ac:dyDescent="0.25">
      <c r="A415" s="507"/>
      <c r="B415" s="507"/>
      <c r="C415" s="507"/>
      <c r="D415" s="507"/>
      <c r="E415" s="507"/>
      <c r="F415" s="507"/>
      <c r="G415" s="507"/>
      <c r="H415" s="507"/>
      <c r="I415" s="507"/>
      <c r="J415" s="507"/>
      <c r="K415" s="507"/>
      <c r="L415" s="70"/>
    </row>
    <row r="416" spans="1:12" ht="16.5" x14ac:dyDescent="0.25">
      <c r="A416" s="419" t="s">
        <v>1180</v>
      </c>
      <c r="B416" s="421" t="s">
        <v>76</v>
      </c>
      <c r="C416" s="419" t="s">
        <v>991</v>
      </c>
      <c r="D416" s="419" t="s">
        <v>191</v>
      </c>
      <c r="E416" s="603" t="s">
        <v>77</v>
      </c>
      <c r="F416" s="603"/>
      <c r="G416" s="420" t="s">
        <v>103</v>
      </c>
      <c r="H416" s="421" t="s">
        <v>147</v>
      </c>
      <c r="I416" s="421" t="s">
        <v>1731</v>
      </c>
      <c r="J416" s="421" t="s">
        <v>1117</v>
      </c>
      <c r="K416" s="421" t="s">
        <v>104</v>
      </c>
      <c r="L416" s="70"/>
    </row>
    <row r="417" spans="1:12" ht="38.25" customHeight="1" x14ac:dyDescent="0.25">
      <c r="A417" s="441" t="s">
        <v>79</v>
      </c>
      <c r="B417" s="480" t="s">
        <v>1181</v>
      </c>
      <c r="C417" s="441" t="s">
        <v>1168</v>
      </c>
      <c r="D417" s="441" t="s">
        <v>738</v>
      </c>
      <c r="E417" s="604" t="s">
        <v>2110</v>
      </c>
      <c r="F417" s="604"/>
      <c r="G417" s="443" t="s">
        <v>19</v>
      </c>
      <c r="H417" s="500">
        <v>1</v>
      </c>
      <c r="I417" s="442"/>
      <c r="J417" s="442">
        <v>21.11</v>
      </c>
      <c r="K417" s="442">
        <v>21.11</v>
      </c>
      <c r="L417" s="70"/>
    </row>
    <row r="418" spans="1:12" ht="38.25" customHeight="1" x14ac:dyDescent="0.25">
      <c r="A418" s="510" t="s">
        <v>2123</v>
      </c>
      <c r="B418" s="511" t="s">
        <v>2131</v>
      </c>
      <c r="C418" s="510" t="s">
        <v>1115</v>
      </c>
      <c r="D418" s="510" t="s">
        <v>2132</v>
      </c>
      <c r="E418" s="605" t="s">
        <v>2126</v>
      </c>
      <c r="F418" s="605"/>
      <c r="G418" s="512" t="s">
        <v>2127</v>
      </c>
      <c r="H418" s="513">
        <v>8.3599999999999994E-2</v>
      </c>
      <c r="I418" s="513"/>
      <c r="J418" s="514">
        <v>0.89</v>
      </c>
      <c r="K418" s="514">
        <v>7.0000000000000007E-2</v>
      </c>
      <c r="L418" s="70"/>
    </row>
    <row r="419" spans="1:12" ht="38.25" customHeight="1" x14ac:dyDescent="0.25">
      <c r="A419" s="510" t="s">
        <v>2123</v>
      </c>
      <c r="B419" s="511" t="s">
        <v>2133</v>
      </c>
      <c r="C419" s="510" t="s">
        <v>1168</v>
      </c>
      <c r="D419" s="510" t="s">
        <v>2134</v>
      </c>
      <c r="E419" s="605" t="s">
        <v>2126</v>
      </c>
      <c r="F419" s="605"/>
      <c r="G419" s="512" t="s">
        <v>2130</v>
      </c>
      <c r="H419" s="513">
        <v>3.2599999999999997E-2</v>
      </c>
      <c r="I419" s="513"/>
      <c r="J419" s="514">
        <v>209.43</v>
      </c>
      <c r="K419" s="514">
        <v>6.82</v>
      </c>
      <c r="L419" s="70"/>
    </row>
    <row r="420" spans="1:12" ht="38.25" customHeight="1" x14ac:dyDescent="0.25">
      <c r="A420" s="510" t="s">
        <v>2123</v>
      </c>
      <c r="B420" s="511" t="s">
        <v>2135</v>
      </c>
      <c r="C420" s="510" t="s">
        <v>1168</v>
      </c>
      <c r="D420" s="510" t="s">
        <v>2136</v>
      </c>
      <c r="E420" s="605" t="s">
        <v>2126</v>
      </c>
      <c r="F420" s="605"/>
      <c r="G420" s="512" t="s">
        <v>2130</v>
      </c>
      <c r="H420" s="513">
        <v>5.2400000000000002E-2</v>
      </c>
      <c r="I420" s="513"/>
      <c r="J420" s="514">
        <v>9.23</v>
      </c>
      <c r="K420" s="514">
        <v>0.48</v>
      </c>
      <c r="L420" s="70"/>
    </row>
    <row r="421" spans="1:12" ht="38.25" customHeight="1" x14ac:dyDescent="0.25">
      <c r="A421" s="510" t="s">
        <v>2123</v>
      </c>
      <c r="B421" s="511" t="s">
        <v>2137</v>
      </c>
      <c r="C421" s="510" t="s">
        <v>1168</v>
      </c>
      <c r="D421" s="510" t="s">
        <v>2138</v>
      </c>
      <c r="E421" s="605" t="s">
        <v>2126</v>
      </c>
      <c r="F421" s="605"/>
      <c r="G421" s="512" t="s">
        <v>2127</v>
      </c>
      <c r="H421" s="513">
        <v>8.9599999999999999E-2</v>
      </c>
      <c r="I421" s="513"/>
      <c r="J421" s="514">
        <v>89.95</v>
      </c>
      <c r="K421" s="514">
        <v>8.0500000000000007</v>
      </c>
      <c r="L421" s="70"/>
    </row>
    <row r="422" spans="1:12" ht="25.5" x14ac:dyDescent="0.25">
      <c r="A422" s="501" t="s">
        <v>1732</v>
      </c>
      <c r="B422" s="502" t="s">
        <v>1003</v>
      </c>
      <c r="C422" s="501" t="s">
        <v>993</v>
      </c>
      <c r="D422" s="501" t="s">
        <v>1004</v>
      </c>
      <c r="E422" s="602" t="s">
        <v>972</v>
      </c>
      <c r="F422" s="602"/>
      <c r="G422" s="503" t="s">
        <v>81</v>
      </c>
      <c r="H422" s="504">
        <v>0.24329999999999999</v>
      </c>
      <c r="I422" s="504">
        <v>0</v>
      </c>
      <c r="J422" s="505">
        <v>23.41</v>
      </c>
      <c r="K422" s="505">
        <v>5.69</v>
      </c>
      <c r="L422" s="70"/>
    </row>
    <row r="423" spans="1:12" ht="15.75" customHeight="1" x14ac:dyDescent="0.25">
      <c r="A423" s="445"/>
      <c r="B423" s="445"/>
      <c r="C423" s="445"/>
      <c r="D423" s="445"/>
      <c r="E423" s="445" t="s">
        <v>1735</v>
      </c>
      <c r="F423" s="506">
        <v>9.67</v>
      </c>
      <c r="G423" s="445" t="s">
        <v>1736</v>
      </c>
      <c r="H423" s="506">
        <v>0</v>
      </c>
      <c r="I423" s="445" t="s">
        <v>1737</v>
      </c>
      <c r="J423" s="506">
        <v>9.67</v>
      </c>
      <c r="K423" s="70"/>
      <c r="L423" s="70"/>
    </row>
    <row r="424" spans="1:12" ht="17.25" thickBot="1" x14ac:dyDescent="0.3">
      <c r="A424" s="445"/>
      <c r="B424" s="445"/>
      <c r="C424" s="445"/>
      <c r="D424" s="445"/>
      <c r="E424" s="445" t="s">
        <v>1738</v>
      </c>
      <c r="F424" s="506">
        <v>5.2015039999999999</v>
      </c>
      <c r="G424" s="445"/>
      <c r="H424" s="606" t="s">
        <v>1739</v>
      </c>
      <c r="I424" s="606"/>
      <c r="J424" s="506">
        <v>26.31</v>
      </c>
      <c r="K424" s="70"/>
      <c r="L424" s="70"/>
    </row>
    <row r="425" spans="1:12" ht="17.25" thickTop="1" x14ac:dyDescent="0.25">
      <c r="A425" s="507"/>
      <c r="B425" s="507"/>
      <c r="C425" s="507"/>
      <c r="D425" s="507"/>
      <c r="E425" s="507"/>
      <c r="F425" s="507"/>
      <c r="G425" s="507"/>
      <c r="H425" s="507"/>
      <c r="I425" s="507"/>
      <c r="J425" s="507"/>
      <c r="K425" s="507"/>
      <c r="L425" s="70"/>
    </row>
    <row r="426" spans="1:12" ht="16.5" x14ac:dyDescent="0.25">
      <c r="A426" s="419" t="s">
        <v>1182</v>
      </c>
      <c r="B426" s="421" t="s">
        <v>76</v>
      </c>
      <c r="C426" s="419" t="s">
        <v>991</v>
      </c>
      <c r="D426" s="419" t="s">
        <v>191</v>
      </c>
      <c r="E426" s="603" t="s">
        <v>77</v>
      </c>
      <c r="F426" s="603"/>
      <c r="G426" s="420" t="s">
        <v>103</v>
      </c>
      <c r="H426" s="421" t="s">
        <v>147</v>
      </c>
      <c r="I426" s="421" t="s">
        <v>1731</v>
      </c>
      <c r="J426" s="421" t="s">
        <v>1117</v>
      </c>
      <c r="K426" s="421" t="s">
        <v>104</v>
      </c>
      <c r="L426" s="70"/>
    </row>
    <row r="427" spans="1:12" ht="25.5" x14ac:dyDescent="0.25">
      <c r="A427" s="441" t="s">
        <v>79</v>
      </c>
      <c r="B427" s="480" t="s">
        <v>1183</v>
      </c>
      <c r="C427" s="441" t="s">
        <v>993</v>
      </c>
      <c r="D427" s="441" t="s">
        <v>1184</v>
      </c>
      <c r="E427" s="604">
        <v>301</v>
      </c>
      <c r="F427" s="604"/>
      <c r="G427" s="443" t="s">
        <v>45</v>
      </c>
      <c r="H427" s="500">
        <v>1</v>
      </c>
      <c r="I427" s="442"/>
      <c r="J427" s="442">
        <v>47.24</v>
      </c>
      <c r="K427" s="442">
        <v>47.24</v>
      </c>
      <c r="L427" s="70"/>
    </row>
    <row r="428" spans="1:12" ht="25.5" x14ac:dyDescent="0.25">
      <c r="A428" s="501" t="s">
        <v>1732</v>
      </c>
      <c r="B428" s="502" t="s">
        <v>992</v>
      </c>
      <c r="C428" s="501" t="s">
        <v>993</v>
      </c>
      <c r="D428" s="501" t="s">
        <v>994</v>
      </c>
      <c r="E428" s="602" t="s">
        <v>972</v>
      </c>
      <c r="F428" s="602"/>
      <c r="G428" s="503" t="s">
        <v>81</v>
      </c>
      <c r="H428" s="504">
        <v>0.72</v>
      </c>
      <c r="I428" s="504"/>
      <c r="J428" s="505">
        <v>14.62</v>
      </c>
      <c r="K428" s="505">
        <v>10.52</v>
      </c>
      <c r="L428" s="70"/>
    </row>
    <row r="429" spans="1:12" ht="25.5" x14ac:dyDescent="0.25">
      <c r="A429" s="501" t="s">
        <v>1732</v>
      </c>
      <c r="B429" s="502" t="s">
        <v>2139</v>
      </c>
      <c r="C429" s="501" t="s">
        <v>993</v>
      </c>
      <c r="D429" s="501" t="s">
        <v>2140</v>
      </c>
      <c r="E429" s="602" t="s">
        <v>1746</v>
      </c>
      <c r="F429" s="602"/>
      <c r="G429" s="503" t="s">
        <v>80</v>
      </c>
      <c r="H429" s="504">
        <v>0.4</v>
      </c>
      <c r="I429" s="504"/>
      <c r="J429" s="505">
        <v>91.82</v>
      </c>
      <c r="K429" s="505">
        <v>36.72</v>
      </c>
      <c r="L429" s="70"/>
    </row>
    <row r="430" spans="1:12" ht="15.75" customHeight="1" x14ac:dyDescent="0.25">
      <c r="A430" s="445"/>
      <c r="B430" s="445"/>
      <c r="C430" s="445"/>
      <c r="D430" s="445"/>
      <c r="E430" s="445" t="s">
        <v>1735</v>
      </c>
      <c r="F430" s="506">
        <v>10.52</v>
      </c>
      <c r="G430" s="445" t="s">
        <v>1736</v>
      </c>
      <c r="H430" s="506">
        <v>0</v>
      </c>
      <c r="I430" s="445" t="s">
        <v>1737</v>
      </c>
      <c r="J430" s="506">
        <v>10.52</v>
      </c>
      <c r="K430" s="70"/>
      <c r="L430" s="70"/>
    </row>
    <row r="431" spans="1:12" ht="17.25" thickBot="1" x14ac:dyDescent="0.3">
      <c r="A431" s="445"/>
      <c r="B431" s="445"/>
      <c r="C431" s="445"/>
      <c r="D431" s="445"/>
      <c r="E431" s="445" t="s">
        <v>1738</v>
      </c>
      <c r="F431" s="506">
        <v>11.639936000000001</v>
      </c>
      <c r="G431" s="445"/>
      <c r="H431" s="606" t="s">
        <v>1739</v>
      </c>
      <c r="I431" s="606"/>
      <c r="J431" s="506">
        <v>58.87</v>
      </c>
      <c r="K431" s="70"/>
      <c r="L431" s="70"/>
    </row>
    <row r="432" spans="1:12" ht="17.25" thickTop="1" x14ac:dyDescent="0.25">
      <c r="A432" s="507"/>
      <c r="B432" s="507"/>
      <c r="C432" s="507"/>
      <c r="D432" s="507"/>
      <c r="E432" s="507"/>
      <c r="F432" s="507"/>
      <c r="G432" s="507"/>
      <c r="H432" s="507"/>
      <c r="I432" s="507"/>
      <c r="J432" s="507"/>
      <c r="K432" s="507"/>
      <c r="L432" s="70"/>
    </row>
    <row r="433" spans="1:12" ht="16.5" x14ac:dyDescent="0.25">
      <c r="A433" s="419" t="s">
        <v>1186</v>
      </c>
      <c r="B433" s="421" t="s">
        <v>76</v>
      </c>
      <c r="C433" s="419" t="s">
        <v>991</v>
      </c>
      <c r="D433" s="419" t="s">
        <v>191</v>
      </c>
      <c r="E433" s="603" t="s">
        <v>77</v>
      </c>
      <c r="F433" s="603"/>
      <c r="G433" s="420" t="s">
        <v>103</v>
      </c>
      <c r="H433" s="421" t="s">
        <v>147</v>
      </c>
      <c r="I433" s="421" t="s">
        <v>1731</v>
      </c>
      <c r="J433" s="421" t="s">
        <v>1117</v>
      </c>
      <c r="K433" s="421" t="s">
        <v>104</v>
      </c>
      <c r="L433" s="70"/>
    </row>
    <row r="434" spans="1:12" ht="25.5" x14ac:dyDescent="0.25">
      <c r="A434" s="441" t="s">
        <v>79</v>
      </c>
      <c r="B434" s="480" t="s">
        <v>1187</v>
      </c>
      <c r="C434" s="441" t="s">
        <v>993</v>
      </c>
      <c r="D434" s="441" t="s">
        <v>671</v>
      </c>
      <c r="E434" s="604">
        <v>401</v>
      </c>
      <c r="F434" s="604"/>
      <c r="G434" s="443" t="s">
        <v>45</v>
      </c>
      <c r="H434" s="500">
        <v>1</v>
      </c>
      <c r="I434" s="442"/>
      <c r="J434" s="442">
        <v>37.51</v>
      </c>
      <c r="K434" s="442">
        <v>37.51</v>
      </c>
      <c r="L434" s="70"/>
    </row>
    <row r="435" spans="1:12" ht="25.5" x14ac:dyDescent="0.25">
      <c r="A435" s="501" t="s">
        <v>1732</v>
      </c>
      <c r="B435" s="502" t="s">
        <v>992</v>
      </c>
      <c r="C435" s="501" t="s">
        <v>993</v>
      </c>
      <c r="D435" s="501" t="s">
        <v>994</v>
      </c>
      <c r="E435" s="602" t="s">
        <v>972</v>
      </c>
      <c r="F435" s="602"/>
      <c r="G435" s="503" t="s">
        <v>81</v>
      </c>
      <c r="H435" s="504">
        <v>2.5659999999999998</v>
      </c>
      <c r="I435" s="504"/>
      <c r="J435" s="505">
        <v>14.62</v>
      </c>
      <c r="K435" s="505">
        <v>37.51</v>
      </c>
      <c r="L435" s="70"/>
    </row>
    <row r="436" spans="1:12" ht="15.75" customHeight="1" x14ac:dyDescent="0.25">
      <c r="A436" s="445"/>
      <c r="B436" s="445"/>
      <c r="C436" s="445"/>
      <c r="D436" s="445"/>
      <c r="E436" s="445" t="s">
        <v>1735</v>
      </c>
      <c r="F436" s="506">
        <v>37.51</v>
      </c>
      <c r="G436" s="445" t="s">
        <v>1736</v>
      </c>
      <c r="H436" s="506">
        <v>0</v>
      </c>
      <c r="I436" s="445" t="s">
        <v>1737</v>
      </c>
      <c r="J436" s="506">
        <v>37.51</v>
      </c>
      <c r="K436" s="70"/>
      <c r="L436" s="70"/>
    </row>
    <row r="437" spans="1:12" ht="17.25" thickBot="1" x14ac:dyDescent="0.3">
      <c r="A437" s="445"/>
      <c r="B437" s="445"/>
      <c r="C437" s="445"/>
      <c r="D437" s="445"/>
      <c r="E437" s="445" t="s">
        <v>1738</v>
      </c>
      <c r="F437" s="506">
        <v>9.242464</v>
      </c>
      <c r="G437" s="445"/>
      <c r="H437" s="606" t="s">
        <v>1739</v>
      </c>
      <c r="I437" s="606"/>
      <c r="J437" s="506">
        <v>46.75</v>
      </c>
      <c r="K437" s="70"/>
      <c r="L437" s="70"/>
    </row>
    <row r="438" spans="1:12" ht="17.25" thickTop="1" x14ac:dyDescent="0.25">
      <c r="A438" s="507"/>
      <c r="B438" s="507"/>
      <c r="C438" s="507"/>
      <c r="D438" s="507"/>
      <c r="E438" s="507"/>
      <c r="F438" s="507"/>
      <c r="G438" s="507"/>
      <c r="H438" s="507"/>
      <c r="I438" s="507"/>
      <c r="J438" s="507"/>
      <c r="K438" s="507"/>
      <c r="L438" s="70"/>
    </row>
    <row r="439" spans="1:12" ht="16.5" x14ac:dyDescent="0.25">
      <c r="A439" s="419" t="s">
        <v>1188</v>
      </c>
      <c r="B439" s="421" t="s">
        <v>76</v>
      </c>
      <c r="C439" s="419" t="s">
        <v>991</v>
      </c>
      <c r="D439" s="419" t="s">
        <v>191</v>
      </c>
      <c r="E439" s="603" t="s">
        <v>77</v>
      </c>
      <c r="F439" s="603"/>
      <c r="G439" s="420" t="s">
        <v>103</v>
      </c>
      <c r="H439" s="421" t="s">
        <v>147</v>
      </c>
      <c r="I439" s="421" t="s">
        <v>1731</v>
      </c>
      <c r="J439" s="421" t="s">
        <v>1117</v>
      </c>
      <c r="K439" s="421" t="s">
        <v>104</v>
      </c>
      <c r="L439" s="70"/>
    </row>
    <row r="440" spans="1:12" ht="25.5" x14ac:dyDescent="0.25">
      <c r="A440" s="441" t="s">
        <v>79</v>
      </c>
      <c r="B440" s="480" t="s">
        <v>1189</v>
      </c>
      <c r="C440" s="441" t="s">
        <v>993</v>
      </c>
      <c r="D440" s="441" t="s">
        <v>1190</v>
      </c>
      <c r="E440" s="604">
        <v>401</v>
      </c>
      <c r="F440" s="604"/>
      <c r="G440" s="443" t="s">
        <v>45</v>
      </c>
      <c r="H440" s="500">
        <v>1</v>
      </c>
      <c r="I440" s="442"/>
      <c r="J440" s="442">
        <v>47.5</v>
      </c>
      <c r="K440" s="442">
        <v>47.5</v>
      </c>
      <c r="L440" s="70"/>
    </row>
    <row r="441" spans="1:12" ht="25.5" x14ac:dyDescent="0.25">
      <c r="A441" s="501" t="s">
        <v>1732</v>
      </c>
      <c r="B441" s="502" t="s">
        <v>992</v>
      </c>
      <c r="C441" s="501" t="s">
        <v>993</v>
      </c>
      <c r="D441" s="501" t="s">
        <v>994</v>
      </c>
      <c r="E441" s="602" t="s">
        <v>972</v>
      </c>
      <c r="F441" s="602"/>
      <c r="G441" s="503" t="s">
        <v>81</v>
      </c>
      <c r="H441" s="504">
        <v>3.2490999999999999</v>
      </c>
      <c r="I441" s="504"/>
      <c r="J441" s="505">
        <v>14.62</v>
      </c>
      <c r="K441" s="505">
        <v>47.5</v>
      </c>
      <c r="L441" s="70"/>
    </row>
    <row r="442" spans="1:12" ht="15.75" customHeight="1" x14ac:dyDescent="0.25">
      <c r="A442" s="445"/>
      <c r="B442" s="445"/>
      <c r="C442" s="445"/>
      <c r="D442" s="445"/>
      <c r="E442" s="445" t="s">
        <v>1735</v>
      </c>
      <c r="F442" s="506">
        <v>47.5</v>
      </c>
      <c r="G442" s="445" t="s">
        <v>1736</v>
      </c>
      <c r="H442" s="506">
        <v>0</v>
      </c>
      <c r="I442" s="445" t="s">
        <v>1737</v>
      </c>
      <c r="J442" s="506">
        <v>47.5</v>
      </c>
      <c r="K442" s="70"/>
      <c r="L442" s="70"/>
    </row>
    <row r="443" spans="1:12" ht="17.25" thickBot="1" x14ac:dyDescent="0.3">
      <c r="A443" s="445"/>
      <c r="B443" s="445"/>
      <c r="C443" s="445"/>
      <c r="D443" s="445"/>
      <c r="E443" s="445" t="s">
        <v>1738</v>
      </c>
      <c r="F443" s="506">
        <v>11.704000000000001</v>
      </c>
      <c r="G443" s="445"/>
      <c r="H443" s="606" t="s">
        <v>1739</v>
      </c>
      <c r="I443" s="606"/>
      <c r="J443" s="506">
        <v>59.2</v>
      </c>
      <c r="K443" s="70"/>
      <c r="L443" s="70"/>
    </row>
    <row r="444" spans="1:12" ht="17.25" thickTop="1" x14ac:dyDescent="0.25">
      <c r="A444" s="507"/>
      <c r="B444" s="507"/>
      <c r="C444" s="507"/>
      <c r="D444" s="507"/>
      <c r="E444" s="507"/>
      <c r="F444" s="507"/>
      <c r="G444" s="507"/>
      <c r="H444" s="507"/>
      <c r="I444" s="507"/>
      <c r="J444" s="507"/>
      <c r="K444" s="507"/>
      <c r="L444" s="70"/>
    </row>
    <row r="445" spans="1:12" ht="16.5" x14ac:dyDescent="0.25">
      <c r="A445" s="419" t="s">
        <v>1191</v>
      </c>
      <c r="B445" s="421" t="s">
        <v>76</v>
      </c>
      <c r="C445" s="419" t="s">
        <v>991</v>
      </c>
      <c r="D445" s="419" t="s">
        <v>191</v>
      </c>
      <c r="E445" s="603" t="s">
        <v>77</v>
      </c>
      <c r="F445" s="603"/>
      <c r="G445" s="420" t="s">
        <v>103</v>
      </c>
      <c r="H445" s="421" t="s">
        <v>147</v>
      </c>
      <c r="I445" s="421" t="s">
        <v>1731</v>
      </c>
      <c r="J445" s="421" t="s">
        <v>1117</v>
      </c>
      <c r="K445" s="421" t="s">
        <v>104</v>
      </c>
      <c r="L445" s="70"/>
    </row>
    <row r="446" spans="1:12" ht="25.5" x14ac:dyDescent="0.25">
      <c r="A446" s="441" t="s">
        <v>79</v>
      </c>
      <c r="B446" s="480" t="s">
        <v>1192</v>
      </c>
      <c r="C446" s="441" t="s">
        <v>993</v>
      </c>
      <c r="D446" s="441" t="s">
        <v>1193</v>
      </c>
      <c r="E446" s="604">
        <v>410</v>
      </c>
      <c r="F446" s="604"/>
      <c r="G446" s="443" t="s">
        <v>45</v>
      </c>
      <c r="H446" s="500">
        <v>1</v>
      </c>
      <c r="I446" s="442"/>
      <c r="J446" s="442">
        <v>2.2200000000000002</v>
      </c>
      <c r="K446" s="442">
        <v>2.2200000000000002</v>
      </c>
      <c r="L446" s="70"/>
    </row>
    <row r="447" spans="1:12" ht="25.5" x14ac:dyDescent="0.25">
      <c r="A447" s="501" t="s">
        <v>1732</v>
      </c>
      <c r="B447" s="502" t="s">
        <v>2141</v>
      </c>
      <c r="C447" s="501" t="s">
        <v>993</v>
      </c>
      <c r="D447" s="501" t="s">
        <v>2142</v>
      </c>
      <c r="E447" s="602" t="s">
        <v>1746</v>
      </c>
      <c r="F447" s="602"/>
      <c r="G447" s="503" t="s">
        <v>45</v>
      </c>
      <c r="H447" s="504">
        <v>1</v>
      </c>
      <c r="I447" s="504"/>
      <c r="J447" s="505">
        <v>2.2200000000000002</v>
      </c>
      <c r="K447" s="505">
        <v>2.2200000000000002</v>
      </c>
      <c r="L447" s="70"/>
    </row>
    <row r="448" spans="1:12" ht="15.75" customHeight="1" x14ac:dyDescent="0.25">
      <c r="A448" s="445"/>
      <c r="B448" s="445"/>
      <c r="C448" s="445"/>
      <c r="D448" s="445"/>
      <c r="E448" s="445" t="s">
        <v>1735</v>
      </c>
      <c r="F448" s="506">
        <v>0</v>
      </c>
      <c r="G448" s="445" t="s">
        <v>1736</v>
      </c>
      <c r="H448" s="506">
        <v>0</v>
      </c>
      <c r="I448" s="445" t="s">
        <v>1737</v>
      </c>
      <c r="J448" s="506">
        <v>0</v>
      </c>
      <c r="K448" s="70"/>
      <c r="L448" s="70"/>
    </row>
    <row r="449" spans="1:12" ht="17.25" thickBot="1" x14ac:dyDescent="0.3">
      <c r="A449" s="445"/>
      <c r="B449" s="445"/>
      <c r="C449" s="445"/>
      <c r="D449" s="445"/>
      <c r="E449" s="445" t="s">
        <v>1738</v>
      </c>
      <c r="F449" s="506">
        <v>0.54700800000000005</v>
      </c>
      <c r="G449" s="445"/>
      <c r="H449" s="606" t="s">
        <v>1739</v>
      </c>
      <c r="I449" s="606"/>
      <c r="J449" s="506">
        <v>2.76</v>
      </c>
      <c r="K449" s="70"/>
      <c r="L449" s="70"/>
    </row>
    <row r="450" spans="1:12" ht="17.25" thickTop="1" x14ac:dyDescent="0.25">
      <c r="A450" s="507"/>
      <c r="B450" s="507"/>
      <c r="C450" s="507"/>
      <c r="D450" s="507"/>
      <c r="E450" s="507"/>
      <c r="F450" s="507"/>
      <c r="G450" s="507"/>
      <c r="H450" s="507"/>
      <c r="I450" s="507"/>
      <c r="J450" s="507"/>
      <c r="K450" s="507"/>
      <c r="L450" s="70"/>
    </row>
    <row r="451" spans="1:12" ht="16.5" x14ac:dyDescent="0.25">
      <c r="A451" s="419" t="s">
        <v>1194</v>
      </c>
      <c r="B451" s="421" t="s">
        <v>76</v>
      </c>
      <c r="C451" s="419" t="s">
        <v>991</v>
      </c>
      <c r="D451" s="419" t="s">
        <v>191</v>
      </c>
      <c r="E451" s="603" t="s">
        <v>77</v>
      </c>
      <c r="F451" s="603"/>
      <c r="G451" s="420" t="s">
        <v>103</v>
      </c>
      <c r="H451" s="421" t="s">
        <v>147</v>
      </c>
      <c r="I451" s="421" t="s">
        <v>1731</v>
      </c>
      <c r="J451" s="421" t="s">
        <v>1117</v>
      </c>
      <c r="K451" s="421" t="s">
        <v>104</v>
      </c>
      <c r="L451" s="70"/>
    </row>
    <row r="452" spans="1:12" ht="25.5" x14ac:dyDescent="0.25">
      <c r="A452" s="441" t="s">
        <v>79</v>
      </c>
      <c r="B452" s="480" t="s">
        <v>1195</v>
      </c>
      <c r="C452" s="441" t="s">
        <v>993</v>
      </c>
      <c r="D452" s="441" t="s">
        <v>273</v>
      </c>
      <c r="E452" s="604">
        <v>509</v>
      </c>
      <c r="F452" s="604"/>
      <c r="G452" s="443" t="s">
        <v>45</v>
      </c>
      <c r="H452" s="500">
        <v>1</v>
      </c>
      <c r="I452" s="442"/>
      <c r="J452" s="442">
        <v>47.5</v>
      </c>
      <c r="K452" s="442">
        <v>47.5</v>
      </c>
      <c r="L452" s="70"/>
    </row>
    <row r="453" spans="1:12" ht="25.5" x14ac:dyDescent="0.25">
      <c r="A453" s="501" t="s">
        <v>1732</v>
      </c>
      <c r="B453" s="502" t="s">
        <v>992</v>
      </c>
      <c r="C453" s="501" t="s">
        <v>993</v>
      </c>
      <c r="D453" s="501" t="s">
        <v>994</v>
      </c>
      <c r="E453" s="602" t="s">
        <v>972</v>
      </c>
      <c r="F453" s="602"/>
      <c r="G453" s="503" t="s">
        <v>81</v>
      </c>
      <c r="H453" s="504">
        <v>3.2490999999999999</v>
      </c>
      <c r="I453" s="504"/>
      <c r="J453" s="505">
        <v>14.62</v>
      </c>
      <c r="K453" s="505">
        <v>47.5</v>
      </c>
      <c r="L453" s="70"/>
    </row>
    <row r="454" spans="1:12" ht="15.75" customHeight="1" x14ac:dyDescent="0.25">
      <c r="A454" s="445"/>
      <c r="B454" s="445"/>
      <c r="C454" s="445"/>
      <c r="D454" s="445"/>
      <c r="E454" s="445" t="s">
        <v>1735</v>
      </c>
      <c r="F454" s="506">
        <v>47.5</v>
      </c>
      <c r="G454" s="445" t="s">
        <v>1736</v>
      </c>
      <c r="H454" s="506">
        <v>0</v>
      </c>
      <c r="I454" s="445" t="s">
        <v>1737</v>
      </c>
      <c r="J454" s="506">
        <v>47.5</v>
      </c>
      <c r="K454" s="70"/>
      <c r="L454" s="70"/>
    </row>
    <row r="455" spans="1:12" ht="17.25" thickBot="1" x14ac:dyDescent="0.3">
      <c r="A455" s="445"/>
      <c r="B455" s="445"/>
      <c r="C455" s="445"/>
      <c r="D455" s="445"/>
      <c r="E455" s="445" t="s">
        <v>1738</v>
      </c>
      <c r="F455" s="506">
        <v>11.704000000000001</v>
      </c>
      <c r="G455" s="445"/>
      <c r="H455" s="606" t="s">
        <v>1739</v>
      </c>
      <c r="I455" s="606"/>
      <c r="J455" s="506">
        <v>59.2</v>
      </c>
      <c r="K455" s="70"/>
      <c r="L455" s="70"/>
    </row>
    <row r="456" spans="1:12" ht="17.25" thickTop="1" x14ac:dyDescent="0.25">
      <c r="A456" s="507"/>
      <c r="B456" s="507"/>
      <c r="C456" s="507"/>
      <c r="D456" s="507"/>
      <c r="E456" s="507"/>
      <c r="F456" s="507"/>
      <c r="G456" s="507"/>
      <c r="H456" s="507"/>
      <c r="I456" s="507"/>
      <c r="J456" s="507"/>
      <c r="K456" s="507"/>
      <c r="L456" s="70"/>
    </row>
    <row r="457" spans="1:12" ht="16.5" x14ac:dyDescent="0.25">
      <c r="A457" s="419" t="s">
        <v>1196</v>
      </c>
      <c r="B457" s="421" t="s">
        <v>76</v>
      </c>
      <c r="C457" s="419" t="s">
        <v>991</v>
      </c>
      <c r="D457" s="419" t="s">
        <v>191</v>
      </c>
      <c r="E457" s="603" t="s">
        <v>77</v>
      </c>
      <c r="F457" s="603"/>
      <c r="G457" s="420" t="s">
        <v>103</v>
      </c>
      <c r="H457" s="421" t="s">
        <v>147</v>
      </c>
      <c r="I457" s="421" t="s">
        <v>1731</v>
      </c>
      <c r="J457" s="421" t="s">
        <v>1117</v>
      </c>
      <c r="K457" s="421" t="s">
        <v>104</v>
      </c>
      <c r="L457" s="70"/>
    </row>
    <row r="458" spans="1:12" ht="25.5" x14ac:dyDescent="0.25">
      <c r="A458" s="441" t="s">
        <v>79</v>
      </c>
      <c r="B458" s="480" t="s">
        <v>1197</v>
      </c>
      <c r="C458" s="441" t="s">
        <v>993</v>
      </c>
      <c r="D458" s="441" t="s">
        <v>221</v>
      </c>
      <c r="E458" s="604">
        <v>410</v>
      </c>
      <c r="F458" s="604"/>
      <c r="G458" s="443" t="s">
        <v>19</v>
      </c>
      <c r="H458" s="500">
        <v>1</v>
      </c>
      <c r="I458" s="442"/>
      <c r="J458" s="442">
        <v>5.84</v>
      </c>
      <c r="K458" s="442">
        <v>5.84</v>
      </c>
      <c r="L458" s="70"/>
    </row>
    <row r="459" spans="1:12" ht="25.5" x14ac:dyDescent="0.25">
      <c r="A459" s="501" t="s">
        <v>1732</v>
      </c>
      <c r="B459" s="502" t="s">
        <v>992</v>
      </c>
      <c r="C459" s="501" t="s">
        <v>993</v>
      </c>
      <c r="D459" s="501" t="s">
        <v>994</v>
      </c>
      <c r="E459" s="602" t="s">
        <v>972</v>
      </c>
      <c r="F459" s="602"/>
      <c r="G459" s="503" t="s">
        <v>81</v>
      </c>
      <c r="H459" s="504">
        <v>0.4</v>
      </c>
      <c r="I459" s="504"/>
      <c r="J459" s="505">
        <v>14.62</v>
      </c>
      <c r="K459" s="505">
        <v>5.84</v>
      </c>
      <c r="L459" s="70"/>
    </row>
    <row r="460" spans="1:12" ht="15.75" customHeight="1" x14ac:dyDescent="0.25">
      <c r="A460" s="445"/>
      <c r="B460" s="445"/>
      <c r="C460" s="445"/>
      <c r="D460" s="445"/>
      <c r="E460" s="445" t="s">
        <v>1735</v>
      </c>
      <c r="F460" s="506">
        <v>5.84</v>
      </c>
      <c r="G460" s="445" t="s">
        <v>1736</v>
      </c>
      <c r="H460" s="506">
        <v>0</v>
      </c>
      <c r="I460" s="445" t="s">
        <v>1737</v>
      </c>
      <c r="J460" s="506">
        <v>5.84</v>
      </c>
      <c r="K460" s="70"/>
      <c r="L460" s="70"/>
    </row>
    <row r="461" spans="1:12" ht="17.25" thickBot="1" x14ac:dyDescent="0.3">
      <c r="A461" s="445"/>
      <c r="B461" s="445"/>
      <c r="C461" s="445"/>
      <c r="D461" s="445"/>
      <c r="E461" s="445" t="s">
        <v>1738</v>
      </c>
      <c r="F461" s="506">
        <v>1.438976</v>
      </c>
      <c r="G461" s="445"/>
      <c r="H461" s="606" t="s">
        <v>1739</v>
      </c>
      <c r="I461" s="606"/>
      <c r="J461" s="506">
        <v>7.27</v>
      </c>
      <c r="K461" s="70"/>
      <c r="L461" s="70"/>
    </row>
    <row r="462" spans="1:12" ht="17.25" thickTop="1" x14ac:dyDescent="0.25">
      <c r="A462" s="507"/>
      <c r="B462" s="507"/>
      <c r="C462" s="507"/>
      <c r="D462" s="507"/>
      <c r="E462" s="507"/>
      <c r="F462" s="507"/>
      <c r="G462" s="507"/>
      <c r="H462" s="507"/>
      <c r="I462" s="507"/>
      <c r="J462" s="507"/>
      <c r="K462" s="507"/>
      <c r="L462" s="70"/>
    </row>
    <row r="463" spans="1:12" ht="16.5" x14ac:dyDescent="0.25">
      <c r="A463" s="419" t="s">
        <v>1198</v>
      </c>
      <c r="B463" s="421" t="s">
        <v>76</v>
      </c>
      <c r="C463" s="419" t="s">
        <v>991</v>
      </c>
      <c r="D463" s="419" t="s">
        <v>191</v>
      </c>
      <c r="E463" s="603" t="s">
        <v>77</v>
      </c>
      <c r="F463" s="603"/>
      <c r="G463" s="420" t="s">
        <v>103</v>
      </c>
      <c r="H463" s="421" t="s">
        <v>147</v>
      </c>
      <c r="I463" s="421" t="s">
        <v>1731</v>
      </c>
      <c r="J463" s="421" t="s">
        <v>1117</v>
      </c>
      <c r="K463" s="421" t="s">
        <v>104</v>
      </c>
      <c r="L463" s="70"/>
    </row>
    <row r="464" spans="1:12" ht="25.5" x14ac:dyDescent="0.25">
      <c r="A464" s="441" t="s">
        <v>79</v>
      </c>
      <c r="B464" s="480" t="s">
        <v>1199</v>
      </c>
      <c r="C464" s="441" t="s">
        <v>993</v>
      </c>
      <c r="D464" s="441" t="s">
        <v>224</v>
      </c>
      <c r="E464" s="604">
        <v>411</v>
      </c>
      <c r="F464" s="604"/>
      <c r="G464" s="443" t="s">
        <v>45</v>
      </c>
      <c r="H464" s="500">
        <v>1</v>
      </c>
      <c r="I464" s="442"/>
      <c r="J464" s="442">
        <v>18.96</v>
      </c>
      <c r="K464" s="442">
        <v>18.96</v>
      </c>
      <c r="L464" s="70"/>
    </row>
    <row r="465" spans="1:12" ht="25.5" x14ac:dyDescent="0.25">
      <c r="A465" s="501" t="s">
        <v>1732</v>
      </c>
      <c r="B465" s="502" t="s">
        <v>2143</v>
      </c>
      <c r="C465" s="501" t="s">
        <v>993</v>
      </c>
      <c r="D465" s="501" t="s">
        <v>2144</v>
      </c>
      <c r="E465" s="602" t="s">
        <v>1746</v>
      </c>
      <c r="F465" s="602"/>
      <c r="G465" s="503" t="s">
        <v>45</v>
      </c>
      <c r="H465" s="504">
        <v>1.25</v>
      </c>
      <c r="I465" s="504"/>
      <c r="J465" s="505">
        <v>15.17</v>
      </c>
      <c r="K465" s="505">
        <v>18.96</v>
      </c>
      <c r="L465" s="70"/>
    </row>
    <row r="466" spans="1:12" ht="15.75" customHeight="1" x14ac:dyDescent="0.25">
      <c r="A466" s="445"/>
      <c r="B466" s="445"/>
      <c r="C466" s="445"/>
      <c r="D466" s="445"/>
      <c r="E466" s="445" t="s">
        <v>1735</v>
      </c>
      <c r="F466" s="506">
        <v>0</v>
      </c>
      <c r="G466" s="445" t="s">
        <v>1736</v>
      </c>
      <c r="H466" s="506">
        <v>0</v>
      </c>
      <c r="I466" s="445" t="s">
        <v>1737</v>
      </c>
      <c r="J466" s="506">
        <v>0</v>
      </c>
      <c r="K466" s="70"/>
      <c r="L466" s="70"/>
    </row>
    <row r="467" spans="1:12" ht="17.25" thickBot="1" x14ac:dyDescent="0.3">
      <c r="A467" s="445"/>
      <c r="B467" s="445"/>
      <c r="C467" s="445"/>
      <c r="D467" s="445"/>
      <c r="E467" s="445" t="s">
        <v>1738</v>
      </c>
      <c r="F467" s="506">
        <v>4.6717440000000003</v>
      </c>
      <c r="G467" s="445"/>
      <c r="H467" s="606" t="s">
        <v>1739</v>
      </c>
      <c r="I467" s="606"/>
      <c r="J467" s="506">
        <v>23.63</v>
      </c>
      <c r="K467" s="70"/>
      <c r="L467" s="70"/>
    </row>
    <row r="468" spans="1:12" ht="17.25" thickTop="1" x14ac:dyDescent="0.25">
      <c r="A468" s="507"/>
      <c r="B468" s="507"/>
      <c r="C468" s="507"/>
      <c r="D468" s="507"/>
      <c r="E468" s="507"/>
      <c r="F468" s="507"/>
      <c r="G468" s="507"/>
      <c r="H468" s="507"/>
      <c r="I468" s="507"/>
      <c r="J468" s="507"/>
      <c r="K468" s="507"/>
      <c r="L468" s="70"/>
    </row>
    <row r="469" spans="1:12" ht="16.5" x14ac:dyDescent="0.25">
      <c r="A469" s="419" t="s">
        <v>1200</v>
      </c>
      <c r="B469" s="421" t="s">
        <v>76</v>
      </c>
      <c r="C469" s="419" t="s">
        <v>991</v>
      </c>
      <c r="D469" s="419" t="s">
        <v>191</v>
      </c>
      <c r="E469" s="603" t="s">
        <v>77</v>
      </c>
      <c r="F469" s="603"/>
      <c r="G469" s="420" t="s">
        <v>103</v>
      </c>
      <c r="H469" s="421" t="s">
        <v>147</v>
      </c>
      <c r="I469" s="421" t="s">
        <v>1731</v>
      </c>
      <c r="J469" s="421" t="s">
        <v>1117</v>
      </c>
      <c r="K469" s="421" t="s">
        <v>104</v>
      </c>
      <c r="L469" s="70"/>
    </row>
    <row r="470" spans="1:12" ht="25.5" x14ac:dyDescent="0.25">
      <c r="A470" s="441" t="s">
        <v>79</v>
      </c>
      <c r="B470" s="480" t="s">
        <v>1201</v>
      </c>
      <c r="C470" s="441" t="s">
        <v>993</v>
      </c>
      <c r="D470" s="441" t="s">
        <v>230</v>
      </c>
      <c r="E470" s="604">
        <v>410</v>
      </c>
      <c r="F470" s="604"/>
      <c r="G470" s="443" t="s">
        <v>1202</v>
      </c>
      <c r="H470" s="500">
        <v>1</v>
      </c>
      <c r="I470" s="442"/>
      <c r="J470" s="442">
        <v>2.64</v>
      </c>
      <c r="K470" s="442">
        <v>2.64</v>
      </c>
      <c r="L470" s="70"/>
    </row>
    <row r="471" spans="1:12" ht="25.5" x14ac:dyDescent="0.25">
      <c r="A471" s="501" t="s">
        <v>1732</v>
      </c>
      <c r="B471" s="502" t="s">
        <v>2145</v>
      </c>
      <c r="C471" s="501" t="s">
        <v>993</v>
      </c>
      <c r="D471" s="501" t="s">
        <v>2146</v>
      </c>
      <c r="E471" s="602" t="s">
        <v>1746</v>
      </c>
      <c r="F471" s="602"/>
      <c r="G471" s="503" t="s">
        <v>1202</v>
      </c>
      <c r="H471" s="504">
        <v>1</v>
      </c>
      <c r="I471" s="504"/>
      <c r="J471" s="505">
        <v>2.64</v>
      </c>
      <c r="K471" s="505">
        <v>2.64</v>
      </c>
      <c r="L471" s="70"/>
    </row>
    <row r="472" spans="1:12" ht="15.75" customHeight="1" x14ac:dyDescent="0.25">
      <c r="A472" s="445"/>
      <c r="B472" s="445"/>
      <c r="C472" s="445"/>
      <c r="D472" s="445"/>
      <c r="E472" s="445" t="s">
        <v>1735</v>
      </c>
      <c r="F472" s="506">
        <v>0</v>
      </c>
      <c r="G472" s="445" t="s">
        <v>1736</v>
      </c>
      <c r="H472" s="506">
        <v>0</v>
      </c>
      <c r="I472" s="445" t="s">
        <v>1737</v>
      </c>
      <c r="J472" s="506">
        <v>0</v>
      </c>
      <c r="K472" s="70"/>
      <c r="L472" s="70"/>
    </row>
    <row r="473" spans="1:12" ht="17.25" thickBot="1" x14ac:dyDescent="0.3">
      <c r="A473" s="445"/>
      <c r="B473" s="445"/>
      <c r="C473" s="445"/>
      <c r="D473" s="445"/>
      <c r="E473" s="445" t="s">
        <v>1738</v>
      </c>
      <c r="F473" s="506">
        <v>0.65049599999999996</v>
      </c>
      <c r="G473" s="445"/>
      <c r="H473" s="606" t="s">
        <v>1739</v>
      </c>
      <c r="I473" s="606"/>
      <c r="J473" s="506">
        <v>3.29</v>
      </c>
      <c r="K473" s="70"/>
      <c r="L473" s="70"/>
    </row>
    <row r="474" spans="1:12" ht="17.25" thickTop="1" x14ac:dyDescent="0.25">
      <c r="A474" s="507"/>
      <c r="B474" s="507"/>
      <c r="C474" s="507"/>
      <c r="D474" s="507"/>
      <c r="E474" s="507"/>
      <c r="F474" s="507"/>
      <c r="G474" s="507"/>
      <c r="H474" s="507"/>
      <c r="I474" s="507"/>
      <c r="J474" s="507"/>
      <c r="K474" s="507"/>
      <c r="L474" s="70"/>
    </row>
    <row r="475" spans="1:12" ht="16.5" x14ac:dyDescent="0.25">
      <c r="A475" s="419" t="s">
        <v>1203</v>
      </c>
      <c r="B475" s="421" t="s">
        <v>76</v>
      </c>
      <c r="C475" s="419" t="s">
        <v>991</v>
      </c>
      <c r="D475" s="419" t="s">
        <v>191</v>
      </c>
      <c r="E475" s="603" t="s">
        <v>77</v>
      </c>
      <c r="F475" s="603"/>
      <c r="G475" s="420" t="s">
        <v>103</v>
      </c>
      <c r="H475" s="421" t="s">
        <v>147</v>
      </c>
      <c r="I475" s="421" t="s">
        <v>1731</v>
      </c>
      <c r="J475" s="421" t="s">
        <v>1117</v>
      </c>
      <c r="K475" s="421" t="s">
        <v>104</v>
      </c>
      <c r="L475" s="70"/>
    </row>
    <row r="476" spans="1:12" ht="25.5" x14ac:dyDescent="0.25">
      <c r="A476" s="441" t="s">
        <v>79</v>
      </c>
      <c r="B476" s="480" t="s">
        <v>1204</v>
      </c>
      <c r="C476" s="441" t="s">
        <v>993</v>
      </c>
      <c r="D476" s="441" t="s">
        <v>233</v>
      </c>
      <c r="E476" s="604">
        <v>510</v>
      </c>
      <c r="F476" s="604"/>
      <c r="G476" s="443" t="s">
        <v>45</v>
      </c>
      <c r="H476" s="500">
        <v>1</v>
      </c>
      <c r="I476" s="442"/>
      <c r="J476" s="442">
        <v>215.03</v>
      </c>
      <c r="K476" s="442">
        <v>215.03</v>
      </c>
      <c r="L476" s="70"/>
    </row>
    <row r="477" spans="1:12" ht="25.5" x14ac:dyDescent="0.25">
      <c r="A477" s="501" t="s">
        <v>1732</v>
      </c>
      <c r="B477" s="502" t="s">
        <v>992</v>
      </c>
      <c r="C477" s="501" t="s">
        <v>993</v>
      </c>
      <c r="D477" s="501" t="s">
        <v>994</v>
      </c>
      <c r="E477" s="602" t="s">
        <v>972</v>
      </c>
      <c r="F477" s="602"/>
      <c r="G477" s="503" t="s">
        <v>81</v>
      </c>
      <c r="H477" s="504">
        <v>2</v>
      </c>
      <c r="I477" s="504"/>
      <c r="J477" s="505">
        <v>14.62</v>
      </c>
      <c r="K477" s="505">
        <v>29.24</v>
      </c>
      <c r="L477" s="70"/>
    </row>
    <row r="478" spans="1:12" ht="25.5" x14ac:dyDescent="0.25">
      <c r="A478" s="501" t="s">
        <v>1732</v>
      </c>
      <c r="B478" s="502" t="s">
        <v>2147</v>
      </c>
      <c r="C478" s="501" t="s">
        <v>993</v>
      </c>
      <c r="D478" s="501" t="s">
        <v>2148</v>
      </c>
      <c r="E478" s="602" t="s">
        <v>1746</v>
      </c>
      <c r="F478" s="602"/>
      <c r="G478" s="503" t="s">
        <v>45</v>
      </c>
      <c r="H478" s="504">
        <v>0.6</v>
      </c>
      <c r="I478" s="504"/>
      <c r="J478" s="505">
        <v>159.69999999999999</v>
      </c>
      <c r="K478" s="505">
        <v>95.82</v>
      </c>
      <c r="L478" s="70"/>
    </row>
    <row r="479" spans="1:12" ht="25.5" x14ac:dyDescent="0.25">
      <c r="A479" s="501" t="s">
        <v>1732</v>
      </c>
      <c r="B479" s="502" t="s">
        <v>1872</v>
      </c>
      <c r="C479" s="501" t="s">
        <v>993</v>
      </c>
      <c r="D479" s="501" t="s">
        <v>1873</v>
      </c>
      <c r="E479" s="602" t="s">
        <v>1746</v>
      </c>
      <c r="F479" s="602"/>
      <c r="G479" s="503" t="s">
        <v>45</v>
      </c>
      <c r="H479" s="504">
        <v>0.6</v>
      </c>
      <c r="I479" s="504"/>
      <c r="J479" s="505">
        <v>149.94999999999999</v>
      </c>
      <c r="K479" s="505">
        <v>89.97</v>
      </c>
      <c r="L479" s="70"/>
    </row>
    <row r="480" spans="1:12" ht="15.75" customHeight="1" x14ac:dyDescent="0.25">
      <c r="A480" s="445"/>
      <c r="B480" s="445"/>
      <c r="C480" s="445"/>
      <c r="D480" s="445"/>
      <c r="E480" s="445" t="s">
        <v>1735</v>
      </c>
      <c r="F480" s="506">
        <v>29.24</v>
      </c>
      <c r="G480" s="445" t="s">
        <v>1736</v>
      </c>
      <c r="H480" s="506">
        <v>0</v>
      </c>
      <c r="I480" s="445" t="s">
        <v>1737</v>
      </c>
      <c r="J480" s="506">
        <v>29.24</v>
      </c>
      <c r="K480" s="70"/>
      <c r="L480" s="70"/>
    </row>
    <row r="481" spans="1:12" ht="17.25" thickBot="1" x14ac:dyDescent="0.3">
      <c r="A481" s="445"/>
      <c r="B481" s="445"/>
      <c r="C481" s="445"/>
      <c r="D481" s="445"/>
      <c r="E481" s="445" t="s">
        <v>1738</v>
      </c>
      <c r="F481" s="506">
        <v>52.983392000000002</v>
      </c>
      <c r="G481" s="445"/>
      <c r="H481" s="606" t="s">
        <v>1739</v>
      </c>
      <c r="I481" s="606"/>
      <c r="J481" s="506">
        <v>268.01</v>
      </c>
      <c r="K481" s="70"/>
      <c r="L481" s="70"/>
    </row>
    <row r="482" spans="1:12" ht="17.25" thickTop="1" x14ac:dyDescent="0.25">
      <c r="A482" s="507"/>
      <c r="B482" s="507"/>
      <c r="C482" s="507"/>
      <c r="D482" s="507"/>
      <c r="E482" s="507"/>
      <c r="F482" s="507"/>
      <c r="G482" s="507"/>
      <c r="H482" s="507"/>
      <c r="I482" s="507"/>
      <c r="J482" s="507"/>
      <c r="K482" s="507"/>
      <c r="L482" s="70"/>
    </row>
    <row r="483" spans="1:12" ht="16.5" x14ac:dyDescent="0.25">
      <c r="A483" s="419" t="s">
        <v>1205</v>
      </c>
      <c r="B483" s="421" t="s">
        <v>76</v>
      </c>
      <c r="C483" s="419" t="s">
        <v>991</v>
      </c>
      <c r="D483" s="419" t="s">
        <v>191</v>
      </c>
      <c r="E483" s="603" t="s">
        <v>77</v>
      </c>
      <c r="F483" s="603"/>
      <c r="G483" s="420" t="s">
        <v>103</v>
      </c>
      <c r="H483" s="421" t="s">
        <v>147</v>
      </c>
      <c r="I483" s="421" t="s">
        <v>1731</v>
      </c>
      <c r="J483" s="421" t="s">
        <v>1117</v>
      </c>
      <c r="K483" s="421" t="s">
        <v>104</v>
      </c>
      <c r="L483" s="70"/>
    </row>
    <row r="484" spans="1:12" ht="25.5" x14ac:dyDescent="0.25">
      <c r="A484" s="441" t="s">
        <v>79</v>
      </c>
      <c r="B484" s="480" t="s">
        <v>1206</v>
      </c>
      <c r="C484" s="441" t="s">
        <v>993</v>
      </c>
      <c r="D484" s="441" t="s">
        <v>237</v>
      </c>
      <c r="E484" s="604">
        <v>410</v>
      </c>
      <c r="F484" s="604"/>
      <c r="G484" s="443" t="s">
        <v>45</v>
      </c>
      <c r="H484" s="500">
        <v>1</v>
      </c>
      <c r="I484" s="442"/>
      <c r="J484" s="442">
        <v>6.93</v>
      </c>
      <c r="K484" s="442">
        <v>6.93</v>
      </c>
      <c r="L484" s="70"/>
    </row>
    <row r="485" spans="1:12" ht="25.5" x14ac:dyDescent="0.25">
      <c r="A485" s="501" t="s">
        <v>1732</v>
      </c>
      <c r="B485" s="502" t="s">
        <v>1003</v>
      </c>
      <c r="C485" s="501" t="s">
        <v>993</v>
      </c>
      <c r="D485" s="501" t="s">
        <v>1004</v>
      </c>
      <c r="E485" s="602" t="s">
        <v>972</v>
      </c>
      <c r="F485" s="602"/>
      <c r="G485" s="503" t="s">
        <v>81</v>
      </c>
      <c r="H485" s="504">
        <v>0.2142</v>
      </c>
      <c r="I485" s="504"/>
      <c r="J485" s="505">
        <v>23.41</v>
      </c>
      <c r="K485" s="505">
        <v>5.01</v>
      </c>
      <c r="L485" s="70"/>
    </row>
    <row r="486" spans="1:12" ht="25.5" x14ac:dyDescent="0.25">
      <c r="A486" s="501" t="s">
        <v>1732</v>
      </c>
      <c r="B486" s="502" t="s">
        <v>2149</v>
      </c>
      <c r="C486" s="501" t="s">
        <v>993</v>
      </c>
      <c r="D486" s="501" t="s">
        <v>2150</v>
      </c>
      <c r="E486" s="602" t="s">
        <v>1746</v>
      </c>
      <c r="F486" s="602"/>
      <c r="G486" s="503" t="s">
        <v>80</v>
      </c>
      <c r="H486" s="504">
        <v>0.2142</v>
      </c>
      <c r="I486" s="504"/>
      <c r="J486" s="505">
        <v>9</v>
      </c>
      <c r="K486" s="505">
        <v>1.92</v>
      </c>
      <c r="L486" s="70"/>
    </row>
    <row r="487" spans="1:12" ht="15.75" customHeight="1" x14ac:dyDescent="0.25">
      <c r="A487" s="445"/>
      <c r="B487" s="445"/>
      <c r="C487" s="445"/>
      <c r="D487" s="445"/>
      <c r="E487" s="445" t="s">
        <v>1735</v>
      </c>
      <c r="F487" s="506">
        <v>5.01</v>
      </c>
      <c r="G487" s="445" t="s">
        <v>1736</v>
      </c>
      <c r="H487" s="506">
        <v>0</v>
      </c>
      <c r="I487" s="445" t="s">
        <v>1737</v>
      </c>
      <c r="J487" s="506">
        <v>5.01</v>
      </c>
      <c r="K487" s="70"/>
      <c r="L487" s="70"/>
    </row>
    <row r="488" spans="1:12" ht="17.25" thickBot="1" x14ac:dyDescent="0.3">
      <c r="A488" s="445"/>
      <c r="B488" s="445"/>
      <c r="C488" s="445"/>
      <c r="D488" s="445"/>
      <c r="E488" s="445" t="s">
        <v>1738</v>
      </c>
      <c r="F488" s="506">
        <v>1.707552</v>
      </c>
      <c r="G488" s="445"/>
      <c r="H488" s="606" t="s">
        <v>1739</v>
      </c>
      <c r="I488" s="606"/>
      <c r="J488" s="506">
        <v>8.6300000000000008</v>
      </c>
      <c r="K488" s="70"/>
      <c r="L488" s="70"/>
    </row>
    <row r="489" spans="1:12" ht="17.25" thickTop="1" x14ac:dyDescent="0.25">
      <c r="A489" s="507"/>
      <c r="B489" s="507"/>
      <c r="C489" s="507"/>
      <c r="D489" s="507"/>
      <c r="E489" s="507"/>
      <c r="F489" s="507"/>
      <c r="G489" s="507"/>
      <c r="H489" s="507"/>
      <c r="I489" s="507"/>
      <c r="J489" s="507"/>
      <c r="K489" s="507"/>
      <c r="L489" s="70"/>
    </row>
    <row r="490" spans="1:12" ht="16.5" x14ac:dyDescent="0.25">
      <c r="A490" s="419" t="s">
        <v>1207</v>
      </c>
      <c r="B490" s="421" t="s">
        <v>76</v>
      </c>
      <c r="C490" s="419" t="s">
        <v>991</v>
      </c>
      <c r="D490" s="419" t="s">
        <v>191</v>
      </c>
      <c r="E490" s="603" t="s">
        <v>77</v>
      </c>
      <c r="F490" s="603"/>
      <c r="G490" s="420" t="s">
        <v>103</v>
      </c>
      <c r="H490" s="421" t="s">
        <v>147</v>
      </c>
      <c r="I490" s="421" t="s">
        <v>1731</v>
      </c>
      <c r="J490" s="421" t="s">
        <v>1117</v>
      </c>
      <c r="K490" s="421" t="s">
        <v>104</v>
      </c>
      <c r="L490" s="70"/>
    </row>
    <row r="491" spans="1:12" ht="25.5" x14ac:dyDescent="0.25">
      <c r="A491" s="441" t="s">
        <v>79</v>
      </c>
      <c r="B491" s="480" t="s">
        <v>1208</v>
      </c>
      <c r="C491" s="441" t="s">
        <v>993</v>
      </c>
      <c r="D491" s="441" t="s">
        <v>279</v>
      </c>
      <c r="E491" s="604">
        <v>509</v>
      </c>
      <c r="F491" s="604"/>
      <c r="G491" s="443" t="s">
        <v>45</v>
      </c>
      <c r="H491" s="500">
        <v>1</v>
      </c>
      <c r="I491" s="442"/>
      <c r="J491" s="442">
        <v>4.07</v>
      </c>
      <c r="K491" s="442">
        <v>4.07</v>
      </c>
      <c r="L491" s="70"/>
    </row>
    <row r="492" spans="1:12" ht="25.5" x14ac:dyDescent="0.25">
      <c r="A492" s="501" t="s">
        <v>1732</v>
      </c>
      <c r="B492" s="502" t="s">
        <v>992</v>
      </c>
      <c r="C492" s="501" t="s">
        <v>993</v>
      </c>
      <c r="D492" s="501" t="s">
        <v>994</v>
      </c>
      <c r="E492" s="602" t="s">
        <v>972</v>
      </c>
      <c r="F492" s="602"/>
      <c r="G492" s="503" t="s">
        <v>81</v>
      </c>
      <c r="H492" s="504">
        <v>0.24249999999999999</v>
      </c>
      <c r="I492" s="504"/>
      <c r="J492" s="505">
        <v>14.62</v>
      </c>
      <c r="K492" s="505">
        <v>3.54</v>
      </c>
      <c r="L492" s="70"/>
    </row>
    <row r="493" spans="1:12" ht="25.5" x14ac:dyDescent="0.25">
      <c r="A493" s="501" t="s">
        <v>1732</v>
      </c>
      <c r="B493" s="502" t="s">
        <v>1754</v>
      </c>
      <c r="C493" s="501" t="s">
        <v>993</v>
      </c>
      <c r="D493" s="501" t="s">
        <v>1755</v>
      </c>
      <c r="E493" s="602" t="s">
        <v>1746</v>
      </c>
      <c r="F493" s="602"/>
      <c r="G493" s="503" t="s">
        <v>80</v>
      </c>
      <c r="H493" s="504">
        <v>1.2500000000000001E-2</v>
      </c>
      <c r="I493" s="504"/>
      <c r="J493" s="505">
        <v>4.67</v>
      </c>
      <c r="K493" s="505">
        <v>0.05</v>
      </c>
      <c r="L493" s="70"/>
    </row>
    <row r="494" spans="1:12" ht="25.5" x14ac:dyDescent="0.25">
      <c r="A494" s="501" t="s">
        <v>1732</v>
      </c>
      <c r="B494" s="502" t="s">
        <v>1749</v>
      </c>
      <c r="C494" s="501" t="s">
        <v>993</v>
      </c>
      <c r="D494" s="501" t="s">
        <v>1750</v>
      </c>
      <c r="E494" s="602" t="s">
        <v>1746</v>
      </c>
      <c r="F494" s="602"/>
      <c r="G494" s="503" t="s">
        <v>1751</v>
      </c>
      <c r="H494" s="504">
        <v>9.3799999999999994E-2</v>
      </c>
      <c r="I494" s="504"/>
      <c r="J494" s="505">
        <v>5.13</v>
      </c>
      <c r="K494" s="505">
        <v>0.48</v>
      </c>
      <c r="L494" s="70"/>
    </row>
    <row r="495" spans="1:12" ht="15.75" customHeight="1" x14ac:dyDescent="0.25">
      <c r="A495" s="445"/>
      <c r="B495" s="445"/>
      <c r="C495" s="445"/>
      <c r="D495" s="445"/>
      <c r="E495" s="445" t="s">
        <v>1735</v>
      </c>
      <c r="F495" s="506">
        <v>3.54</v>
      </c>
      <c r="G495" s="445" t="s">
        <v>1736</v>
      </c>
      <c r="H495" s="506">
        <v>0</v>
      </c>
      <c r="I495" s="445" t="s">
        <v>1737</v>
      </c>
      <c r="J495" s="506">
        <v>3.54</v>
      </c>
      <c r="K495" s="70"/>
      <c r="L495" s="70"/>
    </row>
    <row r="496" spans="1:12" ht="17.25" thickBot="1" x14ac:dyDescent="0.3">
      <c r="A496" s="445"/>
      <c r="B496" s="445"/>
      <c r="C496" s="445"/>
      <c r="D496" s="445"/>
      <c r="E496" s="445" t="s">
        <v>1738</v>
      </c>
      <c r="F496" s="506">
        <v>1.002848</v>
      </c>
      <c r="G496" s="445"/>
      <c r="H496" s="606" t="s">
        <v>1739</v>
      </c>
      <c r="I496" s="606"/>
      <c r="J496" s="506">
        <v>5.07</v>
      </c>
      <c r="K496" s="70"/>
      <c r="L496" s="70"/>
    </row>
    <row r="497" spans="1:12" ht="17.25" thickTop="1" x14ac:dyDescent="0.25">
      <c r="A497" s="507"/>
      <c r="B497" s="507"/>
      <c r="C497" s="507"/>
      <c r="D497" s="507"/>
      <c r="E497" s="507"/>
      <c r="F497" s="507"/>
      <c r="G497" s="507"/>
      <c r="H497" s="507"/>
      <c r="I497" s="507"/>
      <c r="J497" s="507"/>
      <c r="K497" s="507"/>
      <c r="L497" s="70"/>
    </row>
    <row r="498" spans="1:12" ht="16.5" x14ac:dyDescent="0.25">
      <c r="A498" s="419" t="s">
        <v>1209</v>
      </c>
      <c r="B498" s="421" t="s">
        <v>76</v>
      </c>
      <c r="C498" s="419" t="s">
        <v>991</v>
      </c>
      <c r="D498" s="419" t="s">
        <v>191</v>
      </c>
      <c r="E498" s="603" t="s">
        <v>77</v>
      </c>
      <c r="F498" s="603"/>
      <c r="G498" s="420" t="s">
        <v>103</v>
      </c>
      <c r="H498" s="421" t="s">
        <v>147</v>
      </c>
      <c r="I498" s="421" t="s">
        <v>1731</v>
      </c>
      <c r="J498" s="421" t="s">
        <v>1117</v>
      </c>
      <c r="K498" s="421" t="s">
        <v>104</v>
      </c>
      <c r="L498" s="70"/>
    </row>
    <row r="499" spans="1:12" ht="25.5" x14ac:dyDescent="0.25">
      <c r="A499" s="441" t="s">
        <v>79</v>
      </c>
      <c r="B499" s="480" t="s">
        <v>1210</v>
      </c>
      <c r="C499" s="441" t="s">
        <v>993</v>
      </c>
      <c r="D499" s="441" t="s">
        <v>1211</v>
      </c>
      <c r="E499" s="604">
        <v>509</v>
      </c>
      <c r="F499" s="604"/>
      <c r="G499" s="443" t="s">
        <v>45</v>
      </c>
      <c r="H499" s="500">
        <v>1</v>
      </c>
      <c r="I499" s="442"/>
      <c r="J499" s="442">
        <v>24.85</v>
      </c>
      <c r="K499" s="442">
        <v>24.85</v>
      </c>
      <c r="L499" s="70"/>
    </row>
    <row r="500" spans="1:12" ht="25.5" x14ac:dyDescent="0.25">
      <c r="A500" s="501" t="s">
        <v>1732</v>
      </c>
      <c r="B500" s="502" t="s">
        <v>992</v>
      </c>
      <c r="C500" s="501" t="s">
        <v>993</v>
      </c>
      <c r="D500" s="501" t="s">
        <v>994</v>
      </c>
      <c r="E500" s="602" t="s">
        <v>972</v>
      </c>
      <c r="F500" s="602"/>
      <c r="G500" s="503" t="s">
        <v>81</v>
      </c>
      <c r="H500" s="504">
        <v>1.7</v>
      </c>
      <c r="I500" s="504"/>
      <c r="J500" s="505">
        <v>14.62</v>
      </c>
      <c r="K500" s="505">
        <v>24.85</v>
      </c>
      <c r="L500" s="70"/>
    </row>
    <row r="501" spans="1:12" ht="15.75" customHeight="1" x14ac:dyDescent="0.25">
      <c r="A501" s="445"/>
      <c r="B501" s="445"/>
      <c r="C501" s="445"/>
      <c r="D501" s="445"/>
      <c r="E501" s="445" t="s">
        <v>1735</v>
      </c>
      <c r="F501" s="506">
        <v>24.85</v>
      </c>
      <c r="G501" s="445" t="s">
        <v>1736</v>
      </c>
      <c r="H501" s="506">
        <v>0</v>
      </c>
      <c r="I501" s="445" t="s">
        <v>1737</v>
      </c>
      <c r="J501" s="506">
        <v>24.85</v>
      </c>
      <c r="K501" s="70"/>
      <c r="L501" s="70"/>
    </row>
    <row r="502" spans="1:12" ht="17.25" thickBot="1" x14ac:dyDescent="0.3">
      <c r="A502" s="445"/>
      <c r="B502" s="445"/>
      <c r="C502" s="445"/>
      <c r="D502" s="445"/>
      <c r="E502" s="445" t="s">
        <v>1738</v>
      </c>
      <c r="F502" s="506">
        <v>6.1230399999999996</v>
      </c>
      <c r="G502" s="445"/>
      <c r="H502" s="606" t="s">
        <v>1739</v>
      </c>
      <c r="I502" s="606"/>
      <c r="J502" s="506">
        <v>30.97</v>
      </c>
      <c r="K502" s="70"/>
      <c r="L502" s="70"/>
    </row>
    <row r="503" spans="1:12" ht="17.25" thickTop="1" x14ac:dyDescent="0.25">
      <c r="A503" s="507"/>
      <c r="B503" s="507"/>
      <c r="C503" s="507"/>
      <c r="D503" s="507"/>
      <c r="E503" s="507"/>
      <c r="F503" s="507"/>
      <c r="G503" s="507"/>
      <c r="H503" s="507"/>
      <c r="I503" s="507"/>
      <c r="J503" s="507"/>
      <c r="K503" s="507"/>
      <c r="L503" s="70"/>
    </row>
    <row r="504" spans="1:12" ht="16.5" x14ac:dyDescent="0.25">
      <c r="A504" s="419" t="s">
        <v>1212</v>
      </c>
      <c r="B504" s="421" t="s">
        <v>76</v>
      </c>
      <c r="C504" s="419" t="s">
        <v>991</v>
      </c>
      <c r="D504" s="419" t="s">
        <v>191</v>
      </c>
      <c r="E504" s="603" t="s">
        <v>77</v>
      </c>
      <c r="F504" s="603"/>
      <c r="G504" s="420" t="s">
        <v>103</v>
      </c>
      <c r="H504" s="421" t="s">
        <v>147</v>
      </c>
      <c r="I504" s="421" t="s">
        <v>1731</v>
      </c>
      <c r="J504" s="421" t="s">
        <v>1117</v>
      </c>
      <c r="K504" s="421" t="s">
        <v>104</v>
      </c>
      <c r="L504" s="70"/>
    </row>
    <row r="505" spans="1:12" ht="25.5" x14ac:dyDescent="0.25">
      <c r="A505" s="441" t="s">
        <v>79</v>
      </c>
      <c r="B505" s="480" t="s">
        <v>1213</v>
      </c>
      <c r="C505" s="441" t="s">
        <v>1168</v>
      </c>
      <c r="D505" s="441" t="s">
        <v>661</v>
      </c>
      <c r="E505" s="604" t="s">
        <v>2151</v>
      </c>
      <c r="F505" s="604"/>
      <c r="G505" s="443" t="s">
        <v>19</v>
      </c>
      <c r="H505" s="500">
        <v>1</v>
      </c>
      <c r="I505" s="442"/>
      <c r="J505" s="442">
        <v>19.54</v>
      </c>
      <c r="K505" s="442">
        <v>19.54</v>
      </c>
      <c r="L505" s="70"/>
    </row>
    <row r="506" spans="1:12" ht="16.5" x14ac:dyDescent="0.25">
      <c r="A506" s="501" t="s">
        <v>1732</v>
      </c>
      <c r="B506" s="502" t="s">
        <v>2152</v>
      </c>
      <c r="C506" s="501" t="s">
        <v>1115</v>
      </c>
      <c r="D506" s="501" t="s">
        <v>2153</v>
      </c>
      <c r="E506" s="602" t="s">
        <v>1746</v>
      </c>
      <c r="F506" s="602"/>
      <c r="G506" s="503" t="s">
        <v>264</v>
      </c>
      <c r="H506" s="504">
        <v>9.5999999999999992E-3</v>
      </c>
      <c r="I506" s="504"/>
      <c r="J506" s="505">
        <v>20.45</v>
      </c>
      <c r="K506" s="505">
        <v>0.19</v>
      </c>
      <c r="L506" s="70"/>
    </row>
    <row r="507" spans="1:12" ht="25.5" x14ac:dyDescent="0.25">
      <c r="A507" s="501" t="s">
        <v>1732</v>
      </c>
      <c r="B507" s="502" t="s">
        <v>2154</v>
      </c>
      <c r="C507" s="501" t="s">
        <v>1115</v>
      </c>
      <c r="D507" s="501" t="s">
        <v>2155</v>
      </c>
      <c r="E507" s="602" t="s">
        <v>1746</v>
      </c>
      <c r="F507" s="602"/>
      <c r="G507" s="503" t="s">
        <v>130</v>
      </c>
      <c r="H507" s="504">
        <v>0.21729999999999999</v>
      </c>
      <c r="I507" s="504"/>
      <c r="J507" s="505">
        <v>22.68</v>
      </c>
      <c r="K507" s="505">
        <v>4.92</v>
      </c>
      <c r="L507" s="70"/>
    </row>
    <row r="508" spans="1:12" ht="25.5" x14ac:dyDescent="0.25">
      <c r="A508" s="501" t="s">
        <v>1732</v>
      </c>
      <c r="B508" s="502" t="s">
        <v>2156</v>
      </c>
      <c r="C508" s="501" t="s">
        <v>1115</v>
      </c>
      <c r="D508" s="501" t="s">
        <v>2157</v>
      </c>
      <c r="E508" s="602" t="s">
        <v>1746</v>
      </c>
      <c r="F508" s="602"/>
      <c r="G508" s="503" t="s">
        <v>130</v>
      </c>
      <c r="H508" s="504">
        <v>5.4300000000000001E-2</v>
      </c>
      <c r="I508" s="504"/>
      <c r="J508" s="505">
        <v>10</v>
      </c>
      <c r="K508" s="505">
        <v>0.54</v>
      </c>
      <c r="L508" s="70"/>
    </row>
    <row r="509" spans="1:12" ht="25.5" x14ac:dyDescent="0.25">
      <c r="A509" s="501" t="s">
        <v>1732</v>
      </c>
      <c r="B509" s="502" t="s">
        <v>1009</v>
      </c>
      <c r="C509" s="501" t="s">
        <v>993</v>
      </c>
      <c r="D509" s="501" t="s">
        <v>1010</v>
      </c>
      <c r="E509" s="602" t="s">
        <v>972</v>
      </c>
      <c r="F509" s="602"/>
      <c r="G509" s="503" t="s">
        <v>81</v>
      </c>
      <c r="H509" s="504">
        <v>0.45910000000000001</v>
      </c>
      <c r="I509" s="504">
        <v>0</v>
      </c>
      <c r="J509" s="505">
        <v>23.41</v>
      </c>
      <c r="K509" s="505">
        <v>10.74</v>
      </c>
      <c r="L509" s="70"/>
    </row>
    <row r="510" spans="1:12" ht="25.5" x14ac:dyDescent="0.25">
      <c r="A510" s="501" t="s">
        <v>1732</v>
      </c>
      <c r="B510" s="502" t="s">
        <v>1019</v>
      </c>
      <c r="C510" s="501" t="s">
        <v>993</v>
      </c>
      <c r="D510" s="501" t="s">
        <v>1020</v>
      </c>
      <c r="E510" s="602" t="s">
        <v>972</v>
      </c>
      <c r="F510" s="602"/>
      <c r="G510" s="503" t="s">
        <v>81</v>
      </c>
      <c r="H510" s="504">
        <v>0.19670000000000001</v>
      </c>
      <c r="I510" s="504">
        <v>0</v>
      </c>
      <c r="J510" s="505">
        <v>16.04</v>
      </c>
      <c r="K510" s="505">
        <v>3.15</v>
      </c>
      <c r="L510" s="70"/>
    </row>
    <row r="511" spans="1:12" ht="15.75" customHeight="1" x14ac:dyDescent="0.25">
      <c r="A511" s="445"/>
      <c r="B511" s="445"/>
      <c r="C511" s="445"/>
      <c r="D511" s="445"/>
      <c r="E511" s="445" t="s">
        <v>1735</v>
      </c>
      <c r="F511" s="506">
        <v>13.89</v>
      </c>
      <c r="G511" s="445" t="s">
        <v>1736</v>
      </c>
      <c r="H511" s="506">
        <v>0</v>
      </c>
      <c r="I511" s="445" t="s">
        <v>1737</v>
      </c>
      <c r="J511" s="506">
        <v>13.89</v>
      </c>
      <c r="K511" s="70"/>
      <c r="L511" s="70"/>
    </row>
    <row r="512" spans="1:12" ht="17.25" thickBot="1" x14ac:dyDescent="0.3">
      <c r="A512" s="445"/>
      <c r="B512" s="445"/>
      <c r="C512" s="445"/>
      <c r="D512" s="445"/>
      <c r="E512" s="445" t="s">
        <v>1738</v>
      </c>
      <c r="F512" s="506">
        <v>4.8146560000000003</v>
      </c>
      <c r="G512" s="445"/>
      <c r="H512" s="606" t="s">
        <v>1739</v>
      </c>
      <c r="I512" s="606"/>
      <c r="J512" s="506">
        <v>24.35</v>
      </c>
      <c r="K512" s="70"/>
      <c r="L512" s="70"/>
    </row>
    <row r="513" spans="1:12" ht="17.25" thickTop="1" x14ac:dyDescent="0.25">
      <c r="A513" s="507"/>
      <c r="B513" s="507"/>
      <c r="C513" s="507"/>
      <c r="D513" s="507"/>
      <c r="E513" s="507"/>
      <c r="F513" s="507"/>
      <c r="G513" s="507"/>
      <c r="H513" s="507"/>
      <c r="I513" s="507"/>
      <c r="J513" s="507"/>
      <c r="K513" s="507"/>
      <c r="L513" s="70"/>
    </row>
    <row r="514" spans="1:12" ht="16.5" x14ac:dyDescent="0.25">
      <c r="A514" s="419" t="s">
        <v>1216</v>
      </c>
      <c r="B514" s="421" t="s">
        <v>76</v>
      </c>
      <c r="C514" s="419" t="s">
        <v>991</v>
      </c>
      <c r="D514" s="419" t="s">
        <v>191</v>
      </c>
      <c r="E514" s="603" t="s">
        <v>77</v>
      </c>
      <c r="F514" s="603"/>
      <c r="G514" s="420" t="s">
        <v>103</v>
      </c>
      <c r="H514" s="421" t="s">
        <v>147</v>
      </c>
      <c r="I514" s="421" t="s">
        <v>1731</v>
      </c>
      <c r="J514" s="421" t="s">
        <v>1117</v>
      </c>
      <c r="K514" s="421" t="s">
        <v>104</v>
      </c>
      <c r="L514" s="70"/>
    </row>
    <row r="515" spans="1:12" ht="25.5" x14ac:dyDescent="0.25">
      <c r="A515" s="441" t="s">
        <v>79</v>
      </c>
      <c r="B515" s="480" t="s">
        <v>1217</v>
      </c>
      <c r="C515" s="441" t="s">
        <v>993</v>
      </c>
      <c r="D515" s="441" t="s">
        <v>254</v>
      </c>
      <c r="E515" s="604">
        <v>510</v>
      </c>
      <c r="F515" s="604"/>
      <c r="G515" s="443" t="s">
        <v>45</v>
      </c>
      <c r="H515" s="500">
        <v>1</v>
      </c>
      <c r="I515" s="442"/>
      <c r="J515" s="442">
        <v>477.34</v>
      </c>
      <c r="K515" s="442">
        <v>477.34</v>
      </c>
      <c r="L515" s="70"/>
    </row>
    <row r="516" spans="1:12" ht="25.5" x14ac:dyDescent="0.25">
      <c r="A516" s="501" t="s">
        <v>1732</v>
      </c>
      <c r="B516" s="502" t="s">
        <v>992</v>
      </c>
      <c r="C516" s="501" t="s">
        <v>993</v>
      </c>
      <c r="D516" s="501" t="s">
        <v>994</v>
      </c>
      <c r="E516" s="602" t="s">
        <v>972</v>
      </c>
      <c r="F516" s="602"/>
      <c r="G516" s="503" t="s">
        <v>81</v>
      </c>
      <c r="H516" s="504">
        <v>5.1585999999999999</v>
      </c>
      <c r="I516" s="504"/>
      <c r="J516" s="505">
        <v>14.62</v>
      </c>
      <c r="K516" s="505">
        <v>75.41</v>
      </c>
      <c r="L516" s="70"/>
    </row>
    <row r="517" spans="1:12" ht="25.5" x14ac:dyDescent="0.25">
      <c r="A517" s="501" t="s">
        <v>1732</v>
      </c>
      <c r="B517" s="502" t="s">
        <v>1023</v>
      </c>
      <c r="C517" s="501" t="s">
        <v>993</v>
      </c>
      <c r="D517" s="501" t="s">
        <v>1024</v>
      </c>
      <c r="E517" s="602" t="s">
        <v>972</v>
      </c>
      <c r="F517" s="602"/>
      <c r="G517" s="503" t="s">
        <v>81</v>
      </c>
      <c r="H517" s="504">
        <v>0.64480000000000004</v>
      </c>
      <c r="I517" s="504"/>
      <c r="J517" s="505">
        <v>17.559999999999999</v>
      </c>
      <c r="K517" s="505">
        <v>11.32</v>
      </c>
      <c r="L517" s="70"/>
    </row>
    <row r="518" spans="1:12" ht="25.5" x14ac:dyDescent="0.25">
      <c r="A518" s="501" t="s">
        <v>1732</v>
      </c>
      <c r="B518" s="502" t="s">
        <v>1874</v>
      </c>
      <c r="C518" s="501" t="s">
        <v>993</v>
      </c>
      <c r="D518" s="501" t="s">
        <v>1875</v>
      </c>
      <c r="E518" s="602" t="s">
        <v>1746</v>
      </c>
      <c r="F518" s="602"/>
      <c r="G518" s="503" t="s">
        <v>45</v>
      </c>
      <c r="H518" s="504">
        <v>0.61499999999999999</v>
      </c>
      <c r="I518" s="504"/>
      <c r="J518" s="505">
        <v>148.97999999999999</v>
      </c>
      <c r="K518" s="505">
        <v>91.62</v>
      </c>
      <c r="L518" s="70"/>
    </row>
    <row r="519" spans="1:12" ht="25.5" x14ac:dyDescent="0.25">
      <c r="A519" s="501" t="s">
        <v>1732</v>
      </c>
      <c r="B519" s="502" t="s">
        <v>1854</v>
      </c>
      <c r="C519" s="501" t="s">
        <v>993</v>
      </c>
      <c r="D519" s="501" t="s">
        <v>1855</v>
      </c>
      <c r="E519" s="602" t="s">
        <v>1746</v>
      </c>
      <c r="F519" s="602"/>
      <c r="G519" s="503" t="s">
        <v>1222</v>
      </c>
      <c r="H519" s="504">
        <v>220</v>
      </c>
      <c r="I519" s="504"/>
      <c r="J519" s="505">
        <v>0.65</v>
      </c>
      <c r="K519" s="505">
        <v>143</v>
      </c>
      <c r="L519" s="70"/>
    </row>
    <row r="520" spans="1:12" ht="25.5" x14ac:dyDescent="0.25">
      <c r="A520" s="501" t="s">
        <v>1732</v>
      </c>
      <c r="B520" s="502" t="s">
        <v>1872</v>
      </c>
      <c r="C520" s="501" t="s">
        <v>993</v>
      </c>
      <c r="D520" s="501" t="s">
        <v>1873</v>
      </c>
      <c r="E520" s="602" t="s">
        <v>1746</v>
      </c>
      <c r="F520" s="602"/>
      <c r="G520" s="503" t="s">
        <v>45</v>
      </c>
      <c r="H520" s="504">
        <v>0.26300000000000001</v>
      </c>
      <c r="I520" s="504"/>
      <c r="J520" s="505">
        <v>149.94999999999999</v>
      </c>
      <c r="K520" s="505">
        <v>39.43</v>
      </c>
      <c r="L520" s="70"/>
    </row>
    <row r="521" spans="1:12" ht="25.5" x14ac:dyDescent="0.25">
      <c r="A521" s="501" t="s">
        <v>1732</v>
      </c>
      <c r="B521" s="502" t="s">
        <v>1974</v>
      </c>
      <c r="C521" s="501" t="s">
        <v>993</v>
      </c>
      <c r="D521" s="501" t="s">
        <v>1975</v>
      </c>
      <c r="E521" s="602" t="s">
        <v>1746</v>
      </c>
      <c r="F521" s="602"/>
      <c r="G521" s="503" t="s">
        <v>45</v>
      </c>
      <c r="H521" s="504">
        <v>0.67700000000000005</v>
      </c>
      <c r="I521" s="504"/>
      <c r="J521" s="505">
        <v>172.18</v>
      </c>
      <c r="K521" s="505">
        <v>116.56</v>
      </c>
      <c r="L521" s="70"/>
    </row>
    <row r="522" spans="1:12" ht="15.75" customHeight="1" x14ac:dyDescent="0.25">
      <c r="A522" s="445"/>
      <c r="B522" s="445"/>
      <c r="C522" s="445"/>
      <c r="D522" s="445"/>
      <c r="E522" s="445" t="s">
        <v>1735</v>
      </c>
      <c r="F522" s="506">
        <v>86.73</v>
      </c>
      <c r="G522" s="445" t="s">
        <v>1736</v>
      </c>
      <c r="H522" s="506">
        <v>0</v>
      </c>
      <c r="I522" s="445" t="s">
        <v>1737</v>
      </c>
      <c r="J522" s="506">
        <v>86.73</v>
      </c>
      <c r="K522" s="70"/>
      <c r="L522" s="70"/>
    </row>
    <row r="523" spans="1:12" ht="17.25" thickBot="1" x14ac:dyDescent="0.3">
      <c r="A523" s="445"/>
      <c r="B523" s="445"/>
      <c r="C523" s="445"/>
      <c r="D523" s="445"/>
      <c r="E523" s="445" t="s">
        <v>1738</v>
      </c>
      <c r="F523" s="506">
        <v>117.61657599999999</v>
      </c>
      <c r="G523" s="445"/>
      <c r="H523" s="606" t="s">
        <v>1739</v>
      </c>
      <c r="I523" s="606"/>
      <c r="J523" s="506">
        <v>594.95000000000005</v>
      </c>
      <c r="K523" s="70"/>
      <c r="L523" s="70"/>
    </row>
    <row r="524" spans="1:12" ht="17.25" thickTop="1" x14ac:dyDescent="0.25">
      <c r="A524" s="507"/>
      <c r="B524" s="507"/>
      <c r="C524" s="507"/>
      <c r="D524" s="507"/>
      <c r="E524" s="507"/>
      <c r="F524" s="507"/>
      <c r="G524" s="507"/>
      <c r="H524" s="507"/>
      <c r="I524" s="507"/>
      <c r="J524" s="507"/>
      <c r="K524" s="507"/>
      <c r="L524" s="70"/>
    </row>
    <row r="525" spans="1:12" ht="16.5" x14ac:dyDescent="0.25">
      <c r="A525" s="419" t="s">
        <v>1218</v>
      </c>
      <c r="B525" s="421" t="s">
        <v>76</v>
      </c>
      <c r="C525" s="419" t="s">
        <v>991</v>
      </c>
      <c r="D525" s="419" t="s">
        <v>191</v>
      </c>
      <c r="E525" s="603" t="s">
        <v>77</v>
      </c>
      <c r="F525" s="603"/>
      <c r="G525" s="420" t="s">
        <v>103</v>
      </c>
      <c r="H525" s="421" t="s">
        <v>147</v>
      </c>
      <c r="I525" s="421" t="s">
        <v>1731</v>
      </c>
      <c r="J525" s="421" t="s">
        <v>1117</v>
      </c>
      <c r="K525" s="421" t="s">
        <v>104</v>
      </c>
      <c r="L525" s="70"/>
    </row>
    <row r="526" spans="1:12" ht="25.5" x14ac:dyDescent="0.25">
      <c r="A526" s="441" t="s">
        <v>79</v>
      </c>
      <c r="B526" s="480" t="s">
        <v>1219</v>
      </c>
      <c r="C526" s="441" t="s">
        <v>993</v>
      </c>
      <c r="D526" s="441" t="s">
        <v>257</v>
      </c>
      <c r="E526" s="604">
        <v>510</v>
      </c>
      <c r="F526" s="604"/>
      <c r="G526" s="443" t="s">
        <v>19</v>
      </c>
      <c r="H526" s="500">
        <v>1</v>
      </c>
      <c r="I526" s="442"/>
      <c r="J526" s="442">
        <v>79.489999999999995</v>
      </c>
      <c r="K526" s="442">
        <v>79.489999999999995</v>
      </c>
      <c r="L526" s="70"/>
    </row>
    <row r="527" spans="1:12" ht="25.5" x14ac:dyDescent="0.25">
      <c r="A527" s="501" t="s">
        <v>1732</v>
      </c>
      <c r="B527" s="502" t="s">
        <v>999</v>
      </c>
      <c r="C527" s="501" t="s">
        <v>993</v>
      </c>
      <c r="D527" s="501" t="s">
        <v>1000</v>
      </c>
      <c r="E527" s="602" t="s">
        <v>972</v>
      </c>
      <c r="F527" s="602"/>
      <c r="G527" s="503" t="s">
        <v>81</v>
      </c>
      <c r="H527" s="504">
        <v>1.3</v>
      </c>
      <c r="I527" s="504"/>
      <c r="J527" s="505">
        <v>16.04</v>
      </c>
      <c r="K527" s="505">
        <v>20.85</v>
      </c>
      <c r="L527" s="70"/>
    </row>
    <row r="528" spans="1:12" ht="25.5" x14ac:dyDescent="0.25">
      <c r="A528" s="501" t="s">
        <v>1732</v>
      </c>
      <c r="B528" s="502" t="s">
        <v>1009</v>
      </c>
      <c r="C528" s="501" t="s">
        <v>993</v>
      </c>
      <c r="D528" s="501" t="s">
        <v>1010</v>
      </c>
      <c r="E528" s="602" t="s">
        <v>972</v>
      </c>
      <c r="F528" s="602"/>
      <c r="G528" s="503" t="s">
        <v>81</v>
      </c>
      <c r="H528" s="504">
        <v>1.3</v>
      </c>
      <c r="I528" s="504"/>
      <c r="J528" s="505">
        <v>23.41</v>
      </c>
      <c r="K528" s="505">
        <v>30.43</v>
      </c>
      <c r="L528" s="70"/>
    </row>
    <row r="529" spans="1:12" ht="25.5" x14ac:dyDescent="0.25">
      <c r="A529" s="501" t="s">
        <v>1732</v>
      </c>
      <c r="B529" s="502" t="s">
        <v>1950</v>
      </c>
      <c r="C529" s="501" t="s">
        <v>993</v>
      </c>
      <c r="D529" s="501" t="s">
        <v>1951</v>
      </c>
      <c r="E529" s="602" t="s">
        <v>1746</v>
      </c>
      <c r="F529" s="602"/>
      <c r="G529" s="503" t="s">
        <v>41</v>
      </c>
      <c r="H529" s="504">
        <v>0.5</v>
      </c>
      <c r="I529" s="504"/>
      <c r="J529" s="505">
        <v>6.74</v>
      </c>
      <c r="K529" s="505">
        <v>3.37</v>
      </c>
      <c r="L529" s="70"/>
    </row>
    <row r="530" spans="1:12" ht="25.5" x14ac:dyDescent="0.25">
      <c r="A530" s="501" t="s">
        <v>1732</v>
      </c>
      <c r="B530" s="502" t="s">
        <v>1936</v>
      </c>
      <c r="C530" s="501" t="s">
        <v>993</v>
      </c>
      <c r="D530" s="501" t="s">
        <v>1937</v>
      </c>
      <c r="E530" s="602" t="s">
        <v>1746</v>
      </c>
      <c r="F530" s="602"/>
      <c r="G530" s="503" t="s">
        <v>41</v>
      </c>
      <c r="H530" s="504">
        <v>1.3674999999999999</v>
      </c>
      <c r="I530" s="504"/>
      <c r="J530" s="505">
        <v>12.8</v>
      </c>
      <c r="K530" s="505">
        <v>17.5</v>
      </c>
      <c r="L530" s="70"/>
    </row>
    <row r="531" spans="1:12" ht="25.5" x14ac:dyDescent="0.25">
      <c r="A531" s="501" t="s">
        <v>1732</v>
      </c>
      <c r="B531" s="502" t="s">
        <v>1964</v>
      </c>
      <c r="C531" s="501" t="s">
        <v>993</v>
      </c>
      <c r="D531" s="501" t="s">
        <v>1965</v>
      </c>
      <c r="E531" s="602" t="s">
        <v>1746</v>
      </c>
      <c r="F531" s="602"/>
      <c r="G531" s="503" t="s">
        <v>1222</v>
      </c>
      <c r="H531" s="504">
        <v>0.15</v>
      </c>
      <c r="I531" s="504"/>
      <c r="J531" s="505">
        <v>23.06</v>
      </c>
      <c r="K531" s="505">
        <v>3.45</v>
      </c>
      <c r="L531" s="70"/>
    </row>
    <row r="532" spans="1:12" ht="25.5" x14ac:dyDescent="0.25">
      <c r="A532" s="501" t="s">
        <v>1732</v>
      </c>
      <c r="B532" s="502" t="s">
        <v>2158</v>
      </c>
      <c r="C532" s="501" t="s">
        <v>993</v>
      </c>
      <c r="D532" s="501" t="s">
        <v>2159</v>
      </c>
      <c r="E532" s="602" t="s">
        <v>1746</v>
      </c>
      <c r="F532" s="602"/>
      <c r="G532" s="503" t="s">
        <v>1751</v>
      </c>
      <c r="H532" s="504">
        <v>0.4</v>
      </c>
      <c r="I532" s="504"/>
      <c r="J532" s="505">
        <v>9.73</v>
      </c>
      <c r="K532" s="505">
        <v>3.89</v>
      </c>
      <c r="L532" s="70"/>
    </row>
    <row r="533" spans="1:12" ht="15.75" customHeight="1" x14ac:dyDescent="0.25">
      <c r="A533" s="445"/>
      <c r="B533" s="445"/>
      <c r="C533" s="445"/>
      <c r="D533" s="445"/>
      <c r="E533" s="445" t="s">
        <v>1735</v>
      </c>
      <c r="F533" s="506">
        <v>51.28</v>
      </c>
      <c r="G533" s="445" t="s">
        <v>1736</v>
      </c>
      <c r="H533" s="506">
        <v>0</v>
      </c>
      <c r="I533" s="445" t="s">
        <v>1737</v>
      </c>
      <c r="J533" s="506">
        <v>51.28</v>
      </c>
      <c r="K533" s="70"/>
      <c r="L533" s="70"/>
    </row>
    <row r="534" spans="1:12" ht="17.25" thickBot="1" x14ac:dyDescent="0.3">
      <c r="A534" s="445"/>
      <c r="B534" s="445"/>
      <c r="C534" s="445"/>
      <c r="D534" s="445"/>
      <c r="E534" s="445" t="s">
        <v>1738</v>
      </c>
      <c r="F534" s="506">
        <v>19.586335999999999</v>
      </c>
      <c r="G534" s="445"/>
      <c r="H534" s="606" t="s">
        <v>1739</v>
      </c>
      <c r="I534" s="606"/>
      <c r="J534" s="506">
        <v>99.07</v>
      </c>
      <c r="K534" s="70"/>
      <c r="L534" s="70"/>
    </row>
    <row r="535" spans="1:12" ht="17.25" thickTop="1" x14ac:dyDescent="0.25">
      <c r="A535" s="507"/>
      <c r="B535" s="507"/>
      <c r="C535" s="507"/>
      <c r="D535" s="507"/>
      <c r="E535" s="507"/>
      <c r="F535" s="507"/>
      <c r="G535" s="507"/>
      <c r="H535" s="507"/>
      <c r="I535" s="507"/>
      <c r="J535" s="507"/>
      <c r="K535" s="507"/>
      <c r="L535" s="70"/>
    </row>
    <row r="536" spans="1:12" ht="16.5" x14ac:dyDescent="0.25">
      <c r="A536" s="419" t="s">
        <v>1220</v>
      </c>
      <c r="B536" s="421" t="s">
        <v>76</v>
      </c>
      <c r="C536" s="419" t="s">
        <v>991</v>
      </c>
      <c r="D536" s="419" t="s">
        <v>191</v>
      </c>
      <c r="E536" s="603" t="s">
        <v>77</v>
      </c>
      <c r="F536" s="603"/>
      <c r="G536" s="420" t="s">
        <v>103</v>
      </c>
      <c r="H536" s="421" t="s">
        <v>147</v>
      </c>
      <c r="I536" s="421" t="s">
        <v>1731</v>
      </c>
      <c r="J536" s="421" t="s">
        <v>1117</v>
      </c>
      <c r="K536" s="421" t="s">
        <v>104</v>
      </c>
      <c r="L536" s="70"/>
    </row>
    <row r="537" spans="1:12" ht="25.5" x14ac:dyDescent="0.25">
      <c r="A537" s="441" t="s">
        <v>79</v>
      </c>
      <c r="B537" s="480" t="s">
        <v>1221</v>
      </c>
      <c r="C537" s="441" t="s">
        <v>993</v>
      </c>
      <c r="D537" s="441" t="s">
        <v>259</v>
      </c>
      <c r="E537" s="604">
        <v>520</v>
      </c>
      <c r="F537" s="604"/>
      <c r="G537" s="443" t="s">
        <v>1222</v>
      </c>
      <c r="H537" s="500">
        <v>1</v>
      </c>
      <c r="I537" s="442"/>
      <c r="J537" s="442">
        <v>11.04</v>
      </c>
      <c r="K537" s="442">
        <v>11.04</v>
      </c>
      <c r="L537" s="70"/>
    </row>
    <row r="538" spans="1:12" ht="25.5" x14ac:dyDescent="0.25">
      <c r="A538" s="501" t="s">
        <v>1732</v>
      </c>
      <c r="B538" s="502" t="s">
        <v>999</v>
      </c>
      <c r="C538" s="501" t="s">
        <v>993</v>
      </c>
      <c r="D538" s="501" t="s">
        <v>1000</v>
      </c>
      <c r="E538" s="602" t="s">
        <v>972</v>
      </c>
      <c r="F538" s="602"/>
      <c r="G538" s="503" t="s">
        <v>81</v>
      </c>
      <c r="H538" s="504">
        <v>0.08</v>
      </c>
      <c r="I538" s="504"/>
      <c r="J538" s="505">
        <v>16.04</v>
      </c>
      <c r="K538" s="505">
        <v>1.28</v>
      </c>
      <c r="L538" s="70"/>
    </row>
    <row r="539" spans="1:12" ht="25.5" x14ac:dyDescent="0.25">
      <c r="A539" s="501" t="s">
        <v>1732</v>
      </c>
      <c r="B539" s="502" t="s">
        <v>1007</v>
      </c>
      <c r="C539" s="501" t="s">
        <v>993</v>
      </c>
      <c r="D539" s="501" t="s">
        <v>1008</v>
      </c>
      <c r="E539" s="602" t="s">
        <v>972</v>
      </c>
      <c r="F539" s="602"/>
      <c r="G539" s="503" t="s">
        <v>81</v>
      </c>
      <c r="H539" s="504">
        <v>0.08</v>
      </c>
      <c r="I539" s="504"/>
      <c r="J539" s="505">
        <v>23.41</v>
      </c>
      <c r="K539" s="505">
        <v>1.87</v>
      </c>
      <c r="L539" s="70"/>
    </row>
    <row r="540" spans="1:12" ht="25.5" x14ac:dyDescent="0.25">
      <c r="A540" s="501" t="s">
        <v>1732</v>
      </c>
      <c r="B540" s="502" t="s">
        <v>2024</v>
      </c>
      <c r="C540" s="501" t="s">
        <v>993</v>
      </c>
      <c r="D540" s="501" t="s">
        <v>2025</v>
      </c>
      <c r="E540" s="602" t="s">
        <v>1746</v>
      </c>
      <c r="F540" s="602"/>
      <c r="G540" s="503" t="s">
        <v>1222</v>
      </c>
      <c r="H540" s="504">
        <v>1.1000000000000001</v>
      </c>
      <c r="I540" s="504"/>
      <c r="J540" s="505">
        <v>6.92</v>
      </c>
      <c r="K540" s="505">
        <v>7.61</v>
      </c>
      <c r="L540" s="70"/>
    </row>
    <row r="541" spans="1:12" ht="25.5" x14ac:dyDescent="0.25">
      <c r="A541" s="501" t="s">
        <v>1732</v>
      </c>
      <c r="B541" s="502" t="s">
        <v>2030</v>
      </c>
      <c r="C541" s="501" t="s">
        <v>993</v>
      </c>
      <c r="D541" s="501" t="s">
        <v>2031</v>
      </c>
      <c r="E541" s="602" t="s">
        <v>1746</v>
      </c>
      <c r="F541" s="602"/>
      <c r="G541" s="503" t="s">
        <v>1222</v>
      </c>
      <c r="H541" s="504">
        <v>0.02</v>
      </c>
      <c r="I541" s="504"/>
      <c r="J541" s="505">
        <v>14.28</v>
      </c>
      <c r="K541" s="505">
        <v>0.28000000000000003</v>
      </c>
      <c r="L541" s="70"/>
    </row>
    <row r="542" spans="1:12" ht="15.75" customHeight="1" x14ac:dyDescent="0.25">
      <c r="A542" s="445"/>
      <c r="B542" s="445"/>
      <c r="C542" s="445"/>
      <c r="D542" s="445"/>
      <c r="E542" s="445" t="s">
        <v>1735</v>
      </c>
      <c r="F542" s="506">
        <v>3.15</v>
      </c>
      <c r="G542" s="445" t="s">
        <v>1736</v>
      </c>
      <c r="H542" s="506">
        <v>0</v>
      </c>
      <c r="I542" s="445" t="s">
        <v>1737</v>
      </c>
      <c r="J542" s="506">
        <v>3.15</v>
      </c>
      <c r="K542" s="70"/>
      <c r="L542" s="70"/>
    </row>
    <row r="543" spans="1:12" ht="17.25" thickBot="1" x14ac:dyDescent="0.3">
      <c r="A543" s="445"/>
      <c r="B543" s="445"/>
      <c r="C543" s="445"/>
      <c r="D543" s="445"/>
      <c r="E543" s="445" t="s">
        <v>1738</v>
      </c>
      <c r="F543" s="506">
        <v>2.720256</v>
      </c>
      <c r="G543" s="445"/>
      <c r="H543" s="606" t="s">
        <v>1739</v>
      </c>
      <c r="I543" s="606"/>
      <c r="J543" s="506">
        <v>13.76</v>
      </c>
      <c r="K543" s="70"/>
      <c r="L543" s="70"/>
    </row>
    <row r="544" spans="1:12" ht="17.25" thickTop="1" x14ac:dyDescent="0.25">
      <c r="A544" s="507"/>
      <c r="B544" s="507"/>
      <c r="C544" s="507"/>
      <c r="D544" s="507"/>
      <c r="E544" s="507"/>
      <c r="F544" s="507"/>
      <c r="G544" s="507"/>
      <c r="H544" s="507"/>
      <c r="I544" s="507"/>
      <c r="J544" s="507"/>
      <c r="K544" s="507"/>
      <c r="L544" s="70"/>
    </row>
    <row r="545" spans="1:12" ht="16.5" x14ac:dyDescent="0.25">
      <c r="A545" s="419" t="s">
        <v>1223</v>
      </c>
      <c r="B545" s="421" t="s">
        <v>76</v>
      </c>
      <c r="C545" s="419" t="s">
        <v>991</v>
      </c>
      <c r="D545" s="419" t="s">
        <v>191</v>
      </c>
      <c r="E545" s="603" t="s">
        <v>77</v>
      </c>
      <c r="F545" s="603"/>
      <c r="G545" s="420" t="s">
        <v>103</v>
      </c>
      <c r="H545" s="421" t="s">
        <v>147</v>
      </c>
      <c r="I545" s="421" t="s">
        <v>1731</v>
      </c>
      <c r="J545" s="421" t="s">
        <v>1117</v>
      </c>
      <c r="K545" s="421" t="s">
        <v>104</v>
      </c>
      <c r="L545" s="70"/>
    </row>
    <row r="546" spans="1:12" ht="25.5" x14ac:dyDescent="0.25">
      <c r="A546" s="441" t="s">
        <v>79</v>
      </c>
      <c r="B546" s="480" t="s">
        <v>1224</v>
      </c>
      <c r="C546" s="441" t="s">
        <v>993</v>
      </c>
      <c r="D546" s="441" t="s">
        <v>261</v>
      </c>
      <c r="E546" s="604">
        <v>520</v>
      </c>
      <c r="F546" s="604"/>
      <c r="G546" s="443" t="s">
        <v>1222</v>
      </c>
      <c r="H546" s="500">
        <v>1</v>
      </c>
      <c r="I546" s="442"/>
      <c r="J546" s="442">
        <v>10.97</v>
      </c>
      <c r="K546" s="442">
        <v>10.97</v>
      </c>
      <c r="L546" s="70"/>
    </row>
    <row r="547" spans="1:12" ht="25.5" x14ac:dyDescent="0.25">
      <c r="A547" s="501" t="s">
        <v>1732</v>
      </c>
      <c r="B547" s="502" t="s">
        <v>1007</v>
      </c>
      <c r="C547" s="501" t="s">
        <v>993</v>
      </c>
      <c r="D547" s="501" t="s">
        <v>1008</v>
      </c>
      <c r="E547" s="602" t="s">
        <v>972</v>
      </c>
      <c r="F547" s="602"/>
      <c r="G547" s="503" t="s">
        <v>81</v>
      </c>
      <c r="H547" s="504">
        <v>0.08</v>
      </c>
      <c r="I547" s="504"/>
      <c r="J547" s="505">
        <v>23.41</v>
      </c>
      <c r="K547" s="505">
        <v>1.87</v>
      </c>
      <c r="L547" s="70"/>
    </row>
    <row r="548" spans="1:12" ht="25.5" x14ac:dyDescent="0.25">
      <c r="A548" s="501" t="s">
        <v>1732</v>
      </c>
      <c r="B548" s="502" t="s">
        <v>999</v>
      </c>
      <c r="C548" s="501" t="s">
        <v>993</v>
      </c>
      <c r="D548" s="501" t="s">
        <v>1000</v>
      </c>
      <c r="E548" s="602" t="s">
        <v>972</v>
      </c>
      <c r="F548" s="602"/>
      <c r="G548" s="503" t="s">
        <v>81</v>
      </c>
      <c r="H548" s="504">
        <v>0.08</v>
      </c>
      <c r="I548" s="504"/>
      <c r="J548" s="505">
        <v>16.04</v>
      </c>
      <c r="K548" s="505">
        <v>1.28</v>
      </c>
      <c r="L548" s="70"/>
    </row>
    <row r="549" spans="1:12" ht="25.5" x14ac:dyDescent="0.25">
      <c r="A549" s="501" t="s">
        <v>1732</v>
      </c>
      <c r="B549" s="502" t="s">
        <v>2030</v>
      </c>
      <c r="C549" s="501" t="s">
        <v>993</v>
      </c>
      <c r="D549" s="501" t="s">
        <v>2031</v>
      </c>
      <c r="E549" s="602" t="s">
        <v>1746</v>
      </c>
      <c r="F549" s="602"/>
      <c r="G549" s="503" t="s">
        <v>1222</v>
      </c>
      <c r="H549" s="504">
        <v>0.02</v>
      </c>
      <c r="I549" s="504"/>
      <c r="J549" s="505">
        <v>14.28</v>
      </c>
      <c r="K549" s="505">
        <v>0.28000000000000003</v>
      </c>
      <c r="L549" s="70"/>
    </row>
    <row r="550" spans="1:12" ht="25.5" x14ac:dyDescent="0.25">
      <c r="A550" s="501" t="s">
        <v>1732</v>
      </c>
      <c r="B550" s="502" t="s">
        <v>2160</v>
      </c>
      <c r="C550" s="501" t="s">
        <v>993</v>
      </c>
      <c r="D550" s="501" t="s">
        <v>2161</v>
      </c>
      <c r="E550" s="602" t="s">
        <v>1746</v>
      </c>
      <c r="F550" s="602"/>
      <c r="G550" s="503" t="s">
        <v>1222</v>
      </c>
      <c r="H550" s="504">
        <v>1.1000000000000001</v>
      </c>
      <c r="I550" s="504"/>
      <c r="J550" s="505">
        <v>6.86</v>
      </c>
      <c r="K550" s="505">
        <v>7.54</v>
      </c>
      <c r="L550" s="70"/>
    </row>
    <row r="551" spans="1:12" ht="15.75" customHeight="1" x14ac:dyDescent="0.25">
      <c r="A551" s="445"/>
      <c r="B551" s="445"/>
      <c r="C551" s="445"/>
      <c r="D551" s="445"/>
      <c r="E551" s="445" t="s">
        <v>1735</v>
      </c>
      <c r="F551" s="506">
        <v>3.15</v>
      </c>
      <c r="G551" s="445" t="s">
        <v>1736</v>
      </c>
      <c r="H551" s="506">
        <v>0</v>
      </c>
      <c r="I551" s="445" t="s">
        <v>1737</v>
      </c>
      <c r="J551" s="506">
        <v>3.15</v>
      </c>
      <c r="K551" s="70"/>
      <c r="L551" s="70"/>
    </row>
    <row r="552" spans="1:12" ht="17.25" thickBot="1" x14ac:dyDescent="0.3">
      <c r="A552" s="445"/>
      <c r="B552" s="445"/>
      <c r="C552" s="445"/>
      <c r="D552" s="445"/>
      <c r="E552" s="445" t="s">
        <v>1738</v>
      </c>
      <c r="F552" s="506">
        <v>2.7030080000000001</v>
      </c>
      <c r="G552" s="445"/>
      <c r="H552" s="606" t="s">
        <v>1739</v>
      </c>
      <c r="I552" s="606"/>
      <c r="J552" s="506">
        <v>13.67</v>
      </c>
      <c r="K552" s="70"/>
      <c r="L552" s="70"/>
    </row>
    <row r="553" spans="1:12" ht="17.25" thickTop="1" x14ac:dyDescent="0.25">
      <c r="A553" s="507"/>
      <c r="B553" s="507"/>
      <c r="C553" s="507"/>
      <c r="D553" s="507"/>
      <c r="E553" s="507"/>
      <c r="F553" s="507"/>
      <c r="G553" s="507"/>
      <c r="H553" s="507"/>
      <c r="I553" s="507"/>
      <c r="J553" s="507"/>
      <c r="K553" s="507"/>
      <c r="L553" s="70"/>
    </row>
    <row r="554" spans="1:12" ht="16.5" x14ac:dyDescent="0.25">
      <c r="A554" s="419" t="s">
        <v>1225</v>
      </c>
      <c r="B554" s="421" t="s">
        <v>76</v>
      </c>
      <c r="C554" s="419" t="s">
        <v>991</v>
      </c>
      <c r="D554" s="419" t="s">
        <v>191</v>
      </c>
      <c r="E554" s="603" t="s">
        <v>77</v>
      </c>
      <c r="F554" s="603"/>
      <c r="G554" s="420" t="s">
        <v>103</v>
      </c>
      <c r="H554" s="421" t="s">
        <v>147</v>
      </c>
      <c r="I554" s="421" t="s">
        <v>1731</v>
      </c>
      <c r="J554" s="421" t="s">
        <v>1117</v>
      </c>
      <c r="K554" s="421" t="s">
        <v>104</v>
      </c>
      <c r="L554" s="70"/>
    </row>
    <row r="555" spans="1:12" ht="25.5" x14ac:dyDescent="0.25">
      <c r="A555" s="441" t="s">
        <v>79</v>
      </c>
      <c r="B555" s="480" t="s">
        <v>1226</v>
      </c>
      <c r="C555" s="441" t="s">
        <v>993</v>
      </c>
      <c r="D555" s="441" t="s">
        <v>263</v>
      </c>
      <c r="E555" s="604">
        <v>520</v>
      </c>
      <c r="F555" s="604"/>
      <c r="G555" s="443" t="s">
        <v>1222</v>
      </c>
      <c r="H555" s="500">
        <v>1</v>
      </c>
      <c r="I555" s="442"/>
      <c r="J555" s="442">
        <v>10.76</v>
      </c>
      <c r="K555" s="442">
        <v>10.76</v>
      </c>
      <c r="L555" s="70"/>
    </row>
    <row r="556" spans="1:12" ht="25.5" x14ac:dyDescent="0.25">
      <c r="A556" s="501" t="s">
        <v>1732</v>
      </c>
      <c r="B556" s="502" t="s">
        <v>999</v>
      </c>
      <c r="C556" s="501" t="s">
        <v>993</v>
      </c>
      <c r="D556" s="501" t="s">
        <v>1000</v>
      </c>
      <c r="E556" s="602" t="s">
        <v>972</v>
      </c>
      <c r="F556" s="602"/>
      <c r="G556" s="503" t="s">
        <v>81</v>
      </c>
      <c r="H556" s="504">
        <v>0.08</v>
      </c>
      <c r="I556" s="504"/>
      <c r="J556" s="505">
        <v>16.04</v>
      </c>
      <c r="K556" s="505">
        <v>1.28</v>
      </c>
      <c r="L556" s="70"/>
    </row>
    <row r="557" spans="1:12" ht="25.5" x14ac:dyDescent="0.25">
      <c r="A557" s="501" t="s">
        <v>1732</v>
      </c>
      <c r="B557" s="502" t="s">
        <v>1007</v>
      </c>
      <c r="C557" s="501" t="s">
        <v>993</v>
      </c>
      <c r="D557" s="501" t="s">
        <v>1008</v>
      </c>
      <c r="E557" s="602" t="s">
        <v>972</v>
      </c>
      <c r="F557" s="602"/>
      <c r="G557" s="503" t="s">
        <v>81</v>
      </c>
      <c r="H557" s="504">
        <v>0.08</v>
      </c>
      <c r="I557" s="504"/>
      <c r="J557" s="505">
        <v>23.41</v>
      </c>
      <c r="K557" s="505">
        <v>1.87</v>
      </c>
      <c r="L557" s="70"/>
    </row>
    <row r="558" spans="1:12" ht="25.5" x14ac:dyDescent="0.25">
      <c r="A558" s="501" t="s">
        <v>1732</v>
      </c>
      <c r="B558" s="502" t="s">
        <v>2162</v>
      </c>
      <c r="C558" s="501" t="s">
        <v>993</v>
      </c>
      <c r="D558" s="501" t="s">
        <v>2163</v>
      </c>
      <c r="E558" s="602" t="s">
        <v>1746</v>
      </c>
      <c r="F558" s="602"/>
      <c r="G558" s="503" t="s">
        <v>1222</v>
      </c>
      <c r="H558" s="504">
        <v>1.1000000000000001</v>
      </c>
      <c r="I558" s="504"/>
      <c r="J558" s="505">
        <v>6.67</v>
      </c>
      <c r="K558" s="505">
        <v>7.33</v>
      </c>
      <c r="L558" s="70"/>
    </row>
    <row r="559" spans="1:12" ht="25.5" x14ac:dyDescent="0.25">
      <c r="A559" s="501" t="s">
        <v>1732</v>
      </c>
      <c r="B559" s="502" t="s">
        <v>2030</v>
      </c>
      <c r="C559" s="501" t="s">
        <v>993</v>
      </c>
      <c r="D559" s="501" t="s">
        <v>2031</v>
      </c>
      <c r="E559" s="602" t="s">
        <v>1746</v>
      </c>
      <c r="F559" s="602"/>
      <c r="G559" s="503" t="s">
        <v>1222</v>
      </c>
      <c r="H559" s="504">
        <v>0.02</v>
      </c>
      <c r="I559" s="504"/>
      <c r="J559" s="505">
        <v>14.28</v>
      </c>
      <c r="K559" s="505">
        <v>0.28000000000000003</v>
      </c>
      <c r="L559" s="70"/>
    </row>
    <row r="560" spans="1:12" ht="15.75" customHeight="1" x14ac:dyDescent="0.25">
      <c r="A560" s="445"/>
      <c r="B560" s="445"/>
      <c r="C560" s="445"/>
      <c r="D560" s="445"/>
      <c r="E560" s="445" t="s">
        <v>1735</v>
      </c>
      <c r="F560" s="506">
        <v>3.15</v>
      </c>
      <c r="G560" s="445" t="s">
        <v>1736</v>
      </c>
      <c r="H560" s="506">
        <v>0</v>
      </c>
      <c r="I560" s="445" t="s">
        <v>1737</v>
      </c>
      <c r="J560" s="506">
        <v>3.15</v>
      </c>
      <c r="K560" s="70"/>
      <c r="L560" s="70"/>
    </row>
    <row r="561" spans="1:12" ht="17.25" thickBot="1" x14ac:dyDescent="0.3">
      <c r="A561" s="445"/>
      <c r="B561" s="445"/>
      <c r="C561" s="445"/>
      <c r="D561" s="445"/>
      <c r="E561" s="445" t="s">
        <v>1738</v>
      </c>
      <c r="F561" s="506">
        <v>2.6512639999999998</v>
      </c>
      <c r="G561" s="445"/>
      <c r="H561" s="606" t="s">
        <v>1739</v>
      </c>
      <c r="I561" s="606"/>
      <c r="J561" s="506">
        <v>13.41</v>
      </c>
      <c r="K561" s="70"/>
      <c r="L561" s="70"/>
    </row>
    <row r="562" spans="1:12" ht="17.25" thickTop="1" x14ac:dyDescent="0.25">
      <c r="A562" s="507"/>
      <c r="B562" s="507"/>
      <c r="C562" s="507"/>
      <c r="D562" s="507"/>
      <c r="E562" s="507"/>
      <c r="F562" s="507"/>
      <c r="G562" s="507"/>
      <c r="H562" s="507"/>
      <c r="I562" s="507"/>
      <c r="J562" s="507"/>
      <c r="K562" s="507"/>
      <c r="L562" s="70"/>
    </row>
    <row r="563" spans="1:12" ht="16.5" x14ac:dyDescent="0.25">
      <c r="A563" s="419" t="s">
        <v>1227</v>
      </c>
      <c r="B563" s="421" t="s">
        <v>76</v>
      </c>
      <c r="C563" s="419" t="s">
        <v>991</v>
      </c>
      <c r="D563" s="419" t="s">
        <v>191</v>
      </c>
      <c r="E563" s="603" t="s">
        <v>77</v>
      </c>
      <c r="F563" s="603"/>
      <c r="G563" s="420" t="s">
        <v>103</v>
      </c>
      <c r="H563" s="421" t="s">
        <v>147</v>
      </c>
      <c r="I563" s="421" t="s">
        <v>1731</v>
      </c>
      <c r="J563" s="421" t="s">
        <v>1117</v>
      </c>
      <c r="K563" s="421" t="s">
        <v>104</v>
      </c>
      <c r="L563" s="70"/>
    </row>
    <row r="564" spans="1:12" ht="25.5" x14ac:dyDescent="0.25">
      <c r="A564" s="441" t="s">
        <v>79</v>
      </c>
      <c r="B564" s="480" t="s">
        <v>1228</v>
      </c>
      <c r="C564" s="441" t="s">
        <v>993</v>
      </c>
      <c r="D564" s="441" t="s">
        <v>266</v>
      </c>
      <c r="E564" s="604">
        <v>520</v>
      </c>
      <c r="F564" s="604"/>
      <c r="G564" s="443" t="s">
        <v>1222</v>
      </c>
      <c r="H564" s="500">
        <v>1</v>
      </c>
      <c r="I564" s="442"/>
      <c r="J564" s="442">
        <v>12.72</v>
      </c>
      <c r="K564" s="442">
        <v>12.72</v>
      </c>
      <c r="L564" s="70"/>
    </row>
    <row r="565" spans="1:12" ht="25.5" x14ac:dyDescent="0.25">
      <c r="A565" s="501" t="s">
        <v>1732</v>
      </c>
      <c r="B565" s="502" t="s">
        <v>999</v>
      </c>
      <c r="C565" s="501" t="s">
        <v>993</v>
      </c>
      <c r="D565" s="501" t="s">
        <v>1000</v>
      </c>
      <c r="E565" s="602" t="s">
        <v>972</v>
      </c>
      <c r="F565" s="602"/>
      <c r="G565" s="503" t="s">
        <v>81</v>
      </c>
      <c r="H565" s="504">
        <v>7.0000000000000007E-2</v>
      </c>
      <c r="I565" s="504"/>
      <c r="J565" s="505">
        <v>16.04</v>
      </c>
      <c r="K565" s="505">
        <v>1.1200000000000001</v>
      </c>
      <c r="L565" s="70"/>
    </row>
    <row r="566" spans="1:12" ht="25.5" x14ac:dyDescent="0.25">
      <c r="A566" s="501" t="s">
        <v>1732</v>
      </c>
      <c r="B566" s="502" t="s">
        <v>1007</v>
      </c>
      <c r="C566" s="501" t="s">
        <v>993</v>
      </c>
      <c r="D566" s="501" t="s">
        <v>1008</v>
      </c>
      <c r="E566" s="602" t="s">
        <v>972</v>
      </c>
      <c r="F566" s="602"/>
      <c r="G566" s="503" t="s">
        <v>81</v>
      </c>
      <c r="H566" s="504">
        <v>7.0000000000000007E-2</v>
      </c>
      <c r="I566" s="504"/>
      <c r="J566" s="505">
        <v>23.41</v>
      </c>
      <c r="K566" s="505">
        <v>1.63</v>
      </c>
      <c r="L566" s="70"/>
    </row>
    <row r="567" spans="1:12" ht="25.5" x14ac:dyDescent="0.25">
      <c r="A567" s="501" t="s">
        <v>1732</v>
      </c>
      <c r="B567" s="502" t="s">
        <v>2164</v>
      </c>
      <c r="C567" s="501" t="s">
        <v>993</v>
      </c>
      <c r="D567" s="501" t="s">
        <v>2165</v>
      </c>
      <c r="E567" s="602" t="s">
        <v>1746</v>
      </c>
      <c r="F567" s="602"/>
      <c r="G567" s="503" t="s">
        <v>1222</v>
      </c>
      <c r="H567" s="504">
        <v>1.1000000000000001</v>
      </c>
      <c r="I567" s="504"/>
      <c r="J567" s="505">
        <v>8.81</v>
      </c>
      <c r="K567" s="505">
        <v>9.69</v>
      </c>
      <c r="L567" s="70"/>
    </row>
    <row r="568" spans="1:12" ht="25.5" x14ac:dyDescent="0.25">
      <c r="A568" s="501" t="s">
        <v>1732</v>
      </c>
      <c r="B568" s="502" t="s">
        <v>2030</v>
      </c>
      <c r="C568" s="501" t="s">
        <v>993</v>
      </c>
      <c r="D568" s="501" t="s">
        <v>2031</v>
      </c>
      <c r="E568" s="602" t="s">
        <v>1746</v>
      </c>
      <c r="F568" s="602"/>
      <c r="G568" s="503" t="s">
        <v>1222</v>
      </c>
      <c r="H568" s="504">
        <v>0.02</v>
      </c>
      <c r="I568" s="504"/>
      <c r="J568" s="505">
        <v>14.28</v>
      </c>
      <c r="K568" s="505">
        <v>0.28000000000000003</v>
      </c>
      <c r="L568" s="70"/>
    </row>
    <row r="569" spans="1:12" ht="15.75" customHeight="1" x14ac:dyDescent="0.25">
      <c r="A569" s="445"/>
      <c r="B569" s="445"/>
      <c r="C569" s="445"/>
      <c r="D569" s="445"/>
      <c r="E569" s="445" t="s">
        <v>1735</v>
      </c>
      <c r="F569" s="506">
        <v>2.75</v>
      </c>
      <c r="G569" s="445" t="s">
        <v>1736</v>
      </c>
      <c r="H569" s="506">
        <v>0</v>
      </c>
      <c r="I569" s="445" t="s">
        <v>1737</v>
      </c>
      <c r="J569" s="506">
        <v>2.75</v>
      </c>
      <c r="K569" s="70"/>
      <c r="L569" s="70"/>
    </row>
    <row r="570" spans="1:12" ht="17.25" thickBot="1" x14ac:dyDescent="0.3">
      <c r="A570" s="445"/>
      <c r="B570" s="445"/>
      <c r="C570" s="445"/>
      <c r="D570" s="445"/>
      <c r="E570" s="445" t="s">
        <v>1738</v>
      </c>
      <c r="F570" s="506">
        <v>3.1342080000000001</v>
      </c>
      <c r="G570" s="445"/>
      <c r="H570" s="606" t="s">
        <v>1739</v>
      </c>
      <c r="I570" s="606"/>
      <c r="J570" s="506">
        <v>15.85</v>
      </c>
      <c r="K570" s="70"/>
      <c r="L570" s="70"/>
    </row>
    <row r="571" spans="1:12" ht="17.25" thickTop="1" x14ac:dyDescent="0.25">
      <c r="A571" s="507"/>
      <c r="B571" s="507"/>
      <c r="C571" s="507"/>
      <c r="D571" s="507"/>
      <c r="E571" s="507"/>
      <c r="F571" s="507"/>
      <c r="G571" s="507"/>
      <c r="H571" s="507"/>
      <c r="I571" s="507"/>
      <c r="J571" s="507"/>
      <c r="K571" s="507"/>
      <c r="L571" s="70"/>
    </row>
    <row r="572" spans="1:12" ht="16.5" x14ac:dyDescent="0.25">
      <c r="A572" s="419" t="s">
        <v>1229</v>
      </c>
      <c r="B572" s="421" t="s">
        <v>76</v>
      </c>
      <c r="C572" s="419" t="s">
        <v>991</v>
      </c>
      <c r="D572" s="419" t="s">
        <v>191</v>
      </c>
      <c r="E572" s="603" t="s">
        <v>77</v>
      </c>
      <c r="F572" s="603"/>
      <c r="G572" s="420" t="s">
        <v>103</v>
      </c>
      <c r="H572" s="421" t="s">
        <v>147</v>
      </c>
      <c r="I572" s="421" t="s">
        <v>1731</v>
      </c>
      <c r="J572" s="421" t="s">
        <v>1117</v>
      </c>
      <c r="K572" s="421" t="s">
        <v>104</v>
      </c>
      <c r="L572" s="70"/>
    </row>
    <row r="573" spans="1:12" ht="25.5" x14ac:dyDescent="0.25">
      <c r="A573" s="441" t="s">
        <v>79</v>
      </c>
      <c r="B573" s="480" t="s">
        <v>1230</v>
      </c>
      <c r="C573" s="441" t="s">
        <v>993</v>
      </c>
      <c r="D573" s="441" t="s">
        <v>268</v>
      </c>
      <c r="E573" s="604">
        <v>510</v>
      </c>
      <c r="F573" s="604"/>
      <c r="G573" s="443" t="s">
        <v>45</v>
      </c>
      <c r="H573" s="500">
        <v>1</v>
      </c>
      <c r="I573" s="442"/>
      <c r="J573" s="442">
        <v>524.19000000000005</v>
      </c>
      <c r="K573" s="442">
        <v>524.19000000000005</v>
      </c>
      <c r="L573" s="70"/>
    </row>
    <row r="574" spans="1:12" ht="25.5" x14ac:dyDescent="0.25">
      <c r="A574" s="501" t="s">
        <v>1732</v>
      </c>
      <c r="B574" s="502" t="s">
        <v>1023</v>
      </c>
      <c r="C574" s="501" t="s">
        <v>993</v>
      </c>
      <c r="D574" s="501" t="s">
        <v>1024</v>
      </c>
      <c r="E574" s="602" t="s">
        <v>972</v>
      </c>
      <c r="F574" s="602"/>
      <c r="G574" s="503" t="s">
        <v>81</v>
      </c>
      <c r="H574" s="504">
        <v>0.64480000000000004</v>
      </c>
      <c r="I574" s="504"/>
      <c r="J574" s="505">
        <v>17.559999999999999</v>
      </c>
      <c r="K574" s="505">
        <v>11.32</v>
      </c>
      <c r="L574" s="70"/>
    </row>
    <row r="575" spans="1:12" ht="25.5" x14ac:dyDescent="0.25">
      <c r="A575" s="501" t="s">
        <v>1732</v>
      </c>
      <c r="B575" s="502" t="s">
        <v>992</v>
      </c>
      <c r="C575" s="501" t="s">
        <v>993</v>
      </c>
      <c r="D575" s="501" t="s">
        <v>994</v>
      </c>
      <c r="E575" s="602" t="s">
        <v>972</v>
      </c>
      <c r="F575" s="602"/>
      <c r="G575" s="503" t="s">
        <v>81</v>
      </c>
      <c r="H575" s="504">
        <v>5.1585999999999999</v>
      </c>
      <c r="I575" s="504"/>
      <c r="J575" s="505">
        <v>14.62</v>
      </c>
      <c r="K575" s="505">
        <v>75.41</v>
      </c>
      <c r="L575" s="70"/>
    </row>
    <row r="576" spans="1:12" ht="25.5" x14ac:dyDescent="0.25">
      <c r="A576" s="501" t="s">
        <v>1732</v>
      </c>
      <c r="B576" s="502" t="s">
        <v>1756</v>
      </c>
      <c r="C576" s="501" t="s">
        <v>993</v>
      </c>
      <c r="D576" s="501" t="s">
        <v>1757</v>
      </c>
      <c r="E576" s="602" t="s">
        <v>1746</v>
      </c>
      <c r="F576" s="602"/>
      <c r="G576" s="503" t="s">
        <v>45</v>
      </c>
      <c r="H576" s="504">
        <v>0.57799999999999996</v>
      </c>
      <c r="I576" s="504"/>
      <c r="J576" s="505">
        <v>152.69</v>
      </c>
      <c r="K576" s="505">
        <v>88.25</v>
      </c>
      <c r="L576" s="70"/>
    </row>
    <row r="577" spans="1:12" ht="25.5" x14ac:dyDescent="0.25">
      <c r="A577" s="501" t="s">
        <v>1732</v>
      </c>
      <c r="B577" s="502" t="s">
        <v>1854</v>
      </c>
      <c r="C577" s="501" t="s">
        <v>993</v>
      </c>
      <c r="D577" s="501" t="s">
        <v>1855</v>
      </c>
      <c r="E577" s="602" t="s">
        <v>1746</v>
      </c>
      <c r="F577" s="602"/>
      <c r="G577" s="503" t="s">
        <v>1222</v>
      </c>
      <c r="H577" s="504">
        <v>373</v>
      </c>
      <c r="I577" s="504"/>
      <c r="J577" s="505">
        <v>0.65</v>
      </c>
      <c r="K577" s="505">
        <v>242.45</v>
      </c>
      <c r="L577" s="70"/>
    </row>
    <row r="578" spans="1:12" ht="25.5" x14ac:dyDescent="0.25">
      <c r="A578" s="501" t="s">
        <v>1732</v>
      </c>
      <c r="B578" s="502" t="s">
        <v>1872</v>
      </c>
      <c r="C578" s="501" t="s">
        <v>993</v>
      </c>
      <c r="D578" s="501" t="s">
        <v>1873</v>
      </c>
      <c r="E578" s="602" t="s">
        <v>1746</v>
      </c>
      <c r="F578" s="602"/>
      <c r="G578" s="503" t="s">
        <v>45</v>
      </c>
      <c r="H578" s="504">
        <v>0.71199999999999997</v>
      </c>
      <c r="I578" s="504"/>
      <c r="J578" s="505">
        <v>149.94999999999999</v>
      </c>
      <c r="K578" s="505">
        <v>106.76</v>
      </c>
      <c r="L578" s="70"/>
    </row>
    <row r="579" spans="1:12" ht="15.75" customHeight="1" x14ac:dyDescent="0.25">
      <c r="A579" s="445"/>
      <c r="B579" s="445"/>
      <c r="C579" s="445"/>
      <c r="D579" s="445"/>
      <c r="E579" s="445" t="s">
        <v>1735</v>
      </c>
      <c r="F579" s="506">
        <v>86.73</v>
      </c>
      <c r="G579" s="445" t="s">
        <v>1736</v>
      </c>
      <c r="H579" s="506">
        <v>0</v>
      </c>
      <c r="I579" s="445" t="s">
        <v>1737</v>
      </c>
      <c r="J579" s="506">
        <v>86.73</v>
      </c>
      <c r="K579" s="70"/>
      <c r="L579" s="70"/>
    </row>
    <row r="580" spans="1:12" ht="17.25" thickBot="1" x14ac:dyDescent="0.3">
      <c r="A580" s="445"/>
      <c r="B580" s="445"/>
      <c r="C580" s="445"/>
      <c r="D580" s="445"/>
      <c r="E580" s="445" t="s">
        <v>1738</v>
      </c>
      <c r="F580" s="506">
        <v>129.160416</v>
      </c>
      <c r="G580" s="445"/>
      <c r="H580" s="606" t="s">
        <v>1739</v>
      </c>
      <c r="I580" s="606"/>
      <c r="J580" s="506">
        <v>653.35</v>
      </c>
      <c r="K580" s="70"/>
      <c r="L580" s="70"/>
    </row>
    <row r="581" spans="1:12" ht="17.25" thickTop="1" x14ac:dyDescent="0.25">
      <c r="A581" s="507"/>
      <c r="B581" s="507"/>
      <c r="C581" s="507"/>
      <c r="D581" s="507"/>
      <c r="E581" s="507"/>
      <c r="F581" s="507"/>
      <c r="G581" s="507"/>
      <c r="H581" s="507"/>
      <c r="I581" s="507"/>
      <c r="J581" s="507"/>
      <c r="K581" s="507"/>
      <c r="L581" s="70"/>
    </row>
    <row r="582" spans="1:12" ht="16.5" x14ac:dyDescent="0.25">
      <c r="A582" s="419" t="s">
        <v>1231</v>
      </c>
      <c r="B582" s="421" t="s">
        <v>76</v>
      </c>
      <c r="C582" s="419" t="s">
        <v>991</v>
      </c>
      <c r="D582" s="419" t="s">
        <v>191</v>
      </c>
      <c r="E582" s="603" t="s">
        <v>77</v>
      </c>
      <c r="F582" s="603"/>
      <c r="G582" s="420" t="s">
        <v>103</v>
      </c>
      <c r="H582" s="421" t="s">
        <v>147</v>
      </c>
      <c r="I582" s="421" t="s">
        <v>1731</v>
      </c>
      <c r="J582" s="421" t="s">
        <v>1117</v>
      </c>
      <c r="K582" s="421" t="s">
        <v>104</v>
      </c>
      <c r="L582" s="70"/>
    </row>
    <row r="583" spans="1:12" ht="25.5" x14ac:dyDescent="0.25">
      <c r="A583" s="441" t="s">
        <v>79</v>
      </c>
      <c r="B583" s="480" t="s">
        <v>1232</v>
      </c>
      <c r="C583" s="441" t="s">
        <v>993</v>
      </c>
      <c r="D583" s="441" t="s">
        <v>277</v>
      </c>
      <c r="E583" s="604">
        <v>510</v>
      </c>
      <c r="F583" s="604"/>
      <c r="G583" s="443" t="s">
        <v>45</v>
      </c>
      <c r="H583" s="500">
        <v>1</v>
      </c>
      <c r="I583" s="442"/>
      <c r="J583" s="442">
        <v>52.04</v>
      </c>
      <c r="K583" s="442">
        <v>52.04</v>
      </c>
      <c r="L583" s="70"/>
    </row>
    <row r="584" spans="1:12" ht="25.5" x14ac:dyDescent="0.25">
      <c r="A584" s="501" t="s">
        <v>1732</v>
      </c>
      <c r="B584" s="502" t="s">
        <v>1013</v>
      </c>
      <c r="C584" s="501" t="s">
        <v>993</v>
      </c>
      <c r="D584" s="501" t="s">
        <v>1014</v>
      </c>
      <c r="E584" s="602" t="s">
        <v>972</v>
      </c>
      <c r="F584" s="602"/>
      <c r="G584" s="503" t="s">
        <v>81</v>
      </c>
      <c r="H584" s="504">
        <v>0.77349999999999997</v>
      </c>
      <c r="I584" s="504"/>
      <c r="J584" s="505">
        <v>23.41</v>
      </c>
      <c r="K584" s="505">
        <v>18.100000000000001</v>
      </c>
      <c r="L584" s="70"/>
    </row>
    <row r="585" spans="1:12" ht="25.5" x14ac:dyDescent="0.25">
      <c r="A585" s="501" t="s">
        <v>1732</v>
      </c>
      <c r="B585" s="502" t="s">
        <v>992</v>
      </c>
      <c r="C585" s="501" t="s">
        <v>993</v>
      </c>
      <c r="D585" s="501" t="s">
        <v>994</v>
      </c>
      <c r="E585" s="602" t="s">
        <v>972</v>
      </c>
      <c r="F585" s="602"/>
      <c r="G585" s="503" t="s">
        <v>81</v>
      </c>
      <c r="H585" s="504">
        <v>2.3218000000000001</v>
      </c>
      <c r="I585" s="504"/>
      <c r="J585" s="505">
        <v>14.62</v>
      </c>
      <c r="K585" s="505">
        <v>33.94</v>
      </c>
      <c r="L585" s="70"/>
    </row>
    <row r="586" spans="1:12" ht="15.75" customHeight="1" x14ac:dyDescent="0.25">
      <c r="A586" s="445"/>
      <c r="B586" s="445"/>
      <c r="C586" s="445"/>
      <c r="D586" s="445"/>
      <c r="E586" s="445" t="s">
        <v>1735</v>
      </c>
      <c r="F586" s="506">
        <v>52.04</v>
      </c>
      <c r="G586" s="445" t="s">
        <v>1736</v>
      </c>
      <c r="H586" s="506">
        <v>0</v>
      </c>
      <c r="I586" s="445" t="s">
        <v>1737</v>
      </c>
      <c r="J586" s="506">
        <v>52.04</v>
      </c>
      <c r="K586" s="70"/>
      <c r="L586" s="70"/>
    </row>
    <row r="587" spans="1:12" ht="17.25" thickBot="1" x14ac:dyDescent="0.3">
      <c r="A587" s="445"/>
      <c r="B587" s="445"/>
      <c r="C587" s="445"/>
      <c r="D587" s="445"/>
      <c r="E587" s="445" t="s">
        <v>1738</v>
      </c>
      <c r="F587" s="506">
        <v>12.822656</v>
      </c>
      <c r="G587" s="445"/>
      <c r="H587" s="606" t="s">
        <v>1739</v>
      </c>
      <c r="I587" s="606"/>
      <c r="J587" s="506">
        <v>64.86</v>
      </c>
      <c r="K587" s="70"/>
      <c r="L587" s="70"/>
    </row>
    <row r="588" spans="1:12" ht="17.25" thickTop="1" x14ac:dyDescent="0.25">
      <c r="A588" s="507"/>
      <c r="B588" s="507"/>
      <c r="C588" s="507"/>
      <c r="D588" s="507"/>
      <c r="E588" s="507"/>
      <c r="F588" s="507"/>
      <c r="G588" s="507"/>
      <c r="H588" s="507"/>
      <c r="I588" s="507"/>
      <c r="J588" s="507"/>
      <c r="K588" s="507"/>
      <c r="L588" s="70"/>
    </row>
    <row r="589" spans="1:12" ht="16.5" x14ac:dyDescent="0.25">
      <c r="A589" s="419" t="s">
        <v>1233</v>
      </c>
      <c r="B589" s="421" t="s">
        <v>76</v>
      </c>
      <c r="C589" s="419" t="s">
        <v>991</v>
      </c>
      <c r="D589" s="419" t="s">
        <v>191</v>
      </c>
      <c r="E589" s="603" t="s">
        <v>77</v>
      </c>
      <c r="F589" s="603"/>
      <c r="G589" s="420" t="s">
        <v>103</v>
      </c>
      <c r="H589" s="421" t="s">
        <v>147</v>
      </c>
      <c r="I589" s="421" t="s">
        <v>1731</v>
      </c>
      <c r="J589" s="421" t="s">
        <v>1117</v>
      </c>
      <c r="K589" s="421" t="s">
        <v>104</v>
      </c>
      <c r="L589" s="70"/>
    </row>
    <row r="590" spans="1:12" ht="25.5" x14ac:dyDescent="0.25">
      <c r="A590" s="441" t="s">
        <v>79</v>
      </c>
      <c r="B590" s="480" t="s">
        <v>1234</v>
      </c>
      <c r="C590" s="441" t="s">
        <v>1168</v>
      </c>
      <c r="D590" s="441" t="s">
        <v>246</v>
      </c>
      <c r="E590" s="604">
        <v>1101</v>
      </c>
      <c r="F590" s="604"/>
      <c r="G590" s="443" t="s">
        <v>19</v>
      </c>
      <c r="H590" s="500">
        <v>1</v>
      </c>
      <c r="I590" s="442"/>
      <c r="J590" s="442">
        <v>104.23</v>
      </c>
      <c r="K590" s="442">
        <v>104.23</v>
      </c>
      <c r="L590" s="70"/>
    </row>
    <row r="591" spans="1:12" ht="25.5" x14ac:dyDescent="0.25">
      <c r="A591" s="501" t="s">
        <v>1732</v>
      </c>
      <c r="B591" s="502" t="s">
        <v>992</v>
      </c>
      <c r="C591" s="501" t="s">
        <v>993</v>
      </c>
      <c r="D591" s="501" t="s">
        <v>994</v>
      </c>
      <c r="E591" s="602" t="s">
        <v>972</v>
      </c>
      <c r="F591" s="602"/>
      <c r="G591" s="503" t="s">
        <v>81</v>
      </c>
      <c r="H591" s="504">
        <v>0.72</v>
      </c>
      <c r="I591" s="504"/>
      <c r="J591" s="505">
        <v>14.62</v>
      </c>
      <c r="K591" s="505">
        <v>10.52</v>
      </c>
      <c r="L591" s="70"/>
    </row>
    <row r="592" spans="1:12" ht="25.5" x14ac:dyDescent="0.25">
      <c r="A592" s="501" t="s">
        <v>1732</v>
      </c>
      <c r="B592" s="502" t="s">
        <v>1003</v>
      </c>
      <c r="C592" s="501" t="s">
        <v>993</v>
      </c>
      <c r="D592" s="501" t="s">
        <v>1004</v>
      </c>
      <c r="E592" s="602" t="s">
        <v>972</v>
      </c>
      <c r="F592" s="602"/>
      <c r="G592" s="503" t="s">
        <v>81</v>
      </c>
      <c r="H592" s="504">
        <v>0.72</v>
      </c>
      <c r="I592" s="504"/>
      <c r="J592" s="505">
        <v>23.41</v>
      </c>
      <c r="K592" s="505">
        <v>16.850000000000001</v>
      </c>
      <c r="L592" s="70"/>
    </row>
    <row r="593" spans="1:12" ht="25.5" x14ac:dyDescent="0.25">
      <c r="A593" s="501" t="s">
        <v>1732</v>
      </c>
      <c r="B593" s="502" t="s">
        <v>1854</v>
      </c>
      <c r="C593" s="501" t="s">
        <v>993</v>
      </c>
      <c r="D593" s="501" t="s">
        <v>1855</v>
      </c>
      <c r="E593" s="602" t="s">
        <v>1746</v>
      </c>
      <c r="F593" s="602"/>
      <c r="G593" s="503" t="s">
        <v>1222</v>
      </c>
      <c r="H593" s="504">
        <v>1.6767000000000001</v>
      </c>
      <c r="I593" s="504"/>
      <c r="J593" s="505">
        <v>0.65</v>
      </c>
      <c r="K593" s="505">
        <v>1.08</v>
      </c>
      <c r="L593" s="70"/>
    </row>
    <row r="594" spans="1:12" ht="25.5" x14ac:dyDescent="0.25">
      <c r="A594" s="501" t="s">
        <v>1732</v>
      </c>
      <c r="B594" s="502" t="s">
        <v>1974</v>
      </c>
      <c r="C594" s="501" t="s">
        <v>993</v>
      </c>
      <c r="D594" s="501" t="s">
        <v>1975</v>
      </c>
      <c r="E594" s="602" t="s">
        <v>1746</v>
      </c>
      <c r="F594" s="602"/>
      <c r="G594" s="503" t="s">
        <v>45</v>
      </c>
      <c r="H594" s="504">
        <v>8.3999999999999995E-3</v>
      </c>
      <c r="I594" s="504"/>
      <c r="J594" s="505">
        <v>172.18</v>
      </c>
      <c r="K594" s="505">
        <v>1.44</v>
      </c>
      <c r="L594" s="70"/>
    </row>
    <row r="595" spans="1:12" ht="25.5" x14ac:dyDescent="0.25">
      <c r="A595" s="501" t="s">
        <v>1732</v>
      </c>
      <c r="B595" s="502" t="s">
        <v>2166</v>
      </c>
      <c r="C595" s="501" t="s">
        <v>993</v>
      </c>
      <c r="D595" s="501" t="s">
        <v>2167</v>
      </c>
      <c r="E595" s="602" t="s">
        <v>1746</v>
      </c>
      <c r="F595" s="602"/>
      <c r="G595" s="503" t="s">
        <v>49</v>
      </c>
      <c r="H595" s="504">
        <v>14.84</v>
      </c>
      <c r="I595" s="504">
        <v>0</v>
      </c>
      <c r="J595" s="505">
        <v>5.01</v>
      </c>
      <c r="K595" s="505">
        <v>74.34</v>
      </c>
      <c r="L595" s="70"/>
    </row>
    <row r="596" spans="1:12" ht="15.75" customHeight="1" x14ac:dyDescent="0.25">
      <c r="A596" s="445"/>
      <c r="B596" s="445"/>
      <c r="C596" s="445"/>
      <c r="D596" s="445"/>
      <c r="E596" s="445" t="s">
        <v>1735</v>
      </c>
      <c r="F596" s="506">
        <v>27.37</v>
      </c>
      <c r="G596" s="445" t="s">
        <v>1736</v>
      </c>
      <c r="H596" s="506">
        <v>0</v>
      </c>
      <c r="I596" s="445" t="s">
        <v>1737</v>
      </c>
      <c r="J596" s="506">
        <v>27.37</v>
      </c>
      <c r="K596" s="70"/>
      <c r="L596" s="70"/>
    </row>
    <row r="597" spans="1:12" ht="17.25" thickBot="1" x14ac:dyDescent="0.3">
      <c r="A597" s="445"/>
      <c r="B597" s="445"/>
      <c r="C597" s="445"/>
      <c r="D597" s="445"/>
      <c r="E597" s="445" t="s">
        <v>1738</v>
      </c>
      <c r="F597" s="506">
        <v>25.682272000000001</v>
      </c>
      <c r="G597" s="445"/>
      <c r="H597" s="606" t="s">
        <v>1739</v>
      </c>
      <c r="I597" s="606"/>
      <c r="J597" s="506">
        <v>129.91</v>
      </c>
      <c r="K597" s="70"/>
      <c r="L597" s="70"/>
    </row>
    <row r="598" spans="1:12" ht="17.25" thickTop="1" x14ac:dyDescent="0.25">
      <c r="A598" s="507"/>
      <c r="B598" s="507"/>
      <c r="C598" s="507"/>
      <c r="D598" s="507"/>
      <c r="E598" s="507"/>
      <c r="F598" s="507"/>
      <c r="G598" s="507"/>
      <c r="H598" s="507"/>
      <c r="I598" s="507"/>
      <c r="J598" s="507"/>
      <c r="K598" s="507"/>
      <c r="L598" s="70"/>
    </row>
    <row r="599" spans="1:12" ht="16.5" x14ac:dyDescent="0.25">
      <c r="A599" s="419" t="s">
        <v>1236</v>
      </c>
      <c r="B599" s="421" t="s">
        <v>76</v>
      </c>
      <c r="C599" s="419" t="s">
        <v>991</v>
      </c>
      <c r="D599" s="419" t="s">
        <v>191</v>
      </c>
      <c r="E599" s="603" t="s">
        <v>77</v>
      </c>
      <c r="F599" s="603"/>
      <c r="G599" s="420" t="s">
        <v>103</v>
      </c>
      <c r="H599" s="421" t="s">
        <v>147</v>
      </c>
      <c r="I599" s="421" t="s">
        <v>1731</v>
      </c>
      <c r="J599" s="421" t="s">
        <v>1117</v>
      </c>
      <c r="K599" s="421" t="s">
        <v>104</v>
      </c>
      <c r="L599" s="70"/>
    </row>
    <row r="600" spans="1:12" ht="16.5" x14ac:dyDescent="0.25">
      <c r="A600" s="441" t="s">
        <v>79</v>
      </c>
      <c r="B600" s="480" t="s">
        <v>1237</v>
      </c>
      <c r="C600" s="441" t="s">
        <v>1168</v>
      </c>
      <c r="D600" s="441" t="s">
        <v>1238</v>
      </c>
      <c r="E600" s="604">
        <v>52</v>
      </c>
      <c r="F600" s="604"/>
      <c r="G600" s="443" t="s">
        <v>41</v>
      </c>
      <c r="H600" s="500">
        <v>1</v>
      </c>
      <c r="I600" s="442"/>
      <c r="J600" s="442">
        <v>30.74</v>
      </c>
      <c r="K600" s="442">
        <v>30.74</v>
      </c>
      <c r="L600" s="70"/>
    </row>
    <row r="601" spans="1:12" ht="16.5" x14ac:dyDescent="0.25">
      <c r="A601" s="501" t="s">
        <v>1732</v>
      </c>
      <c r="B601" s="502" t="s">
        <v>2168</v>
      </c>
      <c r="C601" s="501" t="s">
        <v>575</v>
      </c>
      <c r="D601" s="501" t="s">
        <v>2169</v>
      </c>
      <c r="E601" s="602" t="s">
        <v>2170</v>
      </c>
      <c r="F601" s="602"/>
      <c r="G601" s="503" t="s">
        <v>41</v>
      </c>
      <c r="H601" s="504">
        <v>1</v>
      </c>
      <c r="I601" s="504"/>
      <c r="J601" s="505">
        <v>29.28</v>
      </c>
      <c r="K601" s="505">
        <v>29.28</v>
      </c>
      <c r="L601" s="70"/>
    </row>
    <row r="602" spans="1:12" ht="25.5" x14ac:dyDescent="0.25">
      <c r="A602" s="501" t="s">
        <v>1732</v>
      </c>
      <c r="B602" s="502" t="s">
        <v>992</v>
      </c>
      <c r="C602" s="501" t="s">
        <v>993</v>
      </c>
      <c r="D602" s="501" t="s">
        <v>994</v>
      </c>
      <c r="E602" s="602" t="s">
        <v>972</v>
      </c>
      <c r="F602" s="602"/>
      <c r="G602" s="503" t="s">
        <v>81</v>
      </c>
      <c r="H602" s="504">
        <v>0.1</v>
      </c>
      <c r="I602" s="504">
        <v>0</v>
      </c>
      <c r="J602" s="505">
        <v>14.62</v>
      </c>
      <c r="K602" s="505">
        <v>1.46</v>
      </c>
      <c r="L602" s="70"/>
    </row>
    <row r="603" spans="1:12" ht="15.75" customHeight="1" x14ac:dyDescent="0.25">
      <c r="A603" s="445"/>
      <c r="B603" s="445"/>
      <c r="C603" s="445"/>
      <c r="D603" s="445"/>
      <c r="E603" s="445" t="s">
        <v>1735</v>
      </c>
      <c r="F603" s="506">
        <v>1.46</v>
      </c>
      <c r="G603" s="445" t="s">
        <v>1736</v>
      </c>
      <c r="H603" s="506">
        <v>0</v>
      </c>
      <c r="I603" s="445" t="s">
        <v>1737</v>
      </c>
      <c r="J603" s="506">
        <v>1.46</v>
      </c>
      <c r="K603" s="70"/>
      <c r="L603" s="70"/>
    </row>
    <row r="604" spans="1:12" ht="17.25" thickBot="1" x14ac:dyDescent="0.3">
      <c r="A604" s="445"/>
      <c r="B604" s="445"/>
      <c r="C604" s="445"/>
      <c r="D604" s="445"/>
      <c r="E604" s="445" t="s">
        <v>1738</v>
      </c>
      <c r="F604" s="506">
        <v>7.5743359999999997</v>
      </c>
      <c r="G604" s="445"/>
      <c r="H604" s="606" t="s">
        <v>1739</v>
      </c>
      <c r="I604" s="606"/>
      <c r="J604" s="506">
        <v>38.31</v>
      </c>
      <c r="K604" s="70"/>
      <c r="L604" s="70"/>
    </row>
    <row r="605" spans="1:12" ht="17.25" thickTop="1" x14ac:dyDescent="0.25">
      <c r="A605" s="507"/>
      <c r="B605" s="507"/>
      <c r="C605" s="507"/>
      <c r="D605" s="507"/>
      <c r="E605" s="507"/>
      <c r="F605" s="507"/>
      <c r="G605" s="507"/>
      <c r="H605" s="507"/>
      <c r="I605" s="507"/>
      <c r="J605" s="507"/>
      <c r="K605" s="507"/>
      <c r="L605" s="70"/>
    </row>
    <row r="606" spans="1:12" ht="16.5" x14ac:dyDescent="0.25">
      <c r="A606" s="419" t="s">
        <v>1240</v>
      </c>
      <c r="B606" s="421" t="s">
        <v>76</v>
      </c>
      <c r="C606" s="419" t="s">
        <v>991</v>
      </c>
      <c r="D606" s="419" t="s">
        <v>191</v>
      </c>
      <c r="E606" s="603" t="s">
        <v>77</v>
      </c>
      <c r="F606" s="603"/>
      <c r="G606" s="420" t="s">
        <v>103</v>
      </c>
      <c r="H606" s="421" t="s">
        <v>147</v>
      </c>
      <c r="I606" s="421" t="s">
        <v>1731</v>
      </c>
      <c r="J606" s="421" t="s">
        <v>1117</v>
      </c>
      <c r="K606" s="421" t="s">
        <v>104</v>
      </c>
      <c r="L606" s="70"/>
    </row>
    <row r="607" spans="1:12" ht="25.5" x14ac:dyDescent="0.25">
      <c r="A607" s="441" t="s">
        <v>79</v>
      </c>
      <c r="B607" s="480" t="s">
        <v>1241</v>
      </c>
      <c r="C607" s="441" t="s">
        <v>993</v>
      </c>
      <c r="D607" s="441" t="s">
        <v>275</v>
      </c>
      <c r="E607" s="604">
        <v>520</v>
      </c>
      <c r="F607" s="604"/>
      <c r="G607" s="443" t="s">
        <v>1222</v>
      </c>
      <c r="H607" s="500">
        <v>1</v>
      </c>
      <c r="I607" s="442"/>
      <c r="J607" s="442">
        <v>11.4</v>
      </c>
      <c r="K607" s="442">
        <v>11.4</v>
      </c>
      <c r="L607" s="70"/>
    </row>
    <row r="608" spans="1:12" ht="25.5" x14ac:dyDescent="0.25">
      <c r="A608" s="501" t="s">
        <v>1732</v>
      </c>
      <c r="B608" s="502" t="s">
        <v>1007</v>
      </c>
      <c r="C608" s="501" t="s">
        <v>993</v>
      </c>
      <c r="D608" s="501" t="s">
        <v>1008</v>
      </c>
      <c r="E608" s="602" t="s">
        <v>972</v>
      </c>
      <c r="F608" s="602"/>
      <c r="G608" s="503" t="s">
        <v>81</v>
      </c>
      <c r="H608" s="504">
        <v>0.1</v>
      </c>
      <c r="I608" s="504"/>
      <c r="J608" s="505">
        <v>23.41</v>
      </c>
      <c r="K608" s="505">
        <v>2.34</v>
      </c>
      <c r="L608" s="70"/>
    </row>
    <row r="609" spans="1:12" ht="25.5" x14ac:dyDescent="0.25">
      <c r="A609" s="501" t="s">
        <v>1732</v>
      </c>
      <c r="B609" s="502" t="s">
        <v>999</v>
      </c>
      <c r="C609" s="501" t="s">
        <v>993</v>
      </c>
      <c r="D609" s="501" t="s">
        <v>1000</v>
      </c>
      <c r="E609" s="602" t="s">
        <v>972</v>
      </c>
      <c r="F609" s="602"/>
      <c r="G609" s="503" t="s">
        <v>81</v>
      </c>
      <c r="H609" s="504">
        <v>0.1</v>
      </c>
      <c r="I609" s="504"/>
      <c r="J609" s="505">
        <v>16.04</v>
      </c>
      <c r="K609" s="505">
        <v>1.6</v>
      </c>
      <c r="L609" s="70"/>
    </row>
    <row r="610" spans="1:12" ht="25.5" x14ac:dyDescent="0.25">
      <c r="A610" s="501" t="s">
        <v>1732</v>
      </c>
      <c r="B610" s="502" t="s">
        <v>2030</v>
      </c>
      <c r="C610" s="501" t="s">
        <v>993</v>
      </c>
      <c r="D610" s="501" t="s">
        <v>2031</v>
      </c>
      <c r="E610" s="602" t="s">
        <v>1746</v>
      </c>
      <c r="F610" s="602"/>
      <c r="G610" s="503" t="s">
        <v>1222</v>
      </c>
      <c r="H610" s="504">
        <v>0.03</v>
      </c>
      <c r="I610" s="504"/>
      <c r="J610" s="505">
        <v>14.28</v>
      </c>
      <c r="K610" s="505">
        <v>0.42</v>
      </c>
      <c r="L610" s="70"/>
    </row>
    <row r="611" spans="1:12" ht="25.5" x14ac:dyDescent="0.25">
      <c r="A611" s="501" t="s">
        <v>1732</v>
      </c>
      <c r="B611" s="502" t="s">
        <v>2171</v>
      </c>
      <c r="C611" s="501" t="s">
        <v>993</v>
      </c>
      <c r="D611" s="501" t="s">
        <v>2172</v>
      </c>
      <c r="E611" s="602" t="s">
        <v>1746</v>
      </c>
      <c r="F611" s="602"/>
      <c r="G611" s="503" t="s">
        <v>1222</v>
      </c>
      <c r="H611" s="504">
        <v>1.1000000000000001</v>
      </c>
      <c r="I611" s="504"/>
      <c r="J611" s="505">
        <v>6.4</v>
      </c>
      <c r="K611" s="505">
        <v>7.04</v>
      </c>
      <c r="L611" s="70"/>
    </row>
    <row r="612" spans="1:12" ht="15.75" customHeight="1" x14ac:dyDescent="0.25">
      <c r="A612" s="445"/>
      <c r="B612" s="445"/>
      <c r="C612" s="445"/>
      <c r="D612" s="445"/>
      <c r="E612" s="445" t="s">
        <v>1735</v>
      </c>
      <c r="F612" s="506">
        <v>3.94</v>
      </c>
      <c r="G612" s="445" t="s">
        <v>1736</v>
      </c>
      <c r="H612" s="506">
        <v>0</v>
      </c>
      <c r="I612" s="445" t="s">
        <v>1737</v>
      </c>
      <c r="J612" s="506">
        <v>3.94</v>
      </c>
      <c r="K612" s="70"/>
      <c r="L612" s="70"/>
    </row>
    <row r="613" spans="1:12" ht="17.25" thickBot="1" x14ac:dyDescent="0.3">
      <c r="A613" s="445"/>
      <c r="B613" s="445"/>
      <c r="C613" s="445"/>
      <c r="D613" s="445"/>
      <c r="E613" s="445" t="s">
        <v>1738</v>
      </c>
      <c r="F613" s="506">
        <v>2.8089599999999999</v>
      </c>
      <c r="G613" s="445"/>
      <c r="H613" s="606" t="s">
        <v>1739</v>
      </c>
      <c r="I613" s="606"/>
      <c r="J613" s="506">
        <v>14.2</v>
      </c>
      <c r="K613" s="70"/>
      <c r="L613" s="70"/>
    </row>
    <row r="614" spans="1:12" ht="17.25" thickTop="1" x14ac:dyDescent="0.25">
      <c r="A614" s="507"/>
      <c r="B614" s="507"/>
      <c r="C614" s="507"/>
      <c r="D614" s="507"/>
      <c r="E614" s="507"/>
      <c r="F614" s="507"/>
      <c r="G614" s="507"/>
      <c r="H614" s="507"/>
      <c r="I614" s="507"/>
      <c r="J614" s="507"/>
      <c r="K614" s="507"/>
      <c r="L614" s="70"/>
    </row>
    <row r="615" spans="1:12" ht="25.5" customHeight="1" x14ac:dyDescent="0.25">
      <c r="A615" s="419" t="s">
        <v>1244</v>
      </c>
      <c r="B615" s="421" t="s">
        <v>76</v>
      </c>
      <c r="C615" s="419" t="s">
        <v>991</v>
      </c>
      <c r="D615" s="419" t="s">
        <v>191</v>
      </c>
      <c r="E615" s="603" t="s">
        <v>77</v>
      </c>
      <c r="F615" s="603"/>
      <c r="G615" s="420" t="s">
        <v>103</v>
      </c>
      <c r="H615" s="421" t="s">
        <v>147</v>
      </c>
      <c r="I615" s="421" t="s">
        <v>1731</v>
      </c>
      <c r="J615" s="421" t="s">
        <v>1117</v>
      </c>
      <c r="K615" s="421" t="s">
        <v>104</v>
      </c>
      <c r="L615" s="70"/>
    </row>
    <row r="616" spans="1:12" ht="38.25" customHeight="1" x14ac:dyDescent="0.25">
      <c r="A616" s="441" t="s">
        <v>79</v>
      </c>
      <c r="B616" s="480" t="s">
        <v>1245</v>
      </c>
      <c r="C616" s="441" t="s">
        <v>1168</v>
      </c>
      <c r="D616" s="441" t="s">
        <v>292</v>
      </c>
      <c r="E616" s="604" t="s">
        <v>2173</v>
      </c>
      <c r="F616" s="604"/>
      <c r="G616" s="443" t="s">
        <v>38</v>
      </c>
      <c r="H616" s="500">
        <v>1</v>
      </c>
      <c r="I616" s="442"/>
      <c r="J616" s="442">
        <v>14.54</v>
      </c>
      <c r="K616" s="442">
        <v>14.54</v>
      </c>
      <c r="L616" s="70"/>
    </row>
    <row r="617" spans="1:12" ht="38.25" customHeight="1" x14ac:dyDescent="0.25">
      <c r="A617" s="510" t="s">
        <v>2123</v>
      </c>
      <c r="B617" s="511" t="s">
        <v>2174</v>
      </c>
      <c r="C617" s="510" t="s">
        <v>1168</v>
      </c>
      <c r="D617" s="510" t="s">
        <v>2175</v>
      </c>
      <c r="E617" s="605" t="s">
        <v>2126</v>
      </c>
      <c r="F617" s="605"/>
      <c r="G617" s="512" t="s">
        <v>2130</v>
      </c>
      <c r="H617" s="513">
        <v>0.16270000000000001</v>
      </c>
      <c r="I617" s="513"/>
      <c r="J617" s="514">
        <v>26.89</v>
      </c>
      <c r="K617" s="514">
        <v>4.37</v>
      </c>
      <c r="L617" s="70"/>
    </row>
    <row r="618" spans="1:12" ht="25.5" customHeight="1" x14ac:dyDescent="0.25">
      <c r="A618" s="510" t="s">
        <v>2123</v>
      </c>
      <c r="B618" s="511" t="s">
        <v>2176</v>
      </c>
      <c r="C618" s="510" t="s">
        <v>1168</v>
      </c>
      <c r="D618" s="510" t="s">
        <v>2177</v>
      </c>
      <c r="E618" s="605" t="s">
        <v>2126</v>
      </c>
      <c r="F618" s="605"/>
      <c r="G618" s="512" t="s">
        <v>2127</v>
      </c>
      <c r="H618" s="513">
        <v>0.20030000000000001</v>
      </c>
      <c r="I618" s="513"/>
      <c r="J618" s="514">
        <v>24.35</v>
      </c>
      <c r="K618" s="514">
        <v>4.87</v>
      </c>
      <c r="L618" s="70"/>
    </row>
    <row r="619" spans="1:12" ht="25.5" x14ac:dyDescent="0.25">
      <c r="A619" s="501" t="s">
        <v>1732</v>
      </c>
      <c r="B619" s="502" t="s">
        <v>992</v>
      </c>
      <c r="C619" s="501" t="s">
        <v>993</v>
      </c>
      <c r="D619" s="501" t="s">
        <v>994</v>
      </c>
      <c r="E619" s="602" t="s">
        <v>972</v>
      </c>
      <c r="F619" s="602"/>
      <c r="G619" s="503" t="s">
        <v>81</v>
      </c>
      <c r="H619" s="504">
        <v>0.36299999999999999</v>
      </c>
      <c r="I619" s="504">
        <v>0</v>
      </c>
      <c r="J619" s="505">
        <v>14.62</v>
      </c>
      <c r="K619" s="505">
        <v>5.3</v>
      </c>
      <c r="L619" s="70"/>
    </row>
    <row r="620" spans="1:12" ht="15.75" customHeight="1" x14ac:dyDescent="0.25">
      <c r="A620" s="445"/>
      <c r="B620" s="445"/>
      <c r="C620" s="445"/>
      <c r="D620" s="445"/>
      <c r="E620" s="445" t="s">
        <v>1735</v>
      </c>
      <c r="F620" s="506">
        <v>13.78</v>
      </c>
      <c r="G620" s="445" t="s">
        <v>1736</v>
      </c>
      <c r="H620" s="506">
        <v>0</v>
      </c>
      <c r="I620" s="445" t="s">
        <v>1737</v>
      </c>
      <c r="J620" s="506">
        <v>13.78</v>
      </c>
      <c r="K620" s="70"/>
      <c r="L620" s="70"/>
    </row>
    <row r="621" spans="1:12" ht="17.25" thickBot="1" x14ac:dyDescent="0.3">
      <c r="A621" s="445"/>
      <c r="B621" s="445"/>
      <c r="C621" s="445"/>
      <c r="D621" s="445"/>
      <c r="E621" s="445" t="s">
        <v>1738</v>
      </c>
      <c r="F621" s="506">
        <v>3.5826560000000001</v>
      </c>
      <c r="G621" s="445"/>
      <c r="H621" s="606" t="s">
        <v>1739</v>
      </c>
      <c r="I621" s="606"/>
      <c r="J621" s="506">
        <v>18.12</v>
      </c>
      <c r="K621" s="70"/>
      <c r="L621" s="70"/>
    </row>
    <row r="622" spans="1:12" ht="17.25" thickTop="1" x14ac:dyDescent="0.25">
      <c r="A622" s="507"/>
      <c r="B622" s="507"/>
      <c r="C622" s="507"/>
      <c r="D622" s="507"/>
      <c r="E622" s="507"/>
      <c r="F622" s="507"/>
      <c r="G622" s="507"/>
      <c r="H622" s="507"/>
      <c r="I622" s="507"/>
      <c r="J622" s="507"/>
      <c r="K622" s="507"/>
      <c r="L622" s="70"/>
    </row>
    <row r="623" spans="1:12" ht="25.5" customHeight="1" x14ac:dyDescent="0.25">
      <c r="A623" s="419" t="s">
        <v>1254</v>
      </c>
      <c r="B623" s="421" t="s">
        <v>76</v>
      </c>
      <c r="C623" s="419" t="s">
        <v>991</v>
      </c>
      <c r="D623" s="419" t="s">
        <v>191</v>
      </c>
      <c r="E623" s="603" t="s">
        <v>77</v>
      </c>
      <c r="F623" s="603"/>
      <c r="G623" s="420" t="s">
        <v>103</v>
      </c>
      <c r="H623" s="421" t="s">
        <v>147</v>
      </c>
      <c r="I623" s="421" t="s">
        <v>1731</v>
      </c>
      <c r="J623" s="421" t="s">
        <v>1117</v>
      </c>
      <c r="K623" s="421" t="s">
        <v>104</v>
      </c>
      <c r="L623" s="70"/>
    </row>
    <row r="624" spans="1:12" ht="25.5" customHeight="1" x14ac:dyDescent="0.25">
      <c r="A624" s="441" t="s">
        <v>79</v>
      </c>
      <c r="B624" s="480" t="s">
        <v>1255</v>
      </c>
      <c r="C624" s="441" t="s">
        <v>1168</v>
      </c>
      <c r="D624" s="441" t="s">
        <v>1256</v>
      </c>
      <c r="E624" s="604" t="s">
        <v>2173</v>
      </c>
      <c r="F624" s="604"/>
      <c r="G624" s="443" t="s">
        <v>45</v>
      </c>
      <c r="H624" s="500">
        <v>1</v>
      </c>
      <c r="I624" s="442"/>
      <c r="J624" s="442">
        <v>627.13</v>
      </c>
      <c r="K624" s="442">
        <v>627.13</v>
      </c>
      <c r="L624" s="70"/>
    </row>
    <row r="625" spans="1:12" ht="25.5" customHeight="1" x14ac:dyDescent="0.25">
      <c r="A625" s="510" t="s">
        <v>2123</v>
      </c>
      <c r="B625" s="511" t="s">
        <v>2178</v>
      </c>
      <c r="C625" s="510" t="s">
        <v>1115</v>
      </c>
      <c r="D625" s="510" t="s">
        <v>2179</v>
      </c>
      <c r="E625" s="605" t="s">
        <v>2126</v>
      </c>
      <c r="F625" s="605"/>
      <c r="G625" s="512" t="s">
        <v>2127</v>
      </c>
      <c r="H625" s="513">
        <v>0.63770000000000004</v>
      </c>
      <c r="I625" s="513"/>
      <c r="J625" s="514">
        <v>0.53</v>
      </c>
      <c r="K625" s="514">
        <v>0.33</v>
      </c>
      <c r="L625" s="70"/>
    </row>
    <row r="626" spans="1:12" ht="38.25" customHeight="1" x14ac:dyDescent="0.25">
      <c r="A626" s="510" t="s">
        <v>2123</v>
      </c>
      <c r="B626" s="511" t="s">
        <v>2180</v>
      </c>
      <c r="C626" s="510" t="s">
        <v>993</v>
      </c>
      <c r="D626" s="510" t="s">
        <v>2181</v>
      </c>
      <c r="E626" s="605">
        <v>510</v>
      </c>
      <c r="F626" s="605"/>
      <c r="G626" s="512" t="s">
        <v>45</v>
      </c>
      <c r="H626" s="513">
        <v>0.80500000000000005</v>
      </c>
      <c r="I626" s="513"/>
      <c r="J626" s="514">
        <v>534.4</v>
      </c>
      <c r="K626" s="514">
        <v>430.19</v>
      </c>
      <c r="L626" s="70"/>
    </row>
    <row r="627" spans="1:12" ht="25.5" customHeight="1" x14ac:dyDescent="0.25">
      <c r="A627" s="510" t="s">
        <v>2123</v>
      </c>
      <c r="B627" s="511" t="s">
        <v>2182</v>
      </c>
      <c r="C627" s="510" t="s">
        <v>1168</v>
      </c>
      <c r="D627" s="510" t="s">
        <v>2183</v>
      </c>
      <c r="E627" s="605" t="s">
        <v>2126</v>
      </c>
      <c r="F627" s="605"/>
      <c r="G627" s="512" t="s">
        <v>2130</v>
      </c>
      <c r="H627" s="513">
        <v>0.2198</v>
      </c>
      <c r="I627" s="513"/>
      <c r="J627" s="514">
        <v>1.34</v>
      </c>
      <c r="K627" s="514">
        <v>0.28999999999999998</v>
      </c>
      <c r="L627" s="70"/>
    </row>
    <row r="628" spans="1:12" ht="25.5" x14ac:dyDescent="0.25">
      <c r="A628" s="501" t="s">
        <v>1732</v>
      </c>
      <c r="B628" s="502" t="s">
        <v>2184</v>
      </c>
      <c r="C628" s="501" t="s">
        <v>993</v>
      </c>
      <c r="D628" s="501" t="s">
        <v>2185</v>
      </c>
      <c r="E628" s="602" t="s">
        <v>1746</v>
      </c>
      <c r="F628" s="602"/>
      <c r="G628" s="503" t="s">
        <v>45</v>
      </c>
      <c r="H628" s="504">
        <v>0.45429999999999998</v>
      </c>
      <c r="I628" s="504">
        <v>0</v>
      </c>
      <c r="J628" s="505">
        <v>137.94999999999999</v>
      </c>
      <c r="K628" s="505">
        <v>62.67</v>
      </c>
      <c r="L628" s="70"/>
    </row>
    <row r="629" spans="1:12" ht="25.5" x14ac:dyDescent="0.25">
      <c r="A629" s="501" t="s">
        <v>1732</v>
      </c>
      <c r="B629" s="502" t="s">
        <v>992</v>
      </c>
      <c r="C629" s="501" t="s">
        <v>993</v>
      </c>
      <c r="D629" s="501" t="s">
        <v>994</v>
      </c>
      <c r="E629" s="602" t="s">
        <v>972</v>
      </c>
      <c r="F629" s="602"/>
      <c r="G629" s="503" t="s">
        <v>81</v>
      </c>
      <c r="H629" s="504">
        <v>6.4683999999999999</v>
      </c>
      <c r="I629" s="504">
        <v>0</v>
      </c>
      <c r="J629" s="505">
        <v>14.62</v>
      </c>
      <c r="K629" s="505">
        <v>94.56</v>
      </c>
      <c r="L629" s="70"/>
    </row>
    <row r="630" spans="1:12" ht="25.5" x14ac:dyDescent="0.25">
      <c r="A630" s="501" t="s">
        <v>1732</v>
      </c>
      <c r="B630" s="502" t="s">
        <v>1003</v>
      </c>
      <c r="C630" s="501" t="s">
        <v>993</v>
      </c>
      <c r="D630" s="501" t="s">
        <v>1004</v>
      </c>
      <c r="E630" s="602" t="s">
        <v>972</v>
      </c>
      <c r="F630" s="602"/>
      <c r="G630" s="503" t="s">
        <v>81</v>
      </c>
      <c r="H630" s="504">
        <v>1.6701999999999999</v>
      </c>
      <c r="I630" s="504">
        <v>0</v>
      </c>
      <c r="J630" s="505">
        <v>23.41</v>
      </c>
      <c r="K630" s="505">
        <v>39.090000000000003</v>
      </c>
      <c r="L630" s="70"/>
    </row>
    <row r="631" spans="1:12" ht="15.75" customHeight="1" x14ac:dyDescent="0.25">
      <c r="A631" s="445"/>
      <c r="B631" s="445"/>
      <c r="C631" s="445"/>
      <c r="D631" s="445"/>
      <c r="E631" s="445" t="s">
        <v>1735</v>
      </c>
      <c r="F631" s="506">
        <v>203.46</v>
      </c>
      <c r="G631" s="445" t="s">
        <v>1736</v>
      </c>
      <c r="H631" s="506">
        <v>0</v>
      </c>
      <c r="I631" s="445" t="s">
        <v>1737</v>
      </c>
      <c r="J631" s="506">
        <v>203.46</v>
      </c>
      <c r="K631" s="70"/>
      <c r="L631" s="70"/>
    </row>
    <row r="632" spans="1:12" ht="17.25" thickBot="1" x14ac:dyDescent="0.3">
      <c r="A632" s="445"/>
      <c r="B632" s="445"/>
      <c r="C632" s="445"/>
      <c r="D632" s="445"/>
      <c r="E632" s="445" t="s">
        <v>1738</v>
      </c>
      <c r="F632" s="506">
        <v>154.524832</v>
      </c>
      <c r="G632" s="445"/>
      <c r="H632" s="606" t="s">
        <v>1739</v>
      </c>
      <c r="I632" s="606"/>
      <c r="J632" s="506">
        <v>781.65</v>
      </c>
      <c r="K632" s="70"/>
      <c r="L632" s="70"/>
    </row>
    <row r="633" spans="1:12" ht="17.25" thickTop="1" x14ac:dyDescent="0.25">
      <c r="A633" s="507"/>
      <c r="B633" s="507"/>
      <c r="C633" s="507"/>
      <c r="D633" s="507"/>
      <c r="E633" s="507"/>
      <c r="F633" s="507"/>
      <c r="G633" s="507"/>
      <c r="H633" s="507"/>
      <c r="I633" s="507"/>
      <c r="J633" s="507"/>
      <c r="K633" s="507"/>
      <c r="L633" s="70"/>
    </row>
    <row r="634" spans="1:12" ht="16.5" x14ac:dyDescent="0.25">
      <c r="A634" s="419" t="s">
        <v>1259</v>
      </c>
      <c r="B634" s="421" t="s">
        <v>76</v>
      </c>
      <c r="C634" s="419" t="s">
        <v>991</v>
      </c>
      <c r="D634" s="419" t="s">
        <v>191</v>
      </c>
      <c r="E634" s="603" t="s">
        <v>77</v>
      </c>
      <c r="F634" s="603"/>
      <c r="G634" s="420" t="s">
        <v>103</v>
      </c>
      <c r="H634" s="421" t="s">
        <v>147</v>
      </c>
      <c r="I634" s="421" t="s">
        <v>1731</v>
      </c>
      <c r="J634" s="421" t="s">
        <v>1117</v>
      </c>
      <c r="K634" s="421" t="s">
        <v>104</v>
      </c>
      <c r="L634" s="70"/>
    </row>
    <row r="635" spans="1:12" ht="25.5" x14ac:dyDescent="0.25">
      <c r="A635" s="441" t="s">
        <v>79</v>
      </c>
      <c r="B635" s="480" t="s">
        <v>1260</v>
      </c>
      <c r="C635" s="441" t="s">
        <v>993</v>
      </c>
      <c r="D635" s="441" t="s">
        <v>296</v>
      </c>
      <c r="E635" s="604">
        <v>602</v>
      </c>
      <c r="F635" s="604"/>
      <c r="G635" s="443" t="s">
        <v>19</v>
      </c>
      <c r="H635" s="500">
        <v>1</v>
      </c>
      <c r="I635" s="442"/>
      <c r="J635" s="442">
        <v>209.51</v>
      </c>
      <c r="K635" s="442">
        <v>209.51</v>
      </c>
      <c r="L635" s="70"/>
    </row>
    <row r="636" spans="1:12" ht="25.5" x14ac:dyDescent="0.25">
      <c r="A636" s="501" t="s">
        <v>1732</v>
      </c>
      <c r="B636" s="502" t="s">
        <v>1009</v>
      </c>
      <c r="C636" s="501" t="s">
        <v>993</v>
      </c>
      <c r="D636" s="501" t="s">
        <v>1010</v>
      </c>
      <c r="E636" s="602" t="s">
        <v>972</v>
      </c>
      <c r="F636" s="602"/>
      <c r="G636" s="503" t="s">
        <v>81</v>
      </c>
      <c r="H636" s="504">
        <v>1.85</v>
      </c>
      <c r="I636" s="504"/>
      <c r="J636" s="505">
        <v>23.41</v>
      </c>
      <c r="K636" s="505">
        <v>43.3</v>
      </c>
      <c r="L636" s="70"/>
    </row>
    <row r="637" spans="1:12" ht="25.5" x14ac:dyDescent="0.25">
      <c r="A637" s="501" t="s">
        <v>1732</v>
      </c>
      <c r="B637" s="502" t="s">
        <v>992</v>
      </c>
      <c r="C637" s="501" t="s">
        <v>993</v>
      </c>
      <c r="D637" s="501" t="s">
        <v>994</v>
      </c>
      <c r="E637" s="602" t="s">
        <v>972</v>
      </c>
      <c r="F637" s="602"/>
      <c r="G637" s="503" t="s">
        <v>81</v>
      </c>
      <c r="H637" s="504">
        <v>1.35</v>
      </c>
      <c r="I637" s="504"/>
      <c r="J637" s="505">
        <v>14.62</v>
      </c>
      <c r="K637" s="505">
        <v>19.73</v>
      </c>
      <c r="L637" s="70"/>
    </row>
    <row r="638" spans="1:12" ht="25.5" x14ac:dyDescent="0.25">
      <c r="A638" s="501" t="s">
        <v>1732</v>
      </c>
      <c r="B638" s="502" t="s">
        <v>1936</v>
      </c>
      <c r="C638" s="501" t="s">
        <v>993</v>
      </c>
      <c r="D638" s="501" t="s">
        <v>1937</v>
      </c>
      <c r="E638" s="602" t="s">
        <v>1746</v>
      </c>
      <c r="F638" s="602"/>
      <c r="G638" s="503" t="s">
        <v>41</v>
      </c>
      <c r="H638" s="504">
        <v>2.7679999999999998</v>
      </c>
      <c r="I638" s="504"/>
      <c r="J638" s="505">
        <v>12.8</v>
      </c>
      <c r="K638" s="505">
        <v>35.43</v>
      </c>
      <c r="L638" s="70"/>
    </row>
    <row r="639" spans="1:12" ht="25.5" x14ac:dyDescent="0.25">
      <c r="A639" s="501" t="s">
        <v>1732</v>
      </c>
      <c r="B639" s="502" t="s">
        <v>2036</v>
      </c>
      <c r="C639" s="501" t="s">
        <v>993</v>
      </c>
      <c r="D639" s="501" t="s">
        <v>2037</v>
      </c>
      <c r="E639" s="602" t="s">
        <v>1746</v>
      </c>
      <c r="F639" s="602"/>
      <c r="G639" s="503" t="s">
        <v>41</v>
      </c>
      <c r="H639" s="504">
        <v>0.13</v>
      </c>
      <c r="I639" s="504"/>
      <c r="J639" s="505">
        <v>27.59</v>
      </c>
      <c r="K639" s="505">
        <v>3.58</v>
      </c>
      <c r="L639" s="70"/>
    </row>
    <row r="640" spans="1:12" ht="25.5" x14ac:dyDescent="0.25">
      <c r="A640" s="501" t="s">
        <v>1732</v>
      </c>
      <c r="B640" s="502" t="s">
        <v>1837</v>
      </c>
      <c r="C640" s="501" t="s">
        <v>993</v>
      </c>
      <c r="D640" s="501" t="s">
        <v>1838</v>
      </c>
      <c r="E640" s="602" t="s">
        <v>1746</v>
      </c>
      <c r="F640" s="602"/>
      <c r="G640" s="503" t="s">
        <v>41</v>
      </c>
      <c r="H640" s="504">
        <v>7.6</v>
      </c>
      <c r="I640" s="504"/>
      <c r="J640" s="505">
        <v>3.44</v>
      </c>
      <c r="K640" s="505">
        <v>26.14</v>
      </c>
      <c r="L640" s="70"/>
    </row>
    <row r="641" spans="1:12" ht="25.5" x14ac:dyDescent="0.25">
      <c r="A641" s="501" t="s">
        <v>1732</v>
      </c>
      <c r="B641" s="502" t="s">
        <v>2158</v>
      </c>
      <c r="C641" s="501" t="s">
        <v>993</v>
      </c>
      <c r="D641" s="501" t="s">
        <v>2159</v>
      </c>
      <c r="E641" s="602" t="s">
        <v>1746</v>
      </c>
      <c r="F641" s="602"/>
      <c r="G641" s="503" t="s">
        <v>1751</v>
      </c>
      <c r="H641" s="504">
        <v>1.4999999999999999E-2</v>
      </c>
      <c r="I641" s="504"/>
      <c r="J641" s="505">
        <v>9.73</v>
      </c>
      <c r="K641" s="505">
        <v>0.14000000000000001</v>
      </c>
      <c r="L641" s="70"/>
    </row>
    <row r="642" spans="1:12" ht="25.5" x14ac:dyDescent="0.25">
      <c r="A642" s="501" t="s">
        <v>1732</v>
      </c>
      <c r="B642" s="502" t="s">
        <v>1964</v>
      </c>
      <c r="C642" s="501" t="s">
        <v>993</v>
      </c>
      <c r="D642" s="501" t="s">
        <v>1965</v>
      </c>
      <c r="E642" s="602" t="s">
        <v>1746</v>
      </c>
      <c r="F642" s="602"/>
      <c r="G642" s="503" t="s">
        <v>1222</v>
      </c>
      <c r="H642" s="504">
        <v>0.65700000000000003</v>
      </c>
      <c r="I642" s="504"/>
      <c r="J642" s="505">
        <v>23.06</v>
      </c>
      <c r="K642" s="505">
        <v>15.15</v>
      </c>
      <c r="L642" s="70"/>
    </row>
    <row r="643" spans="1:12" ht="25.5" x14ac:dyDescent="0.25">
      <c r="A643" s="501" t="s">
        <v>1732</v>
      </c>
      <c r="B643" s="502" t="s">
        <v>1852</v>
      </c>
      <c r="C643" s="501" t="s">
        <v>993</v>
      </c>
      <c r="D643" s="501" t="s">
        <v>1853</v>
      </c>
      <c r="E643" s="602" t="s">
        <v>1746</v>
      </c>
      <c r="F643" s="602"/>
      <c r="G643" s="503" t="s">
        <v>19</v>
      </c>
      <c r="H643" s="504">
        <v>1.1499999999999999</v>
      </c>
      <c r="I643" s="504"/>
      <c r="J643" s="505">
        <v>48.35</v>
      </c>
      <c r="K643" s="505">
        <v>55.6</v>
      </c>
      <c r="L643" s="70"/>
    </row>
    <row r="644" spans="1:12" ht="25.5" x14ac:dyDescent="0.25">
      <c r="A644" s="501" t="s">
        <v>1732</v>
      </c>
      <c r="B644" s="502" t="s">
        <v>2162</v>
      </c>
      <c r="C644" s="501" t="s">
        <v>993</v>
      </c>
      <c r="D644" s="501" t="s">
        <v>2163</v>
      </c>
      <c r="E644" s="602" t="s">
        <v>1746</v>
      </c>
      <c r="F644" s="602"/>
      <c r="G644" s="503" t="s">
        <v>1222</v>
      </c>
      <c r="H644" s="504">
        <v>1.4159999999999999</v>
      </c>
      <c r="I644" s="504"/>
      <c r="J644" s="505">
        <v>6.67</v>
      </c>
      <c r="K644" s="505">
        <v>9.44</v>
      </c>
      <c r="L644" s="70"/>
    </row>
    <row r="645" spans="1:12" ht="25.5" x14ac:dyDescent="0.25">
      <c r="A645" s="501" t="s">
        <v>1732</v>
      </c>
      <c r="B645" s="502" t="s">
        <v>2186</v>
      </c>
      <c r="C645" s="501" t="s">
        <v>993</v>
      </c>
      <c r="D645" s="501" t="s">
        <v>2187</v>
      </c>
      <c r="E645" s="602" t="s">
        <v>1746</v>
      </c>
      <c r="F645" s="602"/>
      <c r="G645" s="503" t="s">
        <v>1222</v>
      </c>
      <c r="H645" s="504">
        <v>0.06</v>
      </c>
      <c r="I645" s="504"/>
      <c r="J645" s="505">
        <v>16.78</v>
      </c>
      <c r="K645" s="505">
        <v>1</v>
      </c>
      <c r="L645" s="70"/>
    </row>
    <row r="646" spans="1:12" ht="15.75" customHeight="1" x14ac:dyDescent="0.25">
      <c r="A646" s="445"/>
      <c r="B646" s="445"/>
      <c r="C646" s="445"/>
      <c r="D646" s="445"/>
      <c r="E646" s="445" t="s">
        <v>1735</v>
      </c>
      <c r="F646" s="506">
        <v>63.03</v>
      </c>
      <c r="G646" s="445" t="s">
        <v>1736</v>
      </c>
      <c r="H646" s="506">
        <v>0</v>
      </c>
      <c r="I646" s="445" t="s">
        <v>1737</v>
      </c>
      <c r="J646" s="506">
        <v>63.03</v>
      </c>
      <c r="K646" s="70"/>
      <c r="L646" s="70"/>
    </row>
    <row r="647" spans="1:12" ht="17.25" thickBot="1" x14ac:dyDescent="0.3">
      <c r="A647" s="445"/>
      <c r="B647" s="445"/>
      <c r="C647" s="445"/>
      <c r="D647" s="445"/>
      <c r="E647" s="445" t="s">
        <v>1738</v>
      </c>
      <c r="F647" s="506">
        <v>51.623263999999999</v>
      </c>
      <c r="G647" s="445"/>
      <c r="H647" s="606" t="s">
        <v>1739</v>
      </c>
      <c r="I647" s="606"/>
      <c r="J647" s="506">
        <v>261.13</v>
      </c>
      <c r="K647" s="70"/>
      <c r="L647" s="70"/>
    </row>
    <row r="648" spans="1:12" ht="17.25" thickTop="1" x14ac:dyDescent="0.25">
      <c r="A648" s="507"/>
      <c r="B648" s="507"/>
      <c r="C648" s="507"/>
      <c r="D648" s="507"/>
      <c r="E648" s="507"/>
      <c r="F648" s="507"/>
      <c r="G648" s="507"/>
      <c r="H648" s="507"/>
      <c r="I648" s="507"/>
      <c r="J648" s="507"/>
      <c r="K648" s="507"/>
      <c r="L648" s="70"/>
    </row>
    <row r="649" spans="1:12" ht="16.5" x14ac:dyDescent="0.25">
      <c r="A649" s="419" t="s">
        <v>1262</v>
      </c>
      <c r="B649" s="421" t="s">
        <v>76</v>
      </c>
      <c r="C649" s="419" t="s">
        <v>991</v>
      </c>
      <c r="D649" s="419" t="s">
        <v>191</v>
      </c>
      <c r="E649" s="603" t="s">
        <v>77</v>
      </c>
      <c r="F649" s="603"/>
      <c r="G649" s="420" t="s">
        <v>103</v>
      </c>
      <c r="H649" s="421" t="s">
        <v>147</v>
      </c>
      <c r="I649" s="421" t="s">
        <v>1731</v>
      </c>
      <c r="J649" s="421" t="s">
        <v>1117</v>
      </c>
      <c r="K649" s="421" t="s">
        <v>104</v>
      </c>
      <c r="L649" s="70"/>
    </row>
    <row r="650" spans="1:12" ht="25.5" x14ac:dyDescent="0.25">
      <c r="A650" s="441" t="s">
        <v>79</v>
      </c>
      <c r="B650" s="480" t="s">
        <v>1263</v>
      </c>
      <c r="C650" s="441" t="s">
        <v>993</v>
      </c>
      <c r="D650" s="441" t="s">
        <v>308</v>
      </c>
      <c r="E650" s="604">
        <v>603</v>
      </c>
      <c r="F650" s="604"/>
      <c r="G650" s="443" t="s">
        <v>1222</v>
      </c>
      <c r="H650" s="500">
        <v>1</v>
      </c>
      <c r="I650" s="442"/>
      <c r="J650" s="442">
        <v>11.04</v>
      </c>
      <c r="K650" s="442">
        <v>11.04</v>
      </c>
      <c r="L650" s="70"/>
    </row>
    <row r="651" spans="1:12" ht="25.5" x14ac:dyDescent="0.25">
      <c r="A651" s="501" t="s">
        <v>1732</v>
      </c>
      <c r="B651" s="502" t="s">
        <v>1007</v>
      </c>
      <c r="C651" s="501" t="s">
        <v>993</v>
      </c>
      <c r="D651" s="501" t="s">
        <v>1008</v>
      </c>
      <c r="E651" s="602" t="s">
        <v>972</v>
      </c>
      <c r="F651" s="602"/>
      <c r="G651" s="503" t="s">
        <v>81</v>
      </c>
      <c r="H651" s="504">
        <v>0.08</v>
      </c>
      <c r="I651" s="504"/>
      <c r="J651" s="505">
        <v>23.41</v>
      </c>
      <c r="K651" s="505">
        <v>1.87</v>
      </c>
      <c r="L651" s="70"/>
    </row>
    <row r="652" spans="1:12" ht="25.5" x14ac:dyDescent="0.25">
      <c r="A652" s="501" t="s">
        <v>1732</v>
      </c>
      <c r="B652" s="502" t="s">
        <v>999</v>
      </c>
      <c r="C652" s="501" t="s">
        <v>993</v>
      </c>
      <c r="D652" s="501" t="s">
        <v>1000</v>
      </c>
      <c r="E652" s="602" t="s">
        <v>972</v>
      </c>
      <c r="F652" s="602"/>
      <c r="G652" s="503" t="s">
        <v>81</v>
      </c>
      <c r="H652" s="504">
        <v>0.08</v>
      </c>
      <c r="I652" s="504"/>
      <c r="J652" s="505">
        <v>16.04</v>
      </c>
      <c r="K652" s="505">
        <v>1.28</v>
      </c>
      <c r="L652" s="70"/>
    </row>
    <row r="653" spans="1:12" ht="25.5" x14ac:dyDescent="0.25">
      <c r="A653" s="501" t="s">
        <v>1732</v>
      </c>
      <c r="B653" s="502" t="s">
        <v>2024</v>
      </c>
      <c r="C653" s="501" t="s">
        <v>993</v>
      </c>
      <c r="D653" s="501" t="s">
        <v>2025</v>
      </c>
      <c r="E653" s="602" t="s">
        <v>1746</v>
      </c>
      <c r="F653" s="602"/>
      <c r="G653" s="503" t="s">
        <v>1222</v>
      </c>
      <c r="H653" s="504">
        <v>1.1000000000000001</v>
      </c>
      <c r="I653" s="504"/>
      <c r="J653" s="505">
        <v>6.92</v>
      </c>
      <c r="K653" s="505">
        <v>7.61</v>
      </c>
      <c r="L653" s="70"/>
    </row>
    <row r="654" spans="1:12" ht="25.5" x14ac:dyDescent="0.25">
      <c r="A654" s="501" t="s">
        <v>1732</v>
      </c>
      <c r="B654" s="502" t="s">
        <v>2030</v>
      </c>
      <c r="C654" s="501" t="s">
        <v>993</v>
      </c>
      <c r="D654" s="501" t="s">
        <v>2031</v>
      </c>
      <c r="E654" s="602" t="s">
        <v>1746</v>
      </c>
      <c r="F654" s="602"/>
      <c r="G654" s="503" t="s">
        <v>1222</v>
      </c>
      <c r="H654" s="504">
        <v>0.02</v>
      </c>
      <c r="I654" s="504"/>
      <c r="J654" s="505">
        <v>14.28</v>
      </c>
      <c r="K654" s="505">
        <v>0.28000000000000003</v>
      </c>
      <c r="L654" s="70"/>
    </row>
    <row r="655" spans="1:12" ht="15.75" customHeight="1" x14ac:dyDescent="0.25">
      <c r="A655" s="445"/>
      <c r="B655" s="445"/>
      <c r="C655" s="445"/>
      <c r="D655" s="445"/>
      <c r="E655" s="445" t="s">
        <v>1735</v>
      </c>
      <c r="F655" s="506">
        <v>3.15</v>
      </c>
      <c r="G655" s="445" t="s">
        <v>1736</v>
      </c>
      <c r="H655" s="506">
        <v>0</v>
      </c>
      <c r="I655" s="445" t="s">
        <v>1737</v>
      </c>
      <c r="J655" s="506">
        <v>3.15</v>
      </c>
      <c r="K655" s="70"/>
      <c r="L655" s="70"/>
    </row>
    <row r="656" spans="1:12" ht="17.25" thickBot="1" x14ac:dyDescent="0.3">
      <c r="A656" s="445"/>
      <c r="B656" s="445"/>
      <c r="C656" s="445"/>
      <c r="D656" s="445"/>
      <c r="E656" s="445" t="s">
        <v>1738</v>
      </c>
      <c r="F656" s="506">
        <v>2.720256</v>
      </c>
      <c r="G656" s="445"/>
      <c r="H656" s="606" t="s">
        <v>1739</v>
      </c>
      <c r="I656" s="606"/>
      <c r="J656" s="506">
        <v>13.76</v>
      </c>
      <c r="K656" s="70"/>
      <c r="L656" s="70"/>
    </row>
    <row r="657" spans="1:12" ht="17.25" thickTop="1" x14ac:dyDescent="0.25">
      <c r="A657" s="507"/>
      <c r="B657" s="507"/>
      <c r="C657" s="507"/>
      <c r="D657" s="507"/>
      <c r="E657" s="507"/>
      <c r="F657" s="507"/>
      <c r="G657" s="507"/>
      <c r="H657" s="507"/>
      <c r="I657" s="507"/>
      <c r="J657" s="507"/>
      <c r="K657" s="507"/>
      <c r="L657" s="70"/>
    </row>
    <row r="658" spans="1:12" ht="16.5" x14ac:dyDescent="0.25">
      <c r="A658" s="419" t="s">
        <v>1264</v>
      </c>
      <c r="B658" s="421" t="s">
        <v>76</v>
      </c>
      <c r="C658" s="419" t="s">
        <v>991</v>
      </c>
      <c r="D658" s="419" t="s">
        <v>191</v>
      </c>
      <c r="E658" s="603" t="s">
        <v>77</v>
      </c>
      <c r="F658" s="603"/>
      <c r="G658" s="420" t="s">
        <v>103</v>
      </c>
      <c r="H658" s="421" t="s">
        <v>147</v>
      </c>
      <c r="I658" s="421" t="s">
        <v>1731</v>
      </c>
      <c r="J658" s="421" t="s">
        <v>1117</v>
      </c>
      <c r="K658" s="421" t="s">
        <v>104</v>
      </c>
      <c r="L658" s="70"/>
    </row>
    <row r="659" spans="1:12" ht="25.5" x14ac:dyDescent="0.25">
      <c r="A659" s="441" t="s">
        <v>79</v>
      </c>
      <c r="B659" s="480" t="s">
        <v>1265</v>
      </c>
      <c r="C659" s="441" t="s">
        <v>993</v>
      </c>
      <c r="D659" s="441" t="s">
        <v>310</v>
      </c>
      <c r="E659" s="604">
        <v>603</v>
      </c>
      <c r="F659" s="604"/>
      <c r="G659" s="443" t="s">
        <v>1222</v>
      </c>
      <c r="H659" s="500">
        <v>1</v>
      </c>
      <c r="I659" s="442"/>
      <c r="J659" s="442">
        <v>10.97</v>
      </c>
      <c r="K659" s="442">
        <v>10.97</v>
      </c>
      <c r="L659" s="70"/>
    </row>
    <row r="660" spans="1:12" ht="25.5" x14ac:dyDescent="0.25">
      <c r="A660" s="501" t="s">
        <v>1732</v>
      </c>
      <c r="B660" s="502" t="s">
        <v>999</v>
      </c>
      <c r="C660" s="501" t="s">
        <v>993</v>
      </c>
      <c r="D660" s="501" t="s">
        <v>1000</v>
      </c>
      <c r="E660" s="602" t="s">
        <v>972</v>
      </c>
      <c r="F660" s="602"/>
      <c r="G660" s="503" t="s">
        <v>81</v>
      </c>
      <c r="H660" s="504">
        <v>0.08</v>
      </c>
      <c r="I660" s="504"/>
      <c r="J660" s="505">
        <v>16.04</v>
      </c>
      <c r="K660" s="505">
        <v>1.28</v>
      </c>
      <c r="L660" s="70"/>
    </row>
    <row r="661" spans="1:12" ht="25.5" x14ac:dyDescent="0.25">
      <c r="A661" s="501" t="s">
        <v>1732</v>
      </c>
      <c r="B661" s="502" t="s">
        <v>1007</v>
      </c>
      <c r="C661" s="501" t="s">
        <v>993</v>
      </c>
      <c r="D661" s="501" t="s">
        <v>1008</v>
      </c>
      <c r="E661" s="602" t="s">
        <v>972</v>
      </c>
      <c r="F661" s="602"/>
      <c r="G661" s="503" t="s">
        <v>81</v>
      </c>
      <c r="H661" s="504">
        <v>0.08</v>
      </c>
      <c r="I661" s="504"/>
      <c r="J661" s="505">
        <v>23.41</v>
      </c>
      <c r="K661" s="505">
        <v>1.87</v>
      </c>
      <c r="L661" s="70"/>
    </row>
    <row r="662" spans="1:12" ht="25.5" x14ac:dyDescent="0.25">
      <c r="A662" s="501" t="s">
        <v>1732</v>
      </c>
      <c r="B662" s="502" t="s">
        <v>2030</v>
      </c>
      <c r="C662" s="501" t="s">
        <v>993</v>
      </c>
      <c r="D662" s="501" t="s">
        <v>2031</v>
      </c>
      <c r="E662" s="602" t="s">
        <v>1746</v>
      </c>
      <c r="F662" s="602"/>
      <c r="G662" s="503" t="s">
        <v>1222</v>
      </c>
      <c r="H662" s="504">
        <v>0.02</v>
      </c>
      <c r="I662" s="504"/>
      <c r="J662" s="505">
        <v>14.28</v>
      </c>
      <c r="K662" s="505">
        <v>0.28000000000000003</v>
      </c>
      <c r="L662" s="70"/>
    </row>
    <row r="663" spans="1:12" ht="25.5" x14ac:dyDescent="0.25">
      <c r="A663" s="501" t="s">
        <v>1732</v>
      </c>
      <c r="B663" s="502" t="s">
        <v>2160</v>
      </c>
      <c r="C663" s="501" t="s">
        <v>993</v>
      </c>
      <c r="D663" s="501" t="s">
        <v>2161</v>
      </c>
      <c r="E663" s="602" t="s">
        <v>1746</v>
      </c>
      <c r="F663" s="602"/>
      <c r="G663" s="503" t="s">
        <v>1222</v>
      </c>
      <c r="H663" s="504">
        <v>1.1000000000000001</v>
      </c>
      <c r="I663" s="504"/>
      <c r="J663" s="505">
        <v>6.86</v>
      </c>
      <c r="K663" s="505">
        <v>7.54</v>
      </c>
      <c r="L663" s="70"/>
    </row>
    <row r="664" spans="1:12" ht="15.75" customHeight="1" x14ac:dyDescent="0.25">
      <c r="A664" s="445"/>
      <c r="B664" s="445"/>
      <c r="C664" s="445"/>
      <c r="D664" s="445"/>
      <c r="E664" s="445" t="s">
        <v>1735</v>
      </c>
      <c r="F664" s="506">
        <v>3.15</v>
      </c>
      <c r="G664" s="445" t="s">
        <v>1736</v>
      </c>
      <c r="H664" s="506">
        <v>0</v>
      </c>
      <c r="I664" s="445" t="s">
        <v>1737</v>
      </c>
      <c r="J664" s="506">
        <v>3.15</v>
      </c>
      <c r="K664" s="70"/>
      <c r="L664" s="70"/>
    </row>
    <row r="665" spans="1:12" ht="17.25" thickBot="1" x14ac:dyDescent="0.3">
      <c r="A665" s="445"/>
      <c r="B665" s="445"/>
      <c r="C665" s="445"/>
      <c r="D665" s="445"/>
      <c r="E665" s="445" t="s">
        <v>1738</v>
      </c>
      <c r="F665" s="506">
        <v>2.7030080000000001</v>
      </c>
      <c r="G665" s="445"/>
      <c r="H665" s="606" t="s">
        <v>1739</v>
      </c>
      <c r="I665" s="606"/>
      <c r="J665" s="506">
        <v>13.67</v>
      </c>
      <c r="K665" s="70"/>
      <c r="L665" s="70"/>
    </row>
    <row r="666" spans="1:12" ht="17.25" thickTop="1" x14ac:dyDescent="0.25">
      <c r="A666" s="507"/>
      <c r="B666" s="507"/>
      <c r="C666" s="507"/>
      <c r="D666" s="507"/>
      <c r="E666" s="507"/>
      <c r="F666" s="507"/>
      <c r="G666" s="507"/>
      <c r="H666" s="507"/>
      <c r="I666" s="507"/>
      <c r="J666" s="507"/>
      <c r="K666" s="507"/>
      <c r="L666" s="70"/>
    </row>
    <row r="667" spans="1:12" ht="16.5" x14ac:dyDescent="0.25">
      <c r="A667" s="419" t="s">
        <v>1266</v>
      </c>
      <c r="B667" s="421" t="s">
        <v>76</v>
      </c>
      <c r="C667" s="419" t="s">
        <v>991</v>
      </c>
      <c r="D667" s="419" t="s">
        <v>191</v>
      </c>
      <c r="E667" s="603" t="s">
        <v>77</v>
      </c>
      <c r="F667" s="603"/>
      <c r="G667" s="420" t="s">
        <v>103</v>
      </c>
      <c r="H667" s="421" t="s">
        <v>147</v>
      </c>
      <c r="I667" s="421" t="s">
        <v>1731</v>
      </c>
      <c r="J667" s="421" t="s">
        <v>1117</v>
      </c>
      <c r="K667" s="421" t="s">
        <v>104</v>
      </c>
      <c r="L667" s="70"/>
    </row>
    <row r="668" spans="1:12" ht="25.5" x14ac:dyDescent="0.25">
      <c r="A668" s="441" t="s">
        <v>79</v>
      </c>
      <c r="B668" s="480" t="s">
        <v>1267</v>
      </c>
      <c r="C668" s="441" t="s">
        <v>993</v>
      </c>
      <c r="D668" s="441" t="s">
        <v>263</v>
      </c>
      <c r="E668" s="604">
        <v>603</v>
      </c>
      <c r="F668" s="604"/>
      <c r="G668" s="443" t="s">
        <v>1222</v>
      </c>
      <c r="H668" s="500">
        <v>1</v>
      </c>
      <c r="I668" s="442"/>
      <c r="J668" s="442">
        <v>10.76</v>
      </c>
      <c r="K668" s="442">
        <v>10.76</v>
      </c>
      <c r="L668" s="70"/>
    </row>
    <row r="669" spans="1:12" ht="25.5" x14ac:dyDescent="0.25">
      <c r="A669" s="501" t="s">
        <v>1732</v>
      </c>
      <c r="B669" s="502" t="s">
        <v>1007</v>
      </c>
      <c r="C669" s="501" t="s">
        <v>993</v>
      </c>
      <c r="D669" s="501" t="s">
        <v>1008</v>
      </c>
      <c r="E669" s="602" t="s">
        <v>972</v>
      </c>
      <c r="F669" s="602"/>
      <c r="G669" s="503" t="s">
        <v>81</v>
      </c>
      <c r="H669" s="504">
        <v>0.08</v>
      </c>
      <c r="I669" s="504"/>
      <c r="J669" s="505">
        <v>23.41</v>
      </c>
      <c r="K669" s="505">
        <v>1.87</v>
      </c>
      <c r="L669" s="70"/>
    </row>
    <row r="670" spans="1:12" ht="25.5" x14ac:dyDescent="0.25">
      <c r="A670" s="501" t="s">
        <v>1732</v>
      </c>
      <c r="B670" s="502" t="s">
        <v>999</v>
      </c>
      <c r="C670" s="501" t="s">
        <v>993</v>
      </c>
      <c r="D670" s="501" t="s">
        <v>1000</v>
      </c>
      <c r="E670" s="602" t="s">
        <v>972</v>
      </c>
      <c r="F670" s="602"/>
      <c r="G670" s="503" t="s">
        <v>81</v>
      </c>
      <c r="H670" s="504">
        <v>0.08</v>
      </c>
      <c r="I670" s="504"/>
      <c r="J670" s="505">
        <v>16.04</v>
      </c>
      <c r="K670" s="505">
        <v>1.28</v>
      </c>
      <c r="L670" s="70"/>
    </row>
    <row r="671" spans="1:12" ht="25.5" x14ac:dyDescent="0.25">
      <c r="A671" s="501" t="s">
        <v>1732</v>
      </c>
      <c r="B671" s="502" t="s">
        <v>2162</v>
      </c>
      <c r="C671" s="501" t="s">
        <v>993</v>
      </c>
      <c r="D671" s="501" t="s">
        <v>2163</v>
      </c>
      <c r="E671" s="602" t="s">
        <v>1746</v>
      </c>
      <c r="F671" s="602"/>
      <c r="G671" s="503" t="s">
        <v>1222</v>
      </c>
      <c r="H671" s="504">
        <v>1.1000000000000001</v>
      </c>
      <c r="I671" s="504"/>
      <c r="J671" s="505">
        <v>6.67</v>
      </c>
      <c r="K671" s="505">
        <v>7.33</v>
      </c>
      <c r="L671" s="70"/>
    </row>
    <row r="672" spans="1:12" ht="25.5" x14ac:dyDescent="0.25">
      <c r="A672" s="501" t="s">
        <v>1732</v>
      </c>
      <c r="B672" s="502" t="s">
        <v>2030</v>
      </c>
      <c r="C672" s="501" t="s">
        <v>993</v>
      </c>
      <c r="D672" s="501" t="s">
        <v>2031</v>
      </c>
      <c r="E672" s="602" t="s">
        <v>1746</v>
      </c>
      <c r="F672" s="602"/>
      <c r="G672" s="503" t="s">
        <v>1222</v>
      </c>
      <c r="H672" s="504">
        <v>0.02</v>
      </c>
      <c r="I672" s="504"/>
      <c r="J672" s="505">
        <v>14.28</v>
      </c>
      <c r="K672" s="505">
        <v>0.28000000000000003</v>
      </c>
      <c r="L672" s="70"/>
    </row>
    <row r="673" spans="1:12" ht="15.75" customHeight="1" x14ac:dyDescent="0.25">
      <c r="A673" s="445"/>
      <c r="B673" s="445"/>
      <c r="C673" s="445"/>
      <c r="D673" s="445"/>
      <c r="E673" s="445" t="s">
        <v>1735</v>
      </c>
      <c r="F673" s="506">
        <v>3.15</v>
      </c>
      <c r="G673" s="445" t="s">
        <v>1736</v>
      </c>
      <c r="H673" s="506">
        <v>0</v>
      </c>
      <c r="I673" s="445" t="s">
        <v>1737</v>
      </c>
      <c r="J673" s="506">
        <v>3.15</v>
      </c>
      <c r="K673" s="70"/>
      <c r="L673" s="70"/>
    </row>
    <row r="674" spans="1:12" ht="17.25" thickBot="1" x14ac:dyDescent="0.3">
      <c r="A674" s="445"/>
      <c r="B674" s="445"/>
      <c r="C674" s="445"/>
      <c r="D674" s="445"/>
      <c r="E674" s="445" t="s">
        <v>1738</v>
      </c>
      <c r="F674" s="506">
        <v>2.6512639999999998</v>
      </c>
      <c r="G674" s="445"/>
      <c r="H674" s="606" t="s">
        <v>1739</v>
      </c>
      <c r="I674" s="606"/>
      <c r="J674" s="506">
        <v>13.41</v>
      </c>
      <c r="K674" s="70"/>
      <c r="L674" s="70"/>
    </row>
    <row r="675" spans="1:12" ht="17.25" thickTop="1" x14ac:dyDescent="0.25">
      <c r="A675" s="507"/>
      <c r="B675" s="507"/>
      <c r="C675" s="507"/>
      <c r="D675" s="507"/>
      <c r="E675" s="507"/>
      <c r="F675" s="507"/>
      <c r="G675" s="507"/>
      <c r="H675" s="507"/>
      <c r="I675" s="507"/>
      <c r="J675" s="507"/>
      <c r="K675" s="507"/>
      <c r="L675" s="70"/>
    </row>
    <row r="676" spans="1:12" ht="16.5" x14ac:dyDescent="0.25">
      <c r="A676" s="419" t="s">
        <v>1268</v>
      </c>
      <c r="B676" s="421" t="s">
        <v>76</v>
      </c>
      <c r="C676" s="419" t="s">
        <v>991</v>
      </c>
      <c r="D676" s="419" t="s">
        <v>191</v>
      </c>
      <c r="E676" s="603" t="s">
        <v>77</v>
      </c>
      <c r="F676" s="603"/>
      <c r="G676" s="420" t="s">
        <v>103</v>
      </c>
      <c r="H676" s="421" t="s">
        <v>147</v>
      </c>
      <c r="I676" s="421" t="s">
        <v>1731</v>
      </c>
      <c r="J676" s="421" t="s">
        <v>1117</v>
      </c>
      <c r="K676" s="421" t="s">
        <v>104</v>
      </c>
      <c r="L676" s="70"/>
    </row>
    <row r="677" spans="1:12" ht="25.5" x14ac:dyDescent="0.25">
      <c r="A677" s="441" t="s">
        <v>79</v>
      </c>
      <c r="B677" s="480" t="s">
        <v>1269</v>
      </c>
      <c r="C677" s="441" t="s">
        <v>993</v>
      </c>
      <c r="D677" s="441" t="s">
        <v>314</v>
      </c>
      <c r="E677" s="604">
        <v>603</v>
      </c>
      <c r="F677" s="604"/>
      <c r="G677" s="443" t="s">
        <v>1222</v>
      </c>
      <c r="H677" s="500">
        <v>1</v>
      </c>
      <c r="I677" s="442"/>
      <c r="J677" s="442">
        <v>11.38</v>
      </c>
      <c r="K677" s="442">
        <v>11.38</v>
      </c>
      <c r="L677" s="70"/>
    </row>
    <row r="678" spans="1:12" ht="25.5" x14ac:dyDescent="0.25">
      <c r="A678" s="501" t="s">
        <v>1732</v>
      </c>
      <c r="B678" s="502" t="s">
        <v>999</v>
      </c>
      <c r="C678" s="501" t="s">
        <v>993</v>
      </c>
      <c r="D678" s="501" t="s">
        <v>1000</v>
      </c>
      <c r="E678" s="602" t="s">
        <v>972</v>
      </c>
      <c r="F678" s="602"/>
      <c r="G678" s="503" t="s">
        <v>81</v>
      </c>
      <c r="H678" s="504">
        <v>0.1</v>
      </c>
      <c r="I678" s="504"/>
      <c r="J678" s="505">
        <v>16.04</v>
      </c>
      <c r="K678" s="505">
        <v>1.6</v>
      </c>
      <c r="L678" s="70"/>
    </row>
    <row r="679" spans="1:12" ht="25.5" x14ac:dyDescent="0.25">
      <c r="A679" s="501" t="s">
        <v>1732</v>
      </c>
      <c r="B679" s="502" t="s">
        <v>1007</v>
      </c>
      <c r="C679" s="501" t="s">
        <v>993</v>
      </c>
      <c r="D679" s="501" t="s">
        <v>1008</v>
      </c>
      <c r="E679" s="602" t="s">
        <v>972</v>
      </c>
      <c r="F679" s="602"/>
      <c r="G679" s="503" t="s">
        <v>81</v>
      </c>
      <c r="H679" s="504">
        <v>0.1</v>
      </c>
      <c r="I679" s="504"/>
      <c r="J679" s="505">
        <v>23.41</v>
      </c>
      <c r="K679" s="505">
        <v>2.34</v>
      </c>
      <c r="L679" s="70"/>
    </row>
    <row r="680" spans="1:12" ht="25.5" x14ac:dyDescent="0.25">
      <c r="A680" s="501" t="s">
        <v>1732</v>
      </c>
      <c r="B680" s="502" t="s">
        <v>2188</v>
      </c>
      <c r="C680" s="501" t="s">
        <v>993</v>
      </c>
      <c r="D680" s="501" t="s">
        <v>2189</v>
      </c>
      <c r="E680" s="602" t="s">
        <v>1746</v>
      </c>
      <c r="F680" s="602"/>
      <c r="G680" s="503" t="s">
        <v>1222</v>
      </c>
      <c r="H680" s="504">
        <v>1.1000000000000001</v>
      </c>
      <c r="I680" s="504"/>
      <c r="J680" s="505">
        <v>6.39</v>
      </c>
      <c r="K680" s="505">
        <v>7.02</v>
      </c>
      <c r="L680" s="70"/>
    </row>
    <row r="681" spans="1:12" ht="25.5" x14ac:dyDescent="0.25">
      <c r="A681" s="501" t="s">
        <v>1732</v>
      </c>
      <c r="B681" s="502" t="s">
        <v>2030</v>
      </c>
      <c r="C681" s="501" t="s">
        <v>993</v>
      </c>
      <c r="D681" s="501" t="s">
        <v>2031</v>
      </c>
      <c r="E681" s="602" t="s">
        <v>1746</v>
      </c>
      <c r="F681" s="602"/>
      <c r="G681" s="503" t="s">
        <v>1222</v>
      </c>
      <c r="H681" s="504">
        <v>0.03</v>
      </c>
      <c r="I681" s="504"/>
      <c r="J681" s="505">
        <v>14.28</v>
      </c>
      <c r="K681" s="505">
        <v>0.42</v>
      </c>
      <c r="L681" s="70"/>
    </row>
    <row r="682" spans="1:12" ht="15.75" customHeight="1" x14ac:dyDescent="0.25">
      <c r="A682" s="445"/>
      <c r="B682" s="445"/>
      <c r="C682" s="445"/>
      <c r="D682" s="445"/>
      <c r="E682" s="445" t="s">
        <v>1735</v>
      </c>
      <c r="F682" s="506">
        <v>3.94</v>
      </c>
      <c r="G682" s="445" t="s">
        <v>1736</v>
      </c>
      <c r="H682" s="506">
        <v>0</v>
      </c>
      <c r="I682" s="445" t="s">
        <v>1737</v>
      </c>
      <c r="J682" s="506">
        <v>3.94</v>
      </c>
      <c r="K682" s="70"/>
      <c r="L682" s="70"/>
    </row>
    <row r="683" spans="1:12" ht="17.25" thickBot="1" x14ac:dyDescent="0.3">
      <c r="A683" s="445"/>
      <c r="B683" s="445"/>
      <c r="C683" s="445"/>
      <c r="D683" s="445"/>
      <c r="E683" s="445" t="s">
        <v>1738</v>
      </c>
      <c r="F683" s="506">
        <v>2.8040319999999999</v>
      </c>
      <c r="G683" s="445"/>
      <c r="H683" s="606" t="s">
        <v>1739</v>
      </c>
      <c r="I683" s="606"/>
      <c r="J683" s="506">
        <v>14.18</v>
      </c>
      <c r="K683" s="70"/>
      <c r="L683" s="70"/>
    </row>
    <row r="684" spans="1:12" ht="17.25" thickTop="1" x14ac:dyDescent="0.25">
      <c r="A684" s="507"/>
      <c r="B684" s="507"/>
      <c r="C684" s="507"/>
      <c r="D684" s="507"/>
      <c r="E684" s="507"/>
      <c r="F684" s="507"/>
      <c r="G684" s="507"/>
      <c r="H684" s="507"/>
      <c r="I684" s="507"/>
      <c r="J684" s="507"/>
      <c r="K684" s="507"/>
      <c r="L684" s="70"/>
    </row>
    <row r="685" spans="1:12" ht="16.5" x14ac:dyDescent="0.25">
      <c r="A685" s="419" t="s">
        <v>1270</v>
      </c>
      <c r="B685" s="421" t="s">
        <v>76</v>
      </c>
      <c r="C685" s="419" t="s">
        <v>991</v>
      </c>
      <c r="D685" s="419" t="s">
        <v>191</v>
      </c>
      <c r="E685" s="603" t="s">
        <v>77</v>
      </c>
      <c r="F685" s="603"/>
      <c r="G685" s="420" t="s">
        <v>103</v>
      </c>
      <c r="H685" s="421" t="s">
        <v>147</v>
      </c>
      <c r="I685" s="421" t="s">
        <v>1731</v>
      </c>
      <c r="J685" s="421" t="s">
        <v>1117</v>
      </c>
      <c r="K685" s="421" t="s">
        <v>104</v>
      </c>
      <c r="L685" s="70"/>
    </row>
    <row r="686" spans="1:12" ht="25.5" x14ac:dyDescent="0.25">
      <c r="A686" s="441" t="s">
        <v>79</v>
      </c>
      <c r="B686" s="480" t="s">
        <v>1271</v>
      </c>
      <c r="C686" s="441" t="s">
        <v>993</v>
      </c>
      <c r="D686" s="441" t="s">
        <v>1272</v>
      </c>
      <c r="E686" s="604">
        <v>603</v>
      </c>
      <c r="F686" s="604"/>
      <c r="G686" s="443" t="s">
        <v>1222</v>
      </c>
      <c r="H686" s="500">
        <v>1</v>
      </c>
      <c r="I686" s="442"/>
      <c r="J686" s="442">
        <v>11.37</v>
      </c>
      <c r="K686" s="442">
        <v>11.37</v>
      </c>
      <c r="L686" s="70"/>
    </row>
    <row r="687" spans="1:12" ht="25.5" x14ac:dyDescent="0.25">
      <c r="A687" s="501" t="s">
        <v>1732</v>
      </c>
      <c r="B687" s="502" t="s">
        <v>1007</v>
      </c>
      <c r="C687" s="501" t="s">
        <v>993</v>
      </c>
      <c r="D687" s="501" t="s">
        <v>1008</v>
      </c>
      <c r="E687" s="602" t="s">
        <v>972</v>
      </c>
      <c r="F687" s="602"/>
      <c r="G687" s="503" t="s">
        <v>81</v>
      </c>
      <c r="H687" s="504">
        <v>0.1</v>
      </c>
      <c r="I687" s="504"/>
      <c r="J687" s="505">
        <v>23.41</v>
      </c>
      <c r="K687" s="505">
        <v>2.34</v>
      </c>
      <c r="L687" s="70"/>
    </row>
    <row r="688" spans="1:12" ht="25.5" x14ac:dyDescent="0.25">
      <c r="A688" s="501" t="s">
        <v>1732</v>
      </c>
      <c r="B688" s="502" t="s">
        <v>999</v>
      </c>
      <c r="C688" s="501" t="s">
        <v>993</v>
      </c>
      <c r="D688" s="501" t="s">
        <v>1000</v>
      </c>
      <c r="E688" s="602" t="s">
        <v>972</v>
      </c>
      <c r="F688" s="602"/>
      <c r="G688" s="503" t="s">
        <v>81</v>
      </c>
      <c r="H688" s="504">
        <v>0.1</v>
      </c>
      <c r="I688" s="504"/>
      <c r="J688" s="505">
        <v>16.04</v>
      </c>
      <c r="K688" s="505">
        <v>1.6</v>
      </c>
      <c r="L688" s="70"/>
    </row>
    <row r="689" spans="1:12" ht="25.5" x14ac:dyDescent="0.25">
      <c r="A689" s="501" t="s">
        <v>1732</v>
      </c>
      <c r="B689" s="502" t="s">
        <v>2030</v>
      </c>
      <c r="C689" s="501" t="s">
        <v>993</v>
      </c>
      <c r="D689" s="501" t="s">
        <v>2031</v>
      </c>
      <c r="E689" s="602" t="s">
        <v>1746</v>
      </c>
      <c r="F689" s="602"/>
      <c r="G689" s="503" t="s">
        <v>1222</v>
      </c>
      <c r="H689" s="504">
        <v>0.03</v>
      </c>
      <c r="I689" s="504"/>
      <c r="J689" s="505">
        <v>14.28</v>
      </c>
      <c r="K689" s="505">
        <v>0.42</v>
      </c>
      <c r="L689" s="70"/>
    </row>
    <row r="690" spans="1:12" ht="25.5" x14ac:dyDescent="0.25">
      <c r="A690" s="501" t="s">
        <v>1732</v>
      </c>
      <c r="B690" s="502" t="s">
        <v>2190</v>
      </c>
      <c r="C690" s="501" t="s">
        <v>993</v>
      </c>
      <c r="D690" s="501" t="s">
        <v>2191</v>
      </c>
      <c r="E690" s="602" t="s">
        <v>1746</v>
      </c>
      <c r="F690" s="602"/>
      <c r="G690" s="503" t="s">
        <v>1222</v>
      </c>
      <c r="H690" s="504">
        <v>1.1000000000000001</v>
      </c>
      <c r="I690" s="504"/>
      <c r="J690" s="505">
        <v>6.38</v>
      </c>
      <c r="K690" s="505">
        <v>7.01</v>
      </c>
      <c r="L690" s="70"/>
    </row>
    <row r="691" spans="1:12" ht="15.75" customHeight="1" x14ac:dyDescent="0.25">
      <c r="A691" s="445"/>
      <c r="B691" s="445"/>
      <c r="C691" s="445"/>
      <c r="D691" s="445"/>
      <c r="E691" s="445" t="s">
        <v>1735</v>
      </c>
      <c r="F691" s="506">
        <v>3.94</v>
      </c>
      <c r="G691" s="445" t="s">
        <v>1736</v>
      </c>
      <c r="H691" s="506">
        <v>0</v>
      </c>
      <c r="I691" s="445" t="s">
        <v>1737</v>
      </c>
      <c r="J691" s="506">
        <v>3.94</v>
      </c>
      <c r="K691" s="70"/>
      <c r="L691" s="70"/>
    </row>
    <row r="692" spans="1:12" ht="17.25" thickBot="1" x14ac:dyDescent="0.3">
      <c r="A692" s="445"/>
      <c r="B692" s="445"/>
      <c r="C692" s="445"/>
      <c r="D692" s="445"/>
      <c r="E692" s="445" t="s">
        <v>1738</v>
      </c>
      <c r="F692" s="506">
        <v>2.8015680000000001</v>
      </c>
      <c r="G692" s="445"/>
      <c r="H692" s="606" t="s">
        <v>1739</v>
      </c>
      <c r="I692" s="606"/>
      <c r="J692" s="506">
        <v>14.17</v>
      </c>
      <c r="K692" s="70"/>
      <c r="L692" s="70"/>
    </row>
    <row r="693" spans="1:12" ht="17.25" thickTop="1" x14ac:dyDescent="0.25">
      <c r="A693" s="507"/>
      <c r="B693" s="507"/>
      <c r="C693" s="507"/>
      <c r="D693" s="507"/>
      <c r="E693" s="507"/>
      <c r="F693" s="507"/>
      <c r="G693" s="507"/>
      <c r="H693" s="507"/>
      <c r="I693" s="507"/>
      <c r="J693" s="507"/>
      <c r="K693" s="507"/>
      <c r="L693" s="70"/>
    </row>
    <row r="694" spans="1:12" ht="16.5" x14ac:dyDescent="0.25">
      <c r="A694" s="419" t="s">
        <v>1273</v>
      </c>
      <c r="B694" s="421" t="s">
        <v>76</v>
      </c>
      <c r="C694" s="419" t="s">
        <v>991</v>
      </c>
      <c r="D694" s="419" t="s">
        <v>191</v>
      </c>
      <c r="E694" s="603" t="s">
        <v>77</v>
      </c>
      <c r="F694" s="603"/>
      <c r="G694" s="420" t="s">
        <v>103</v>
      </c>
      <c r="H694" s="421" t="s">
        <v>147</v>
      </c>
      <c r="I694" s="421" t="s">
        <v>1731</v>
      </c>
      <c r="J694" s="421" t="s">
        <v>1117</v>
      </c>
      <c r="K694" s="421" t="s">
        <v>104</v>
      </c>
      <c r="L694" s="70"/>
    </row>
    <row r="695" spans="1:12" ht="25.5" x14ac:dyDescent="0.25">
      <c r="A695" s="441" t="s">
        <v>79</v>
      </c>
      <c r="B695" s="480" t="s">
        <v>1274</v>
      </c>
      <c r="C695" s="441" t="s">
        <v>993</v>
      </c>
      <c r="D695" s="441" t="s">
        <v>300</v>
      </c>
      <c r="E695" s="604">
        <v>603</v>
      </c>
      <c r="F695" s="604"/>
      <c r="G695" s="443" t="s">
        <v>1222</v>
      </c>
      <c r="H695" s="500">
        <v>1</v>
      </c>
      <c r="I695" s="442"/>
      <c r="J695" s="442">
        <v>12.72</v>
      </c>
      <c r="K695" s="442">
        <v>12.72</v>
      </c>
      <c r="L695" s="70"/>
    </row>
    <row r="696" spans="1:12" ht="25.5" x14ac:dyDescent="0.25">
      <c r="A696" s="501" t="s">
        <v>1732</v>
      </c>
      <c r="B696" s="502" t="s">
        <v>1007</v>
      </c>
      <c r="C696" s="501" t="s">
        <v>993</v>
      </c>
      <c r="D696" s="501" t="s">
        <v>1008</v>
      </c>
      <c r="E696" s="602" t="s">
        <v>972</v>
      </c>
      <c r="F696" s="602"/>
      <c r="G696" s="503" t="s">
        <v>81</v>
      </c>
      <c r="H696" s="504">
        <v>7.0000000000000007E-2</v>
      </c>
      <c r="I696" s="504"/>
      <c r="J696" s="505">
        <v>23.41</v>
      </c>
      <c r="K696" s="505">
        <v>1.63</v>
      </c>
      <c r="L696" s="70"/>
    </row>
    <row r="697" spans="1:12" ht="25.5" x14ac:dyDescent="0.25">
      <c r="A697" s="501" t="s">
        <v>1732</v>
      </c>
      <c r="B697" s="502" t="s">
        <v>999</v>
      </c>
      <c r="C697" s="501" t="s">
        <v>993</v>
      </c>
      <c r="D697" s="501" t="s">
        <v>1000</v>
      </c>
      <c r="E697" s="602" t="s">
        <v>972</v>
      </c>
      <c r="F697" s="602"/>
      <c r="G697" s="503" t="s">
        <v>81</v>
      </c>
      <c r="H697" s="504">
        <v>7.0000000000000007E-2</v>
      </c>
      <c r="I697" s="504"/>
      <c r="J697" s="505">
        <v>16.04</v>
      </c>
      <c r="K697" s="505">
        <v>1.1200000000000001</v>
      </c>
      <c r="L697" s="70"/>
    </row>
    <row r="698" spans="1:12" ht="25.5" x14ac:dyDescent="0.25">
      <c r="A698" s="501" t="s">
        <v>1732</v>
      </c>
      <c r="B698" s="502" t="s">
        <v>2164</v>
      </c>
      <c r="C698" s="501" t="s">
        <v>993</v>
      </c>
      <c r="D698" s="501" t="s">
        <v>2165</v>
      </c>
      <c r="E698" s="602" t="s">
        <v>1746</v>
      </c>
      <c r="F698" s="602"/>
      <c r="G698" s="503" t="s">
        <v>1222</v>
      </c>
      <c r="H698" s="504">
        <v>1.1000000000000001</v>
      </c>
      <c r="I698" s="504"/>
      <c r="J698" s="505">
        <v>8.81</v>
      </c>
      <c r="K698" s="505">
        <v>9.69</v>
      </c>
      <c r="L698" s="70"/>
    </row>
    <row r="699" spans="1:12" ht="25.5" x14ac:dyDescent="0.25">
      <c r="A699" s="501" t="s">
        <v>1732</v>
      </c>
      <c r="B699" s="502" t="s">
        <v>2030</v>
      </c>
      <c r="C699" s="501" t="s">
        <v>993</v>
      </c>
      <c r="D699" s="501" t="s">
        <v>2031</v>
      </c>
      <c r="E699" s="602" t="s">
        <v>1746</v>
      </c>
      <c r="F699" s="602"/>
      <c r="G699" s="503" t="s">
        <v>1222</v>
      </c>
      <c r="H699" s="504">
        <v>0.02</v>
      </c>
      <c r="I699" s="504"/>
      <c r="J699" s="505">
        <v>14.28</v>
      </c>
      <c r="K699" s="505">
        <v>0.28000000000000003</v>
      </c>
      <c r="L699" s="70"/>
    </row>
    <row r="700" spans="1:12" ht="15.75" customHeight="1" x14ac:dyDescent="0.25">
      <c r="A700" s="445"/>
      <c r="B700" s="445"/>
      <c r="C700" s="445"/>
      <c r="D700" s="445"/>
      <c r="E700" s="445" t="s">
        <v>1735</v>
      </c>
      <c r="F700" s="506">
        <v>2.75</v>
      </c>
      <c r="G700" s="445" t="s">
        <v>1736</v>
      </c>
      <c r="H700" s="506">
        <v>0</v>
      </c>
      <c r="I700" s="445" t="s">
        <v>1737</v>
      </c>
      <c r="J700" s="506">
        <v>2.75</v>
      </c>
      <c r="K700" s="70"/>
      <c r="L700" s="70"/>
    </row>
    <row r="701" spans="1:12" ht="17.25" thickBot="1" x14ac:dyDescent="0.3">
      <c r="A701" s="445"/>
      <c r="B701" s="445"/>
      <c r="C701" s="445"/>
      <c r="D701" s="445"/>
      <c r="E701" s="445" t="s">
        <v>1738</v>
      </c>
      <c r="F701" s="506">
        <v>3.1342080000000001</v>
      </c>
      <c r="G701" s="445"/>
      <c r="H701" s="606" t="s">
        <v>1739</v>
      </c>
      <c r="I701" s="606"/>
      <c r="J701" s="506">
        <v>15.85</v>
      </c>
      <c r="K701" s="70"/>
      <c r="L701" s="70"/>
    </row>
    <row r="702" spans="1:12" ht="17.25" thickTop="1" x14ac:dyDescent="0.25">
      <c r="A702" s="507"/>
      <c r="B702" s="507"/>
      <c r="C702" s="507"/>
      <c r="D702" s="507"/>
      <c r="E702" s="507"/>
      <c r="F702" s="507"/>
      <c r="G702" s="507"/>
      <c r="H702" s="507"/>
      <c r="I702" s="507"/>
      <c r="J702" s="507"/>
      <c r="K702" s="507"/>
      <c r="L702" s="70"/>
    </row>
    <row r="703" spans="1:12" ht="16.5" x14ac:dyDescent="0.25">
      <c r="A703" s="419" t="s">
        <v>1276</v>
      </c>
      <c r="B703" s="421" t="s">
        <v>76</v>
      </c>
      <c r="C703" s="419" t="s">
        <v>991</v>
      </c>
      <c r="D703" s="419" t="s">
        <v>191</v>
      </c>
      <c r="E703" s="603" t="s">
        <v>77</v>
      </c>
      <c r="F703" s="603"/>
      <c r="G703" s="420" t="s">
        <v>103</v>
      </c>
      <c r="H703" s="421" t="s">
        <v>147</v>
      </c>
      <c r="I703" s="421" t="s">
        <v>1731</v>
      </c>
      <c r="J703" s="421" t="s">
        <v>1117</v>
      </c>
      <c r="K703" s="421" t="s">
        <v>104</v>
      </c>
      <c r="L703" s="70"/>
    </row>
    <row r="704" spans="1:12" ht="25.5" x14ac:dyDescent="0.25">
      <c r="A704" s="441" t="s">
        <v>79</v>
      </c>
      <c r="B704" s="480" t="s">
        <v>1277</v>
      </c>
      <c r="C704" s="441" t="s">
        <v>993</v>
      </c>
      <c r="D704" s="441" t="s">
        <v>268</v>
      </c>
      <c r="E704" s="604">
        <v>605</v>
      </c>
      <c r="F704" s="604"/>
      <c r="G704" s="443" t="s">
        <v>45</v>
      </c>
      <c r="H704" s="500">
        <v>1</v>
      </c>
      <c r="I704" s="442"/>
      <c r="J704" s="442">
        <v>524.19000000000005</v>
      </c>
      <c r="K704" s="442">
        <v>524.19000000000005</v>
      </c>
      <c r="L704" s="70"/>
    </row>
    <row r="705" spans="1:12" ht="25.5" x14ac:dyDescent="0.25">
      <c r="A705" s="501" t="s">
        <v>1732</v>
      </c>
      <c r="B705" s="502" t="s">
        <v>992</v>
      </c>
      <c r="C705" s="501" t="s">
        <v>993</v>
      </c>
      <c r="D705" s="501" t="s">
        <v>994</v>
      </c>
      <c r="E705" s="602" t="s">
        <v>972</v>
      </c>
      <c r="F705" s="602"/>
      <c r="G705" s="503" t="s">
        <v>81</v>
      </c>
      <c r="H705" s="504">
        <v>5.1585999999999999</v>
      </c>
      <c r="I705" s="504"/>
      <c r="J705" s="505">
        <v>14.62</v>
      </c>
      <c r="K705" s="505">
        <v>75.41</v>
      </c>
      <c r="L705" s="70"/>
    </row>
    <row r="706" spans="1:12" ht="25.5" x14ac:dyDescent="0.25">
      <c r="A706" s="501" t="s">
        <v>1732</v>
      </c>
      <c r="B706" s="502" t="s">
        <v>1023</v>
      </c>
      <c r="C706" s="501" t="s">
        <v>993</v>
      </c>
      <c r="D706" s="501" t="s">
        <v>1024</v>
      </c>
      <c r="E706" s="602" t="s">
        <v>972</v>
      </c>
      <c r="F706" s="602"/>
      <c r="G706" s="503" t="s">
        <v>81</v>
      </c>
      <c r="H706" s="504">
        <v>0.64480000000000004</v>
      </c>
      <c r="I706" s="504"/>
      <c r="J706" s="505">
        <v>17.559999999999999</v>
      </c>
      <c r="K706" s="505">
        <v>11.32</v>
      </c>
      <c r="L706" s="70"/>
    </row>
    <row r="707" spans="1:12" ht="25.5" x14ac:dyDescent="0.25">
      <c r="A707" s="501" t="s">
        <v>1732</v>
      </c>
      <c r="B707" s="502" t="s">
        <v>1756</v>
      </c>
      <c r="C707" s="501" t="s">
        <v>993</v>
      </c>
      <c r="D707" s="501" t="s">
        <v>1757</v>
      </c>
      <c r="E707" s="602" t="s">
        <v>1746</v>
      </c>
      <c r="F707" s="602"/>
      <c r="G707" s="503" t="s">
        <v>45</v>
      </c>
      <c r="H707" s="504">
        <v>0.57799999999999996</v>
      </c>
      <c r="I707" s="504"/>
      <c r="J707" s="505">
        <v>152.69</v>
      </c>
      <c r="K707" s="505">
        <v>88.25</v>
      </c>
      <c r="L707" s="70"/>
    </row>
    <row r="708" spans="1:12" ht="25.5" x14ac:dyDescent="0.25">
      <c r="A708" s="501" t="s">
        <v>1732</v>
      </c>
      <c r="B708" s="502" t="s">
        <v>1854</v>
      </c>
      <c r="C708" s="501" t="s">
        <v>993</v>
      </c>
      <c r="D708" s="501" t="s">
        <v>1855</v>
      </c>
      <c r="E708" s="602" t="s">
        <v>1746</v>
      </c>
      <c r="F708" s="602"/>
      <c r="G708" s="503" t="s">
        <v>1222</v>
      </c>
      <c r="H708" s="504">
        <v>373</v>
      </c>
      <c r="I708" s="504"/>
      <c r="J708" s="505">
        <v>0.65</v>
      </c>
      <c r="K708" s="505">
        <v>242.45</v>
      </c>
      <c r="L708" s="70"/>
    </row>
    <row r="709" spans="1:12" ht="25.5" x14ac:dyDescent="0.25">
      <c r="A709" s="501" t="s">
        <v>1732</v>
      </c>
      <c r="B709" s="502" t="s">
        <v>1872</v>
      </c>
      <c r="C709" s="501" t="s">
        <v>993</v>
      </c>
      <c r="D709" s="501" t="s">
        <v>1873</v>
      </c>
      <c r="E709" s="602" t="s">
        <v>1746</v>
      </c>
      <c r="F709" s="602"/>
      <c r="G709" s="503" t="s">
        <v>45</v>
      </c>
      <c r="H709" s="504">
        <v>0.71199999999999997</v>
      </c>
      <c r="I709" s="504"/>
      <c r="J709" s="505">
        <v>149.94999999999999</v>
      </c>
      <c r="K709" s="505">
        <v>106.76</v>
      </c>
      <c r="L709" s="70"/>
    </row>
    <row r="710" spans="1:12" ht="15.75" customHeight="1" x14ac:dyDescent="0.25">
      <c r="A710" s="445"/>
      <c r="B710" s="445"/>
      <c r="C710" s="445"/>
      <c r="D710" s="445"/>
      <c r="E710" s="445" t="s">
        <v>1735</v>
      </c>
      <c r="F710" s="506">
        <v>86.73</v>
      </c>
      <c r="G710" s="445" t="s">
        <v>1736</v>
      </c>
      <c r="H710" s="506">
        <v>0</v>
      </c>
      <c r="I710" s="445" t="s">
        <v>1737</v>
      </c>
      <c r="J710" s="506">
        <v>86.73</v>
      </c>
      <c r="K710" s="70"/>
      <c r="L710" s="70"/>
    </row>
    <row r="711" spans="1:12" ht="17.25" thickBot="1" x14ac:dyDescent="0.3">
      <c r="A711" s="445"/>
      <c r="B711" s="445"/>
      <c r="C711" s="445"/>
      <c r="D711" s="445"/>
      <c r="E711" s="445" t="s">
        <v>1738</v>
      </c>
      <c r="F711" s="506">
        <v>129.160416</v>
      </c>
      <c r="G711" s="445"/>
      <c r="H711" s="606" t="s">
        <v>1739</v>
      </c>
      <c r="I711" s="606"/>
      <c r="J711" s="506">
        <v>653.35</v>
      </c>
      <c r="K711" s="70"/>
      <c r="L711" s="70"/>
    </row>
    <row r="712" spans="1:12" ht="17.25" thickTop="1" x14ac:dyDescent="0.25">
      <c r="A712" s="507"/>
      <c r="B712" s="507"/>
      <c r="C712" s="507"/>
      <c r="D712" s="507"/>
      <c r="E712" s="507"/>
      <c r="F712" s="507"/>
      <c r="G712" s="507"/>
      <c r="H712" s="507"/>
      <c r="I712" s="507"/>
      <c r="J712" s="507"/>
      <c r="K712" s="507"/>
      <c r="L712" s="70"/>
    </row>
    <row r="713" spans="1:12" ht="16.5" x14ac:dyDescent="0.25">
      <c r="A713" s="419" t="s">
        <v>1278</v>
      </c>
      <c r="B713" s="421" t="s">
        <v>76</v>
      </c>
      <c r="C713" s="419" t="s">
        <v>991</v>
      </c>
      <c r="D713" s="419" t="s">
        <v>191</v>
      </c>
      <c r="E713" s="603" t="s">
        <v>77</v>
      </c>
      <c r="F713" s="603"/>
      <c r="G713" s="420" t="s">
        <v>103</v>
      </c>
      <c r="H713" s="421" t="s">
        <v>147</v>
      </c>
      <c r="I713" s="421" t="s">
        <v>1731</v>
      </c>
      <c r="J713" s="421" t="s">
        <v>1117</v>
      </c>
      <c r="K713" s="421" t="s">
        <v>104</v>
      </c>
      <c r="L713" s="70"/>
    </row>
    <row r="714" spans="1:12" ht="25.5" x14ac:dyDescent="0.25">
      <c r="A714" s="441" t="s">
        <v>79</v>
      </c>
      <c r="B714" s="480" t="s">
        <v>1279</v>
      </c>
      <c r="C714" s="441" t="s">
        <v>993</v>
      </c>
      <c r="D714" s="441" t="s">
        <v>1280</v>
      </c>
      <c r="E714" s="604">
        <v>608</v>
      </c>
      <c r="F714" s="604"/>
      <c r="G714" s="443" t="s">
        <v>45</v>
      </c>
      <c r="H714" s="500">
        <v>1</v>
      </c>
      <c r="I714" s="442"/>
      <c r="J714" s="442">
        <v>54.81</v>
      </c>
      <c r="K714" s="442">
        <v>54.81</v>
      </c>
      <c r="L714" s="70"/>
    </row>
    <row r="715" spans="1:12" ht="25.5" x14ac:dyDescent="0.25">
      <c r="A715" s="501" t="s">
        <v>1732</v>
      </c>
      <c r="B715" s="502" t="s">
        <v>992</v>
      </c>
      <c r="C715" s="501" t="s">
        <v>993</v>
      </c>
      <c r="D715" s="501" t="s">
        <v>994</v>
      </c>
      <c r="E715" s="602" t="s">
        <v>972</v>
      </c>
      <c r="F715" s="602"/>
      <c r="G715" s="503" t="s">
        <v>81</v>
      </c>
      <c r="H715" s="504">
        <v>0.64459999999999995</v>
      </c>
      <c r="I715" s="504"/>
      <c r="J715" s="505">
        <v>14.62</v>
      </c>
      <c r="K715" s="505">
        <v>9.42</v>
      </c>
      <c r="L715" s="70"/>
    </row>
    <row r="716" spans="1:12" ht="25.5" x14ac:dyDescent="0.25">
      <c r="A716" s="501" t="s">
        <v>1732</v>
      </c>
      <c r="B716" s="502" t="s">
        <v>1013</v>
      </c>
      <c r="C716" s="501" t="s">
        <v>993</v>
      </c>
      <c r="D716" s="501" t="s">
        <v>1014</v>
      </c>
      <c r="E716" s="602" t="s">
        <v>972</v>
      </c>
      <c r="F716" s="602"/>
      <c r="G716" s="503" t="s">
        <v>81</v>
      </c>
      <c r="H716" s="504">
        <v>1.9348000000000001</v>
      </c>
      <c r="I716" s="504"/>
      <c r="J716" s="505">
        <v>23.41</v>
      </c>
      <c r="K716" s="505">
        <v>45.29</v>
      </c>
      <c r="L716" s="70"/>
    </row>
    <row r="717" spans="1:12" ht="38.25" x14ac:dyDescent="0.25">
      <c r="A717" s="501" t="s">
        <v>1732</v>
      </c>
      <c r="B717" s="502" t="s">
        <v>2192</v>
      </c>
      <c r="C717" s="501" t="s">
        <v>993</v>
      </c>
      <c r="D717" s="501" t="s">
        <v>2193</v>
      </c>
      <c r="E717" s="602" t="s">
        <v>1746</v>
      </c>
      <c r="F717" s="602"/>
      <c r="G717" s="503" t="s">
        <v>49</v>
      </c>
      <c r="H717" s="504">
        <v>4.6800000000000001E-2</v>
      </c>
      <c r="I717" s="504"/>
      <c r="J717" s="505">
        <v>2.19</v>
      </c>
      <c r="K717" s="505">
        <v>0.1</v>
      </c>
      <c r="L717" s="70"/>
    </row>
    <row r="718" spans="1:12" ht="15.75" customHeight="1" x14ac:dyDescent="0.25">
      <c r="A718" s="445"/>
      <c r="B718" s="445"/>
      <c r="C718" s="445"/>
      <c r="D718" s="445"/>
      <c r="E718" s="445" t="s">
        <v>1735</v>
      </c>
      <c r="F718" s="506">
        <v>54.71</v>
      </c>
      <c r="G718" s="445" t="s">
        <v>1736</v>
      </c>
      <c r="H718" s="506">
        <v>0</v>
      </c>
      <c r="I718" s="445" t="s">
        <v>1737</v>
      </c>
      <c r="J718" s="506">
        <v>54.71</v>
      </c>
      <c r="K718" s="70"/>
      <c r="L718" s="70"/>
    </row>
    <row r="719" spans="1:12" ht="17.25" thickBot="1" x14ac:dyDescent="0.3">
      <c r="A719" s="445"/>
      <c r="B719" s="445"/>
      <c r="C719" s="445"/>
      <c r="D719" s="445"/>
      <c r="E719" s="445" t="s">
        <v>1738</v>
      </c>
      <c r="F719" s="506">
        <v>13.505184</v>
      </c>
      <c r="G719" s="445"/>
      <c r="H719" s="606" t="s">
        <v>1739</v>
      </c>
      <c r="I719" s="606"/>
      <c r="J719" s="506">
        <v>68.31</v>
      </c>
      <c r="K719" s="70"/>
      <c r="L719" s="70"/>
    </row>
    <row r="720" spans="1:12" ht="17.25" thickTop="1" x14ac:dyDescent="0.25">
      <c r="A720" s="507"/>
      <c r="B720" s="507"/>
      <c r="C720" s="507"/>
      <c r="D720" s="507"/>
      <c r="E720" s="507"/>
      <c r="F720" s="507"/>
      <c r="G720" s="507"/>
      <c r="H720" s="507"/>
      <c r="I720" s="507"/>
      <c r="J720" s="507"/>
      <c r="K720" s="507"/>
      <c r="L720" s="70"/>
    </row>
    <row r="721" spans="1:12" ht="16.5" x14ac:dyDescent="0.25">
      <c r="A721" s="419" t="s">
        <v>1282</v>
      </c>
      <c r="B721" s="421" t="s">
        <v>76</v>
      </c>
      <c r="C721" s="419" t="s">
        <v>991</v>
      </c>
      <c r="D721" s="419" t="s">
        <v>191</v>
      </c>
      <c r="E721" s="603" t="s">
        <v>77</v>
      </c>
      <c r="F721" s="603"/>
      <c r="G721" s="420" t="s">
        <v>103</v>
      </c>
      <c r="H721" s="421" t="s">
        <v>147</v>
      </c>
      <c r="I721" s="421" t="s">
        <v>1731</v>
      </c>
      <c r="J721" s="421" t="s">
        <v>1117</v>
      </c>
      <c r="K721" s="421" t="s">
        <v>104</v>
      </c>
      <c r="L721" s="70"/>
    </row>
    <row r="722" spans="1:12" ht="25.5" x14ac:dyDescent="0.25">
      <c r="A722" s="441" t="s">
        <v>79</v>
      </c>
      <c r="B722" s="480" t="s">
        <v>1283</v>
      </c>
      <c r="C722" s="441" t="s">
        <v>993</v>
      </c>
      <c r="D722" s="441" t="s">
        <v>911</v>
      </c>
      <c r="E722" s="604">
        <v>611</v>
      </c>
      <c r="F722" s="604"/>
      <c r="G722" s="443" t="s">
        <v>19</v>
      </c>
      <c r="H722" s="500">
        <v>1</v>
      </c>
      <c r="I722" s="442"/>
      <c r="J722" s="442">
        <v>123.31</v>
      </c>
      <c r="K722" s="442">
        <v>123.31</v>
      </c>
      <c r="L722" s="70"/>
    </row>
    <row r="723" spans="1:12" ht="25.5" x14ac:dyDescent="0.25">
      <c r="A723" s="501" t="s">
        <v>1732</v>
      </c>
      <c r="B723" s="502" t="s">
        <v>1013</v>
      </c>
      <c r="C723" s="501" t="s">
        <v>993</v>
      </c>
      <c r="D723" s="501" t="s">
        <v>1014</v>
      </c>
      <c r="E723" s="602" t="s">
        <v>972</v>
      </c>
      <c r="F723" s="602"/>
      <c r="G723" s="503" t="s">
        <v>81</v>
      </c>
      <c r="H723" s="504">
        <v>0.46579999999999999</v>
      </c>
      <c r="I723" s="504"/>
      <c r="J723" s="505">
        <v>23.41</v>
      </c>
      <c r="K723" s="505">
        <v>10.9</v>
      </c>
      <c r="L723" s="70"/>
    </row>
    <row r="724" spans="1:12" ht="25.5" x14ac:dyDescent="0.25">
      <c r="A724" s="501" t="s">
        <v>1732</v>
      </c>
      <c r="B724" s="502" t="s">
        <v>992</v>
      </c>
      <c r="C724" s="501" t="s">
        <v>993</v>
      </c>
      <c r="D724" s="501" t="s">
        <v>994</v>
      </c>
      <c r="E724" s="602" t="s">
        <v>972</v>
      </c>
      <c r="F724" s="602"/>
      <c r="G724" s="503" t="s">
        <v>81</v>
      </c>
      <c r="H724" s="504">
        <v>0.72589999999999999</v>
      </c>
      <c r="I724" s="504"/>
      <c r="J724" s="505">
        <v>14.62</v>
      </c>
      <c r="K724" s="505">
        <v>10.61</v>
      </c>
      <c r="L724" s="70"/>
    </row>
    <row r="725" spans="1:12" ht="25.5" x14ac:dyDescent="0.25">
      <c r="A725" s="501" t="s">
        <v>1732</v>
      </c>
      <c r="B725" s="502" t="s">
        <v>1756</v>
      </c>
      <c r="C725" s="501" t="s">
        <v>993</v>
      </c>
      <c r="D725" s="501" t="s">
        <v>1757</v>
      </c>
      <c r="E725" s="602" t="s">
        <v>1746</v>
      </c>
      <c r="F725" s="602"/>
      <c r="G725" s="503" t="s">
        <v>45</v>
      </c>
      <c r="H725" s="504">
        <v>3.0499999999999999E-2</v>
      </c>
      <c r="I725" s="504"/>
      <c r="J725" s="505">
        <v>152.69</v>
      </c>
      <c r="K725" s="505">
        <v>4.6500000000000004</v>
      </c>
      <c r="L725" s="70"/>
    </row>
    <row r="726" spans="1:12" ht="25.5" x14ac:dyDescent="0.25">
      <c r="A726" s="501" t="s">
        <v>1732</v>
      </c>
      <c r="B726" s="502" t="s">
        <v>1936</v>
      </c>
      <c r="C726" s="501" t="s">
        <v>993</v>
      </c>
      <c r="D726" s="501" t="s">
        <v>1937</v>
      </c>
      <c r="E726" s="602" t="s">
        <v>1746</v>
      </c>
      <c r="F726" s="602"/>
      <c r="G726" s="503" t="s">
        <v>41</v>
      </c>
      <c r="H726" s="504">
        <v>0.56000000000000005</v>
      </c>
      <c r="I726" s="504"/>
      <c r="J726" s="505">
        <v>12.8</v>
      </c>
      <c r="K726" s="505">
        <v>7.16</v>
      </c>
      <c r="L726" s="70"/>
    </row>
    <row r="727" spans="1:12" ht="25.5" x14ac:dyDescent="0.25">
      <c r="A727" s="501" t="s">
        <v>1732</v>
      </c>
      <c r="B727" s="502" t="s">
        <v>1950</v>
      </c>
      <c r="C727" s="501" t="s">
        <v>993</v>
      </c>
      <c r="D727" s="501" t="s">
        <v>1951</v>
      </c>
      <c r="E727" s="602" t="s">
        <v>1746</v>
      </c>
      <c r="F727" s="602"/>
      <c r="G727" s="503" t="s">
        <v>41</v>
      </c>
      <c r="H727" s="504">
        <v>0.97</v>
      </c>
      <c r="I727" s="504"/>
      <c r="J727" s="505">
        <v>6.74</v>
      </c>
      <c r="K727" s="505">
        <v>6.53</v>
      </c>
      <c r="L727" s="70"/>
    </row>
    <row r="728" spans="1:12" ht="25.5" x14ac:dyDescent="0.25">
      <c r="A728" s="501" t="s">
        <v>1732</v>
      </c>
      <c r="B728" s="502" t="s">
        <v>1960</v>
      </c>
      <c r="C728" s="501" t="s">
        <v>993</v>
      </c>
      <c r="D728" s="501" t="s">
        <v>1961</v>
      </c>
      <c r="E728" s="602" t="s">
        <v>1746</v>
      </c>
      <c r="F728" s="602"/>
      <c r="G728" s="503" t="s">
        <v>1222</v>
      </c>
      <c r="H728" s="504">
        <v>0.03</v>
      </c>
      <c r="I728" s="504"/>
      <c r="J728" s="505">
        <v>26.83</v>
      </c>
      <c r="K728" s="505">
        <v>0.8</v>
      </c>
      <c r="L728" s="70"/>
    </row>
    <row r="729" spans="1:12" ht="25.5" x14ac:dyDescent="0.25">
      <c r="A729" s="501" t="s">
        <v>1732</v>
      </c>
      <c r="B729" s="502" t="s">
        <v>1854</v>
      </c>
      <c r="C729" s="501" t="s">
        <v>993</v>
      </c>
      <c r="D729" s="501" t="s">
        <v>1855</v>
      </c>
      <c r="E729" s="602" t="s">
        <v>1746</v>
      </c>
      <c r="F729" s="602"/>
      <c r="G729" s="503" t="s">
        <v>1222</v>
      </c>
      <c r="H729" s="504">
        <v>9</v>
      </c>
      <c r="I729" s="504"/>
      <c r="J729" s="505">
        <v>0.65</v>
      </c>
      <c r="K729" s="505">
        <v>5.85</v>
      </c>
      <c r="L729" s="70"/>
    </row>
    <row r="730" spans="1:12" ht="25.5" x14ac:dyDescent="0.25">
      <c r="A730" s="501" t="s">
        <v>1732</v>
      </c>
      <c r="B730" s="502" t="s">
        <v>2194</v>
      </c>
      <c r="C730" s="501" t="s">
        <v>993</v>
      </c>
      <c r="D730" s="501" t="s">
        <v>2195</v>
      </c>
      <c r="E730" s="602" t="s">
        <v>1746</v>
      </c>
      <c r="F730" s="602"/>
      <c r="G730" s="503" t="s">
        <v>19</v>
      </c>
      <c r="H730" s="504">
        <v>1</v>
      </c>
      <c r="I730" s="504"/>
      <c r="J730" s="505">
        <v>53.75</v>
      </c>
      <c r="K730" s="505">
        <v>53.75</v>
      </c>
      <c r="L730" s="70"/>
    </row>
    <row r="731" spans="1:12" ht="25.5" x14ac:dyDescent="0.25">
      <c r="A731" s="501" t="s">
        <v>1732</v>
      </c>
      <c r="B731" s="502" t="s">
        <v>1837</v>
      </c>
      <c r="C731" s="501" t="s">
        <v>993</v>
      </c>
      <c r="D731" s="501" t="s">
        <v>1838</v>
      </c>
      <c r="E731" s="602" t="s">
        <v>1746</v>
      </c>
      <c r="F731" s="602"/>
      <c r="G731" s="503" t="s">
        <v>41</v>
      </c>
      <c r="H731" s="504">
        <v>1.71</v>
      </c>
      <c r="I731" s="504"/>
      <c r="J731" s="505">
        <v>3.44</v>
      </c>
      <c r="K731" s="505">
        <v>5.88</v>
      </c>
      <c r="L731" s="70"/>
    </row>
    <row r="732" spans="1:12" ht="25.5" x14ac:dyDescent="0.25">
      <c r="A732" s="501" t="s">
        <v>1732</v>
      </c>
      <c r="B732" s="502" t="s">
        <v>1872</v>
      </c>
      <c r="C732" s="501" t="s">
        <v>993</v>
      </c>
      <c r="D732" s="501" t="s">
        <v>1873</v>
      </c>
      <c r="E732" s="602" t="s">
        <v>1746</v>
      </c>
      <c r="F732" s="602"/>
      <c r="G732" s="503" t="s">
        <v>45</v>
      </c>
      <c r="H732" s="504">
        <v>6.8999999999999999E-3</v>
      </c>
      <c r="I732" s="504"/>
      <c r="J732" s="505">
        <v>149.94999999999999</v>
      </c>
      <c r="K732" s="505">
        <v>1.03</v>
      </c>
      <c r="L732" s="70"/>
    </row>
    <row r="733" spans="1:12" ht="25.5" x14ac:dyDescent="0.25">
      <c r="A733" s="501" t="s">
        <v>1732</v>
      </c>
      <c r="B733" s="502" t="s">
        <v>1874</v>
      </c>
      <c r="C733" s="501" t="s">
        <v>993</v>
      </c>
      <c r="D733" s="501" t="s">
        <v>1875</v>
      </c>
      <c r="E733" s="602" t="s">
        <v>1746</v>
      </c>
      <c r="F733" s="602"/>
      <c r="G733" s="503" t="s">
        <v>45</v>
      </c>
      <c r="H733" s="504">
        <v>2.07E-2</v>
      </c>
      <c r="I733" s="504"/>
      <c r="J733" s="505">
        <v>148.97999999999999</v>
      </c>
      <c r="K733" s="505">
        <v>3.08</v>
      </c>
      <c r="L733" s="70"/>
    </row>
    <row r="734" spans="1:12" ht="25.5" x14ac:dyDescent="0.25">
      <c r="A734" s="501" t="s">
        <v>1732</v>
      </c>
      <c r="B734" s="502" t="s">
        <v>2024</v>
      </c>
      <c r="C734" s="501" t="s">
        <v>993</v>
      </c>
      <c r="D734" s="501" t="s">
        <v>2025</v>
      </c>
      <c r="E734" s="602" t="s">
        <v>1746</v>
      </c>
      <c r="F734" s="602"/>
      <c r="G734" s="503" t="s">
        <v>1222</v>
      </c>
      <c r="H734" s="504">
        <v>1.89</v>
      </c>
      <c r="I734" s="504"/>
      <c r="J734" s="505">
        <v>6.92</v>
      </c>
      <c r="K734" s="505">
        <v>13.07</v>
      </c>
      <c r="L734" s="70"/>
    </row>
    <row r="735" spans="1:12" ht="15.75" customHeight="1" x14ac:dyDescent="0.25">
      <c r="A735" s="445"/>
      <c r="B735" s="445"/>
      <c r="C735" s="445"/>
      <c r="D735" s="445"/>
      <c r="E735" s="445" t="s">
        <v>1735</v>
      </c>
      <c r="F735" s="506">
        <v>21.51</v>
      </c>
      <c r="G735" s="445" t="s">
        <v>1736</v>
      </c>
      <c r="H735" s="506">
        <v>0</v>
      </c>
      <c r="I735" s="445" t="s">
        <v>1737</v>
      </c>
      <c r="J735" s="506">
        <v>21.51</v>
      </c>
      <c r="K735" s="70"/>
      <c r="L735" s="70"/>
    </row>
    <row r="736" spans="1:12" ht="17.25" thickBot="1" x14ac:dyDescent="0.3">
      <c r="A736" s="445"/>
      <c r="B736" s="445"/>
      <c r="C736" s="445"/>
      <c r="D736" s="445"/>
      <c r="E736" s="445" t="s">
        <v>1738</v>
      </c>
      <c r="F736" s="506">
        <v>30.383583999999999</v>
      </c>
      <c r="G736" s="445"/>
      <c r="H736" s="606" t="s">
        <v>1739</v>
      </c>
      <c r="I736" s="606"/>
      <c r="J736" s="506">
        <v>153.69</v>
      </c>
      <c r="K736" s="70"/>
      <c r="L736" s="70"/>
    </row>
    <row r="737" spans="1:12" ht="17.25" thickTop="1" x14ac:dyDescent="0.25">
      <c r="A737" s="507"/>
      <c r="B737" s="507"/>
      <c r="C737" s="507"/>
      <c r="D737" s="507"/>
      <c r="E737" s="507"/>
      <c r="F737" s="507"/>
      <c r="G737" s="507"/>
      <c r="H737" s="507"/>
      <c r="I737" s="507"/>
      <c r="J737" s="507"/>
      <c r="K737" s="507"/>
      <c r="L737" s="70"/>
    </row>
    <row r="738" spans="1:12" ht="16.5" x14ac:dyDescent="0.25">
      <c r="A738" s="419" t="s">
        <v>1285</v>
      </c>
      <c r="B738" s="421" t="s">
        <v>76</v>
      </c>
      <c r="C738" s="419" t="s">
        <v>991</v>
      </c>
      <c r="D738" s="419" t="s">
        <v>191</v>
      </c>
      <c r="E738" s="603" t="s">
        <v>77</v>
      </c>
      <c r="F738" s="603"/>
      <c r="G738" s="420" t="s">
        <v>103</v>
      </c>
      <c r="H738" s="421" t="s">
        <v>147</v>
      </c>
      <c r="I738" s="421" t="s">
        <v>1731</v>
      </c>
      <c r="J738" s="421" t="s">
        <v>1117</v>
      </c>
      <c r="K738" s="421" t="s">
        <v>104</v>
      </c>
      <c r="L738" s="70"/>
    </row>
    <row r="739" spans="1:12" ht="25.5" x14ac:dyDescent="0.25">
      <c r="A739" s="441" t="s">
        <v>79</v>
      </c>
      <c r="B739" s="480" t="s">
        <v>1286</v>
      </c>
      <c r="C739" s="441" t="s">
        <v>993</v>
      </c>
      <c r="D739" s="441" t="s">
        <v>1287</v>
      </c>
      <c r="E739" s="604">
        <v>1001</v>
      </c>
      <c r="F739" s="604"/>
      <c r="G739" s="443" t="s">
        <v>19</v>
      </c>
      <c r="H739" s="500">
        <v>1</v>
      </c>
      <c r="I739" s="442"/>
      <c r="J739" s="442">
        <v>98.81</v>
      </c>
      <c r="K739" s="442">
        <v>98.81</v>
      </c>
      <c r="L739" s="70"/>
    </row>
    <row r="740" spans="1:12" ht="25.5" x14ac:dyDescent="0.25">
      <c r="A740" s="501" t="s">
        <v>1732</v>
      </c>
      <c r="B740" s="502" t="s">
        <v>1003</v>
      </c>
      <c r="C740" s="501" t="s">
        <v>993</v>
      </c>
      <c r="D740" s="501" t="s">
        <v>1004</v>
      </c>
      <c r="E740" s="602" t="s">
        <v>972</v>
      </c>
      <c r="F740" s="602"/>
      <c r="G740" s="503" t="s">
        <v>81</v>
      </c>
      <c r="H740" s="504">
        <v>1.0951</v>
      </c>
      <c r="I740" s="504"/>
      <c r="J740" s="505">
        <v>23.41</v>
      </c>
      <c r="K740" s="505">
        <v>25.63</v>
      </c>
      <c r="L740" s="70"/>
    </row>
    <row r="741" spans="1:12" ht="25.5" x14ac:dyDescent="0.25">
      <c r="A741" s="501" t="s">
        <v>1732</v>
      </c>
      <c r="B741" s="502" t="s">
        <v>992</v>
      </c>
      <c r="C741" s="501" t="s">
        <v>993</v>
      </c>
      <c r="D741" s="501" t="s">
        <v>994</v>
      </c>
      <c r="E741" s="602" t="s">
        <v>972</v>
      </c>
      <c r="F741" s="602"/>
      <c r="G741" s="503" t="s">
        <v>81</v>
      </c>
      <c r="H741" s="504">
        <v>1.2084999999999999</v>
      </c>
      <c r="I741" s="504"/>
      <c r="J741" s="505">
        <v>14.62</v>
      </c>
      <c r="K741" s="505">
        <v>17.66</v>
      </c>
      <c r="L741" s="70"/>
    </row>
    <row r="742" spans="1:12" ht="25.5" x14ac:dyDescent="0.25">
      <c r="A742" s="501" t="s">
        <v>1732</v>
      </c>
      <c r="B742" s="502" t="s">
        <v>1994</v>
      </c>
      <c r="C742" s="501" t="s">
        <v>993</v>
      </c>
      <c r="D742" s="501" t="s">
        <v>1995</v>
      </c>
      <c r="E742" s="602" t="s">
        <v>1746</v>
      </c>
      <c r="F742" s="602"/>
      <c r="G742" s="503" t="s">
        <v>49</v>
      </c>
      <c r="H742" s="504">
        <v>84</v>
      </c>
      <c r="I742" s="504"/>
      <c r="J742" s="505">
        <v>0.51</v>
      </c>
      <c r="K742" s="505">
        <v>42.84</v>
      </c>
      <c r="L742" s="70"/>
    </row>
    <row r="743" spans="1:12" ht="25.5" x14ac:dyDescent="0.25">
      <c r="A743" s="501" t="s">
        <v>1732</v>
      </c>
      <c r="B743" s="502" t="s">
        <v>1854</v>
      </c>
      <c r="C743" s="501" t="s">
        <v>993</v>
      </c>
      <c r="D743" s="501" t="s">
        <v>1855</v>
      </c>
      <c r="E743" s="602" t="s">
        <v>1746</v>
      </c>
      <c r="F743" s="602"/>
      <c r="G743" s="503" t="s">
        <v>1222</v>
      </c>
      <c r="H743" s="504">
        <v>4.55</v>
      </c>
      <c r="I743" s="504"/>
      <c r="J743" s="505">
        <v>0.65</v>
      </c>
      <c r="K743" s="505">
        <v>2.95</v>
      </c>
      <c r="L743" s="70"/>
    </row>
    <row r="744" spans="1:12" ht="25.5" x14ac:dyDescent="0.25">
      <c r="A744" s="501" t="s">
        <v>1732</v>
      </c>
      <c r="B744" s="502" t="s">
        <v>1974</v>
      </c>
      <c r="C744" s="501" t="s">
        <v>993</v>
      </c>
      <c r="D744" s="501" t="s">
        <v>1975</v>
      </c>
      <c r="E744" s="602" t="s">
        <v>1746</v>
      </c>
      <c r="F744" s="602"/>
      <c r="G744" s="503" t="s">
        <v>45</v>
      </c>
      <c r="H744" s="504">
        <v>3.04E-2</v>
      </c>
      <c r="I744" s="504"/>
      <c r="J744" s="505">
        <v>172.18</v>
      </c>
      <c r="K744" s="505">
        <v>5.23</v>
      </c>
      <c r="L744" s="70"/>
    </row>
    <row r="745" spans="1:12" ht="25.5" x14ac:dyDescent="0.25">
      <c r="A745" s="501" t="s">
        <v>1732</v>
      </c>
      <c r="B745" s="502" t="s">
        <v>2022</v>
      </c>
      <c r="C745" s="501" t="s">
        <v>993</v>
      </c>
      <c r="D745" s="501" t="s">
        <v>2023</v>
      </c>
      <c r="E745" s="602" t="s">
        <v>1746</v>
      </c>
      <c r="F745" s="602"/>
      <c r="G745" s="503" t="s">
        <v>1222</v>
      </c>
      <c r="H745" s="504">
        <v>4.55</v>
      </c>
      <c r="I745" s="504"/>
      <c r="J745" s="505">
        <v>0.99</v>
      </c>
      <c r="K745" s="505">
        <v>4.5</v>
      </c>
      <c r="L745" s="70"/>
    </row>
    <row r="746" spans="1:12" ht="15.75" customHeight="1" x14ac:dyDescent="0.25">
      <c r="A746" s="445"/>
      <c r="B746" s="445"/>
      <c r="C746" s="445"/>
      <c r="D746" s="445"/>
      <c r="E746" s="445" t="s">
        <v>1735</v>
      </c>
      <c r="F746" s="506">
        <v>43.29</v>
      </c>
      <c r="G746" s="445" t="s">
        <v>1736</v>
      </c>
      <c r="H746" s="506">
        <v>0</v>
      </c>
      <c r="I746" s="445" t="s">
        <v>1737</v>
      </c>
      <c r="J746" s="506">
        <v>43.29</v>
      </c>
      <c r="K746" s="70"/>
      <c r="L746" s="70"/>
    </row>
    <row r="747" spans="1:12" ht="17.25" thickBot="1" x14ac:dyDescent="0.3">
      <c r="A747" s="445"/>
      <c r="B747" s="445"/>
      <c r="C747" s="445"/>
      <c r="D747" s="445"/>
      <c r="E747" s="445" t="s">
        <v>1738</v>
      </c>
      <c r="F747" s="506">
        <v>24.346784</v>
      </c>
      <c r="G747" s="445"/>
      <c r="H747" s="606" t="s">
        <v>1739</v>
      </c>
      <c r="I747" s="606"/>
      <c r="J747" s="506">
        <v>123.15</v>
      </c>
      <c r="K747" s="70"/>
      <c r="L747" s="70"/>
    </row>
    <row r="748" spans="1:12" ht="17.25" thickTop="1" x14ac:dyDescent="0.25">
      <c r="A748" s="507"/>
      <c r="B748" s="507"/>
      <c r="C748" s="507"/>
      <c r="D748" s="507"/>
      <c r="E748" s="507"/>
      <c r="F748" s="507"/>
      <c r="G748" s="507"/>
      <c r="H748" s="507"/>
      <c r="I748" s="507"/>
      <c r="J748" s="507"/>
      <c r="K748" s="507"/>
      <c r="L748" s="70"/>
    </row>
    <row r="749" spans="1:12" ht="16.5" x14ac:dyDescent="0.25">
      <c r="A749" s="419" t="s">
        <v>1288</v>
      </c>
      <c r="B749" s="421" t="s">
        <v>76</v>
      </c>
      <c r="C749" s="419" t="s">
        <v>991</v>
      </c>
      <c r="D749" s="419" t="s">
        <v>191</v>
      </c>
      <c r="E749" s="603" t="s">
        <v>77</v>
      </c>
      <c r="F749" s="603"/>
      <c r="G749" s="420" t="s">
        <v>103</v>
      </c>
      <c r="H749" s="421" t="s">
        <v>147</v>
      </c>
      <c r="I749" s="421" t="s">
        <v>1731</v>
      </c>
      <c r="J749" s="421" t="s">
        <v>1117</v>
      </c>
      <c r="K749" s="421" t="s">
        <v>104</v>
      </c>
      <c r="L749" s="70"/>
    </row>
    <row r="750" spans="1:12" ht="51" x14ac:dyDescent="0.25">
      <c r="A750" s="441" t="s">
        <v>79</v>
      </c>
      <c r="B750" s="480" t="s">
        <v>1289</v>
      </c>
      <c r="C750" s="441" t="s">
        <v>1168</v>
      </c>
      <c r="D750" s="441" t="s">
        <v>858</v>
      </c>
      <c r="E750" s="604" t="s">
        <v>2196</v>
      </c>
      <c r="F750" s="604"/>
      <c r="G750" s="443" t="s">
        <v>19</v>
      </c>
      <c r="H750" s="500">
        <v>1</v>
      </c>
      <c r="I750" s="442"/>
      <c r="J750" s="442">
        <v>229.98</v>
      </c>
      <c r="K750" s="442">
        <v>229.98</v>
      </c>
      <c r="L750" s="70"/>
    </row>
    <row r="751" spans="1:12" ht="38.25" x14ac:dyDescent="0.25">
      <c r="A751" s="510" t="s">
        <v>2123</v>
      </c>
      <c r="B751" s="511" t="s">
        <v>2197</v>
      </c>
      <c r="C751" s="510" t="s">
        <v>1168</v>
      </c>
      <c r="D751" s="510" t="s">
        <v>2198</v>
      </c>
      <c r="E751" s="605" t="s">
        <v>2196</v>
      </c>
      <c r="F751" s="605"/>
      <c r="G751" s="512" t="s">
        <v>19</v>
      </c>
      <c r="H751" s="513">
        <v>0.87590000000000001</v>
      </c>
      <c r="I751" s="513"/>
      <c r="J751" s="514">
        <v>112.28</v>
      </c>
      <c r="K751" s="514">
        <v>98.34</v>
      </c>
      <c r="L751" s="70"/>
    </row>
    <row r="752" spans="1:12" ht="25.5" x14ac:dyDescent="0.25">
      <c r="A752" s="510" t="s">
        <v>2123</v>
      </c>
      <c r="B752" s="511" t="s">
        <v>1265</v>
      </c>
      <c r="C752" s="510" t="s">
        <v>993</v>
      </c>
      <c r="D752" s="510" t="s">
        <v>310</v>
      </c>
      <c r="E752" s="605">
        <v>603</v>
      </c>
      <c r="F752" s="605"/>
      <c r="G752" s="512" t="s">
        <v>1222</v>
      </c>
      <c r="H752" s="513">
        <v>2.0474999999999999</v>
      </c>
      <c r="I752" s="513"/>
      <c r="J752" s="514">
        <v>10.97</v>
      </c>
      <c r="K752" s="514">
        <v>22.46</v>
      </c>
      <c r="L752" s="70"/>
    </row>
    <row r="753" spans="1:12" ht="25.5" x14ac:dyDescent="0.25">
      <c r="A753" s="510" t="s">
        <v>2123</v>
      </c>
      <c r="B753" s="511" t="s">
        <v>1274</v>
      </c>
      <c r="C753" s="510" t="s">
        <v>993</v>
      </c>
      <c r="D753" s="510" t="s">
        <v>300</v>
      </c>
      <c r="E753" s="605">
        <v>603</v>
      </c>
      <c r="F753" s="605"/>
      <c r="G753" s="512" t="s">
        <v>1222</v>
      </c>
      <c r="H753" s="513">
        <v>1.7382</v>
      </c>
      <c r="I753" s="513"/>
      <c r="J753" s="514">
        <v>12.72</v>
      </c>
      <c r="K753" s="514">
        <v>22.1</v>
      </c>
      <c r="L753" s="70"/>
    </row>
    <row r="754" spans="1:12" ht="25.5" x14ac:dyDescent="0.25">
      <c r="A754" s="510" t="s">
        <v>2123</v>
      </c>
      <c r="B754" s="511" t="s">
        <v>1263</v>
      </c>
      <c r="C754" s="510" t="s">
        <v>993</v>
      </c>
      <c r="D754" s="510" t="s">
        <v>308</v>
      </c>
      <c r="E754" s="605">
        <v>603</v>
      </c>
      <c r="F754" s="605"/>
      <c r="G754" s="512" t="s">
        <v>1222</v>
      </c>
      <c r="H754" s="513">
        <v>0.89090000000000003</v>
      </c>
      <c r="I754" s="513"/>
      <c r="J754" s="514">
        <v>11.04</v>
      </c>
      <c r="K754" s="514">
        <v>9.83</v>
      </c>
      <c r="L754" s="70"/>
    </row>
    <row r="755" spans="1:12" ht="25.5" x14ac:dyDescent="0.25">
      <c r="A755" s="510" t="s">
        <v>2123</v>
      </c>
      <c r="B755" s="511" t="s">
        <v>2199</v>
      </c>
      <c r="C755" s="510" t="s">
        <v>993</v>
      </c>
      <c r="D755" s="510" t="s">
        <v>2200</v>
      </c>
      <c r="E755" s="605">
        <v>503</v>
      </c>
      <c r="F755" s="605"/>
      <c r="G755" s="512" t="s">
        <v>130</v>
      </c>
      <c r="H755" s="513">
        <v>0.57110000000000005</v>
      </c>
      <c r="I755" s="513"/>
      <c r="J755" s="514">
        <v>50.14</v>
      </c>
      <c r="K755" s="514">
        <v>28.63</v>
      </c>
      <c r="L755" s="70"/>
    </row>
    <row r="756" spans="1:12" ht="25.5" x14ac:dyDescent="0.25">
      <c r="A756" s="510" t="s">
        <v>2123</v>
      </c>
      <c r="B756" s="511" t="s">
        <v>1187</v>
      </c>
      <c r="C756" s="510" t="s">
        <v>993</v>
      </c>
      <c r="D756" s="510" t="s">
        <v>671</v>
      </c>
      <c r="E756" s="605">
        <v>401</v>
      </c>
      <c r="F756" s="605"/>
      <c r="G756" s="512" t="s">
        <v>45</v>
      </c>
      <c r="H756" s="513">
        <v>3.8E-3</v>
      </c>
      <c r="I756" s="513"/>
      <c r="J756" s="514">
        <v>37.51</v>
      </c>
      <c r="K756" s="514">
        <v>0.14000000000000001</v>
      </c>
      <c r="L756" s="70"/>
    </row>
    <row r="757" spans="1:12" ht="25.5" x14ac:dyDescent="0.25">
      <c r="A757" s="510" t="s">
        <v>2123</v>
      </c>
      <c r="B757" s="511" t="s">
        <v>2201</v>
      </c>
      <c r="C757" s="510" t="s">
        <v>993</v>
      </c>
      <c r="D757" s="510" t="s">
        <v>2202</v>
      </c>
      <c r="E757" s="605">
        <v>601</v>
      </c>
      <c r="F757" s="605"/>
      <c r="G757" s="512" t="s">
        <v>19</v>
      </c>
      <c r="H757" s="513">
        <v>0.24809999999999999</v>
      </c>
      <c r="I757" s="513"/>
      <c r="J757" s="514">
        <v>28.22</v>
      </c>
      <c r="K757" s="514">
        <v>7</v>
      </c>
      <c r="L757" s="70"/>
    </row>
    <row r="758" spans="1:12" ht="25.5" x14ac:dyDescent="0.25">
      <c r="A758" s="510" t="s">
        <v>2123</v>
      </c>
      <c r="B758" s="511" t="s">
        <v>1277</v>
      </c>
      <c r="C758" s="510" t="s">
        <v>993</v>
      </c>
      <c r="D758" s="510" t="s">
        <v>2203</v>
      </c>
      <c r="E758" s="605">
        <v>605</v>
      </c>
      <c r="F758" s="605"/>
      <c r="G758" s="512" t="s">
        <v>45</v>
      </c>
      <c r="H758" s="513">
        <v>7.1999999999999995E-2</v>
      </c>
      <c r="I758" s="513"/>
      <c r="J758" s="514">
        <v>524.19000000000005</v>
      </c>
      <c r="K758" s="514">
        <v>37.74</v>
      </c>
      <c r="L758" s="70"/>
    </row>
    <row r="759" spans="1:12" ht="25.5" x14ac:dyDescent="0.25">
      <c r="A759" s="510" t="s">
        <v>2123</v>
      </c>
      <c r="B759" s="511" t="s">
        <v>2204</v>
      </c>
      <c r="C759" s="510" t="s">
        <v>993</v>
      </c>
      <c r="D759" s="510" t="s">
        <v>2205</v>
      </c>
      <c r="E759" s="605">
        <v>608</v>
      </c>
      <c r="F759" s="605"/>
      <c r="G759" s="512" t="s">
        <v>45</v>
      </c>
      <c r="H759" s="513">
        <v>7.1999999999999995E-2</v>
      </c>
      <c r="I759" s="513"/>
      <c r="J759" s="514">
        <v>52.04</v>
      </c>
      <c r="K759" s="514">
        <v>3.74</v>
      </c>
      <c r="L759" s="70"/>
    </row>
    <row r="760" spans="1:12" ht="15.75" customHeight="1" x14ac:dyDescent="0.25">
      <c r="A760" s="445"/>
      <c r="B760" s="445"/>
      <c r="C760" s="445"/>
      <c r="D760" s="445"/>
      <c r="E760" s="445" t="s">
        <v>1735</v>
      </c>
      <c r="F760" s="506">
        <v>78.94</v>
      </c>
      <c r="G760" s="445" t="s">
        <v>1736</v>
      </c>
      <c r="H760" s="506">
        <v>0</v>
      </c>
      <c r="I760" s="445" t="s">
        <v>1737</v>
      </c>
      <c r="J760" s="506">
        <v>78.94</v>
      </c>
      <c r="K760" s="70"/>
      <c r="L760" s="70"/>
    </row>
    <row r="761" spans="1:12" ht="17.25" thickBot="1" x14ac:dyDescent="0.3">
      <c r="A761" s="445"/>
      <c r="B761" s="445"/>
      <c r="C761" s="445"/>
      <c r="D761" s="445"/>
      <c r="E761" s="445" t="s">
        <v>1738</v>
      </c>
      <c r="F761" s="506">
        <v>56.667071999999997</v>
      </c>
      <c r="G761" s="445"/>
      <c r="H761" s="606" t="s">
        <v>1739</v>
      </c>
      <c r="I761" s="606"/>
      <c r="J761" s="506">
        <v>286.64</v>
      </c>
      <c r="K761" s="70"/>
      <c r="L761" s="70"/>
    </row>
    <row r="762" spans="1:12" ht="17.25" thickTop="1" x14ac:dyDescent="0.25">
      <c r="A762" s="507"/>
      <c r="B762" s="507"/>
      <c r="C762" s="507"/>
      <c r="D762" s="507"/>
      <c r="E762" s="507"/>
      <c r="F762" s="507"/>
      <c r="G762" s="507"/>
      <c r="H762" s="507"/>
      <c r="I762" s="507"/>
      <c r="J762" s="507"/>
      <c r="K762" s="507"/>
      <c r="L762" s="70"/>
    </row>
    <row r="763" spans="1:12" ht="16.5" x14ac:dyDescent="0.25">
      <c r="A763" s="419" t="s">
        <v>1290</v>
      </c>
      <c r="B763" s="421" t="s">
        <v>76</v>
      </c>
      <c r="C763" s="419" t="s">
        <v>991</v>
      </c>
      <c r="D763" s="419" t="s">
        <v>191</v>
      </c>
      <c r="E763" s="603" t="s">
        <v>77</v>
      </c>
      <c r="F763" s="603"/>
      <c r="G763" s="420" t="s">
        <v>103</v>
      </c>
      <c r="H763" s="421" t="s">
        <v>147</v>
      </c>
      <c r="I763" s="421" t="s">
        <v>1731</v>
      </c>
      <c r="J763" s="421" t="s">
        <v>1117</v>
      </c>
      <c r="K763" s="421" t="s">
        <v>104</v>
      </c>
      <c r="L763" s="70"/>
    </row>
    <row r="764" spans="1:12" ht="25.5" x14ac:dyDescent="0.25">
      <c r="A764" s="441" t="s">
        <v>79</v>
      </c>
      <c r="B764" s="480" t="s">
        <v>1291</v>
      </c>
      <c r="C764" s="441" t="s">
        <v>993</v>
      </c>
      <c r="D764" s="441" t="s">
        <v>1292</v>
      </c>
      <c r="E764" s="604">
        <v>1001</v>
      </c>
      <c r="F764" s="604"/>
      <c r="G764" s="443" t="s">
        <v>19</v>
      </c>
      <c r="H764" s="500">
        <v>1</v>
      </c>
      <c r="I764" s="442"/>
      <c r="J764" s="442">
        <v>71.5</v>
      </c>
      <c r="K764" s="442">
        <v>71.5</v>
      </c>
      <c r="L764" s="70"/>
    </row>
    <row r="765" spans="1:12" ht="25.5" x14ac:dyDescent="0.25">
      <c r="A765" s="501" t="s">
        <v>1732</v>
      </c>
      <c r="B765" s="502" t="s">
        <v>992</v>
      </c>
      <c r="C765" s="501" t="s">
        <v>993</v>
      </c>
      <c r="D765" s="501" t="s">
        <v>994</v>
      </c>
      <c r="E765" s="602" t="s">
        <v>972</v>
      </c>
      <c r="F765" s="602"/>
      <c r="G765" s="503" t="s">
        <v>81</v>
      </c>
      <c r="H765" s="504">
        <v>1.1218999999999999</v>
      </c>
      <c r="I765" s="504"/>
      <c r="J765" s="505">
        <v>14.62</v>
      </c>
      <c r="K765" s="505">
        <v>16.399999999999999</v>
      </c>
      <c r="L765" s="70"/>
    </row>
    <row r="766" spans="1:12" ht="25.5" x14ac:dyDescent="0.25">
      <c r="A766" s="501" t="s">
        <v>1732</v>
      </c>
      <c r="B766" s="502" t="s">
        <v>1003</v>
      </c>
      <c r="C766" s="501" t="s">
        <v>993</v>
      </c>
      <c r="D766" s="501" t="s">
        <v>1004</v>
      </c>
      <c r="E766" s="602" t="s">
        <v>972</v>
      </c>
      <c r="F766" s="602"/>
      <c r="G766" s="503" t="s">
        <v>81</v>
      </c>
      <c r="H766" s="504">
        <v>0.75160000000000005</v>
      </c>
      <c r="I766" s="504"/>
      <c r="J766" s="505">
        <v>23.41</v>
      </c>
      <c r="K766" s="505">
        <v>17.59</v>
      </c>
      <c r="L766" s="70"/>
    </row>
    <row r="767" spans="1:12" ht="25.5" x14ac:dyDescent="0.25">
      <c r="A767" s="501" t="s">
        <v>1732</v>
      </c>
      <c r="B767" s="502" t="s">
        <v>2206</v>
      </c>
      <c r="C767" s="501" t="s">
        <v>993</v>
      </c>
      <c r="D767" s="501" t="s">
        <v>2207</v>
      </c>
      <c r="E767" s="602" t="s">
        <v>1746</v>
      </c>
      <c r="F767" s="602"/>
      <c r="G767" s="503" t="s">
        <v>49</v>
      </c>
      <c r="H767" s="504">
        <v>27</v>
      </c>
      <c r="I767" s="504"/>
      <c r="J767" s="505">
        <v>1.1499999999999999</v>
      </c>
      <c r="K767" s="505">
        <v>31.05</v>
      </c>
      <c r="L767" s="70"/>
    </row>
    <row r="768" spans="1:12" ht="25.5" x14ac:dyDescent="0.25">
      <c r="A768" s="501" t="s">
        <v>1732</v>
      </c>
      <c r="B768" s="502" t="s">
        <v>1974</v>
      </c>
      <c r="C768" s="501" t="s">
        <v>993</v>
      </c>
      <c r="D768" s="501" t="s">
        <v>1975</v>
      </c>
      <c r="E768" s="602" t="s">
        <v>1746</v>
      </c>
      <c r="F768" s="602"/>
      <c r="G768" s="503" t="s">
        <v>45</v>
      </c>
      <c r="H768" s="504">
        <v>1.7100000000000001E-2</v>
      </c>
      <c r="I768" s="504"/>
      <c r="J768" s="505">
        <v>172.18</v>
      </c>
      <c r="K768" s="505">
        <v>2.94</v>
      </c>
      <c r="L768" s="70"/>
    </row>
    <row r="769" spans="1:12" ht="25.5" x14ac:dyDescent="0.25">
      <c r="A769" s="501" t="s">
        <v>1732</v>
      </c>
      <c r="B769" s="502" t="s">
        <v>2022</v>
      </c>
      <c r="C769" s="501" t="s">
        <v>993</v>
      </c>
      <c r="D769" s="501" t="s">
        <v>2023</v>
      </c>
      <c r="E769" s="602" t="s">
        <v>1746</v>
      </c>
      <c r="F769" s="602"/>
      <c r="G769" s="503" t="s">
        <v>1222</v>
      </c>
      <c r="H769" s="504">
        <v>2.5594000000000001</v>
      </c>
      <c r="I769" s="504"/>
      <c r="J769" s="505">
        <v>0.99</v>
      </c>
      <c r="K769" s="505">
        <v>2.5299999999999998</v>
      </c>
      <c r="L769" s="70"/>
    </row>
    <row r="770" spans="1:12" ht="25.5" x14ac:dyDescent="0.25">
      <c r="A770" s="501" t="s">
        <v>1732</v>
      </c>
      <c r="B770" s="502" t="s">
        <v>1854</v>
      </c>
      <c r="C770" s="501" t="s">
        <v>993</v>
      </c>
      <c r="D770" s="501" t="s">
        <v>1855</v>
      </c>
      <c r="E770" s="602" t="s">
        <v>1746</v>
      </c>
      <c r="F770" s="602"/>
      <c r="G770" s="503" t="s">
        <v>1222</v>
      </c>
      <c r="H770" s="504">
        <v>1.5333000000000001</v>
      </c>
      <c r="I770" s="504"/>
      <c r="J770" s="505">
        <v>0.65</v>
      </c>
      <c r="K770" s="505">
        <v>0.99</v>
      </c>
      <c r="L770" s="70"/>
    </row>
    <row r="771" spans="1:12" ht="15.75" customHeight="1" x14ac:dyDescent="0.25">
      <c r="A771" s="445"/>
      <c r="B771" s="445"/>
      <c r="C771" s="445"/>
      <c r="D771" s="445"/>
      <c r="E771" s="445" t="s">
        <v>1735</v>
      </c>
      <c r="F771" s="506">
        <v>33.99</v>
      </c>
      <c r="G771" s="445" t="s">
        <v>1736</v>
      </c>
      <c r="H771" s="506">
        <v>0</v>
      </c>
      <c r="I771" s="445" t="s">
        <v>1737</v>
      </c>
      <c r="J771" s="506">
        <v>33.99</v>
      </c>
      <c r="K771" s="70"/>
      <c r="L771" s="70"/>
    </row>
    <row r="772" spans="1:12" ht="17.25" thickBot="1" x14ac:dyDescent="0.3">
      <c r="A772" s="445"/>
      <c r="B772" s="445"/>
      <c r="C772" s="445"/>
      <c r="D772" s="445"/>
      <c r="E772" s="445" t="s">
        <v>1738</v>
      </c>
      <c r="F772" s="506">
        <v>17.617599999999999</v>
      </c>
      <c r="G772" s="445"/>
      <c r="H772" s="606" t="s">
        <v>1739</v>
      </c>
      <c r="I772" s="606"/>
      <c r="J772" s="506">
        <v>89.11</v>
      </c>
      <c r="K772" s="70"/>
      <c r="L772" s="70"/>
    </row>
    <row r="773" spans="1:12" ht="17.25" thickTop="1" x14ac:dyDescent="0.25">
      <c r="A773" s="507"/>
      <c r="B773" s="507"/>
      <c r="C773" s="507"/>
      <c r="D773" s="507"/>
      <c r="E773" s="507"/>
      <c r="F773" s="507"/>
      <c r="G773" s="507"/>
      <c r="H773" s="507"/>
      <c r="I773" s="507"/>
      <c r="J773" s="507"/>
      <c r="K773" s="507"/>
      <c r="L773" s="70"/>
    </row>
    <row r="774" spans="1:12" ht="16.5" x14ac:dyDescent="0.25">
      <c r="A774" s="419" t="s">
        <v>1295</v>
      </c>
      <c r="B774" s="421" t="s">
        <v>76</v>
      </c>
      <c r="C774" s="419" t="s">
        <v>991</v>
      </c>
      <c r="D774" s="419" t="s">
        <v>191</v>
      </c>
      <c r="E774" s="603" t="s">
        <v>77</v>
      </c>
      <c r="F774" s="603"/>
      <c r="G774" s="420" t="s">
        <v>103</v>
      </c>
      <c r="H774" s="421" t="s">
        <v>147</v>
      </c>
      <c r="I774" s="421" t="s">
        <v>1731</v>
      </c>
      <c r="J774" s="421" t="s">
        <v>1117</v>
      </c>
      <c r="K774" s="421" t="s">
        <v>104</v>
      </c>
      <c r="L774" s="70"/>
    </row>
    <row r="775" spans="1:12" ht="16.5" x14ac:dyDescent="0.25">
      <c r="A775" s="441" t="s">
        <v>79</v>
      </c>
      <c r="B775" s="480" t="s">
        <v>1296</v>
      </c>
      <c r="C775" s="441" t="s">
        <v>1168</v>
      </c>
      <c r="D775" s="441" t="s">
        <v>333</v>
      </c>
      <c r="E775" s="604">
        <v>102</v>
      </c>
      <c r="F775" s="604"/>
      <c r="G775" s="443" t="s">
        <v>19</v>
      </c>
      <c r="H775" s="500">
        <v>1</v>
      </c>
      <c r="I775" s="442"/>
      <c r="J775" s="442">
        <v>673.85</v>
      </c>
      <c r="K775" s="442">
        <v>673.85</v>
      </c>
      <c r="L775" s="70"/>
    </row>
    <row r="776" spans="1:12" ht="16.5" x14ac:dyDescent="0.25">
      <c r="A776" s="501" t="s">
        <v>1732</v>
      </c>
      <c r="B776" s="502" t="s">
        <v>2208</v>
      </c>
      <c r="C776" s="501" t="s">
        <v>575</v>
      </c>
      <c r="D776" s="501" t="s">
        <v>2209</v>
      </c>
      <c r="E776" s="602" t="s">
        <v>1746</v>
      </c>
      <c r="F776" s="602"/>
      <c r="G776" s="503" t="s">
        <v>19</v>
      </c>
      <c r="H776" s="504">
        <v>1</v>
      </c>
      <c r="I776" s="504"/>
      <c r="J776" s="505">
        <v>635.82000000000005</v>
      </c>
      <c r="K776" s="505">
        <v>635.82000000000005</v>
      </c>
      <c r="L776" s="70"/>
    </row>
    <row r="777" spans="1:12" ht="25.5" x14ac:dyDescent="0.25">
      <c r="A777" s="501" t="s">
        <v>1732</v>
      </c>
      <c r="B777" s="502" t="s">
        <v>992</v>
      </c>
      <c r="C777" s="501" t="s">
        <v>993</v>
      </c>
      <c r="D777" s="501" t="s">
        <v>994</v>
      </c>
      <c r="E777" s="602" t="s">
        <v>972</v>
      </c>
      <c r="F777" s="602"/>
      <c r="G777" s="503" t="s">
        <v>81</v>
      </c>
      <c r="H777" s="504">
        <v>1</v>
      </c>
      <c r="I777" s="504">
        <v>0</v>
      </c>
      <c r="J777" s="505">
        <v>14.62</v>
      </c>
      <c r="K777" s="505">
        <v>14.62</v>
      </c>
      <c r="L777" s="70"/>
    </row>
    <row r="778" spans="1:12" ht="25.5" x14ac:dyDescent="0.25">
      <c r="A778" s="501" t="s">
        <v>1732</v>
      </c>
      <c r="B778" s="502" t="s">
        <v>1029</v>
      </c>
      <c r="C778" s="501" t="s">
        <v>993</v>
      </c>
      <c r="D778" s="501" t="s">
        <v>1030</v>
      </c>
      <c r="E778" s="602" t="s">
        <v>972</v>
      </c>
      <c r="F778" s="602"/>
      <c r="G778" s="503" t="s">
        <v>81</v>
      </c>
      <c r="H778" s="504">
        <v>1</v>
      </c>
      <c r="I778" s="504">
        <v>0</v>
      </c>
      <c r="J778" s="505">
        <v>23.41</v>
      </c>
      <c r="K778" s="505">
        <v>23.41</v>
      </c>
      <c r="L778" s="70"/>
    </row>
    <row r="779" spans="1:12" ht="15.75" customHeight="1" x14ac:dyDescent="0.25">
      <c r="A779" s="445"/>
      <c r="B779" s="445"/>
      <c r="C779" s="445"/>
      <c r="D779" s="445"/>
      <c r="E779" s="445" t="s">
        <v>1735</v>
      </c>
      <c r="F779" s="506">
        <v>38.03</v>
      </c>
      <c r="G779" s="445" t="s">
        <v>1736</v>
      </c>
      <c r="H779" s="506">
        <v>0</v>
      </c>
      <c r="I779" s="445" t="s">
        <v>1737</v>
      </c>
      <c r="J779" s="506">
        <v>38.03</v>
      </c>
      <c r="K779" s="70"/>
      <c r="L779" s="70"/>
    </row>
    <row r="780" spans="1:12" ht="17.25" thickBot="1" x14ac:dyDescent="0.3">
      <c r="A780" s="445"/>
      <c r="B780" s="445"/>
      <c r="C780" s="445"/>
      <c r="D780" s="445"/>
      <c r="E780" s="445" t="s">
        <v>1738</v>
      </c>
      <c r="F780" s="506">
        <v>166.03664000000001</v>
      </c>
      <c r="G780" s="445"/>
      <c r="H780" s="606" t="s">
        <v>1739</v>
      </c>
      <c r="I780" s="606"/>
      <c r="J780" s="506">
        <v>839.88</v>
      </c>
      <c r="K780" s="70"/>
      <c r="L780" s="70"/>
    </row>
    <row r="781" spans="1:12" ht="17.25" thickTop="1" x14ac:dyDescent="0.25">
      <c r="A781" s="507"/>
      <c r="B781" s="507"/>
      <c r="C781" s="507"/>
      <c r="D781" s="507"/>
      <c r="E781" s="507"/>
      <c r="F781" s="507"/>
      <c r="G781" s="507"/>
      <c r="H781" s="507"/>
      <c r="I781" s="507"/>
      <c r="J781" s="507"/>
      <c r="K781" s="507"/>
      <c r="L781" s="70"/>
    </row>
    <row r="782" spans="1:12" ht="16.5" x14ac:dyDescent="0.25">
      <c r="A782" s="419" t="s">
        <v>1297</v>
      </c>
      <c r="B782" s="421" t="s">
        <v>76</v>
      </c>
      <c r="C782" s="419" t="s">
        <v>991</v>
      </c>
      <c r="D782" s="419" t="s">
        <v>191</v>
      </c>
      <c r="E782" s="603" t="s">
        <v>77</v>
      </c>
      <c r="F782" s="603"/>
      <c r="G782" s="420" t="s">
        <v>103</v>
      </c>
      <c r="H782" s="421" t="s">
        <v>147</v>
      </c>
      <c r="I782" s="421" t="s">
        <v>1731</v>
      </c>
      <c r="J782" s="421" t="s">
        <v>1117</v>
      </c>
      <c r="K782" s="421" t="s">
        <v>104</v>
      </c>
      <c r="L782" s="70"/>
    </row>
    <row r="783" spans="1:12" ht="25.5" x14ac:dyDescent="0.25">
      <c r="A783" s="441" t="s">
        <v>79</v>
      </c>
      <c r="B783" s="480" t="s">
        <v>1298</v>
      </c>
      <c r="C783" s="441" t="s">
        <v>993</v>
      </c>
      <c r="D783" s="441" t="s">
        <v>1299</v>
      </c>
      <c r="E783" s="604">
        <v>808</v>
      </c>
      <c r="F783" s="604"/>
      <c r="G783" s="443" t="s">
        <v>1141</v>
      </c>
      <c r="H783" s="500">
        <v>1</v>
      </c>
      <c r="I783" s="442"/>
      <c r="J783" s="442">
        <v>38.97</v>
      </c>
      <c r="K783" s="442">
        <v>38.97</v>
      </c>
      <c r="L783" s="70"/>
    </row>
    <row r="784" spans="1:12" ht="25.5" x14ac:dyDescent="0.25">
      <c r="A784" s="501" t="s">
        <v>1732</v>
      </c>
      <c r="B784" s="502" t="s">
        <v>1011</v>
      </c>
      <c r="C784" s="501" t="s">
        <v>993</v>
      </c>
      <c r="D784" s="501" t="s">
        <v>1012</v>
      </c>
      <c r="E784" s="602" t="s">
        <v>972</v>
      </c>
      <c r="F784" s="602"/>
      <c r="G784" s="503" t="s">
        <v>81</v>
      </c>
      <c r="H784" s="504">
        <v>0.08</v>
      </c>
      <c r="I784" s="504"/>
      <c r="J784" s="505">
        <v>23.41</v>
      </c>
      <c r="K784" s="505">
        <v>1.87</v>
      </c>
      <c r="L784" s="70"/>
    </row>
    <row r="785" spans="1:12" ht="25.5" x14ac:dyDescent="0.25">
      <c r="A785" s="501" t="s">
        <v>1732</v>
      </c>
      <c r="B785" s="502" t="s">
        <v>2210</v>
      </c>
      <c r="C785" s="501" t="s">
        <v>993</v>
      </c>
      <c r="D785" s="501" t="s">
        <v>2211</v>
      </c>
      <c r="E785" s="602" t="s">
        <v>1746</v>
      </c>
      <c r="F785" s="602"/>
      <c r="G785" s="503" t="s">
        <v>49</v>
      </c>
      <c r="H785" s="504">
        <v>1</v>
      </c>
      <c r="I785" s="504"/>
      <c r="J785" s="505">
        <v>37.1</v>
      </c>
      <c r="K785" s="505">
        <v>37.1</v>
      </c>
      <c r="L785" s="70"/>
    </row>
    <row r="786" spans="1:12" ht="15.75" customHeight="1" x14ac:dyDescent="0.25">
      <c r="A786" s="445"/>
      <c r="B786" s="445"/>
      <c r="C786" s="445"/>
      <c r="D786" s="445"/>
      <c r="E786" s="445" t="s">
        <v>1735</v>
      </c>
      <c r="F786" s="506">
        <v>1.87</v>
      </c>
      <c r="G786" s="445" t="s">
        <v>1736</v>
      </c>
      <c r="H786" s="506">
        <v>0</v>
      </c>
      <c r="I786" s="445" t="s">
        <v>1737</v>
      </c>
      <c r="J786" s="506">
        <v>1.87</v>
      </c>
      <c r="K786" s="70"/>
      <c r="L786" s="70"/>
    </row>
    <row r="787" spans="1:12" ht="17.25" thickBot="1" x14ac:dyDescent="0.3">
      <c r="A787" s="445"/>
      <c r="B787" s="445"/>
      <c r="C787" s="445"/>
      <c r="D787" s="445"/>
      <c r="E787" s="445" t="s">
        <v>1738</v>
      </c>
      <c r="F787" s="506">
        <v>9.6022079999999992</v>
      </c>
      <c r="G787" s="445"/>
      <c r="H787" s="606" t="s">
        <v>1739</v>
      </c>
      <c r="I787" s="606"/>
      <c r="J787" s="506">
        <v>48.57</v>
      </c>
      <c r="K787" s="70"/>
      <c r="L787" s="70"/>
    </row>
    <row r="788" spans="1:12" ht="17.25" thickTop="1" x14ac:dyDescent="0.25">
      <c r="A788" s="507"/>
      <c r="B788" s="507"/>
      <c r="C788" s="507"/>
      <c r="D788" s="507"/>
      <c r="E788" s="507"/>
      <c r="F788" s="507"/>
      <c r="G788" s="507"/>
      <c r="H788" s="507"/>
      <c r="I788" s="507"/>
      <c r="J788" s="507"/>
      <c r="K788" s="507"/>
      <c r="L788" s="70"/>
    </row>
    <row r="789" spans="1:12" ht="16.5" x14ac:dyDescent="0.25">
      <c r="A789" s="419" t="s">
        <v>1300</v>
      </c>
      <c r="B789" s="421" t="s">
        <v>76</v>
      </c>
      <c r="C789" s="419" t="s">
        <v>991</v>
      </c>
      <c r="D789" s="419" t="s">
        <v>191</v>
      </c>
      <c r="E789" s="603" t="s">
        <v>77</v>
      </c>
      <c r="F789" s="603"/>
      <c r="G789" s="420" t="s">
        <v>103</v>
      </c>
      <c r="H789" s="421" t="s">
        <v>147</v>
      </c>
      <c r="I789" s="421" t="s">
        <v>1731</v>
      </c>
      <c r="J789" s="421" t="s">
        <v>1117</v>
      </c>
      <c r="K789" s="421" t="s">
        <v>104</v>
      </c>
      <c r="L789" s="70"/>
    </row>
    <row r="790" spans="1:12" ht="25.5" x14ac:dyDescent="0.25">
      <c r="A790" s="441" t="s">
        <v>79</v>
      </c>
      <c r="B790" s="480" t="s">
        <v>1301</v>
      </c>
      <c r="C790" s="441" t="s">
        <v>993</v>
      </c>
      <c r="D790" s="441" t="s">
        <v>645</v>
      </c>
      <c r="E790" s="604">
        <v>1807</v>
      </c>
      <c r="F790" s="604"/>
      <c r="G790" s="443" t="s">
        <v>41</v>
      </c>
      <c r="H790" s="500">
        <v>1</v>
      </c>
      <c r="I790" s="442"/>
      <c r="J790" s="442">
        <v>387.15</v>
      </c>
      <c r="K790" s="442">
        <v>387.15</v>
      </c>
      <c r="L790" s="70"/>
    </row>
    <row r="791" spans="1:12" ht="25.5" x14ac:dyDescent="0.25">
      <c r="A791" s="501" t="s">
        <v>1732</v>
      </c>
      <c r="B791" s="502" t="s">
        <v>992</v>
      </c>
      <c r="C791" s="501" t="s">
        <v>993</v>
      </c>
      <c r="D791" s="501" t="s">
        <v>994</v>
      </c>
      <c r="E791" s="602" t="s">
        <v>972</v>
      </c>
      <c r="F791" s="602"/>
      <c r="G791" s="503" t="s">
        <v>81</v>
      </c>
      <c r="H791" s="504">
        <v>0.68640000000000001</v>
      </c>
      <c r="I791" s="504"/>
      <c r="J791" s="505">
        <v>14.62</v>
      </c>
      <c r="K791" s="505">
        <v>10.029999999999999</v>
      </c>
      <c r="L791" s="70"/>
    </row>
    <row r="792" spans="1:12" ht="25.5" x14ac:dyDescent="0.25">
      <c r="A792" s="501" t="s">
        <v>1732</v>
      </c>
      <c r="B792" s="502" t="s">
        <v>1003</v>
      </c>
      <c r="C792" s="501" t="s">
        <v>993</v>
      </c>
      <c r="D792" s="501" t="s">
        <v>1004</v>
      </c>
      <c r="E792" s="602" t="s">
        <v>972</v>
      </c>
      <c r="F792" s="602"/>
      <c r="G792" s="503" t="s">
        <v>81</v>
      </c>
      <c r="H792" s="504">
        <v>0.2029</v>
      </c>
      <c r="I792" s="504"/>
      <c r="J792" s="505">
        <v>23.41</v>
      </c>
      <c r="K792" s="505">
        <v>4.74</v>
      </c>
      <c r="L792" s="70"/>
    </row>
    <row r="793" spans="1:12" ht="25.5" x14ac:dyDescent="0.25">
      <c r="A793" s="501" t="s">
        <v>1732</v>
      </c>
      <c r="B793" s="502" t="s">
        <v>1023</v>
      </c>
      <c r="C793" s="501" t="s">
        <v>993</v>
      </c>
      <c r="D793" s="501" t="s">
        <v>1024</v>
      </c>
      <c r="E793" s="602" t="s">
        <v>972</v>
      </c>
      <c r="F793" s="602"/>
      <c r="G793" s="503" t="s">
        <v>81</v>
      </c>
      <c r="H793" s="504">
        <v>3.3000000000000002E-2</v>
      </c>
      <c r="I793" s="504"/>
      <c r="J793" s="505">
        <v>17.559999999999999</v>
      </c>
      <c r="K793" s="505">
        <v>0.56999999999999995</v>
      </c>
      <c r="L793" s="70"/>
    </row>
    <row r="794" spans="1:12" ht="25.5" x14ac:dyDescent="0.25">
      <c r="A794" s="501" t="s">
        <v>1732</v>
      </c>
      <c r="B794" s="502" t="s">
        <v>2212</v>
      </c>
      <c r="C794" s="501" t="s">
        <v>993</v>
      </c>
      <c r="D794" s="501" t="s">
        <v>2213</v>
      </c>
      <c r="E794" s="602" t="s">
        <v>1746</v>
      </c>
      <c r="F794" s="602"/>
      <c r="G794" s="503" t="s">
        <v>1222</v>
      </c>
      <c r="H794" s="504">
        <v>26.3262</v>
      </c>
      <c r="I794" s="504"/>
      <c r="J794" s="505">
        <v>7.65</v>
      </c>
      <c r="K794" s="505">
        <v>201.39</v>
      </c>
      <c r="L794" s="70"/>
    </row>
    <row r="795" spans="1:12" ht="25.5" x14ac:dyDescent="0.25">
      <c r="A795" s="501" t="s">
        <v>1732</v>
      </c>
      <c r="B795" s="502" t="s">
        <v>2214</v>
      </c>
      <c r="C795" s="501" t="s">
        <v>993</v>
      </c>
      <c r="D795" s="501" t="s">
        <v>2215</v>
      </c>
      <c r="E795" s="602" t="s">
        <v>1746</v>
      </c>
      <c r="F795" s="602"/>
      <c r="G795" s="503" t="s">
        <v>1222</v>
      </c>
      <c r="H795" s="504">
        <v>0.69699999999999995</v>
      </c>
      <c r="I795" s="504"/>
      <c r="J795" s="505">
        <v>10.83</v>
      </c>
      <c r="K795" s="505">
        <v>7.54</v>
      </c>
      <c r="L795" s="70"/>
    </row>
    <row r="796" spans="1:12" ht="25.5" x14ac:dyDescent="0.25">
      <c r="A796" s="501" t="s">
        <v>1732</v>
      </c>
      <c r="B796" s="502" t="s">
        <v>2216</v>
      </c>
      <c r="C796" s="501" t="s">
        <v>993</v>
      </c>
      <c r="D796" s="501" t="s">
        <v>2217</v>
      </c>
      <c r="E796" s="602" t="s">
        <v>1746</v>
      </c>
      <c r="F796" s="602"/>
      <c r="G796" s="503" t="s">
        <v>49</v>
      </c>
      <c r="H796" s="504">
        <v>4</v>
      </c>
      <c r="I796" s="504"/>
      <c r="J796" s="505">
        <v>2.42</v>
      </c>
      <c r="K796" s="505">
        <v>9.68</v>
      </c>
      <c r="L796" s="70"/>
    </row>
    <row r="797" spans="1:12" ht="25.5" x14ac:dyDescent="0.25">
      <c r="A797" s="501" t="s">
        <v>1732</v>
      </c>
      <c r="B797" s="502" t="s">
        <v>2218</v>
      </c>
      <c r="C797" s="501" t="s">
        <v>993</v>
      </c>
      <c r="D797" s="501" t="s">
        <v>2219</v>
      </c>
      <c r="E797" s="602" t="s">
        <v>1746</v>
      </c>
      <c r="F797" s="602"/>
      <c r="G797" s="503" t="s">
        <v>49</v>
      </c>
      <c r="H797" s="504">
        <v>1</v>
      </c>
      <c r="I797" s="504"/>
      <c r="J797" s="505">
        <v>103.84</v>
      </c>
      <c r="K797" s="505">
        <v>103.84</v>
      </c>
      <c r="L797" s="70"/>
    </row>
    <row r="798" spans="1:12" ht="25.5" x14ac:dyDescent="0.25">
      <c r="A798" s="501" t="s">
        <v>1732</v>
      </c>
      <c r="B798" s="502" t="s">
        <v>2012</v>
      </c>
      <c r="C798" s="501" t="s">
        <v>993</v>
      </c>
      <c r="D798" s="501" t="s">
        <v>2013</v>
      </c>
      <c r="E798" s="602" t="s">
        <v>1746</v>
      </c>
      <c r="F798" s="602"/>
      <c r="G798" s="503" t="s">
        <v>49</v>
      </c>
      <c r="H798" s="504">
        <v>9.6699999999999994E-2</v>
      </c>
      <c r="I798" s="504"/>
      <c r="J798" s="505">
        <v>3.04</v>
      </c>
      <c r="K798" s="505">
        <v>0.28999999999999998</v>
      </c>
      <c r="L798" s="70"/>
    </row>
    <row r="799" spans="1:12" ht="25.5" x14ac:dyDescent="0.25">
      <c r="A799" s="501" t="s">
        <v>1732</v>
      </c>
      <c r="B799" s="502" t="s">
        <v>2220</v>
      </c>
      <c r="C799" s="501" t="s">
        <v>993</v>
      </c>
      <c r="D799" s="501" t="s">
        <v>2221</v>
      </c>
      <c r="E799" s="602" t="s">
        <v>1746</v>
      </c>
      <c r="F799" s="602"/>
      <c r="G799" s="503" t="s">
        <v>1222</v>
      </c>
      <c r="H799" s="504">
        <v>7.7399999999999997E-2</v>
      </c>
      <c r="I799" s="504"/>
      <c r="J799" s="505">
        <v>33.270000000000003</v>
      </c>
      <c r="K799" s="505">
        <v>2.57</v>
      </c>
      <c r="L799" s="70"/>
    </row>
    <row r="800" spans="1:12" ht="25.5" x14ac:dyDescent="0.25">
      <c r="A800" s="501" t="s">
        <v>1732</v>
      </c>
      <c r="B800" s="502" t="s">
        <v>2222</v>
      </c>
      <c r="C800" s="501" t="s">
        <v>993</v>
      </c>
      <c r="D800" s="501" t="s">
        <v>2223</v>
      </c>
      <c r="E800" s="602" t="s">
        <v>1746</v>
      </c>
      <c r="F800" s="602"/>
      <c r="G800" s="503" t="s">
        <v>1222</v>
      </c>
      <c r="H800" s="504">
        <v>4.7E-2</v>
      </c>
      <c r="I800" s="504"/>
      <c r="J800" s="505">
        <v>29.55</v>
      </c>
      <c r="K800" s="505">
        <v>1.38</v>
      </c>
      <c r="L800" s="70"/>
    </row>
    <row r="801" spans="1:12" ht="25.5" x14ac:dyDescent="0.25">
      <c r="A801" s="501" t="s">
        <v>1732</v>
      </c>
      <c r="B801" s="502" t="s">
        <v>2224</v>
      </c>
      <c r="C801" s="501" t="s">
        <v>993</v>
      </c>
      <c r="D801" s="501" t="s">
        <v>2225</v>
      </c>
      <c r="E801" s="602" t="s">
        <v>1746</v>
      </c>
      <c r="F801" s="602"/>
      <c r="G801" s="503" t="s">
        <v>49</v>
      </c>
      <c r="H801" s="504">
        <v>1.9300000000000001E-2</v>
      </c>
      <c r="I801" s="504"/>
      <c r="J801" s="505">
        <v>14.03</v>
      </c>
      <c r="K801" s="505">
        <v>0.27</v>
      </c>
      <c r="L801" s="70"/>
    </row>
    <row r="802" spans="1:12" ht="25.5" x14ac:dyDescent="0.25">
      <c r="A802" s="501" t="s">
        <v>1732</v>
      </c>
      <c r="B802" s="502" t="s">
        <v>1854</v>
      </c>
      <c r="C802" s="501" t="s">
        <v>993</v>
      </c>
      <c r="D802" s="501" t="s">
        <v>1855</v>
      </c>
      <c r="E802" s="602" t="s">
        <v>1746</v>
      </c>
      <c r="F802" s="602"/>
      <c r="G802" s="503" t="s">
        <v>1222</v>
      </c>
      <c r="H802" s="504">
        <v>5.0769000000000002</v>
      </c>
      <c r="I802" s="504"/>
      <c r="J802" s="505">
        <v>0.65</v>
      </c>
      <c r="K802" s="505">
        <v>3.29</v>
      </c>
      <c r="L802" s="70"/>
    </row>
    <row r="803" spans="1:12" ht="25.5" x14ac:dyDescent="0.25">
      <c r="A803" s="501" t="s">
        <v>1732</v>
      </c>
      <c r="B803" s="502" t="s">
        <v>2226</v>
      </c>
      <c r="C803" s="501" t="s">
        <v>993</v>
      </c>
      <c r="D803" s="501" t="s">
        <v>2227</v>
      </c>
      <c r="E803" s="602" t="s">
        <v>1746</v>
      </c>
      <c r="F803" s="602"/>
      <c r="G803" s="503" t="s">
        <v>49</v>
      </c>
      <c r="H803" s="504">
        <v>0.14929999999999999</v>
      </c>
      <c r="I803" s="504"/>
      <c r="J803" s="505">
        <v>10.53</v>
      </c>
      <c r="K803" s="505">
        <v>1.57</v>
      </c>
      <c r="L803" s="70"/>
    </row>
    <row r="804" spans="1:12" ht="25.5" x14ac:dyDescent="0.25">
      <c r="A804" s="501" t="s">
        <v>1732</v>
      </c>
      <c r="B804" s="502" t="s">
        <v>1872</v>
      </c>
      <c r="C804" s="501" t="s">
        <v>993</v>
      </c>
      <c r="D804" s="501" t="s">
        <v>1873</v>
      </c>
      <c r="E804" s="602" t="s">
        <v>1746</v>
      </c>
      <c r="F804" s="602"/>
      <c r="G804" s="503" t="s">
        <v>45</v>
      </c>
      <c r="H804" s="504">
        <v>7.4999999999999997E-3</v>
      </c>
      <c r="I804" s="504"/>
      <c r="J804" s="505">
        <v>149.94999999999999</v>
      </c>
      <c r="K804" s="505">
        <v>1.1200000000000001</v>
      </c>
      <c r="L804" s="70"/>
    </row>
    <row r="805" spans="1:12" ht="25.5" x14ac:dyDescent="0.25">
      <c r="A805" s="501" t="s">
        <v>1732</v>
      </c>
      <c r="B805" s="502" t="s">
        <v>2147</v>
      </c>
      <c r="C805" s="501" t="s">
        <v>993</v>
      </c>
      <c r="D805" s="501" t="s">
        <v>2148</v>
      </c>
      <c r="E805" s="602" t="s">
        <v>1746</v>
      </c>
      <c r="F805" s="602"/>
      <c r="G805" s="503" t="s">
        <v>45</v>
      </c>
      <c r="H805" s="504">
        <v>7.4999999999999997E-3</v>
      </c>
      <c r="I805" s="504"/>
      <c r="J805" s="505">
        <v>159.69999999999999</v>
      </c>
      <c r="K805" s="505">
        <v>1.19</v>
      </c>
      <c r="L805" s="70"/>
    </row>
    <row r="806" spans="1:12" ht="25.5" x14ac:dyDescent="0.25">
      <c r="A806" s="501" t="s">
        <v>1732</v>
      </c>
      <c r="B806" s="502" t="s">
        <v>1974</v>
      </c>
      <c r="C806" s="501" t="s">
        <v>993</v>
      </c>
      <c r="D806" s="501" t="s">
        <v>1975</v>
      </c>
      <c r="E806" s="602" t="s">
        <v>1746</v>
      </c>
      <c r="F806" s="602"/>
      <c r="G806" s="503" t="s">
        <v>45</v>
      </c>
      <c r="H806" s="504">
        <v>1.61E-2</v>
      </c>
      <c r="I806" s="504"/>
      <c r="J806" s="505">
        <v>172.18</v>
      </c>
      <c r="K806" s="505">
        <v>2.77</v>
      </c>
      <c r="L806" s="70"/>
    </row>
    <row r="807" spans="1:12" ht="25.5" x14ac:dyDescent="0.25">
      <c r="A807" s="501" t="s">
        <v>1732</v>
      </c>
      <c r="B807" s="502" t="s">
        <v>2228</v>
      </c>
      <c r="C807" s="501" t="s">
        <v>993</v>
      </c>
      <c r="D807" s="501" t="s">
        <v>2229</v>
      </c>
      <c r="E807" s="602" t="s">
        <v>1746</v>
      </c>
      <c r="F807" s="602"/>
      <c r="G807" s="503" t="s">
        <v>1222</v>
      </c>
      <c r="H807" s="504">
        <v>4.5937999999999999</v>
      </c>
      <c r="I807" s="504"/>
      <c r="J807" s="505">
        <v>7.6</v>
      </c>
      <c r="K807" s="505">
        <v>34.909999999999997</v>
      </c>
      <c r="L807" s="70"/>
    </row>
    <row r="808" spans="1:12" ht="15.75" customHeight="1" x14ac:dyDescent="0.25">
      <c r="A808" s="445"/>
      <c r="B808" s="445"/>
      <c r="C808" s="445"/>
      <c r="D808" s="445"/>
      <c r="E808" s="445" t="s">
        <v>1735</v>
      </c>
      <c r="F808" s="506">
        <v>15.34</v>
      </c>
      <c r="G808" s="445" t="s">
        <v>1736</v>
      </c>
      <c r="H808" s="506">
        <v>0</v>
      </c>
      <c r="I808" s="445" t="s">
        <v>1737</v>
      </c>
      <c r="J808" s="506">
        <v>15.34</v>
      </c>
      <c r="K808" s="70"/>
      <c r="L808" s="70"/>
    </row>
    <row r="809" spans="1:12" ht="17.25" thickBot="1" x14ac:dyDescent="0.3">
      <c r="A809" s="445"/>
      <c r="B809" s="445"/>
      <c r="C809" s="445"/>
      <c r="D809" s="445"/>
      <c r="E809" s="445" t="s">
        <v>1738</v>
      </c>
      <c r="F809" s="506">
        <v>95.39376</v>
      </c>
      <c r="G809" s="445"/>
      <c r="H809" s="606" t="s">
        <v>1739</v>
      </c>
      <c r="I809" s="606"/>
      <c r="J809" s="506">
        <v>482.54</v>
      </c>
      <c r="K809" s="70"/>
      <c r="L809" s="70"/>
    </row>
    <row r="810" spans="1:12" ht="17.25" thickTop="1" x14ac:dyDescent="0.25">
      <c r="A810" s="507"/>
      <c r="B810" s="507"/>
      <c r="C810" s="507"/>
      <c r="D810" s="507"/>
      <c r="E810" s="507"/>
      <c r="F810" s="507"/>
      <c r="G810" s="507"/>
      <c r="H810" s="507"/>
      <c r="I810" s="507"/>
      <c r="J810" s="507"/>
      <c r="K810" s="507"/>
      <c r="L810" s="70"/>
    </row>
    <row r="811" spans="1:12" ht="16.5" x14ac:dyDescent="0.25">
      <c r="A811" s="419" t="s">
        <v>1302</v>
      </c>
      <c r="B811" s="421" t="s">
        <v>76</v>
      </c>
      <c r="C811" s="419" t="s">
        <v>991</v>
      </c>
      <c r="D811" s="419" t="s">
        <v>191</v>
      </c>
      <c r="E811" s="603" t="s">
        <v>77</v>
      </c>
      <c r="F811" s="603"/>
      <c r="G811" s="420" t="s">
        <v>103</v>
      </c>
      <c r="H811" s="421" t="s">
        <v>147</v>
      </c>
      <c r="I811" s="421" t="s">
        <v>1731</v>
      </c>
      <c r="J811" s="421" t="s">
        <v>1117</v>
      </c>
      <c r="K811" s="421" t="s">
        <v>104</v>
      </c>
      <c r="L811" s="70"/>
    </row>
    <row r="812" spans="1:12" ht="25.5" x14ac:dyDescent="0.25">
      <c r="A812" s="441" t="s">
        <v>79</v>
      </c>
      <c r="B812" s="480" t="s">
        <v>1303</v>
      </c>
      <c r="C812" s="441" t="s">
        <v>993</v>
      </c>
      <c r="D812" s="441" t="s">
        <v>1304</v>
      </c>
      <c r="E812" s="604">
        <v>1802</v>
      </c>
      <c r="F812" s="604"/>
      <c r="G812" s="443" t="s">
        <v>19</v>
      </c>
      <c r="H812" s="500">
        <v>1</v>
      </c>
      <c r="I812" s="442"/>
      <c r="J812" s="442">
        <v>392.13</v>
      </c>
      <c r="K812" s="442">
        <v>392.13</v>
      </c>
      <c r="L812" s="70"/>
    </row>
    <row r="813" spans="1:12" ht="25.5" x14ac:dyDescent="0.25">
      <c r="A813" s="501" t="s">
        <v>1732</v>
      </c>
      <c r="B813" s="502" t="s">
        <v>1003</v>
      </c>
      <c r="C813" s="501" t="s">
        <v>993</v>
      </c>
      <c r="D813" s="501" t="s">
        <v>1004</v>
      </c>
      <c r="E813" s="602" t="s">
        <v>972</v>
      </c>
      <c r="F813" s="602"/>
      <c r="G813" s="503" t="s">
        <v>81</v>
      </c>
      <c r="H813" s="504">
        <v>1.1979</v>
      </c>
      <c r="I813" s="504"/>
      <c r="J813" s="505">
        <v>23.41</v>
      </c>
      <c r="K813" s="505">
        <v>28.04</v>
      </c>
      <c r="L813" s="70"/>
    </row>
    <row r="814" spans="1:12" ht="25.5" x14ac:dyDescent="0.25">
      <c r="A814" s="501" t="s">
        <v>1732</v>
      </c>
      <c r="B814" s="502" t="s">
        <v>992</v>
      </c>
      <c r="C814" s="501" t="s">
        <v>993</v>
      </c>
      <c r="D814" s="501" t="s">
        <v>994</v>
      </c>
      <c r="E814" s="602" t="s">
        <v>972</v>
      </c>
      <c r="F814" s="602"/>
      <c r="G814" s="503" t="s">
        <v>81</v>
      </c>
      <c r="H814" s="504">
        <v>1.464</v>
      </c>
      <c r="I814" s="504"/>
      <c r="J814" s="505">
        <v>14.62</v>
      </c>
      <c r="K814" s="505">
        <v>21.4</v>
      </c>
      <c r="L814" s="70"/>
    </row>
    <row r="815" spans="1:12" ht="25.5" x14ac:dyDescent="0.25">
      <c r="A815" s="501" t="s">
        <v>1732</v>
      </c>
      <c r="B815" s="502" t="s">
        <v>2220</v>
      </c>
      <c r="C815" s="501" t="s">
        <v>993</v>
      </c>
      <c r="D815" s="501" t="s">
        <v>2221</v>
      </c>
      <c r="E815" s="602" t="s">
        <v>1746</v>
      </c>
      <c r="F815" s="602"/>
      <c r="G815" s="503" t="s">
        <v>1222</v>
      </c>
      <c r="H815" s="504">
        <v>0.23810000000000001</v>
      </c>
      <c r="I815" s="504"/>
      <c r="J815" s="505">
        <v>33.270000000000003</v>
      </c>
      <c r="K815" s="505">
        <v>7.92</v>
      </c>
      <c r="L815" s="70"/>
    </row>
    <row r="816" spans="1:12" ht="25.5" x14ac:dyDescent="0.25">
      <c r="A816" s="501" t="s">
        <v>1732</v>
      </c>
      <c r="B816" s="502" t="s">
        <v>2012</v>
      </c>
      <c r="C816" s="501" t="s">
        <v>993</v>
      </c>
      <c r="D816" s="501" t="s">
        <v>2013</v>
      </c>
      <c r="E816" s="602" t="s">
        <v>1746</v>
      </c>
      <c r="F816" s="602"/>
      <c r="G816" s="503" t="s">
        <v>49</v>
      </c>
      <c r="H816" s="504">
        <v>0.29759999999999998</v>
      </c>
      <c r="I816" s="504"/>
      <c r="J816" s="505">
        <v>3.04</v>
      </c>
      <c r="K816" s="505">
        <v>0.9</v>
      </c>
      <c r="L816" s="70"/>
    </row>
    <row r="817" spans="1:12" ht="25.5" x14ac:dyDescent="0.25">
      <c r="A817" s="501" t="s">
        <v>1732</v>
      </c>
      <c r="B817" s="502" t="s">
        <v>2230</v>
      </c>
      <c r="C817" s="501" t="s">
        <v>993</v>
      </c>
      <c r="D817" s="501" t="s">
        <v>2231</v>
      </c>
      <c r="E817" s="602" t="s">
        <v>1746</v>
      </c>
      <c r="F817" s="602"/>
      <c r="G817" s="503" t="s">
        <v>1222</v>
      </c>
      <c r="H817" s="504">
        <v>2.3071000000000002</v>
      </c>
      <c r="I817" s="504"/>
      <c r="J817" s="505">
        <v>9.24</v>
      </c>
      <c r="K817" s="505">
        <v>21.31</v>
      </c>
      <c r="L817" s="70"/>
    </row>
    <row r="818" spans="1:12" ht="25.5" x14ac:dyDescent="0.25">
      <c r="A818" s="501" t="s">
        <v>1732</v>
      </c>
      <c r="B818" s="502" t="s">
        <v>2232</v>
      </c>
      <c r="C818" s="501" t="s">
        <v>993</v>
      </c>
      <c r="D818" s="501" t="s">
        <v>2233</v>
      </c>
      <c r="E818" s="602" t="s">
        <v>1746</v>
      </c>
      <c r="F818" s="602"/>
      <c r="G818" s="503" t="s">
        <v>49</v>
      </c>
      <c r="H818" s="504">
        <v>0.3175</v>
      </c>
      <c r="I818" s="504"/>
      <c r="J818" s="505">
        <v>7.25</v>
      </c>
      <c r="K818" s="505">
        <v>2.2999999999999998</v>
      </c>
      <c r="L818" s="70"/>
    </row>
    <row r="819" spans="1:12" ht="25.5" x14ac:dyDescent="0.25">
      <c r="A819" s="501" t="s">
        <v>1732</v>
      </c>
      <c r="B819" s="502" t="s">
        <v>2234</v>
      </c>
      <c r="C819" s="501" t="s">
        <v>993</v>
      </c>
      <c r="D819" s="501" t="s">
        <v>2235</v>
      </c>
      <c r="E819" s="602" t="s">
        <v>1746</v>
      </c>
      <c r="F819" s="602"/>
      <c r="G819" s="503" t="s">
        <v>19</v>
      </c>
      <c r="H819" s="504">
        <v>1</v>
      </c>
      <c r="I819" s="504"/>
      <c r="J819" s="505">
        <v>39.86</v>
      </c>
      <c r="K819" s="505">
        <v>39.86</v>
      </c>
      <c r="L819" s="70"/>
    </row>
    <row r="820" spans="1:12" ht="25.5" x14ac:dyDescent="0.25">
      <c r="A820" s="501" t="s">
        <v>1732</v>
      </c>
      <c r="B820" s="502" t="s">
        <v>2236</v>
      </c>
      <c r="C820" s="501" t="s">
        <v>993</v>
      </c>
      <c r="D820" s="501" t="s">
        <v>2237</v>
      </c>
      <c r="E820" s="602" t="s">
        <v>1746</v>
      </c>
      <c r="F820" s="602"/>
      <c r="G820" s="503" t="s">
        <v>41</v>
      </c>
      <c r="H820" s="504">
        <v>2.9365000000000001</v>
      </c>
      <c r="I820" s="504"/>
      <c r="J820" s="505">
        <v>54.48</v>
      </c>
      <c r="K820" s="505">
        <v>159.97999999999999</v>
      </c>
      <c r="L820" s="70"/>
    </row>
    <row r="821" spans="1:12" ht="25.5" x14ac:dyDescent="0.25">
      <c r="A821" s="501" t="s">
        <v>1732</v>
      </c>
      <c r="B821" s="502" t="s">
        <v>2238</v>
      </c>
      <c r="C821" s="501" t="s">
        <v>993</v>
      </c>
      <c r="D821" s="501" t="s">
        <v>2219</v>
      </c>
      <c r="E821" s="602" t="s">
        <v>1746</v>
      </c>
      <c r="F821" s="602"/>
      <c r="G821" s="503" t="s">
        <v>49</v>
      </c>
      <c r="H821" s="504">
        <v>1</v>
      </c>
      <c r="I821" s="504"/>
      <c r="J821" s="505">
        <v>95.89</v>
      </c>
      <c r="K821" s="505">
        <v>95.89</v>
      </c>
      <c r="L821" s="70"/>
    </row>
    <row r="822" spans="1:12" ht="25.5" x14ac:dyDescent="0.25">
      <c r="A822" s="501" t="s">
        <v>1732</v>
      </c>
      <c r="B822" s="502" t="s">
        <v>2226</v>
      </c>
      <c r="C822" s="501" t="s">
        <v>993</v>
      </c>
      <c r="D822" s="501" t="s">
        <v>2227</v>
      </c>
      <c r="E822" s="602" t="s">
        <v>1746</v>
      </c>
      <c r="F822" s="602"/>
      <c r="G822" s="503" t="s">
        <v>49</v>
      </c>
      <c r="H822" s="504">
        <v>6.1100000000000002E-2</v>
      </c>
      <c r="I822" s="504"/>
      <c r="J822" s="505">
        <v>10.53</v>
      </c>
      <c r="K822" s="505">
        <v>0.64</v>
      </c>
      <c r="L822" s="70"/>
    </row>
    <row r="823" spans="1:12" ht="25.5" x14ac:dyDescent="0.25">
      <c r="A823" s="501" t="s">
        <v>1732</v>
      </c>
      <c r="B823" s="502" t="s">
        <v>2224</v>
      </c>
      <c r="C823" s="501" t="s">
        <v>993</v>
      </c>
      <c r="D823" s="501" t="s">
        <v>2225</v>
      </c>
      <c r="E823" s="602" t="s">
        <v>1746</v>
      </c>
      <c r="F823" s="602"/>
      <c r="G823" s="503" t="s">
        <v>49</v>
      </c>
      <c r="H823" s="504">
        <v>5.9499999999999997E-2</v>
      </c>
      <c r="I823" s="504"/>
      <c r="J823" s="505">
        <v>14.03</v>
      </c>
      <c r="K823" s="505">
        <v>0.83</v>
      </c>
      <c r="L823" s="70"/>
    </row>
    <row r="824" spans="1:12" ht="25.5" x14ac:dyDescent="0.25">
      <c r="A824" s="501" t="s">
        <v>1732</v>
      </c>
      <c r="B824" s="502" t="s">
        <v>2222</v>
      </c>
      <c r="C824" s="501" t="s">
        <v>993</v>
      </c>
      <c r="D824" s="501" t="s">
        <v>2223</v>
      </c>
      <c r="E824" s="602" t="s">
        <v>1746</v>
      </c>
      <c r="F824" s="602"/>
      <c r="G824" s="503" t="s">
        <v>1222</v>
      </c>
      <c r="H824" s="504">
        <v>4.2099999999999999E-2</v>
      </c>
      <c r="I824" s="504"/>
      <c r="J824" s="505">
        <v>29.55</v>
      </c>
      <c r="K824" s="505">
        <v>1.24</v>
      </c>
      <c r="L824" s="70"/>
    </row>
    <row r="825" spans="1:12" ht="25.5" x14ac:dyDescent="0.25">
      <c r="A825" s="501" t="s">
        <v>1732</v>
      </c>
      <c r="B825" s="502" t="s">
        <v>1854</v>
      </c>
      <c r="C825" s="501" t="s">
        <v>993</v>
      </c>
      <c r="D825" s="501" t="s">
        <v>1855</v>
      </c>
      <c r="E825" s="602" t="s">
        <v>1746</v>
      </c>
      <c r="F825" s="602"/>
      <c r="G825" s="503" t="s">
        <v>1222</v>
      </c>
      <c r="H825" s="504">
        <v>4.4249999999999998</v>
      </c>
      <c r="I825" s="504"/>
      <c r="J825" s="505">
        <v>0.65</v>
      </c>
      <c r="K825" s="505">
        <v>2.87</v>
      </c>
      <c r="L825" s="70"/>
    </row>
    <row r="826" spans="1:12" ht="25.5" x14ac:dyDescent="0.25">
      <c r="A826" s="501" t="s">
        <v>1732</v>
      </c>
      <c r="B826" s="502" t="s">
        <v>2147</v>
      </c>
      <c r="C826" s="501" t="s">
        <v>993</v>
      </c>
      <c r="D826" s="501" t="s">
        <v>2148</v>
      </c>
      <c r="E826" s="602" t="s">
        <v>1746</v>
      </c>
      <c r="F826" s="602"/>
      <c r="G826" s="503" t="s">
        <v>45</v>
      </c>
      <c r="H826" s="504">
        <v>6.1999999999999998E-3</v>
      </c>
      <c r="I826" s="504"/>
      <c r="J826" s="505">
        <v>159.69999999999999</v>
      </c>
      <c r="K826" s="505">
        <v>0.99</v>
      </c>
      <c r="L826" s="70"/>
    </row>
    <row r="827" spans="1:12" ht="25.5" x14ac:dyDescent="0.25">
      <c r="A827" s="501" t="s">
        <v>1732</v>
      </c>
      <c r="B827" s="502" t="s">
        <v>1872</v>
      </c>
      <c r="C827" s="501" t="s">
        <v>993</v>
      </c>
      <c r="D827" s="501" t="s">
        <v>1873</v>
      </c>
      <c r="E827" s="602" t="s">
        <v>1746</v>
      </c>
      <c r="F827" s="602"/>
      <c r="G827" s="503" t="s">
        <v>45</v>
      </c>
      <c r="H827" s="504">
        <v>6.1999999999999998E-3</v>
      </c>
      <c r="I827" s="504"/>
      <c r="J827" s="505">
        <v>149.94999999999999</v>
      </c>
      <c r="K827" s="505">
        <v>0.92</v>
      </c>
      <c r="L827" s="70"/>
    </row>
    <row r="828" spans="1:12" ht="25.5" x14ac:dyDescent="0.25">
      <c r="A828" s="501" t="s">
        <v>1732</v>
      </c>
      <c r="B828" s="502" t="s">
        <v>1976</v>
      </c>
      <c r="C828" s="501" t="s">
        <v>993</v>
      </c>
      <c r="D828" s="501" t="s">
        <v>1977</v>
      </c>
      <c r="E828" s="602" t="s">
        <v>1746</v>
      </c>
      <c r="F828" s="602"/>
      <c r="G828" s="503" t="s">
        <v>49</v>
      </c>
      <c r="H828" s="504">
        <v>0.15870000000000001</v>
      </c>
      <c r="I828" s="504"/>
      <c r="J828" s="505">
        <v>25.23</v>
      </c>
      <c r="K828" s="505">
        <v>4</v>
      </c>
      <c r="L828" s="70"/>
    </row>
    <row r="829" spans="1:12" ht="25.5" x14ac:dyDescent="0.25">
      <c r="A829" s="501" t="s">
        <v>1732</v>
      </c>
      <c r="B829" s="502" t="s">
        <v>2239</v>
      </c>
      <c r="C829" s="501" t="s">
        <v>993</v>
      </c>
      <c r="D829" s="501" t="s">
        <v>2240</v>
      </c>
      <c r="E829" s="602" t="s">
        <v>1746</v>
      </c>
      <c r="F829" s="602"/>
      <c r="G829" s="503" t="s">
        <v>1222</v>
      </c>
      <c r="H829" s="504">
        <v>8.8900000000000007E-2</v>
      </c>
      <c r="I829" s="504"/>
      <c r="J829" s="505">
        <v>8.65</v>
      </c>
      <c r="K829" s="505">
        <v>0.76</v>
      </c>
      <c r="L829" s="70"/>
    </row>
    <row r="830" spans="1:12" ht="25.5" x14ac:dyDescent="0.25">
      <c r="A830" s="501" t="s">
        <v>1732</v>
      </c>
      <c r="B830" s="502" t="s">
        <v>1974</v>
      </c>
      <c r="C830" s="501" t="s">
        <v>993</v>
      </c>
      <c r="D830" s="501" t="s">
        <v>1975</v>
      </c>
      <c r="E830" s="602" t="s">
        <v>1746</v>
      </c>
      <c r="F830" s="602"/>
      <c r="G830" s="503" t="s">
        <v>45</v>
      </c>
      <c r="H830" s="504">
        <v>1.3299999999999999E-2</v>
      </c>
      <c r="I830" s="504"/>
      <c r="J830" s="505">
        <v>172.18</v>
      </c>
      <c r="K830" s="505">
        <v>2.2799999999999998</v>
      </c>
      <c r="L830" s="70"/>
    </row>
    <row r="831" spans="1:12" ht="15.75" customHeight="1" x14ac:dyDescent="0.25">
      <c r="A831" s="445"/>
      <c r="B831" s="445"/>
      <c r="C831" s="445"/>
      <c r="D831" s="445"/>
      <c r="E831" s="445" t="s">
        <v>1735</v>
      </c>
      <c r="F831" s="506">
        <v>49.44</v>
      </c>
      <c r="G831" s="445" t="s">
        <v>1736</v>
      </c>
      <c r="H831" s="506">
        <v>0</v>
      </c>
      <c r="I831" s="445" t="s">
        <v>1737</v>
      </c>
      <c r="J831" s="506">
        <v>49.44</v>
      </c>
      <c r="K831" s="70"/>
      <c r="L831" s="70"/>
    </row>
    <row r="832" spans="1:12" ht="17.25" thickBot="1" x14ac:dyDescent="0.3">
      <c r="A832" s="445"/>
      <c r="B832" s="445"/>
      <c r="C832" s="445"/>
      <c r="D832" s="445"/>
      <c r="E832" s="445" t="s">
        <v>1738</v>
      </c>
      <c r="F832" s="506">
        <v>96.620831999999993</v>
      </c>
      <c r="G832" s="445"/>
      <c r="H832" s="606" t="s">
        <v>1739</v>
      </c>
      <c r="I832" s="606"/>
      <c r="J832" s="506">
        <v>488.75</v>
      </c>
      <c r="K832" s="70"/>
      <c r="L832" s="70"/>
    </row>
    <row r="833" spans="1:12" ht="17.25" thickTop="1" x14ac:dyDescent="0.25">
      <c r="A833" s="507"/>
      <c r="B833" s="507"/>
      <c r="C833" s="507"/>
      <c r="D833" s="507"/>
      <c r="E833" s="507"/>
      <c r="F833" s="507"/>
      <c r="G833" s="507"/>
      <c r="H833" s="507"/>
      <c r="I833" s="507"/>
      <c r="J833" s="507"/>
      <c r="K833" s="507"/>
      <c r="L833" s="70"/>
    </row>
    <row r="834" spans="1:12" ht="16.5" x14ac:dyDescent="0.25">
      <c r="A834" s="419" t="s">
        <v>1305</v>
      </c>
      <c r="B834" s="421" t="s">
        <v>76</v>
      </c>
      <c r="C834" s="419" t="s">
        <v>991</v>
      </c>
      <c r="D834" s="419" t="s">
        <v>191</v>
      </c>
      <c r="E834" s="603" t="s">
        <v>77</v>
      </c>
      <c r="F834" s="603"/>
      <c r="G834" s="420" t="s">
        <v>103</v>
      </c>
      <c r="H834" s="421" t="s">
        <v>147</v>
      </c>
      <c r="I834" s="421" t="s">
        <v>1731</v>
      </c>
      <c r="J834" s="421" t="s">
        <v>1117</v>
      </c>
      <c r="K834" s="421" t="s">
        <v>104</v>
      </c>
      <c r="L834" s="70"/>
    </row>
    <row r="835" spans="1:12" ht="25.5" x14ac:dyDescent="0.25">
      <c r="A835" s="441" t="s">
        <v>79</v>
      </c>
      <c r="B835" s="480" t="s">
        <v>1306</v>
      </c>
      <c r="C835" s="441" t="s">
        <v>993</v>
      </c>
      <c r="D835" s="441" t="s">
        <v>1307</v>
      </c>
      <c r="E835" s="604">
        <v>1802</v>
      </c>
      <c r="F835" s="604"/>
      <c r="G835" s="443" t="s">
        <v>19</v>
      </c>
      <c r="H835" s="500">
        <v>1</v>
      </c>
      <c r="I835" s="442"/>
      <c r="J835" s="442">
        <v>421.94</v>
      </c>
      <c r="K835" s="442">
        <v>421.94</v>
      </c>
      <c r="L835" s="70"/>
    </row>
    <row r="836" spans="1:12" ht="25.5" x14ac:dyDescent="0.25">
      <c r="A836" s="501" t="s">
        <v>1732</v>
      </c>
      <c r="B836" s="502" t="s">
        <v>992</v>
      </c>
      <c r="C836" s="501" t="s">
        <v>993</v>
      </c>
      <c r="D836" s="501" t="s">
        <v>994</v>
      </c>
      <c r="E836" s="602" t="s">
        <v>972</v>
      </c>
      <c r="F836" s="602"/>
      <c r="G836" s="503" t="s">
        <v>81</v>
      </c>
      <c r="H836" s="504">
        <v>1.2831999999999999</v>
      </c>
      <c r="I836" s="504"/>
      <c r="J836" s="505">
        <v>14.62</v>
      </c>
      <c r="K836" s="505">
        <v>18.760000000000002</v>
      </c>
      <c r="L836" s="70"/>
    </row>
    <row r="837" spans="1:12" ht="25.5" x14ac:dyDescent="0.25">
      <c r="A837" s="501" t="s">
        <v>1732</v>
      </c>
      <c r="B837" s="502" t="s">
        <v>1003</v>
      </c>
      <c r="C837" s="501" t="s">
        <v>993</v>
      </c>
      <c r="D837" s="501" t="s">
        <v>1004</v>
      </c>
      <c r="E837" s="602" t="s">
        <v>972</v>
      </c>
      <c r="F837" s="602"/>
      <c r="G837" s="503" t="s">
        <v>81</v>
      </c>
      <c r="H837" s="504">
        <v>1.1979</v>
      </c>
      <c r="I837" s="504"/>
      <c r="J837" s="505">
        <v>23.41</v>
      </c>
      <c r="K837" s="505">
        <v>28.04</v>
      </c>
      <c r="L837" s="70"/>
    </row>
    <row r="838" spans="1:12" ht="25.5" x14ac:dyDescent="0.25">
      <c r="A838" s="501" t="s">
        <v>1732</v>
      </c>
      <c r="B838" s="502" t="s">
        <v>2236</v>
      </c>
      <c r="C838" s="501" t="s">
        <v>993</v>
      </c>
      <c r="D838" s="501" t="s">
        <v>2237</v>
      </c>
      <c r="E838" s="602" t="s">
        <v>1746</v>
      </c>
      <c r="F838" s="602"/>
      <c r="G838" s="503" t="s">
        <v>41</v>
      </c>
      <c r="H838" s="504">
        <v>3.3332999999999999</v>
      </c>
      <c r="I838" s="504"/>
      <c r="J838" s="505">
        <v>54.48</v>
      </c>
      <c r="K838" s="505">
        <v>181.59</v>
      </c>
      <c r="L838" s="70"/>
    </row>
    <row r="839" spans="1:12" ht="25.5" x14ac:dyDescent="0.25">
      <c r="A839" s="501" t="s">
        <v>1732</v>
      </c>
      <c r="B839" s="502" t="s">
        <v>2234</v>
      </c>
      <c r="C839" s="501" t="s">
        <v>993</v>
      </c>
      <c r="D839" s="501" t="s">
        <v>2235</v>
      </c>
      <c r="E839" s="602" t="s">
        <v>1746</v>
      </c>
      <c r="F839" s="602"/>
      <c r="G839" s="503" t="s">
        <v>19</v>
      </c>
      <c r="H839" s="504">
        <v>1</v>
      </c>
      <c r="I839" s="504"/>
      <c r="J839" s="505">
        <v>39.86</v>
      </c>
      <c r="K839" s="505">
        <v>39.86</v>
      </c>
      <c r="L839" s="70"/>
    </row>
    <row r="840" spans="1:12" ht="25.5" x14ac:dyDescent="0.25">
      <c r="A840" s="501" t="s">
        <v>1732</v>
      </c>
      <c r="B840" s="502" t="s">
        <v>2232</v>
      </c>
      <c r="C840" s="501" t="s">
        <v>993</v>
      </c>
      <c r="D840" s="501" t="s">
        <v>2233</v>
      </c>
      <c r="E840" s="602" t="s">
        <v>1746</v>
      </c>
      <c r="F840" s="602"/>
      <c r="G840" s="503" t="s">
        <v>49</v>
      </c>
      <c r="H840" s="504">
        <v>0.37040000000000001</v>
      </c>
      <c r="I840" s="504"/>
      <c r="J840" s="505">
        <v>7.25</v>
      </c>
      <c r="K840" s="505">
        <v>2.68</v>
      </c>
      <c r="L840" s="70"/>
    </row>
    <row r="841" spans="1:12" ht="25.5" x14ac:dyDescent="0.25">
      <c r="A841" s="501" t="s">
        <v>1732</v>
      </c>
      <c r="B841" s="502" t="s">
        <v>2230</v>
      </c>
      <c r="C841" s="501" t="s">
        <v>993</v>
      </c>
      <c r="D841" s="501" t="s">
        <v>2231</v>
      </c>
      <c r="E841" s="602" t="s">
        <v>1746</v>
      </c>
      <c r="F841" s="602"/>
      <c r="G841" s="503" t="s">
        <v>1222</v>
      </c>
      <c r="H841" s="504">
        <v>2.4851999999999999</v>
      </c>
      <c r="I841" s="504"/>
      <c r="J841" s="505">
        <v>9.24</v>
      </c>
      <c r="K841" s="505">
        <v>22.96</v>
      </c>
      <c r="L841" s="70"/>
    </row>
    <row r="842" spans="1:12" ht="25.5" x14ac:dyDescent="0.25">
      <c r="A842" s="501" t="s">
        <v>1732</v>
      </c>
      <c r="B842" s="502" t="s">
        <v>2012</v>
      </c>
      <c r="C842" s="501" t="s">
        <v>993</v>
      </c>
      <c r="D842" s="501" t="s">
        <v>2013</v>
      </c>
      <c r="E842" s="602" t="s">
        <v>1746</v>
      </c>
      <c r="F842" s="602"/>
      <c r="G842" s="503" t="s">
        <v>49</v>
      </c>
      <c r="H842" s="504">
        <v>0.29759999999999998</v>
      </c>
      <c r="I842" s="504"/>
      <c r="J842" s="505">
        <v>3.04</v>
      </c>
      <c r="K842" s="505">
        <v>0.9</v>
      </c>
      <c r="L842" s="70"/>
    </row>
    <row r="843" spans="1:12" ht="25.5" x14ac:dyDescent="0.25">
      <c r="A843" s="501" t="s">
        <v>1732</v>
      </c>
      <c r="B843" s="502" t="s">
        <v>2220</v>
      </c>
      <c r="C843" s="501" t="s">
        <v>993</v>
      </c>
      <c r="D843" s="501" t="s">
        <v>2221</v>
      </c>
      <c r="E843" s="602" t="s">
        <v>1746</v>
      </c>
      <c r="F843" s="602"/>
      <c r="G843" s="503" t="s">
        <v>1222</v>
      </c>
      <c r="H843" s="504">
        <v>0.23810000000000001</v>
      </c>
      <c r="I843" s="504"/>
      <c r="J843" s="505">
        <v>33.270000000000003</v>
      </c>
      <c r="K843" s="505">
        <v>7.92</v>
      </c>
      <c r="L843" s="70"/>
    </row>
    <row r="844" spans="1:12" ht="25.5" x14ac:dyDescent="0.25">
      <c r="A844" s="501" t="s">
        <v>1732</v>
      </c>
      <c r="B844" s="502" t="s">
        <v>2241</v>
      </c>
      <c r="C844" s="501" t="s">
        <v>993</v>
      </c>
      <c r="D844" s="501" t="s">
        <v>2219</v>
      </c>
      <c r="E844" s="602" t="s">
        <v>1746</v>
      </c>
      <c r="F844" s="602"/>
      <c r="G844" s="503" t="s">
        <v>49</v>
      </c>
      <c r="H844" s="504">
        <v>1</v>
      </c>
      <c r="I844" s="504"/>
      <c r="J844" s="505">
        <v>107.18</v>
      </c>
      <c r="K844" s="505">
        <v>107.18</v>
      </c>
      <c r="L844" s="70"/>
    </row>
    <row r="845" spans="1:12" ht="25.5" x14ac:dyDescent="0.25">
      <c r="A845" s="501" t="s">
        <v>1732</v>
      </c>
      <c r="B845" s="502" t="s">
        <v>1976</v>
      </c>
      <c r="C845" s="501" t="s">
        <v>993</v>
      </c>
      <c r="D845" s="501" t="s">
        <v>1977</v>
      </c>
      <c r="E845" s="602" t="s">
        <v>1746</v>
      </c>
      <c r="F845" s="602"/>
      <c r="G845" s="503" t="s">
        <v>49</v>
      </c>
      <c r="H845" s="504">
        <v>0.37040000000000001</v>
      </c>
      <c r="I845" s="504"/>
      <c r="J845" s="505">
        <v>25.23</v>
      </c>
      <c r="K845" s="505">
        <v>9.34</v>
      </c>
      <c r="L845" s="70"/>
    </row>
    <row r="846" spans="1:12" ht="25.5" x14ac:dyDescent="0.25">
      <c r="A846" s="501" t="s">
        <v>1732</v>
      </c>
      <c r="B846" s="502" t="s">
        <v>2222</v>
      </c>
      <c r="C846" s="501" t="s">
        <v>993</v>
      </c>
      <c r="D846" s="501" t="s">
        <v>2223</v>
      </c>
      <c r="E846" s="602" t="s">
        <v>1746</v>
      </c>
      <c r="F846" s="602"/>
      <c r="G846" s="503" t="s">
        <v>1222</v>
      </c>
      <c r="H846" s="504">
        <v>4.2099999999999999E-2</v>
      </c>
      <c r="I846" s="504"/>
      <c r="J846" s="505">
        <v>29.55</v>
      </c>
      <c r="K846" s="505">
        <v>1.24</v>
      </c>
      <c r="L846" s="70"/>
    </row>
    <row r="847" spans="1:12" ht="25.5" x14ac:dyDescent="0.25">
      <c r="A847" s="501" t="s">
        <v>1732</v>
      </c>
      <c r="B847" s="502" t="s">
        <v>2224</v>
      </c>
      <c r="C847" s="501" t="s">
        <v>993</v>
      </c>
      <c r="D847" s="501" t="s">
        <v>2225</v>
      </c>
      <c r="E847" s="602" t="s">
        <v>1746</v>
      </c>
      <c r="F847" s="602"/>
      <c r="G847" s="503" t="s">
        <v>49</v>
      </c>
      <c r="H847" s="504">
        <v>5.9499999999999997E-2</v>
      </c>
      <c r="I847" s="504"/>
      <c r="J847" s="505">
        <v>14.03</v>
      </c>
      <c r="K847" s="505">
        <v>0.83</v>
      </c>
      <c r="L847" s="70"/>
    </row>
    <row r="848" spans="1:12" ht="25.5" x14ac:dyDescent="0.25">
      <c r="A848" s="501" t="s">
        <v>1732</v>
      </c>
      <c r="B848" s="502" t="s">
        <v>2226</v>
      </c>
      <c r="C848" s="501" t="s">
        <v>993</v>
      </c>
      <c r="D848" s="501" t="s">
        <v>2227</v>
      </c>
      <c r="E848" s="602" t="s">
        <v>1746</v>
      </c>
      <c r="F848" s="602"/>
      <c r="G848" s="503" t="s">
        <v>49</v>
      </c>
      <c r="H848" s="504">
        <v>6.1100000000000002E-2</v>
      </c>
      <c r="I848" s="504"/>
      <c r="J848" s="505">
        <v>10.53</v>
      </c>
      <c r="K848" s="505">
        <v>0.64</v>
      </c>
      <c r="L848" s="70"/>
    </row>
    <row r="849" spans="1:12" ht="15.75" customHeight="1" x14ac:dyDescent="0.25">
      <c r="A849" s="445"/>
      <c r="B849" s="445"/>
      <c r="C849" s="445"/>
      <c r="D849" s="445"/>
      <c r="E849" s="445" t="s">
        <v>1735</v>
      </c>
      <c r="F849" s="506">
        <v>46.8</v>
      </c>
      <c r="G849" s="445" t="s">
        <v>1736</v>
      </c>
      <c r="H849" s="506">
        <v>0</v>
      </c>
      <c r="I849" s="445" t="s">
        <v>1737</v>
      </c>
      <c r="J849" s="506">
        <v>46.8</v>
      </c>
      <c r="K849" s="70"/>
      <c r="L849" s="70"/>
    </row>
    <row r="850" spans="1:12" ht="17.25" thickBot="1" x14ac:dyDescent="0.3">
      <c r="A850" s="445"/>
      <c r="B850" s="445"/>
      <c r="C850" s="445"/>
      <c r="D850" s="445"/>
      <c r="E850" s="445" t="s">
        <v>1738</v>
      </c>
      <c r="F850" s="506">
        <v>103.966016</v>
      </c>
      <c r="G850" s="445"/>
      <c r="H850" s="606" t="s">
        <v>1739</v>
      </c>
      <c r="I850" s="606"/>
      <c r="J850" s="506">
        <v>525.9</v>
      </c>
      <c r="K850" s="70"/>
      <c r="L850" s="70"/>
    </row>
    <row r="851" spans="1:12" ht="17.25" thickTop="1" x14ac:dyDescent="0.25">
      <c r="A851" s="507"/>
      <c r="B851" s="507"/>
      <c r="C851" s="507"/>
      <c r="D851" s="507"/>
      <c r="E851" s="507"/>
      <c r="F851" s="507"/>
      <c r="G851" s="507"/>
      <c r="H851" s="507"/>
      <c r="I851" s="507"/>
      <c r="J851" s="507"/>
      <c r="K851" s="507"/>
      <c r="L851" s="70"/>
    </row>
    <row r="852" spans="1:12" ht="16.5" x14ac:dyDescent="0.25">
      <c r="A852" s="419" t="s">
        <v>1308</v>
      </c>
      <c r="B852" s="421" t="s">
        <v>76</v>
      </c>
      <c r="C852" s="419" t="s">
        <v>991</v>
      </c>
      <c r="D852" s="419" t="s">
        <v>191</v>
      </c>
      <c r="E852" s="603" t="s">
        <v>77</v>
      </c>
      <c r="F852" s="603"/>
      <c r="G852" s="420" t="s">
        <v>103</v>
      </c>
      <c r="H852" s="421" t="s">
        <v>147</v>
      </c>
      <c r="I852" s="421" t="s">
        <v>1731</v>
      </c>
      <c r="J852" s="421" t="s">
        <v>1117</v>
      </c>
      <c r="K852" s="421" t="s">
        <v>104</v>
      </c>
      <c r="L852" s="70"/>
    </row>
    <row r="853" spans="1:12" ht="25.5" x14ac:dyDescent="0.25">
      <c r="A853" s="441" t="s">
        <v>79</v>
      </c>
      <c r="B853" s="480" t="s">
        <v>1309</v>
      </c>
      <c r="C853" s="441" t="s">
        <v>993</v>
      </c>
      <c r="D853" s="441" t="s">
        <v>1310</v>
      </c>
      <c r="E853" s="604">
        <v>1805</v>
      </c>
      <c r="F853" s="604"/>
      <c r="G853" s="443" t="s">
        <v>19</v>
      </c>
      <c r="H853" s="500">
        <v>1</v>
      </c>
      <c r="I853" s="442"/>
      <c r="J853" s="442">
        <v>532.57000000000005</v>
      </c>
      <c r="K853" s="442">
        <v>532.57000000000005</v>
      </c>
      <c r="L853" s="70"/>
    </row>
    <row r="854" spans="1:12" ht="25.5" x14ac:dyDescent="0.25">
      <c r="A854" s="501" t="s">
        <v>1732</v>
      </c>
      <c r="B854" s="502" t="s">
        <v>992</v>
      </c>
      <c r="C854" s="501" t="s">
        <v>993</v>
      </c>
      <c r="D854" s="501" t="s">
        <v>994</v>
      </c>
      <c r="E854" s="602" t="s">
        <v>972</v>
      </c>
      <c r="F854" s="602"/>
      <c r="G854" s="503" t="s">
        <v>81</v>
      </c>
      <c r="H854" s="504">
        <v>1.2222999999999999</v>
      </c>
      <c r="I854" s="504"/>
      <c r="J854" s="505">
        <v>14.62</v>
      </c>
      <c r="K854" s="505">
        <v>17.87</v>
      </c>
      <c r="L854" s="70"/>
    </row>
    <row r="855" spans="1:12" ht="25.5" x14ac:dyDescent="0.25">
      <c r="A855" s="501" t="s">
        <v>1732</v>
      </c>
      <c r="B855" s="502" t="s">
        <v>1003</v>
      </c>
      <c r="C855" s="501" t="s">
        <v>993</v>
      </c>
      <c r="D855" s="501" t="s">
        <v>1004</v>
      </c>
      <c r="E855" s="602" t="s">
        <v>972</v>
      </c>
      <c r="F855" s="602"/>
      <c r="G855" s="503" t="s">
        <v>81</v>
      </c>
      <c r="H855" s="504">
        <v>1.3187</v>
      </c>
      <c r="I855" s="504"/>
      <c r="J855" s="505">
        <v>23.41</v>
      </c>
      <c r="K855" s="505">
        <v>30.87</v>
      </c>
      <c r="L855" s="70"/>
    </row>
    <row r="856" spans="1:12" ht="25.5" x14ac:dyDescent="0.25">
      <c r="A856" s="501" t="s">
        <v>1732</v>
      </c>
      <c r="B856" s="502" t="s">
        <v>2220</v>
      </c>
      <c r="C856" s="501" t="s">
        <v>993</v>
      </c>
      <c r="D856" s="501" t="s">
        <v>2221</v>
      </c>
      <c r="E856" s="602" t="s">
        <v>1746</v>
      </c>
      <c r="F856" s="602"/>
      <c r="G856" s="503" t="s">
        <v>1222</v>
      </c>
      <c r="H856" s="504">
        <v>0.23810000000000001</v>
      </c>
      <c r="I856" s="504"/>
      <c r="J856" s="505">
        <v>33.270000000000003</v>
      </c>
      <c r="K856" s="505">
        <v>7.92</v>
      </c>
      <c r="L856" s="70"/>
    </row>
    <row r="857" spans="1:12" ht="25.5" x14ac:dyDescent="0.25">
      <c r="A857" s="501" t="s">
        <v>1732</v>
      </c>
      <c r="B857" s="502" t="s">
        <v>2242</v>
      </c>
      <c r="C857" s="501" t="s">
        <v>993</v>
      </c>
      <c r="D857" s="501" t="s">
        <v>2243</v>
      </c>
      <c r="E857" s="602" t="s">
        <v>1746</v>
      </c>
      <c r="F857" s="602"/>
      <c r="G857" s="503" t="s">
        <v>49</v>
      </c>
      <c r="H857" s="504">
        <v>0.23810000000000001</v>
      </c>
      <c r="I857" s="504"/>
      <c r="J857" s="505">
        <v>170.85</v>
      </c>
      <c r="K857" s="505">
        <v>40.67</v>
      </c>
      <c r="L857" s="70"/>
    </row>
    <row r="858" spans="1:12" ht="25.5" x14ac:dyDescent="0.25">
      <c r="A858" s="501" t="s">
        <v>1732</v>
      </c>
      <c r="B858" s="502" t="s">
        <v>2012</v>
      </c>
      <c r="C858" s="501" t="s">
        <v>993</v>
      </c>
      <c r="D858" s="501" t="s">
        <v>2013</v>
      </c>
      <c r="E858" s="602" t="s">
        <v>1746</v>
      </c>
      <c r="F858" s="602"/>
      <c r="G858" s="503" t="s">
        <v>49</v>
      </c>
      <c r="H858" s="504">
        <v>0.29759999999999998</v>
      </c>
      <c r="I858" s="504"/>
      <c r="J858" s="505">
        <v>3.04</v>
      </c>
      <c r="K858" s="505">
        <v>0.9</v>
      </c>
      <c r="L858" s="70"/>
    </row>
    <row r="859" spans="1:12" ht="25.5" x14ac:dyDescent="0.25">
      <c r="A859" s="501" t="s">
        <v>1732</v>
      </c>
      <c r="B859" s="502" t="s">
        <v>2244</v>
      </c>
      <c r="C859" s="501" t="s">
        <v>993</v>
      </c>
      <c r="D859" s="501" t="s">
        <v>2219</v>
      </c>
      <c r="E859" s="602" t="s">
        <v>1746</v>
      </c>
      <c r="F859" s="602"/>
      <c r="G859" s="503" t="s">
        <v>49</v>
      </c>
      <c r="H859" s="504">
        <v>1</v>
      </c>
      <c r="I859" s="504"/>
      <c r="J859" s="505">
        <v>136.6</v>
      </c>
      <c r="K859" s="505">
        <v>136.6</v>
      </c>
      <c r="L859" s="70"/>
    </row>
    <row r="860" spans="1:12" ht="25.5" x14ac:dyDescent="0.25">
      <c r="A860" s="501" t="s">
        <v>1732</v>
      </c>
      <c r="B860" s="502" t="s">
        <v>2245</v>
      </c>
      <c r="C860" s="501" t="s">
        <v>993</v>
      </c>
      <c r="D860" s="501" t="s">
        <v>2246</v>
      </c>
      <c r="E860" s="602" t="s">
        <v>1746</v>
      </c>
      <c r="F860" s="602"/>
      <c r="G860" s="503" t="s">
        <v>49</v>
      </c>
      <c r="H860" s="504">
        <v>0.47620000000000001</v>
      </c>
      <c r="I860" s="504"/>
      <c r="J860" s="505">
        <v>85.2</v>
      </c>
      <c r="K860" s="505">
        <v>40.57</v>
      </c>
      <c r="L860" s="70"/>
    </row>
    <row r="861" spans="1:12" ht="25.5" x14ac:dyDescent="0.25">
      <c r="A861" s="501" t="s">
        <v>1732</v>
      </c>
      <c r="B861" s="502" t="s">
        <v>2224</v>
      </c>
      <c r="C861" s="501" t="s">
        <v>993</v>
      </c>
      <c r="D861" s="501" t="s">
        <v>2225</v>
      </c>
      <c r="E861" s="602" t="s">
        <v>1746</v>
      </c>
      <c r="F861" s="602"/>
      <c r="G861" s="503" t="s">
        <v>49</v>
      </c>
      <c r="H861" s="504">
        <v>5.9499999999999997E-2</v>
      </c>
      <c r="I861" s="504"/>
      <c r="J861" s="505">
        <v>14.03</v>
      </c>
      <c r="K861" s="505">
        <v>0.83</v>
      </c>
      <c r="L861" s="70"/>
    </row>
    <row r="862" spans="1:12" ht="25.5" x14ac:dyDescent="0.25">
      <c r="A862" s="501" t="s">
        <v>1732</v>
      </c>
      <c r="B862" s="502" t="s">
        <v>2226</v>
      </c>
      <c r="C862" s="501" t="s">
        <v>993</v>
      </c>
      <c r="D862" s="501" t="s">
        <v>2227</v>
      </c>
      <c r="E862" s="602" t="s">
        <v>1746</v>
      </c>
      <c r="F862" s="602"/>
      <c r="G862" s="503" t="s">
        <v>49</v>
      </c>
      <c r="H862" s="504">
        <v>0.18190000000000001</v>
      </c>
      <c r="I862" s="504"/>
      <c r="J862" s="505">
        <v>10.53</v>
      </c>
      <c r="K862" s="505">
        <v>1.91</v>
      </c>
      <c r="L862" s="70"/>
    </row>
    <row r="863" spans="1:12" ht="25.5" x14ac:dyDescent="0.25">
      <c r="A863" s="501" t="s">
        <v>1732</v>
      </c>
      <c r="B863" s="502" t="s">
        <v>2222</v>
      </c>
      <c r="C863" s="501" t="s">
        <v>993</v>
      </c>
      <c r="D863" s="501" t="s">
        <v>2223</v>
      </c>
      <c r="E863" s="602" t="s">
        <v>1746</v>
      </c>
      <c r="F863" s="602"/>
      <c r="G863" s="503" t="s">
        <v>1222</v>
      </c>
      <c r="H863" s="504">
        <v>8.7800000000000003E-2</v>
      </c>
      <c r="I863" s="504"/>
      <c r="J863" s="505">
        <v>29.55</v>
      </c>
      <c r="K863" s="505">
        <v>2.59</v>
      </c>
      <c r="L863" s="70"/>
    </row>
    <row r="864" spans="1:12" ht="25.5" x14ac:dyDescent="0.25">
      <c r="A864" s="501" t="s">
        <v>1732</v>
      </c>
      <c r="B864" s="502" t="s">
        <v>1982</v>
      </c>
      <c r="C864" s="501" t="s">
        <v>993</v>
      </c>
      <c r="D864" s="501" t="s">
        <v>1983</v>
      </c>
      <c r="E864" s="602" t="s">
        <v>1746</v>
      </c>
      <c r="F864" s="602"/>
      <c r="G864" s="503" t="s">
        <v>49</v>
      </c>
      <c r="H864" s="504">
        <v>1.4286000000000001</v>
      </c>
      <c r="I864" s="504"/>
      <c r="J864" s="505">
        <v>9.4600000000000009</v>
      </c>
      <c r="K864" s="505">
        <v>13.51</v>
      </c>
      <c r="L864" s="70"/>
    </row>
    <row r="865" spans="1:12" ht="25.5" x14ac:dyDescent="0.25">
      <c r="A865" s="501" t="s">
        <v>1732</v>
      </c>
      <c r="B865" s="502" t="s">
        <v>1856</v>
      </c>
      <c r="C865" s="501" t="s">
        <v>993</v>
      </c>
      <c r="D865" s="501" t="s">
        <v>1857</v>
      </c>
      <c r="E865" s="602" t="s">
        <v>1746</v>
      </c>
      <c r="F865" s="602"/>
      <c r="G865" s="503" t="s">
        <v>1222</v>
      </c>
      <c r="H865" s="504">
        <v>25.340499999999999</v>
      </c>
      <c r="I865" s="504"/>
      <c r="J865" s="505">
        <v>9.18</v>
      </c>
      <c r="K865" s="505">
        <v>232.62</v>
      </c>
      <c r="L865" s="70"/>
    </row>
    <row r="866" spans="1:12" ht="25.5" x14ac:dyDescent="0.25">
      <c r="A866" s="501" t="s">
        <v>1732</v>
      </c>
      <c r="B866" s="502" t="s">
        <v>1854</v>
      </c>
      <c r="C866" s="501" t="s">
        <v>993</v>
      </c>
      <c r="D866" s="501" t="s">
        <v>1855</v>
      </c>
      <c r="E866" s="602" t="s">
        <v>1746</v>
      </c>
      <c r="F866" s="602"/>
      <c r="G866" s="503" t="s">
        <v>1222</v>
      </c>
      <c r="H866" s="504">
        <v>5</v>
      </c>
      <c r="I866" s="504"/>
      <c r="J866" s="505">
        <v>0.65</v>
      </c>
      <c r="K866" s="505">
        <v>3.25</v>
      </c>
      <c r="L866" s="70"/>
    </row>
    <row r="867" spans="1:12" ht="25.5" x14ac:dyDescent="0.25">
      <c r="A867" s="501" t="s">
        <v>1732</v>
      </c>
      <c r="B867" s="502" t="s">
        <v>1974</v>
      </c>
      <c r="C867" s="501" t="s">
        <v>993</v>
      </c>
      <c r="D867" s="501" t="s">
        <v>1975</v>
      </c>
      <c r="E867" s="602" t="s">
        <v>1746</v>
      </c>
      <c r="F867" s="602"/>
      <c r="G867" s="503" t="s">
        <v>45</v>
      </c>
      <c r="H867" s="504">
        <v>1.43E-2</v>
      </c>
      <c r="I867" s="504"/>
      <c r="J867" s="505">
        <v>172.18</v>
      </c>
      <c r="K867" s="505">
        <v>2.46</v>
      </c>
      <c r="L867" s="70"/>
    </row>
    <row r="868" spans="1:12" ht="15.75" customHeight="1" x14ac:dyDescent="0.25">
      <c r="A868" s="445"/>
      <c r="B868" s="445"/>
      <c r="C868" s="445"/>
      <c r="D868" s="445"/>
      <c r="E868" s="445" t="s">
        <v>1735</v>
      </c>
      <c r="F868" s="506">
        <v>48.74</v>
      </c>
      <c r="G868" s="445" t="s">
        <v>1736</v>
      </c>
      <c r="H868" s="506">
        <v>0</v>
      </c>
      <c r="I868" s="445" t="s">
        <v>1737</v>
      </c>
      <c r="J868" s="506">
        <v>48.74</v>
      </c>
      <c r="K868" s="70"/>
      <c r="L868" s="70"/>
    </row>
    <row r="869" spans="1:12" ht="17.25" thickBot="1" x14ac:dyDescent="0.3">
      <c r="A869" s="445"/>
      <c r="B869" s="445"/>
      <c r="C869" s="445"/>
      <c r="D869" s="445"/>
      <c r="E869" s="445" t="s">
        <v>1738</v>
      </c>
      <c r="F869" s="506">
        <v>131.22524799999999</v>
      </c>
      <c r="G869" s="445"/>
      <c r="H869" s="606" t="s">
        <v>1739</v>
      </c>
      <c r="I869" s="606"/>
      <c r="J869" s="506">
        <v>663.79</v>
      </c>
      <c r="K869" s="70"/>
      <c r="L869" s="70"/>
    </row>
    <row r="870" spans="1:12" ht="17.25" thickTop="1" x14ac:dyDescent="0.25">
      <c r="A870" s="507"/>
      <c r="B870" s="507"/>
      <c r="C870" s="507"/>
      <c r="D870" s="507"/>
      <c r="E870" s="507"/>
      <c r="F870" s="507"/>
      <c r="G870" s="507"/>
      <c r="H870" s="507"/>
      <c r="I870" s="507"/>
      <c r="J870" s="507"/>
      <c r="K870" s="507"/>
      <c r="L870" s="70"/>
    </row>
    <row r="871" spans="1:12" ht="16.5" x14ac:dyDescent="0.25">
      <c r="A871" s="419" t="s">
        <v>1313</v>
      </c>
      <c r="B871" s="421" t="s">
        <v>76</v>
      </c>
      <c r="C871" s="419" t="s">
        <v>991</v>
      </c>
      <c r="D871" s="419" t="s">
        <v>191</v>
      </c>
      <c r="E871" s="603" t="s">
        <v>77</v>
      </c>
      <c r="F871" s="603"/>
      <c r="G871" s="420" t="s">
        <v>103</v>
      </c>
      <c r="H871" s="421" t="s">
        <v>147</v>
      </c>
      <c r="I871" s="421" t="s">
        <v>1731</v>
      </c>
      <c r="J871" s="421" t="s">
        <v>1117</v>
      </c>
      <c r="K871" s="421" t="s">
        <v>104</v>
      </c>
      <c r="L871" s="70"/>
    </row>
    <row r="872" spans="1:12" ht="25.5" x14ac:dyDescent="0.25">
      <c r="A872" s="441" t="s">
        <v>79</v>
      </c>
      <c r="B872" s="480" t="s">
        <v>1314</v>
      </c>
      <c r="C872" s="441" t="s">
        <v>993</v>
      </c>
      <c r="D872" s="441" t="s">
        <v>328</v>
      </c>
      <c r="E872" s="604">
        <v>1201</v>
      </c>
      <c r="F872" s="604"/>
      <c r="G872" s="443" t="s">
        <v>19</v>
      </c>
      <c r="H872" s="500">
        <v>1</v>
      </c>
      <c r="I872" s="442"/>
      <c r="J872" s="442">
        <v>22.79</v>
      </c>
      <c r="K872" s="442">
        <v>22.79</v>
      </c>
      <c r="L872" s="70"/>
    </row>
    <row r="873" spans="1:12" ht="25.5" x14ac:dyDescent="0.25">
      <c r="A873" s="501" t="s">
        <v>1732</v>
      </c>
      <c r="B873" s="502" t="s">
        <v>992</v>
      </c>
      <c r="C873" s="501" t="s">
        <v>993</v>
      </c>
      <c r="D873" s="501" t="s">
        <v>994</v>
      </c>
      <c r="E873" s="602" t="s">
        <v>972</v>
      </c>
      <c r="F873" s="602"/>
      <c r="G873" s="503" t="s">
        <v>81</v>
      </c>
      <c r="H873" s="504">
        <v>0.373</v>
      </c>
      <c r="I873" s="504"/>
      <c r="J873" s="505">
        <v>14.62</v>
      </c>
      <c r="K873" s="505">
        <v>5.45</v>
      </c>
      <c r="L873" s="70"/>
    </row>
    <row r="874" spans="1:12" ht="25.5" x14ac:dyDescent="0.25">
      <c r="A874" s="501" t="s">
        <v>1732</v>
      </c>
      <c r="B874" s="502" t="s">
        <v>1003</v>
      </c>
      <c r="C874" s="501" t="s">
        <v>993</v>
      </c>
      <c r="D874" s="501" t="s">
        <v>1004</v>
      </c>
      <c r="E874" s="602" t="s">
        <v>972</v>
      </c>
      <c r="F874" s="602"/>
      <c r="G874" s="503" t="s">
        <v>81</v>
      </c>
      <c r="H874" s="504">
        <v>0.22620000000000001</v>
      </c>
      <c r="I874" s="504"/>
      <c r="J874" s="505">
        <v>23.41</v>
      </c>
      <c r="K874" s="505">
        <v>5.29</v>
      </c>
      <c r="L874" s="70"/>
    </row>
    <row r="875" spans="1:12" ht="25.5" x14ac:dyDescent="0.25">
      <c r="A875" s="501" t="s">
        <v>1732</v>
      </c>
      <c r="B875" s="502" t="s">
        <v>1854</v>
      </c>
      <c r="C875" s="501" t="s">
        <v>993</v>
      </c>
      <c r="D875" s="501" t="s">
        <v>1855</v>
      </c>
      <c r="E875" s="602" t="s">
        <v>1746</v>
      </c>
      <c r="F875" s="602"/>
      <c r="G875" s="503" t="s">
        <v>1222</v>
      </c>
      <c r="H875" s="504">
        <v>11.879300000000001</v>
      </c>
      <c r="I875" s="504"/>
      <c r="J875" s="505">
        <v>0.65</v>
      </c>
      <c r="K875" s="505">
        <v>7.72</v>
      </c>
      <c r="L875" s="70"/>
    </row>
    <row r="876" spans="1:12" ht="25.5" x14ac:dyDescent="0.25">
      <c r="A876" s="501" t="s">
        <v>1732</v>
      </c>
      <c r="B876" s="502" t="s">
        <v>1974</v>
      </c>
      <c r="C876" s="501" t="s">
        <v>993</v>
      </c>
      <c r="D876" s="501" t="s">
        <v>1975</v>
      </c>
      <c r="E876" s="602" t="s">
        <v>1746</v>
      </c>
      <c r="F876" s="602"/>
      <c r="G876" s="503" t="s">
        <v>45</v>
      </c>
      <c r="H876" s="504">
        <v>2.52E-2</v>
      </c>
      <c r="I876" s="504"/>
      <c r="J876" s="505">
        <v>172.18</v>
      </c>
      <c r="K876" s="505">
        <v>4.33</v>
      </c>
      <c r="L876" s="70"/>
    </row>
    <row r="877" spans="1:12" ht="15.75" customHeight="1" x14ac:dyDescent="0.25">
      <c r="A877" s="445"/>
      <c r="B877" s="445"/>
      <c r="C877" s="445"/>
      <c r="D877" s="445"/>
      <c r="E877" s="445" t="s">
        <v>1735</v>
      </c>
      <c r="F877" s="506">
        <v>10.74</v>
      </c>
      <c r="G877" s="445" t="s">
        <v>1736</v>
      </c>
      <c r="H877" s="506">
        <v>0</v>
      </c>
      <c r="I877" s="445" t="s">
        <v>1737</v>
      </c>
      <c r="J877" s="506">
        <v>10.74</v>
      </c>
      <c r="K877" s="70"/>
      <c r="L877" s="70"/>
    </row>
    <row r="878" spans="1:12" ht="17.25" thickBot="1" x14ac:dyDescent="0.3">
      <c r="A878" s="445"/>
      <c r="B878" s="445"/>
      <c r="C878" s="445"/>
      <c r="D878" s="445"/>
      <c r="E878" s="445" t="s">
        <v>1738</v>
      </c>
      <c r="F878" s="506">
        <v>5.615456</v>
      </c>
      <c r="G878" s="445"/>
      <c r="H878" s="606" t="s">
        <v>1739</v>
      </c>
      <c r="I878" s="606"/>
      <c r="J878" s="506">
        <v>28.4</v>
      </c>
      <c r="K878" s="70"/>
      <c r="L878" s="70"/>
    </row>
    <row r="879" spans="1:12" ht="17.25" thickTop="1" x14ac:dyDescent="0.25">
      <c r="A879" s="507"/>
      <c r="B879" s="507"/>
      <c r="C879" s="507"/>
      <c r="D879" s="507"/>
      <c r="E879" s="507"/>
      <c r="F879" s="507"/>
      <c r="G879" s="507"/>
      <c r="H879" s="507"/>
      <c r="I879" s="507"/>
      <c r="J879" s="507"/>
      <c r="K879" s="507"/>
      <c r="L879" s="70"/>
    </row>
    <row r="880" spans="1:12" ht="16.5" x14ac:dyDescent="0.25">
      <c r="A880" s="419" t="s">
        <v>1315</v>
      </c>
      <c r="B880" s="421" t="s">
        <v>76</v>
      </c>
      <c r="C880" s="419" t="s">
        <v>991</v>
      </c>
      <c r="D880" s="419" t="s">
        <v>191</v>
      </c>
      <c r="E880" s="603" t="s">
        <v>77</v>
      </c>
      <c r="F880" s="603"/>
      <c r="G880" s="420" t="s">
        <v>103</v>
      </c>
      <c r="H880" s="421" t="s">
        <v>147</v>
      </c>
      <c r="I880" s="421" t="s">
        <v>1731</v>
      </c>
      <c r="J880" s="421" t="s">
        <v>1117</v>
      </c>
      <c r="K880" s="421" t="s">
        <v>104</v>
      </c>
      <c r="L880" s="70"/>
    </row>
    <row r="881" spans="1:12" ht="25.5" x14ac:dyDescent="0.25">
      <c r="A881" s="441" t="s">
        <v>79</v>
      </c>
      <c r="B881" s="480" t="s">
        <v>1316</v>
      </c>
      <c r="C881" s="441" t="s">
        <v>993</v>
      </c>
      <c r="D881" s="441" t="s">
        <v>897</v>
      </c>
      <c r="E881" s="604">
        <v>1202</v>
      </c>
      <c r="F881" s="604"/>
      <c r="G881" s="443" t="s">
        <v>19</v>
      </c>
      <c r="H881" s="500">
        <v>1</v>
      </c>
      <c r="I881" s="442"/>
      <c r="J881" s="442">
        <v>21.23</v>
      </c>
      <c r="K881" s="442">
        <v>21.23</v>
      </c>
      <c r="L881" s="70"/>
    </row>
    <row r="882" spans="1:12" ht="25.5" x14ac:dyDescent="0.25">
      <c r="A882" s="501" t="s">
        <v>1732</v>
      </c>
      <c r="B882" s="502" t="s">
        <v>992</v>
      </c>
      <c r="C882" s="501" t="s">
        <v>993</v>
      </c>
      <c r="D882" s="501" t="s">
        <v>994</v>
      </c>
      <c r="E882" s="602" t="s">
        <v>972</v>
      </c>
      <c r="F882" s="602"/>
      <c r="G882" s="503" t="s">
        <v>81</v>
      </c>
      <c r="H882" s="504">
        <v>0.373</v>
      </c>
      <c r="I882" s="504"/>
      <c r="J882" s="505">
        <v>14.62</v>
      </c>
      <c r="K882" s="505">
        <v>5.45</v>
      </c>
      <c r="L882" s="70"/>
    </row>
    <row r="883" spans="1:12" ht="25.5" x14ac:dyDescent="0.25">
      <c r="A883" s="501" t="s">
        <v>1732</v>
      </c>
      <c r="B883" s="502" t="s">
        <v>1003</v>
      </c>
      <c r="C883" s="501" t="s">
        <v>993</v>
      </c>
      <c r="D883" s="501" t="s">
        <v>1004</v>
      </c>
      <c r="E883" s="602" t="s">
        <v>972</v>
      </c>
      <c r="F883" s="602"/>
      <c r="G883" s="503" t="s">
        <v>81</v>
      </c>
      <c r="H883" s="504">
        <v>0.22620000000000001</v>
      </c>
      <c r="I883" s="504"/>
      <c r="J883" s="505">
        <v>23.41</v>
      </c>
      <c r="K883" s="505">
        <v>5.29</v>
      </c>
      <c r="L883" s="70"/>
    </row>
    <row r="884" spans="1:12" ht="25.5" x14ac:dyDescent="0.25">
      <c r="A884" s="501" t="s">
        <v>1732</v>
      </c>
      <c r="B884" s="502" t="s">
        <v>1854</v>
      </c>
      <c r="C884" s="501" t="s">
        <v>993</v>
      </c>
      <c r="D884" s="501" t="s">
        <v>1855</v>
      </c>
      <c r="E884" s="602" t="s">
        <v>1746</v>
      </c>
      <c r="F884" s="602"/>
      <c r="G884" s="503" t="s">
        <v>1222</v>
      </c>
      <c r="H884" s="504">
        <v>9.7200000000000006</v>
      </c>
      <c r="I884" s="504"/>
      <c r="J884" s="505">
        <v>0.65</v>
      </c>
      <c r="K884" s="505">
        <v>6.31</v>
      </c>
      <c r="L884" s="70"/>
    </row>
    <row r="885" spans="1:12" ht="25.5" x14ac:dyDescent="0.25">
      <c r="A885" s="501" t="s">
        <v>1732</v>
      </c>
      <c r="B885" s="502" t="s">
        <v>1974</v>
      </c>
      <c r="C885" s="501" t="s">
        <v>993</v>
      </c>
      <c r="D885" s="501" t="s">
        <v>1975</v>
      </c>
      <c r="E885" s="602" t="s">
        <v>1746</v>
      </c>
      <c r="F885" s="602"/>
      <c r="G885" s="503" t="s">
        <v>45</v>
      </c>
      <c r="H885" s="504">
        <v>2.4299999999999999E-2</v>
      </c>
      <c r="I885" s="504"/>
      <c r="J885" s="505">
        <v>172.18</v>
      </c>
      <c r="K885" s="505">
        <v>4.18</v>
      </c>
      <c r="L885" s="70"/>
    </row>
    <row r="886" spans="1:12" ht="15.75" customHeight="1" x14ac:dyDescent="0.25">
      <c r="A886" s="445"/>
      <c r="B886" s="445"/>
      <c r="C886" s="445"/>
      <c r="D886" s="445"/>
      <c r="E886" s="445" t="s">
        <v>1735</v>
      </c>
      <c r="F886" s="506">
        <v>10.74</v>
      </c>
      <c r="G886" s="445" t="s">
        <v>1736</v>
      </c>
      <c r="H886" s="506">
        <v>0</v>
      </c>
      <c r="I886" s="445" t="s">
        <v>1737</v>
      </c>
      <c r="J886" s="506">
        <v>10.74</v>
      </c>
      <c r="K886" s="70"/>
      <c r="L886" s="70"/>
    </row>
    <row r="887" spans="1:12" ht="17.25" thickBot="1" x14ac:dyDescent="0.3">
      <c r="A887" s="445"/>
      <c r="B887" s="445"/>
      <c r="C887" s="445"/>
      <c r="D887" s="445"/>
      <c r="E887" s="445" t="s">
        <v>1738</v>
      </c>
      <c r="F887" s="506">
        <v>5.2310720000000002</v>
      </c>
      <c r="G887" s="445"/>
      <c r="H887" s="606" t="s">
        <v>1739</v>
      </c>
      <c r="I887" s="606"/>
      <c r="J887" s="506">
        <v>26.46</v>
      </c>
      <c r="K887" s="70"/>
      <c r="L887" s="70"/>
    </row>
    <row r="888" spans="1:12" ht="17.25" thickTop="1" x14ac:dyDescent="0.25">
      <c r="A888" s="507"/>
      <c r="B888" s="507"/>
      <c r="C888" s="507"/>
      <c r="D888" s="507"/>
      <c r="E888" s="507"/>
      <c r="F888" s="507"/>
      <c r="G888" s="507"/>
      <c r="H888" s="507"/>
      <c r="I888" s="507"/>
      <c r="J888" s="507"/>
      <c r="K888" s="507"/>
      <c r="L888" s="70"/>
    </row>
    <row r="889" spans="1:12" ht="16.5" x14ac:dyDescent="0.25">
      <c r="A889" s="419" t="s">
        <v>1318</v>
      </c>
      <c r="B889" s="421" t="s">
        <v>76</v>
      </c>
      <c r="C889" s="419" t="s">
        <v>991</v>
      </c>
      <c r="D889" s="419" t="s">
        <v>191</v>
      </c>
      <c r="E889" s="603" t="s">
        <v>77</v>
      </c>
      <c r="F889" s="603"/>
      <c r="G889" s="420" t="s">
        <v>103</v>
      </c>
      <c r="H889" s="421" t="s">
        <v>147</v>
      </c>
      <c r="I889" s="421" t="s">
        <v>1731</v>
      </c>
      <c r="J889" s="421" t="s">
        <v>1117</v>
      </c>
      <c r="K889" s="421" t="s">
        <v>104</v>
      </c>
      <c r="L889" s="70"/>
    </row>
    <row r="890" spans="1:12" ht="25.5" x14ac:dyDescent="0.25">
      <c r="A890" s="441" t="s">
        <v>79</v>
      </c>
      <c r="B890" s="480" t="s">
        <v>1319</v>
      </c>
      <c r="C890" s="441" t="s">
        <v>993</v>
      </c>
      <c r="D890" s="441" t="s">
        <v>1320</v>
      </c>
      <c r="E890" s="604">
        <v>1201</v>
      </c>
      <c r="F890" s="604"/>
      <c r="G890" s="443" t="s">
        <v>19</v>
      </c>
      <c r="H890" s="500">
        <v>1</v>
      </c>
      <c r="I890" s="442"/>
      <c r="J890" s="442">
        <v>83.42</v>
      </c>
      <c r="K890" s="442">
        <v>83.42</v>
      </c>
      <c r="L890" s="70"/>
    </row>
    <row r="891" spans="1:12" ht="25.5" x14ac:dyDescent="0.25">
      <c r="A891" s="501" t="s">
        <v>1732</v>
      </c>
      <c r="B891" s="502" t="s">
        <v>999</v>
      </c>
      <c r="C891" s="501" t="s">
        <v>993</v>
      </c>
      <c r="D891" s="501" t="s">
        <v>1000</v>
      </c>
      <c r="E891" s="602" t="s">
        <v>972</v>
      </c>
      <c r="F891" s="602"/>
      <c r="G891" s="503" t="s">
        <v>81</v>
      </c>
      <c r="H891" s="504">
        <v>0.192</v>
      </c>
      <c r="I891" s="504"/>
      <c r="J891" s="505">
        <v>16.04</v>
      </c>
      <c r="K891" s="505">
        <v>3.07</v>
      </c>
      <c r="L891" s="70"/>
    </row>
    <row r="892" spans="1:12" ht="25.5" x14ac:dyDescent="0.25">
      <c r="A892" s="501" t="s">
        <v>1732</v>
      </c>
      <c r="B892" s="502" t="s">
        <v>1013</v>
      </c>
      <c r="C892" s="501" t="s">
        <v>993</v>
      </c>
      <c r="D892" s="501" t="s">
        <v>1014</v>
      </c>
      <c r="E892" s="602" t="s">
        <v>972</v>
      </c>
      <c r="F892" s="602"/>
      <c r="G892" s="503" t="s">
        <v>81</v>
      </c>
      <c r="H892" s="504">
        <v>0.94799999999999995</v>
      </c>
      <c r="I892" s="504"/>
      <c r="J892" s="505">
        <v>23.41</v>
      </c>
      <c r="K892" s="505">
        <v>22.19</v>
      </c>
      <c r="L892" s="70"/>
    </row>
    <row r="893" spans="1:12" ht="25.5" x14ac:dyDescent="0.25">
      <c r="A893" s="501" t="s">
        <v>1732</v>
      </c>
      <c r="B893" s="502" t="s">
        <v>2247</v>
      </c>
      <c r="C893" s="501" t="s">
        <v>993</v>
      </c>
      <c r="D893" s="501" t="s">
        <v>2248</v>
      </c>
      <c r="E893" s="602" t="s">
        <v>1746</v>
      </c>
      <c r="F893" s="602"/>
      <c r="G893" s="503" t="s">
        <v>1751</v>
      </c>
      <c r="H893" s="504">
        <v>0.61499999999999999</v>
      </c>
      <c r="I893" s="504"/>
      <c r="J893" s="505">
        <v>22.39</v>
      </c>
      <c r="K893" s="505">
        <v>13.76</v>
      </c>
      <c r="L893" s="70"/>
    </row>
    <row r="894" spans="1:12" ht="25.5" x14ac:dyDescent="0.25">
      <c r="A894" s="501" t="s">
        <v>1732</v>
      </c>
      <c r="B894" s="502" t="s">
        <v>2249</v>
      </c>
      <c r="C894" s="501" t="s">
        <v>993</v>
      </c>
      <c r="D894" s="501" t="s">
        <v>2250</v>
      </c>
      <c r="E894" s="602" t="s">
        <v>1746</v>
      </c>
      <c r="F894" s="602"/>
      <c r="G894" s="503" t="s">
        <v>19</v>
      </c>
      <c r="H894" s="504">
        <v>1.125</v>
      </c>
      <c r="I894" s="504"/>
      <c r="J894" s="505">
        <v>37.520000000000003</v>
      </c>
      <c r="K894" s="505">
        <v>42.21</v>
      </c>
      <c r="L894" s="70"/>
    </row>
    <row r="895" spans="1:12" ht="25.5" x14ac:dyDescent="0.25">
      <c r="A895" s="501" t="s">
        <v>1732</v>
      </c>
      <c r="B895" s="502" t="s">
        <v>2251</v>
      </c>
      <c r="C895" s="501" t="s">
        <v>993</v>
      </c>
      <c r="D895" s="501" t="s">
        <v>2252</v>
      </c>
      <c r="E895" s="602" t="s">
        <v>1746</v>
      </c>
      <c r="F895" s="602"/>
      <c r="G895" s="503" t="s">
        <v>1222</v>
      </c>
      <c r="H895" s="504">
        <v>0.26</v>
      </c>
      <c r="I895" s="504"/>
      <c r="J895" s="505">
        <v>8.4600000000000009</v>
      </c>
      <c r="K895" s="505">
        <v>2.19</v>
      </c>
      <c r="L895" s="70"/>
    </row>
    <row r="896" spans="1:12" ht="15.75" customHeight="1" x14ac:dyDescent="0.25">
      <c r="A896" s="445"/>
      <c r="B896" s="445"/>
      <c r="C896" s="445"/>
      <c r="D896" s="445"/>
      <c r="E896" s="445" t="s">
        <v>1735</v>
      </c>
      <c r="F896" s="506">
        <v>25.26</v>
      </c>
      <c r="G896" s="445" t="s">
        <v>1736</v>
      </c>
      <c r="H896" s="506">
        <v>0</v>
      </c>
      <c r="I896" s="445" t="s">
        <v>1737</v>
      </c>
      <c r="J896" s="506">
        <v>25.26</v>
      </c>
      <c r="K896" s="70"/>
      <c r="L896" s="70"/>
    </row>
    <row r="897" spans="1:12" ht="17.25" thickBot="1" x14ac:dyDescent="0.3">
      <c r="A897" s="445"/>
      <c r="B897" s="445"/>
      <c r="C897" s="445"/>
      <c r="D897" s="445"/>
      <c r="E897" s="445" t="s">
        <v>1738</v>
      </c>
      <c r="F897" s="506">
        <v>20.554687999999999</v>
      </c>
      <c r="G897" s="445"/>
      <c r="H897" s="606" t="s">
        <v>1739</v>
      </c>
      <c r="I897" s="606"/>
      <c r="J897" s="506">
        <v>103.97</v>
      </c>
      <c r="K897" s="70"/>
      <c r="L897" s="70"/>
    </row>
    <row r="898" spans="1:12" ht="17.25" thickTop="1" x14ac:dyDescent="0.25">
      <c r="A898" s="507"/>
      <c r="B898" s="507"/>
      <c r="C898" s="507"/>
      <c r="D898" s="507"/>
      <c r="E898" s="507"/>
      <c r="F898" s="507"/>
      <c r="G898" s="507"/>
      <c r="H898" s="507"/>
      <c r="I898" s="507"/>
      <c r="J898" s="507"/>
      <c r="K898" s="507"/>
      <c r="L898" s="70"/>
    </row>
    <row r="899" spans="1:12" ht="16.5" x14ac:dyDescent="0.25">
      <c r="A899" s="419" t="s">
        <v>1323</v>
      </c>
      <c r="B899" s="421" t="s">
        <v>76</v>
      </c>
      <c r="C899" s="419" t="s">
        <v>991</v>
      </c>
      <c r="D899" s="419" t="s">
        <v>191</v>
      </c>
      <c r="E899" s="603" t="s">
        <v>77</v>
      </c>
      <c r="F899" s="603"/>
      <c r="G899" s="420" t="s">
        <v>103</v>
      </c>
      <c r="H899" s="421" t="s">
        <v>147</v>
      </c>
      <c r="I899" s="421" t="s">
        <v>1731</v>
      </c>
      <c r="J899" s="421" t="s">
        <v>1117</v>
      </c>
      <c r="K899" s="421" t="s">
        <v>104</v>
      </c>
      <c r="L899" s="70"/>
    </row>
    <row r="900" spans="1:12" ht="25.5" x14ac:dyDescent="0.25">
      <c r="A900" s="441" t="s">
        <v>79</v>
      </c>
      <c r="B900" s="480" t="s">
        <v>1324</v>
      </c>
      <c r="C900" s="441" t="s">
        <v>993</v>
      </c>
      <c r="D900" s="441" t="s">
        <v>904</v>
      </c>
      <c r="E900" s="604">
        <v>2001</v>
      </c>
      <c r="F900" s="604"/>
      <c r="G900" s="443" t="s">
        <v>19</v>
      </c>
      <c r="H900" s="500">
        <v>1</v>
      </c>
      <c r="I900" s="442"/>
      <c r="J900" s="442">
        <v>6.05</v>
      </c>
      <c r="K900" s="442">
        <v>6.05</v>
      </c>
      <c r="L900" s="70"/>
    </row>
    <row r="901" spans="1:12" ht="25.5" x14ac:dyDescent="0.25">
      <c r="A901" s="501" t="s">
        <v>1732</v>
      </c>
      <c r="B901" s="502" t="s">
        <v>1003</v>
      </c>
      <c r="C901" s="501" t="s">
        <v>993</v>
      </c>
      <c r="D901" s="501" t="s">
        <v>1004</v>
      </c>
      <c r="E901" s="602" t="s">
        <v>972</v>
      </c>
      <c r="F901" s="602"/>
      <c r="G901" s="503" t="s">
        <v>81</v>
      </c>
      <c r="H901" s="504">
        <v>9.0700000000000003E-2</v>
      </c>
      <c r="I901" s="504"/>
      <c r="J901" s="505">
        <v>23.41</v>
      </c>
      <c r="K901" s="505">
        <v>2.12</v>
      </c>
      <c r="L901" s="70"/>
    </row>
    <row r="902" spans="1:12" ht="25.5" x14ac:dyDescent="0.25">
      <c r="A902" s="501" t="s">
        <v>1732</v>
      </c>
      <c r="B902" s="502" t="s">
        <v>992</v>
      </c>
      <c r="C902" s="501" t="s">
        <v>993</v>
      </c>
      <c r="D902" s="501" t="s">
        <v>994</v>
      </c>
      <c r="E902" s="602" t="s">
        <v>972</v>
      </c>
      <c r="F902" s="602"/>
      <c r="G902" s="503" t="s">
        <v>81</v>
      </c>
      <c r="H902" s="504">
        <v>0.1077</v>
      </c>
      <c r="I902" s="504"/>
      <c r="J902" s="505">
        <v>14.62</v>
      </c>
      <c r="K902" s="505">
        <v>1.57</v>
      </c>
      <c r="L902" s="70"/>
    </row>
    <row r="903" spans="1:12" ht="25.5" x14ac:dyDescent="0.25">
      <c r="A903" s="501" t="s">
        <v>1732</v>
      </c>
      <c r="B903" s="502" t="s">
        <v>1974</v>
      </c>
      <c r="C903" s="501" t="s">
        <v>993</v>
      </c>
      <c r="D903" s="501" t="s">
        <v>1975</v>
      </c>
      <c r="E903" s="602" t="s">
        <v>1746</v>
      </c>
      <c r="F903" s="602"/>
      <c r="G903" s="503" t="s">
        <v>45</v>
      </c>
      <c r="H903" s="504">
        <v>5.1999999999999998E-3</v>
      </c>
      <c r="I903" s="504"/>
      <c r="J903" s="505">
        <v>172.18</v>
      </c>
      <c r="K903" s="505">
        <v>0.89</v>
      </c>
      <c r="L903" s="70"/>
    </row>
    <row r="904" spans="1:12" ht="25.5" x14ac:dyDescent="0.25">
      <c r="A904" s="501" t="s">
        <v>1732</v>
      </c>
      <c r="B904" s="502" t="s">
        <v>1854</v>
      </c>
      <c r="C904" s="501" t="s">
        <v>993</v>
      </c>
      <c r="D904" s="501" t="s">
        <v>1855</v>
      </c>
      <c r="E904" s="602" t="s">
        <v>1746</v>
      </c>
      <c r="F904" s="602"/>
      <c r="G904" s="503" t="s">
        <v>1222</v>
      </c>
      <c r="H904" s="504">
        <v>2.27</v>
      </c>
      <c r="I904" s="504"/>
      <c r="J904" s="505">
        <v>0.65</v>
      </c>
      <c r="K904" s="505">
        <v>1.47</v>
      </c>
      <c r="L904" s="70"/>
    </row>
    <row r="905" spans="1:12" ht="15.75" customHeight="1" x14ac:dyDescent="0.25">
      <c r="A905" s="445"/>
      <c r="B905" s="445"/>
      <c r="C905" s="445"/>
      <c r="D905" s="445"/>
      <c r="E905" s="445" t="s">
        <v>1735</v>
      </c>
      <c r="F905" s="506">
        <v>3.69</v>
      </c>
      <c r="G905" s="445" t="s">
        <v>1736</v>
      </c>
      <c r="H905" s="506">
        <v>0</v>
      </c>
      <c r="I905" s="445" t="s">
        <v>1737</v>
      </c>
      <c r="J905" s="506">
        <v>3.69</v>
      </c>
      <c r="K905" s="70"/>
      <c r="L905" s="70"/>
    </row>
    <row r="906" spans="1:12" ht="17.25" thickBot="1" x14ac:dyDescent="0.3">
      <c r="A906" s="445"/>
      <c r="B906" s="445"/>
      <c r="C906" s="445"/>
      <c r="D906" s="445"/>
      <c r="E906" s="445" t="s">
        <v>1738</v>
      </c>
      <c r="F906" s="506">
        <v>1.49072</v>
      </c>
      <c r="G906" s="445"/>
      <c r="H906" s="606" t="s">
        <v>1739</v>
      </c>
      <c r="I906" s="606"/>
      <c r="J906" s="506">
        <v>7.54</v>
      </c>
      <c r="K906" s="70"/>
      <c r="L906" s="70"/>
    </row>
    <row r="907" spans="1:12" ht="17.25" thickTop="1" x14ac:dyDescent="0.25">
      <c r="A907" s="507"/>
      <c r="B907" s="507"/>
      <c r="C907" s="507"/>
      <c r="D907" s="507"/>
      <c r="E907" s="507"/>
      <c r="F907" s="507"/>
      <c r="G907" s="507"/>
      <c r="H907" s="507"/>
      <c r="I907" s="507"/>
      <c r="J907" s="507"/>
      <c r="K907" s="507"/>
      <c r="L907" s="70"/>
    </row>
    <row r="908" spans="1:12" ht="16.5" x14ac:dyDescent="0.25">
      <c r="A908" s="419" t="s">
        <v>1325</v>
      </c>
      <c r="B908" s="421" t="s">
        <v>76</v>
      </c>
      <c r="C908" s="419" t="s">
        <v>991</v>
      </c>
      <c r="D908" s="419" t="s">
        <v>191</v>
      </c>
      <c r="E908" s="603" t="s">
        <v>77</v>
      </c>
      <c r="F908" s="603"/>
      <c r="G908" s="420" t="s">
        <v>103</v>
      </c>
      <c r="H908" s="421" t="s">
        <v>147</v>
      </c>
      <c r="I908" s="421" t="s">
        <v>1731</v>
      </c>
      <c r="J908" s="421" t="s">
        <v>1117</v>
      </c>
      <c r="K908" s="421" t="s">
        <v>104</v>
      </c>
      <c r="L908" s="70"/>
    </row>
    <row r="909" spans="1:12" ht="25.5" x14ac:dyDescent="0.25">
      <c r="A909" s="441" t="s">
        <v>79</v>
      </c>
      <c r="B909" s="480" t="s">
        <v>1326</v>
      </c>
      <c r="C909" s="441" t="s">
        <v>993</v>
      </c>
      <c r="D909" s="441" t="s">
        <v>905</v>
      </c>
      <c r="E909" s="604">
        <v>2002</v>
      </c>
      <c r="F909" s="604"/>
      <c r="G909" s="443" t="s">
        <v>19</v>
      </c>
      <c r="H909" s="500">
        <v>1</v>
      </c>
      <c r="I909" s="442"/>
      <c r="J909" s="442">
        <v>24.2</v>
      </c>
      <c r="K909" s="442">
        <v>24.2</v>
      </c>
      <c r="L909" s="70"/>
    </row>
    <row r="910" spans="1:12" ht="25.5" x14ac:dyDescent="0.25">
      <c r="A910" s="501" t="s">
        <v>1732</v>
      </c>
      <c r="B910" s="502" t="s">
        <v>992</v>
      </c>
      <c r="C910" s="501" t="s">
        <v>993</v>
      </c>
      <c r="D910" s="501" t="s">
        <v>994</v>
      </c>
      <c r="E910" s="602" t="s">
        <v>972</v>
      </c>
      <c r="F910" s="602"/>
      <c r="G910" s="503" t="s">
        <v>81</v>
      </c>
      <c r="H910" s="504">
        <v>0.4501</v>
      </c>
      <c r="I910" s="504"/>
      <c r="J910" s="505">
        <v>14.62</v>
      </c>
      <c r="K910" s="505">
        <v>6.58</v>
      </c>
      <c r="L910" s="70"/>
    </row>
    <row r="911" spans="1:12" ht="25.5" x14ac:dyDescent="0.25">
      <c r="A911" s="501" t="s">
        <v>1732</v>
      </c>
      <c r="B911" s="502" t="s">
        <v>1003</v>
      </c>
      <c r="C911" s="501" t="s">
        <v>993</v>
      </c>
      <c r="D911" s="501" t="s">
        <v>1004</v>
      </c>
      <c r="E911" s="602" t="s">
        <v>972</v>
      </c>
      <c r="F911" s="602"/>
      <c r="G911" s="503" t="s">
        <v>81</v>
      </c>
      <c r="H911" s="504">
        <v>0.3528</v>
      </c>
      <c r="I911" s="504"/>
      <c r="J911" s="505">
        <v>23.41</v>
      </c>
      <c r="K911" s="505">
        <v>8.25</v>
      </c>
      <c r="L911" s="70"/>
    </row>
    <row r="912" spans="1:12" ht="25.5" x14ac:dyDescent="0.25">
      <c r="A912" s="501" t="s">
        <v>1732</v>
      </c>
      <c r="B912" s="502" t="s">
        <v>1854</v>
      </c>
      <c r="C912" s="501" t="s">
        <v>993</v>
      </c>
      <c r="D912" s="501" t="s">
        <v>1855</v>
      </c>
      <c r="E912" s="602" t="s">
        <v>1746</v>
      </c>
      <c r="F912" s="602"/>
      <c r="G912" s="503" t="s">
        <v>1222</v>
      </c>
      <c r="H912" s="504">
        <v>7.665</v>
      </c>
      <c r="I912" s="504"/>
      <c r="J912" s="505">
        <v>0.65</v>
      </c>
      <c r="K912" s="505">
        <v>4.9800000000000004</v>
      </c>
      <c r="L912" s="70"/>
    </row>
    <row r="913" spans="1:12" ht="25.5" x14ac:dyDescent="0.25">
      <c r="A913" s="501" t="s">
        <v>1732</v>
      </c>
      <c r="B913" s="502" t="s">
        <v>1974</v>
      </c>
      <c r="C913" s="501" t="s">
        <v>993</v>
      </c>
      <c r="D913" s="501" t="s">
        <v>1975</v>
      </c>
      <c r="E913" s="602" t="s">
        <v>1746</v>
      </c>
      <c r="F913" s="602"/>
      <c r="G913" s="503" t="s">
        <v>45</v>
      </c>
      <c r="H913" s="504">
        <v>2.5499999999999998E-2</v>
      </c>
      <c r="I913" s="504"/>
      <c r="J913" s="505">
        <v>172.18</v>
      </c>
      <c r="K913" s="505">
        <v>4.3899999999999997</v>
      </c>
      <c r="L913" s="70"/>
    </row>
    <row r="914" spans="1:12" ht="15.75" customHeight="1" x14ac:dyDescent="0.25">
      <c r="A914" s="445"/>
      <c r="B914" s="445"/>
      <c r="C914" s="445"/>
      <c r="D914" s="445"/>
      <c r="E914" s="445" t="s">
        <v>1735</v>
      </c>
      <c r="F914" s="506">
        <v>14.83</v>
      </c>
      <c r="G914" s="445" t="s">
        <v>1736</v>
      </c>
      <c r="H914" s="506">
        <v>0</v>
      </c>
      <c r="I914" s="445" t="s">
        <v>1737</v>
      </c>
      <c r="J914" s="506">
        <v>14.83</v>
      </c>
      <c r="K914" s="70"/>
      <c r="L914" s="70"/>
    </row>
    <row r="915" spans="1:12" ht="17.25" thickBot="1" x14ac:dyDescent="0.3">
      <c r="A915" s="445"/>
      <c r="B915" s="445"/>
      <c r="C915" s="445"/>
      <c r="D915" s="445"/>
      <c r="E915" s="445" t="s">
        <v>1738</v>
      </c>
      <c r="F915" s="506">
        <v>5.9628800000000002</v>
      </c>
      <c r="G915" s="445"/>
      <c r="H915" s="606" t="s">
        <v>1739</v>
      </c>
      <c r="I915" s="606"/>
      <c r="J915" s="506">
        <v>30.16</v>
      </c>
      <c r="K915" s="70"/>
      <c r="L915" s="70"/>
    </row>
    <row r="916" spans="1:12" ht="17.25" thickTop="1" x14ac:dyDescent="0.25">
      <c r="A916" s="507"/>
      <c r="B916" s="507"/>
      <c r="C916" s="507"/>
      <c r="D916" s="507"/>
      <c r="E916" s="507"/>
      <c r="F916" s="507"/>
      <c r="G916" s="507"/>
      <c r="H916" s="507"/>
      <c r="I916" s="507"/>
      <c r="J916" s="507"/>
      <c r="K916" s="507"/>
      <c r="L916" s="70"/>
    </row>
    <row r="917" spans="1:12" ht="16.5" x14ac:dyDescent="0.25">
      <c r="A917" s="419" t="s">
        <v>1327</v>
      </c>
      <c r="B917" s="421" t="s">
        <v>76</v>
      </c>
      <c r="C917" s="419" t="s">
        <v>991</v>
      </c>
      <c r="D917" s="419" t="s">
        <v>191</v>
      </c>
      <c r="E917" s="603" t="s">
        <v>77</v>
      </c>
      <c r="F917" s="603"/>
      <c r="G917" s="420" t="s">
        <v>103</v>
      </c>
      <c r="H917" s="421" t="s">
        <v>147</v>
      </c>
      <c r="I917" s="421" t="s">
        <v>1731</v>
      </c>
      <c r="J917" s="421" t="s">
        <v>1117</v>
      </c>
      <c r="K917" s="421" t="s">
        <v>104</v>
      </c>
      <c r="L917" s="70"/>
    </row>
    <row r="918" spans="1:12" ht="25.5" x14ac:dyDescent="0.25">
      <c r="A918" s="441" t="s">
        <v>79</v>
      </c>
      <c r="B918" s="480" t="s">
        <v>1328</v>
      </c>
      <c r="C918" s="441" t="s">
        <v>993</v>
      </c>
      <c r="D918" s="441" t="s">
        <v>906</v>
      </c>
      <c r="E918" s="604">
        <v>2005</v>
      </c>
      <c r="F918" s="604"/>
      <c r="G918" s="443" t="s">
        <v>19</v>
      </c>
      <c r="H918" s="500">
        <v>1</v>
      </c>
      <c r="I918" s="442"/>
      <c r="J918" s="442">
        <v>30.01</v>
      </c>
      <c r="K918" s="442">
        <v>30.01</v>
      </c>
      <c r="L918" s="70"/>
    </row>
    <row r="919" spans="1:12" ht="25.5" x14ac:dyDescent="0.25">
      <c r="A919" s="501" t="s">
        <v>1732</v>
      </c>
      <c r="B919" s="502" t="s">
        <v>1003</v>
      </c>
      <c r="C919" s="501" t="s">
        <v>993</v>
      </c>
      <c r="D919" s="501" t="s">
        <v>1004</v>
      </c>
      <c r="E919" s="602" t="s">
        <v>972</v>
      </c>
      <c r="F919" s="602"/>
      <c r="G919" s="503" t="s">
        <v>81</v>
      </c>
      <c r="H919" s="504">
        <v>0.52500000000000002</v>
      </c>
      <c r="I919" s="504"/>
      <c r="J919" s="505">
        <v>23.41</v>
      </c>
      <c r="K919" s="505">
        <v>12.29</v>
      </c>
      <c r="L919" s="70"/>
    </row>
    <row r="920" spans="1:12" ht="25.5" x14ac:dyDescent="0.25">
      <c r="A920" s="501" t="s">
        <v>1732</v>
      </c>
      <c r="B920" s="502" t="s">
        <v>992</v>
      </c>
      <c r="C920" s="501" t="s">
        <v>993</v>
      </c>
      <c r="D920" s="501" t="s">
        <v>994</v>
      </c>
      <c r="E920" s="602" t="s">
        <v>972</v>
      </c>
      <c r="F920" s="602"/>
      <c r="G920" s="503" t="s">
        <v>81</v>
      </c>
      <c r="H920" s="504">
        <v>0.56320000000000003</v>
      </c>
      <c r="I920" s="504"/>
      <c r="J920" s="505">
        <v>14.62</v>
      </c>
      <c r="K920" s="505">
        <v>8.23</v>
      </c>
      <c r="L920" s="70"/>
    </row>
    <row r="921" spans="1:12" ht="25.5" x14ac:dyDescent="0.25">
      <c r="A921" s="501" t="s">
        <v>1732</v>
      </c>
      <c r="B921" s="502" t="s">
        <v>1974</v>
      </c>
      <c r="C921" s="501" t="s">
        <v>993</v>
      </c>
      <c r="D921" s="501" t="s">
        <v>1975</v>
      </c>
      <c r="E921" s="602" t="s">
        <v>1746</v>
      </c>
      <c r="F921" s="602"/>
      <c r="G921" s="503" t="s">
        <v>45</v>
      </c>
      <c r="H921" s="504">
        <v>3.32E-2</v>
      </c>
      <c r="I921" s="504"/>
      <c r="J921" s="505">
        <v>172.18</v>
      </c>
      <c r="K921" s="505">
        <v>5.71</v>
      </c>
      <c r="L921" s="70"/>
    </row>
    <row r="922" spans="1:12" ht="25.5" x14ac:dyDescent="0.25">
      <c r="A922" s="501" t="s">
        <v>1732</v>
      </c>
      <c r="B922" s="502" t="s">
        <v>2022</v>
      </c>
      <c r="C922" s="501" t="s">
        <v>993</v>
      </c>
      <c r="D922" s="501" t="s">
        <v>2023</v>
      </c>
      <c r="E922" s="602" t="s">
        <v>1746</v>
      </c>
      <c r="F922" s="602"/>
      <c r="G922" s="503" t="s">
        <v>1222</v>
      </c>
      <c r="H922" s="504">
        <v>3.8220000000000001</v>
      </c>
      <c r="I922" s="504"/>
      <c r="J922" s="505">
        <v>0.99</v>
      </c>
      <c r="K922" s="505">
        <v>3.78</v>
      </c>
      <c r="L922" s="70"/>
    </row>
    <row r="923" spans="1:12" ht="15.75" customHeight="1" x14ac:dyDescent="0.25">
      <c r="A923" s="445"/>
      <c r="B923" s="445"/>
      <c r="C923" s="445"/>
      <c r="D923" s="445"/>
      <c r="E923" s="445" t="s">
        <v>1735</v>
      </c>
      <c r="F923" s="506">
        <v>20.52</v>
      </c>
      <c r="G923" s="445" t="s">
        <v>1736</v>
      </c>
      <c r="H923" s="506">
        <v>0</v>
      </c>
      <c r="I923" s="445" t="s">
        <v>1737</v>
      </c>
      <c r="J923" s="506">
        <v>20.52</v>
      </c>
      <c r="K923" s="70"/>
      <c r="L923" s="70"/>
    </row>
    <row r="924" spans="1:12" ht="17.25" thickBot="1" x14ac:dyDescent="0.3">
      <c r="A924" s="445"/>
      <c r="B924" s="445"/>
      <c r="C924" s="445"/>
      <c r="D924" s="445"/>
      <c r="E924" s="445" t="s">
        <v>1738</v>
      </c>
      <c r="F924" s="506">
        <v>7.3944640000000001</v>
      </c>
      <c r="G924" s="445"/>
      <c r="H924" s="606" t="s">
        <v>1739</v>
      </c>
      <c r="I924" s="606"/>
      <c r="J924" s="506">
        <v>37.4</v>
      </c>
      <c r="K924" s="70"/>
      <c r="L924" s="70"/>
    </row>
    <row r="925" spans="1:12" ht="17.25" thickTop="1" x14ac:dyDescent="0.25">
      <c r="A925" s="507"/>
      <c r="B925" s="507"/>
      <c r="C925" s="507"/>
      <c r="D925" s="507"/>
      <c r="E925" s="507"/>
      <c r="F925" s="507"/>
      <c r="G925" s="507"/>
      <c r="H925" s="507"/>
      <c r="I925" s="507"/>
      <c r="J925" s="507"/>
      <c r="K925" s="507"/>
      <c r="L925" s="70"/>
    </row>
    <row r="926" spans="1:12" ht="16.5" x14ac:dyDescent="0.25">
      <c r="A926" s="419" t="s">
        <v>1330</v>
      </c>
      <c r="B926" s="421" t="s">
        <v>76</v>
      </c>
      <c r="C926" s="419" t="s">
        <v>991</v>
      </c>
      <c r="D926" s="419" t="s">
        <v>191</v>
      </c>
      <c r="E926" s="603" t="s">
        <v>77</v>
      </c>
      <c r="F926" s="603"/>
      <c r="G926" s="420" t="s">
        <v>103</v>
      </c>
      <c r="H926" s="421" t="s">
        <v>147</v>
      </c>
      <c r="I926" s="421" t="s">
        <v>1731</v>
      </c>
      <c r="J926" s="421" t="s">
        <v>1117</v>
      </c>
      <c r="K926" s="421" t="s">
        <v>104</v>
      </c>
      <c r="L926" s="70"/>
    </row>
    <row r="927" spans="1:12" ht="25.5" x14ac:dyDescent="0.25">
      <c r="A927" s="441" t="s">
        <v>79</v>
      </c>
      <c r="B927" s="480" t="s">
        <v>1331</v>
      </c>
      <c r="C927" s="441" t="s">
        <v>993</v>
      </c>
      <c r="D927" s="441" t="s">
        <v>907</v>
      </c>
      <c r="E927" s="604">
        <v>2010</v>
      </c>
      <c r="F927" s="604"/>
      <c r="G927" s="443" t="s">
        <v>19</v>
      </c>
      <c r="H927" s="500">
        <v>1</v>
      </c>
      <c r="I927" s="442"/>
      <c r="J927" s="442">
        <v>210.03</v>
      </c>
      <c r="K927" s="442">
        <v>210.03</v>
      </c>
      <c r="L927" s="70"/>
    </row>
    <row r="928" spans="1:12" ht="25.5" x14ac:dyDescent="0.25">
      <c r="A928" s="501" t="s">
        <v>1732</v>
      </c>
      <c r="B928" s="502" t="s">
        <v>2253</v>
      </c>
      <c r="C928" s="501" t="s">
        <v>993</v>
      </c>
      <c r="D928" s="501" t="s">
        <v>2254</v>
      </c>
      <c r="E928" s="602" t="s">
        <v>972</v>
      </c>
      <c r="F928" s="602"/>
      <c r="G928" s="503" t="s">
        <v>81</v>
      </c>
      <c r="H928" s="504">
        <v>0.35730000000000001</v>
      </c>
      <c r="I928" s="504"/>
      <c r="J928" s="505">
        <v>23.41</v>
      </c>
      <c r="K928" s="505">
        <v>8.36</v>
      </c>
      <c r="L928" s="70"/>
    </row>
    <row r="929" spans="1:12" ht="25.5" x14ac:dyDescent="0.25">
      <c r="A929" s="501" t="s">
        <v>1732</v>
      </c>
      <c r="B929" s="502" t="s">
        <v>992</v>
      </c>
      <c r="C929" s="501" t="s">
        <v>993</v>
      </c>
      <c r="D929" s="501" t="s">
        <v>994</v>
      </c>
      <c r="E929" s="602" t="s">
        <v>972</v>
      </c>
      <c r="F929" s="602"/>
      <c r="G929" s="503" t="s">
        <v>81</v>
      </c>
      <c r="H929" s="504">
        <v>0.66100000000000003</v>
      </c>
      <c r="I929" s="504"/>
      <c r="J929" s="505">
        <v>14.62</v>
      </c>
      <c r="K929" s="505">
        <v>9.66</v>
      </c>
      <c r="L929" s="70"/>
    </row>
    <row r="930" spans="1:12" ht="25.5" x14ac:dyDescent="0.25">
      <c r="A930" s="501" t="s">
        <v>1732</v>
      </c>
      <c r="B930" s="502" t="s">
        <v>2255</v>
      </c>
      <c r="C930" s="501" t="s">
        <v>993</v>
      </c>
      <c r="D930" s="501" t="s">
        <v>2256</v>
      </c>
      <c r="E930" s="602" t="s">
        <v>1746</v>
      </c>
      <c r="F930" s="602"/>
      <c r="G930" s="503" t="s">
        <v>19</v>
      </c>
      <c r="H930" s="504">
        <v>1.02</v>
      </c>
      <c r="I930" s="504"/>
      <c r="J930" s="505">
        <v>151.51</v>
      </c>
      <c r="K930" s="505">
        <v>154.54</v>
      </c>
      <c r="L930" s="70"/>
    </row>
    <row r="931" spans="1:12" ht="25.5" x14ac:dyDescent="0.25">
      <c r="A931" s="501" t="s">
        <v>1732</v>
      </c>
      <c r="B931" s="502" t="s">
        <v>2257</v>
      </c>
      <c r="C931" s="501" t="s">
        <v>993</v>
      </c>
      <c r="D931" s="501" t="s">
        <v>2258</v>
      </c>
      <c r="E931" s="602" t="s">
        <v>1746</v>
      </c>
      <c r="F931" s="602"/>
      <c r="G931" s="503" t="s">
        <v>1222</v>
      </c>
      <c r="H931" s="504">
        <v>3</v>
      </c>
      <c r="I931" s="504"/>
      <c r="J931" s="505">
        <v>7.66</v>
      </c>
      <c r="K931" s="505">
        <v>22.98</v>
      </c>
      <c r="L931" s="70"/>
    </row>
    <row r="932" spans="1:12" ht="25.5" x14ac:dyDescent="0.25">
      <c r="A932" s="501" t="s">
        <v>1732</v>
      </c>
      <c r="B932" s="502" t="s">
        <v>2259</v>
      </c>
      <c r="C932" s="501" t="s">
        <v>993</v>
      </c>
      <c r="D932" s="501" t="s">
        <v>2260</v>
      </c>
      <c r="E932" s="602" t="s">
        <v>1746</v>
      </c>
      <c r="F932" s="602"/>
      <c r="G932" s="503" t="s">
        <v>1222</v>
      </c>
      <c r="H932" s="504">
        <v>7</v>
      </c>
      <c r="I932" s="504"/>
      <c r="J932" s="505">
        <v>2.0699999999999998</v>
      </c>
      <c r="K932" s="505">
        <v>14.49</v>
      </c>
      <c r="L932" s="70"/>
    </row>
    <row r="933" spans="1:12" ht="15.75" customHeight="1" x14ac:dyDescent="0.25">
      <c r="A933" s="445"/>
      <c r="B933" s="445"/>
      <c r="C933" s="445"/>
      <c r="D933" s="445"/>
      <c r="E933" s="445" t="s">
        <v>1735</v>
      </c>
      <c r="F933" s="506">
        <v>18.02</v>
      </c>
      <c r="G933" s="445" t="s">
        <v>1736</v>
      </c>
      <c r="H933" s="506">
        <v>0</v>
      </c>
      <c r="I933" s="445" t="s">
        <v>1737</v>
      </c>
      <c r="J933" s="506">
        <v>18.02</v>
      </c>
      <c r="K933" s="70"/>
      <c r="L933" s="70"/>
    </row>
    <row r="934" spans="1:12" ht="17.25" thickBot="1" x14ac:dyDescent="0.3">
      <c r="A934" s="445"/>
      <c r="B934" s="445"/>
      <c r="C934" s="445"/>
      <c r="D934" s="445"/>
      <c r="E934" s="445" t="s">
        <v>1738</v>
      </c>
      <c r="F934" s="506">
        <v>51.751392000000003</v>
      </c>
      <c r="G934" s="445"/>
      <c r="H934" s="606" t="s">
        <v>1739</v>
      </c>
      <c r="I934" s="606"/>
      <c r="J934" s="506">
        <v>261.77999999999997</v>
      </c>
      <c r="K934" s="70"/>
      <c r="L934" s="70"/>
    </row>
    <row r="935" spans="1:12" ht="17.25" thickTop="1" x14ac:dyDescent="0.25">
      <c r="A935" s="507"/>
      <c r="B935" s="507"/>
      <c r="C935" s="507"/>
      <c r="D935" s="507"/>
      <c r="E935" s="507"/>
      <c r="F935" s="507"/>
      <c r="G935" s="507"/>
      <c r="H935" s="507"/>
      <c r="I935" s="507"/>
      <c r="J935" s="507"/>
      <c r="K935" s="507"/>
      <c r="L935" s="70"/>
    </row>
    <row r="936" spans="1:12" ht="16.5" x14ac:dyDescent="0.25">
      <c r="A936" s="419" t="s">
        <v>1335</v>
      </c>
      <c r="B936" s="421" t="s">
        <v>76</v>
      </c>
      <c r="C936" s="419" t="s">
        <v>991</v>
      </c>
      <c r="D936" s="419" t="s">
        <v>191</v>
      </c>
      <c r="E936" s="603" t="s">
        <v>77</v>
      </c>
      <c r="F936" s="603"/>
      <c r="G936" s="420" t="s">
        <v>103</v>
      </c>
      <c r="H936" s="421" t="s">
        <v>147</v>
      </c>
      <c r="I936" s="421" t="s">
        <v>1731</v>
      </c>
      <c r="J936" s="421" t="s">
        <v>1117</v>
      </c>
      <c r="K936" s="421" t="s">
        <v>104</v>
      </c>
      <c r="L936" s="70"/>
    </row>
    <row r="937" spans="1:12" ht="25.5" x14ac:dyDescent="0.25">
      <c r="A937" s="441" t="s">
        <v>79</v>
      </c>
      <c r="B937" s="480" t="s">
        <v>1336</v>
      </c>
      <c r="C937" s="441" t="s">
        <v>993</v>
      </c>
      <c r="D937" s="441" t="s">
        <v>682</v>
      </c>
      <c r="E937" s="604">
        <v>2201</v>
      </c>
      <c r="F937" s="604"/>
      <c r="G937" s="443" t="s">
        <v>19</v>
      </c>
      <c r="H937" s="500">
        <v>1</v>
      </c>
      <c r="I937" s="442"/>
      <c r="J937" s="442">
        <v>88.79</v>
      </c>
      <c r="K937" s="442">
        <v>88.79</v>
      </c>
      <c r="L937" s="70"/>
    </row>
    <row r="938" spans="1:12" ht="25.5" x14ac:dyDescent="0.25">
      <c r="A938" s="501" t="s">
        <v>1732</v>
      </c>
      <c r="B938" s="502" t="s">
        <v>1003</v>
      </c>
      <c r="C938" s="501" t="s">
        <v>993</v>
      </c>
      <c r="D938" s="501" t="s">
        <v>1004</v>
      </c>
      <c r="E938" s="602" t="s">
        <v>972</v>
      </c>
      <c r="F938" s="602"/>
      <c r="G938" s="503" t="s">
        <v>81</v>
      </c>
      <c r="H938" s="504">
        <v>0.41720000000000002</v>
      </c>
      <c r="I938" s="504"/>
      <c r="J938" s="505">
        <v>23.41</v>
      </c>
      <c r="K938" s="505">
        <v>9.76</v>
      </c>
      <c r="L938" s="70"/>
    </row>
    <row r="939" spans="1:12" ht="25.5" x14ac:dyDescent="0.25">
      <c r="A939" s="501" t="s">
        <v>1732</v>
      </c>
      <c r="B939" s="502" t="s">
        <v>1023</v>
      </c>
      <c r="C939" s="501" t="s">
        <v>993</v>
      </c>
      <c r="D939" s="501" t="s">
        <v>1024</v>
      </c>
      <c r="E939" s="602" t="s">
        <v>972</v>
      </c>
      <c r="F939" s="602"/>
      <c r="G939" s="503" t="s">
        <v>81</v>
      </c>
      <c r="H939" s="504">
        <v>0.1497</v>
      </c>
      <c r="I939" s="504"/>
      <c r="J939" s="505">
        <v>17.559999999999999</v>
      </c>
      <c r="K939" s="505">
        <v>2.62</v>
      </c>
      <c r="L939" s="70"/>
    </row>
    <row r="940" spans="1:12" ht="25.5" x14ac:dyDescent="0.25">
      <c r="A940" s="501" t="s">
        <v>1732</v>
      </c>
      <c r="B940" s="502" t="s">
        <v>1009</v>
      </c>
      <c r="C940" s="501" t="s">
        <v>993</v>
      </c>
      <c r="D940" s="501" t="s">
        <v>1010</v>
      </c>
      <c r="E940" s="602" t="s">
        <v>972</v>
      </c>
      <c r="F940" s="602"/>
      <c r="G940" s="503" t="s">
        <v>81</v>
      </c>
      <c r="H940" s="504">
        <v>0.1497</v>
      </c>
      <c r="I940" s="504"/>
      <c r="J940" s="505">
        <v>23.41</v>
      </c>
      <c r="K940" s="505">
        <v>3.5</v>
      </c>
      <c r="L940" s="70"/>
    </row>
    <row r="941" spans="1:12" ht="25.5" x14ac:dyDescent="0.25">
      <c r="A941" s="501" t="s">
        <v>1732</v>
      </c>
      <c r="B941" s="502" t="s">
        <v>992</v>
      </c>
      <c r="C941" s="501" t="s">
        <v>993</v>
      </c>
      <c r="D941" s="501" t="s">
        <v>994</v>
      </c>
      <c r="E941" s="602" t="s">
        <v>972</v>
      </c>
      <c r="F941" s="602"/>
      <c r="G941" s="503" t="s">
        <v>81</v>
      </c>
      <c r="H941" s="504">
        <v>1.8222</v>
      </c>
      <c r="I941" s="504"/>
      <c r="J941" s="505">
        <v>14.62</v>
      </c>
      <c r="K941" s="505">
        <v>26.64</v>
      </c>
      <c r="L941" s="70"/>
    </row>
    <row r="942" spans="1:12" ht="25.5" x14ac:dyDescent="0.25">
      <c r="A942" s="501" t="s">
        <v>1732</v>
      </c>
      <c r="B942" s="502" t="s">
        <v>1756</v>
      </c>
      <c r="C942" s="501" t="s">
        <v>993</v>
      </c>
      <c r="D942" s="501" t="s">
        <v>1757</v>
      </c>
      <c r="E942" s="602" t="s">
        <v>1746</v>
      </c>
      <c r="F942" s="602"/>
      <c r="G942" s="503" t="s">
        <v>45</v>
      </c>
      <c r="H942" s="504">
        <v>6.0299999999999999E-2</v>
      </c>
      <c r="I942" s="504"/>
      <c r="J942" s="505">
        <v>152.69</v>
      </c>
      <c r="K942" s="505">
        <v>9.1999999999999993</v>
      </c>
      <c r="L942" s="70"/>
    </row>
    <row r="943" spans="1:12" ht="25.5" x14ac:dyDescent="0.25">
      <c r="A943" s="501" t="s">
        <v>1732</v>
      </c>
      <c r="B943" s="502" t="s">
        <v>2261</v>
      </c>
      <c r="C943" s="501" t="s">
        <v>993</v>
      </c>
      <c r="D943" s="501" t="s">
        <v>2262</v>
      </c>
      <c r="E943" s="602" t="s">
        <v>1746</v>
      </c>
      <c r="F943" s="602"/>
      <c r="G943" s="503" t="s">
        <v>1751</v>
      </c>
      <c r="H943" s="504">
        <v>1.7500000000000002E-2</v>
      </c>
      <c r="I943" s="504"/>
      <c r="J943" s="505">
        <v>16.09</v>
      </c>
      <c r="K943" s="505">
        <v>0.28000000000000003</v>
      </c>
      <c r="L943" s="70"/>
    </row>
    <row r="944" spans="1:12" ht="25.5" x14ac:dyDescent="0.25">
      <c r="A944" s="501" t="s">
        <v>1732</v>
      </c>
      <c r="B944" s="502" t="s">
        <v>1872</v>
      </c>
      <c r="C944" s="501" t="s">
        <v>993</v>
      </c>
      <c r="D944" s="501" t="s">
        <v>1873</v>
      </c>
      <c r="E944" s="602" t="s">
        <v>1746</v>
      </c>
      <c r="F944" s="602"/>
      <c r="G944" s="503" t="s">
        <v>45</v>
      </c>
      <c r="H944" s="504">
        <v>2.6499999999999999E-2</v>
      </c>
      <c r="I944" s="504"/>
      <c r="J944" s="505">
        <v>149.94999999999999</v>
      </c>
      <c r="K944" s="505">
        <v>3.97</v>
      </c>
      <c r="L944" s="70"/>
    </row>
    <row r="945" spans="1:12" ht="25.5" x14ac:dyDescent="0.25">
      <c r="A945" s="501" t="s">
        <v>1732</v>
      </c>
      <c r="B945" s="502" t="s">
        <v>1854</v>
      </c>
      <c r="C945" s="501" t="s">
        <v>993</v>
      </c>
      <c r="D945" s="501" t="s">
        <v>1855</v>
      </c>
      <c r="E945" s="602" t="s">
        <v>1746</v>
      </c>
      <c r="F945" s="602"/>
      <c r="G945" s="503" t="s">
        <v>1222</v>
      </c>
      <c r="H945" s="504">
        <v>23.934999999999999</v>
      </c>
      <c r="I945" s="504"/>
      <c r="J945" s="505">
        <v>0.65</v>
      </c>
      <c r="K945" s="505">
        <v>15.55</v>
      </c>
      <c r="L945" s="70"/>
    </row>
    <row r="946" spans="1:12" ht="25.5" x14ac:dyDescent="0.25">
      <c r="A946" s="501" t="s">
        <v>1732</v>
      </c>
      <c r="B946" s="502" t="s">
        <v>1874</v>
      </c>
      <c r="C946" s="501" t="s">
        <v>993</v>
      </c>
      <c r="D946" s="501" t="s">
        <v>1875</v>
      </c>
      <c r="E946" s="602" t="s">
        <v>1746</v>
      </c>
      <c r="F946" s="602"/>
      <c r="G946" s="503" t="s">
        <v>45</v>
      </c>
      <c r="H946" s="504">
        <v>2.6499999999999999E-2</v>
      </c>
      <c r="I946" s="504"/>
      <c r="J946" s="505">
        <v>148.97999999999999</v>
      </c>
      <c r="K946" s="505">
        <v>3.94</v>
      </c>
      <c r="L946" s="70"/>
    </row>
    <row r="947" spans="1:12" ht="25.5" x14ac:dyDescent="0.25">
      <c r="A947" s="501" t="s">
        <v>1732</v>
      </c>
      <c r="B947" s="502" t="s">
        <v>1936</v>
      </c>
      <c r="C947" s="501" t="s">
        <v>993</v>
      </c>
      <c r="D947" s="501" t="s">
        <v>1937</v>
      </c>
      <c r="E947" s="602" t="s">
        <v>1746</v>
      </c>
      <c r="F947" s="602"/>
      <c r="G947" s="503" t="s">
        <v>41</v>
      </c>
      <c r="H947" s="504">
        <v>0.51419999999999999</v>
      </c>
      <c r="I947" s="504"/>
      <c r="J947" s="505">
        <v>12.8</v>
      </c>
      <c r="K947" s="505">
        <v>6.58</v>
      </c>
      <c r="L947" s="70"/>
    </row>
    <row r="948" spans="1:12" ht="25.5" x14ac:dyDescent="0.25">
      <c r="A948" s="501" t="s">
        <v>1732</v>
      </c>
      <c r="B948" s="502" t="s">
        <v>1798</v>
      </c>
      <c r="C948" s="501" t="s">
        <v>993</v>
      </c>
      <c r="D948" s="501" t="s">
        <v>1799</v>
      </c>
      <c r="E948" s="602" t="s">
        <v>1746</v>
      </c>
      <c r="F948" s="602"/>
      <c r="G948" s="503" t="s">
        <v>41</v>
      </c>
      <c r="H948" s="504">
        <v>0.70620000000000005</v>
      </c>
      <c r="I948" s="504"/>
      <c r="J948" s="505">
        <v>8.2100000000000009</v>
      </c>
      <c r="K948" s="505">
        <v>5.79</v>
      </c>
      <c r="L948" s="70"/>
    </row>
    <row r="949" spans="1:12" ht="25.5" x14ac:dyDescent="0.25">
      <c r="A949" s="501" t="s">
        <v>1732</v>
      </c>
      <c r="B949" s="502" t="s">
        <v>1796</v>
      </c>
      <c r="C949" s="501" t="s">
        <v>993</v>
      </c>
      <c r="D949" s="501" t="s">
        <v>1797</v>
      </c>
      <c r="E949" s="602" t="s">
        <v>1746</v>
      </c>
      <c r="F949" s="602"/>
      <c r="G949" s="503" t="s">
        <v>1222</v>
      </c>
      <c r="H949" s="504">
        <v>4.3799999999999999E-2</v>
      </c>
      <c r="I949" s="504"/>
      <c r="J949" s="505">
        <v>21.99</v>
      </c>
      <c r="K949" s="505">
        <v>0.96</v>
      </c>
      <c r="L949" s="70"/>
    </row>
    <row r="950" spans="1:12" ht="15.75" customHeight="1" x14ac:dyDescent="0.25">
      <c r="A950" s="445"/>
      <c r="B950" s="445"/>
      <c r="C950" s="445"/>
      <c r="D950" s="445"/>
      <c r="E950" s="445" t="s">
        <v>1735</v>
      </c>
      <c r="F950" s="506">
        <v>42.52</v>
      </c>
      <c r="G950" s="445" t="s">
        <v>1736</v>
      </c>
      <c r="H950" s="506">
        <v>0</v>
      </c>
      <c r="I950" s="445" t="s">
        <v>1737</v>
      </c>
      <c r="J950" s="506">
        <v>42.52</v>
      </c>
      <c r="K950" s="70"/>
      <c r="L950" s="70"/>
    </row>
    <row r="951" spans="1:12" ht="17.25" thickBot="1" x14ac:dyDescent="0.3">
      <c r="A951" s="445"/>
      <c r="B951" s="445"/>
      <c r="C951" s="445"/>
      <c r="D951" s="445"/>
      <c r="E951" s="445" t="s">
        <v>1738</v>
      </c>
      <c r="F951" s="506">
        <v>21.877856000000001</v>
      </c>
      <c r="G951" s="445"/>
      <c r="H951" s="606" t="s">
        <v>1739</v>
      </c>
      <c r="I951" s="606"/>
      <c r="J951" s="506">
        <v>110.66</v>
      </c>
      <c r="K951" s="70"/>
      <c r="L951" s="70"/>
    </row>
    <row r="952" spans="1:12" ht="17.25" thickTop="1" x14ac:dyDescent="0.25">
      <c r="A952" s="507"/>
      <c r="B952" s="507"/>
      <c r="C952" s="507"/>
      <c r="D952" s="507"/>
      <c r="E952" s="507"/>
      <c r="F952" s="507"/>
      <c r="G952" s="507"/>
      <c r="H952" s="507"/>
      <c r="I952" s="507"/>
      <c r="J952" s="507"/>
      <c r="K952" s="507"/>
      <c r="L952" s="70"/>
    </row>
    <row r="953" spans="1:12" ht="16.5" x14ac:dyDescent="0.25">
      <c r="A953" s="419" t="s">
        <v>1337</v>
      </c>
      <c r="B953" s="421" t="s">
        <v>76</v>
      </c>
      <c r="C953" s="419" t="s">
        <v>991</v>
      </c>
      <c r="D953" s="419" t="s">
        <v>191</v>
      </c>
      <c r="E953" s="603" t="s">
        <v>77</v>
      </c>
      <c r="F953" s="603"/>
      <c r="G953" s="420" t="s">
        <v>103</v>
      </c>
      <c r="H953" s="421" t="s">
        <v>147</v>
      </c>
      <c r="I953" s="421" t="s">
        <v>1731</v>
      </c>
      <c r="J953" s="421" t="s">
        <v>1117</v>
      </c>
      <c r="K953" s="421" t="s">
        <v>104</v>
      </c>
      <c r="L953" s="70"/>
    </row>
    <row r="954" spans="1:12" ht="25.5" x14ac:dyDescent="0.25">
      <c r="A954" s="441" t="s">
        <v>79</v>
      </c>
      <c r="B954" s="480" t="s">
        <v>1338</v>
      </c>
      <c r="C954" s="441" t="s">
        <v>993</v>
      </c>
      <c r="D954" s="441" t="s">
        <v>1339</v>
      </c>
      <c r="E954" s="604">
        <v>2201</v>
      </c>
      <c r="F954" s="604"/>
      <c r="G954" s="443" t="s">
        <v>19</v>
      </c>
      <c r="H954" s="500">
        <v>1</v>
      </c>
      <c r="I954" s="442"/>
      <c r="J954" s="442">
        <v>71.33</v>
      </c>
      <c r="K954" s="442">
        <v>71.33</v>
      </c>
      <c r="L954" s="70"/>
    </row>
    <row r="955" spans="1:12" ht="25.5" x14ac:dyDescent="0.25">
      <c r="A955" s="501" t="s">
        <v>1732</v>
      </c>
      <c r="B955" s="502" t="s">
        <v>992</v>
      </c>
      <c r="C955" s="501" t="s">
        <v>993</v>
      </c>
      <c r="D955" s="501" t="s">
        <v>994</v>
      </c>
      <c r="E955" s="602" t="s">
        <v>972</v>
      </c>
      <c r="F955" s="602"/>
      <c r="G955" s="503" t="s">
        <v>81</v>
      </c>
      <c r="H955" s="504">
        <v>0.92110000000000003</v>
      </c>
      <c r="I955" s="504"/>
      <c r="J955" s="505">
        <v>14.62</v>
      </c>
      <c r="K955" s="505">
        <v>13.46</v>
      </c>
      <c r="L955" s="70"/>
    </row>
    <row r="956" spans="1:12" ht="25.5" x14ac:dyDescent="0.25">
      <c r="A956" s="501" t="s">
        <v>1732</v>
      </c>
      <c r="B956" s="502" t="s">
        <v>1003</v>
      </c>
      <c r="C956" s="501" t="s">
        <v>993</v>
      </c>
      <c r="D956" s="501" t="s">
        <v>1004</v>
      </c>
      <c r="E956" s="602" t="s">
        <v>972</v>
      </c>
      <c r="F956" s="602"/>
      <c r="G956" s="503" t="s">
        <v>81</v>
      </c>
      <c r="H956" s="504">
        <v>0.39190000000000003</v>
      </c>
      <c r="I956" s="504"/>
      <c r="J956" s="505">
        <v>23.41</v>
      </c>
      <c r="K956" s="505">
        <v>9.17</v>
      </c>
      <c r="L956" s="70"/>
    </row>
    <row r="957" spans="1:12" ht="25.5" x14ac:dyDescent="0.25">
      <c r="A957" s="501" t="s">
        <v>1732</v>
      </c>
      <c r="B957" s="502" t="s">
        <v>1023</v>
      </c>
      <c r="C957" s="501" t="s">
        <v>993</v>
      </c>
      <c r="D957" s="501" t="s">
        <v>1024</v>
      </c>
      <c r="E957" s="602" t="s">
        <v>972</v>
      </c>
      <c r="F957" s="602"/>
      <c r="G957" s="503" t="s">
        <v>81</v>
      </c>
      <c r="H957" s="504">
        <v>0.15129999999999999</v>
      </c>
      <c r="I957" s="504"/>
      <c r="J957" s="505">
        <v>17.559999999999999</v>
      </c>
      <c r="K957" s="505">
        <v>2.65</v>
      </c>
      <c r="L957" s="70"/>
    </row>
    <row r="958" spans="1:12" ht="25.5" x14ac:dyDescent="0.25">
      <c r="A958" s="501" t="s">
        <v>1732</v>
      </c>
      <c r="B958" s="502" t="s">
        <v>1009</v>
      </c>
      <c r="C958" s="501" t="s">
        <v>993</v>
      </c>
      <c r="D958" s="501" t="s">
        <v>1010</v>
      </c>
      <c r="E958" s="602" t="s">
        <v>972</v>
      </c>
      <c r="F958" s="602"/>
      <c r="G958" s="503" t="s">
        <v>81</v>
      </c>
      <c r="H958" s="504">
        <v>6.83E-2</v>
      </c>
      <c r="I958" s="504"/>
      <c r="J958" s="505">
        <v>23.41</v>
      </c>
      <c r="K958" s="505">
        <v>1.59</v>
      </c>
      <c r="L958" s="70"/>
    </row>
    <row r="959" spans="1:12" ht="25.5" x14ac:dyDescent="0.25">
      <c r="A959" s="501" t="s">
        <v>1732</v>
      </c>
      <c r="B959" s="502" t="s">
        <v>1756</v>
      </c>
      <c r="C959" s="501" t="s">
        <v>993</v>
      </c>
      <c r="D959" s="501" t="s">
        <v>1757</v>
      </c>
      <c r="E959" s="602" t="s">
        <v>1746</v>
      </c>
      <c r="F959" s="602"/>
      <c r="G959" s="503" t="s">
        <v>45</v>
      </c>
      <c r="H959" s="504">
        <v>4.7E-2</v>
      </c>
      <c r="I959" s="504"/>
      <c r="J959" s="505">
        <v>152.69</v>
      </c>
      <c r="K959" s="505">
        <v>7.17</v>
      </c>
      <c r="L959" s="70"/>
    </row>
    <row r="960" spans="1:12" ht="25.5" x14ac:dyDescent="0.25">
      <c r="A960" s="501" t="s">
        <v>1732</v>
      </c>
      <c r="B960" s="502" t="s">
        <v>1872</v>
      </c>
      <c r="C960" s="501" t="s">
        <v>993</v>
      </c>
      <c r="D960" s="501" t="s">
        <v>1873</v>
      </c>
      <c r="E960" s="602" t="s">
        <v>1746</v>
      </c>
      <c r="F960" s="602"/>
      <c r="G960" s="503" t="s">
        <v>45</v>
      </c>
      <c r="H960" s="504">
        <v>2.1999999999999999E-2</v>
      </c>
      <c r="I960" s="504"/>
      <c r="J960" s="505">
        <v>149.94999999999999</v>
      </c>
      <c r="K960" s="505">
        <v>3.29</v>
      </c>
      <c r="L960" s="70"/>
    </row>
    <row r="961" spans="1:12" ht="25.5" x14ac:dyDescent="0.25">
      <c r="A961" s="501" t="s">
        <v>1732</v>
      </c>
      <c r="B961" s="502" t="s">
        <v>1854</v>
      </c>
      <c r="C961" s="501" t="s">
        <v>993</v>
      </c>
      <c r="D961" s="501" t="s">
        <v>1855</v>
      </c>
      <c r="E961" s="602" t="s">
        <v>1746</v>
      </c>
      <c r="F961" s="602"/>
      <c r="G961" s="503" t="s">
        <v>1222</v>
      </c>
      <c r="H961" s="504">
        <v>16.48</v>
      </c>
      <c r="I961" s="504"/>
      <c r="J961" s="505">
        <v>0.65</v>
      </c>
      <c r="K961" s="505">
        <v>10.71</v>
      </c>
      <c r="L961" s="70"/>
    </row>
    <row r="962" spans="1:12" ht="25.5" x14ac:dyDescent="0.25">
      <c r="A962" s="501" t="s">
        <v>1732</v>
      </c>
      <c r="B962" s="502" t="s">
        <v>1874</v>
      </c>
      <c r="C962" s="501" t="s">
        <v>993</v>
      </c>
      <c r="D962" s="501" t="s">
        <v>1875</v>
      </c>
      <c r="E962" s="602" t="s">
        <v>1746</v>
      </c>
      <c r="F962" s="602"/>
      <c r="G962" s="503" t="s">
        <v>45</v>
      </c>
      <c r="H962" s="504">
        <v>2.1999999999999999E-2</v>
      </c>
      <c r="I962" s="504"/>
      <c r="J962" s="505">
        <v>148.97999999999999</v>
      </c>
      <c r="K962" s="505">
        <v>3.27</v>
      </c>
      <c r="L962" s="70"/>
    </row>
    <row r="963" spans="1:12" ht="25.5" x14ac:dyDescent="0.25">
      <c r="A963" s="501" t="s">
        <v>1732</v>
      </c>
      <c r="B963" s="502" t="s">
        <v>2261</v>
      </c>
      <c r="C963" s="501" t="s">
        <v>993</v>
      </c>
      <c r="D963" s="501" t="s">
        <v>2262</v>
      </c>
      <c r="E963" s="602" t="s">
        <v>1746</v>
      </c>
      <c r="F963" s="602"/>
      <c r="G963" s="503" t="s">
        <v>1751</v>
      </c>
      <c r="H963" s="504">
        <v>2.4500000000000001E-2</v>
      </c>
      <c r="I963" s="504"/>
      <c r="J963" s="505">
        <v>16.09</v>
      </c>
      <c r="K963" s="505">
        <v>0.39</v>
      </c>
      <c r="L963" s="70"/>
    </row>
    <row r="964" spans="1:12" ht="25.5" x14ac:dyDescent="0.25">
      <c r="A964" s="501" t="s">
        <v>1732</v>
      </c>
      <c r="B964" s="502" t="s">
        <v>2263</v>
      </c>
      <c r="C964" s="501" t="s">
        <v>993</v>
      </c>
      <c r="D964" s="501" t="s">
        <v>2264</v>
      </c>
      <c r="E964" s="602" t="s">
        <v>1746</v>
      </c>
      <c r="F964" s="602"/>
      <c r="G964" s="503" t="s">
        <v>19</v>
      </c>
      <c r="H964" s="504">
        <v>1</v>
      </c>
      <c r="I964" s="504"/>
      <c r="J964" s="505">
        <v>3.15</v>
      </c>
      <c r="K964" s="505">
        <v>3.15</v>
      </c>
      <c r="L964" s="70"/>
    </row>
    <row r="965" spans="1:12" ht="25.5" x14ac:dyDescent="0.25">
      <c r="A965" s="501" t="s">
        <v>1732</v>
      </c>
      <c r="B965" s="502" t="s">
        <v>2265</v>
      </c>
      <c r="C965" s="501" t="s">
        <v>993</v>
      </c>
      <c r="D965" s="501" t="s">
        <v>2266</v>
      </c>
      <c r="E965" s="602" t="s">
        <v>1746</v>
      </c>
      <c r="F965" s="602"/>
      <c r="G965" s="503" t="s">
        <v>45</v>
      </c>
      <c r="H965" s="504">
        <v>1.43E-2</v>
      </c>
      <c r="I965" s="504"/>
      <c r="J965" s="505">
        <v>159.69999999999999</v>
      </c>
      <c r="K965" s="505">
        <v>2.2799999999999998</v>
      </c>
      <c r="L965" s="70"/>
    </row>
    <row r="966" spans="1:12" ht="25.5" x14ac:dyDescent="0.25">
      <c r="A966" s="501" t="s">
        <v>1732</v>
      </c>
      <c r="B966" s="502" t="s">
        <v>1954</v>
      </c>
      <c r="C966" s="501" t="s">
        <v>993</v>
      </c>
      <c r="D966" s="501" t="s">
        <v>1955</v>
      </c>
      <c r="E966" s="602" t="s">
        <v>1746</v>
      </c>
      <c r="F966" s="602"/>
      <c r="G966" s="503" t="s">
        <v>41</v>
      </c>
      <c r="H966" s="504">
        <v>2</v>
      </c>
      <c r="I966" s="504"/>
      <c r="J966" s="505">
        <v>3.35</v>
      </c>
      <c r="K966" s="505">
        <v>6.7</v>
      </c>
      <c r="L966" s="70"/>
    </row>
    <row r="967" spans="1:12" ht="25.5" x14ac:dyDescent="0.25">
      <c r="A967" s="501" t="s">
        <v>1732</v>
      </c>
      <c r="B967" s="502" t="s">
        <v>2006</v>
      </c>
      <c r="C967" s="501" t="s">
        <v>993</v>
      </c>
      <c r="D967" s="501" t="s">
        <v>2007</v>
      </c>
      <c r="E967" s="602" t="s">
        <v>1746</v>
      </c>
      <c r="F967" s="602"/>
      <c r="G967" s="503" t="s">
        <v>1222</v>
      </c>
      <c r="H967" s="504">
        <v>1</v>
      </c>
      <c r="I967" s="504"/>
      <c r="J967" s="505">
        <v>7.5</v>
      </c>
      <c r="K967" s="505">
        <v>7.5</v>
      </c>
      <c r="L967" s="70"/>
    </row>
    <row r="968" spans="1:12" ht="15.75" customHeight="1" x14ac:dyDescent="0.25">
      <c r="A968" s="445"/>
      <c r="B968" s="445"/>
      <c r="C968" s="445"/>
      <c r="D968" s="445"/>
      <c r="E968" s="445" t="s">
        <v>1735</v>
      </c>
      <c r="F968" s="506">
        <v>26.87</v>
      </c>
      <c r="G968" s="445" t="s">
        <v>1736</v>
      </c>
      <c r="H968" s="506">
        <v>0</v>
      </c>
      <c r="I968" s="445" t="s">
        <v>1737</v>
      </c>
      <c r="J968" s="506">
        <v>26.87</v>
      </c>
      <c r="K968" s="70"/>
      <c r="L968" s="70"/>
    </row>
    <row r="969" spans="1:12" ht="17.25" thickBot="1" x14ac:dyDescent="0.3">
      <c r="A969" s="445"/>
      <c r="B969" s="445"/>
      <c r="C969" s="445"/>
      <c r="D969" s="445"/>
      <c r="E969" s="445" t="s">
        <v>1738</v>
      </c>
      <c r="F969" s="506">
        <v>17.575711999999999</v>
      </c>
      <c r="G969" s="445"/>
      <c r="H969" s="606" t="s">
        <v>1739</v>
      </c>
      <c r="I969" s="606"/>
      <c r="J969" s="506">
        <v>88.9</v>
      </c>
      <c r="K969" s="70"/>
      <c r="L969" s="70"/>
    </row>
    <row r="970" spans="1:12" ht="17.25" thickTop="1" x14ac:dyDescent="0.25">
      <c r="A970" s="507"/>
      <c r="B970" s="507"/>
      <c r="C970" s="507"/>
      <c r="D970" s="507"/>
      <c r="E970" s="507"/>
      <c r="F970" s="507"/>
      <c r="G970" s="507"/>
      <c r="H970" s="507"/>
      <c r="I970" s="507"/>
      <c r="J970" s="507"/>
      <c r="K970" s="507"/>
      <c r="L970" s="70"/>
    </row>
    <row r="971" spans="1:12" ht="16.5" x14ac:dyDescent="0.25">
      <c r="A971" s="419" t="s">
        <v>1341</v>
      </c>
      <c r="B971" s="421" t="s">
        <v>76</v>
      </c>
      <c r="C971" s="419" t="s">
        <v>991</v>
      </c>
      <c r="D971" s="419" t="s">
        <v>191</v>
      </c>
      <c r="E971" s="603" t="s">
        <v>77</v>
      </c>
      <c r="F971" s="603"/>
      <c r="G971" s="420" t="s">
        <v>103</v>
      </c>
      <c r="H971" s="421" t="s">
        <v>147</v>
      </c>
      <c r="I971" s="421" t="s">
        <v>1731</v>
      </c>
      <c r="J971" s="421" t="s">
        <v>1117</v>
      </c>
      <c r="K971" s="421" t="s">
        <v>104</v>
      </c>
      <c r="L971" s="70"/>
    </row>
    <row r="972" spans="1:12" ht="15" customHeight="1" x14ac:dyDescent="0.25">
      <c r="A972" s="441" t="s">
        <v>79</v>
      </c>
      <c r="B972" s="480" t="s">
        <v>1342</v>
      </c>
      <c r="C972" s="441" t="s">
        <v>1071</v>
      </c>
      <c r="D972" s="441" t="s">
        <v>749</v>
      </c>
      <c r="E972" s="604">
        <v>4420</v>
      </c>
      <c r="F972" s="604"/>
      <c r="G972" s="443" t="s">
        <v>19</v>
      </c>
      <c r="H972" s="500">
        <v>1</v>
      </c>
      <c r="I972" s="442"/>
      <c r="J972" s="442">
        <v>0.36</v>
      </c>
      <c r="K972" s="442">
        <v>0.36</v>
      </c>
      <c r="L972" s="70"/>
    </row>
    <row r="973" spans="1:12" ht="16.5" customHeight="1" x14ac:dyDescent="0.25">
      <c r="A973" s="603" t="s">
        <v>198</v>
      </c>
      <c r="B973" s="607" t="s">
        <v>76</v>
      </c>
      <c r="C973" s="603" t="s">
        <v>991</v>
      </c>
      <c r="D973" s="603" t="s">
        <v>2267</v>
      </c>
      <c r="E973" s="607" t="s">
        <v>78</v>
      </c>
      <c r="F973" s="612" t="s">
        <v>2268</v>
      </c>
      <c r="G973" s="607"/>
      <c r="H973" s="612" t="s">
        <v>2269</v>
      </c>
      <c r="I973" s="607"/>
      <c r="J973" s="607" t="s">
        <v>2120</v>
      </c>
      <c r="K973" s="70"/>
      <c r="L973" s="70"/>
    </row>
    <row r="974" spans="1:12" ht="16.5" x14ac:dyDescent="0.25">
      <c r="A974" s="607"/>
      <c r="B974" s="607"/>
      <c r="C974" s="607"/>
      <c r="D974" s="607"/>
      <c r="E974" s="607"/>
      <c r="F974" s="421" t="s">
        <v>2270</v>
      </c>
      <c r="G974" s="421" t="s">
        <v>2271</v>
      </c>
      <c r="H974" s="421" t="s">
        <v>2270</v>
      </c>
      <c r="I974" s="421" t="s">
        <v>2271</v>
      </c>
      <c r="J974" s="607"/>
      <c r="K974" s="70"/>
      <c r="L974" s="70"/>
    </row>
    <row r="975" spans="1:12" ht="25.5" x14ac:dyDescent="0.25">
      <c r="A975" s="501" t="s">
        <v>1732</v>
      </c>
      <c r="B975" s="502">
        <v>30021</v>
      </c>
      <c r="C975" s="501" t="s">
        <v>1071</v>
      </c>
      <c r="D975" s="501" t="s">
        <v>941</v>
      </c>
      <c r="E975" s="504">
        <v>1</v>
      </c>
      <c r="F975" s="505">
        <v>1</v>
      </c>
      <c r="G975" s="505">
        <v>0</v>
      </c>
      <c r="H975" s="509">
        <v>232.06</v>
      </c>
      <c r="I975" s="509">
        <v>58.06</v>
      </c>
      <c r="J975" s="509">
        <v>232.06</v>
      </c>
      <c r="K975" s="70"/>
      <c r="L975" s="70"/>
    </row>
    <row r="976" spans="1:12" ht="25.5" x14ac:dyDescent="0.25">
      <c r="A976" s="501" t="s">
        <v>1732</v>
      </c>
      <c r="B976" s="502">
        <v>30020</v>
      </c>
      <c r="C976" s="501" t="s">
        <v>1071</v>
      </c>
      <c r="D976" s="501" t="s">
        <v>960</v>
      </c>
      <c r="E976" s="504">
        <v>2</v>
      </c>
      <c r="F976" s="505">
        <v>1</v>
      </c>
      <c r="G976" s="505">
        <v>0</v>
      </c>
      <c r="H976" s="509">
        <v>52.63</v>
      </c>
      <c r="I976" s="509">
        <v>35.44</v>
      </c>
      <c r="J976" s="509">
        <v>105.26</v>
      </c>
      <c r="K976" s="70"/>
      <c r="L976" s="70"/>
    </row>
    <row r="977" spans="1:12" ht="25.5" x14ac:dyDescent="0.25">
      <c r="A977" s="501" t="s">
        <v>1732</v>
      </c>
      <c r="B977" s="502">
        <v>30005</v>
      </c>
      <c r="C977" s="501" t="s">
        <v>1071</v>
      </c>
      <c r="D977" s="501" t="s">
        <v>961</v>
      </c>
      <c r="E977" s="504">
        <v>1</v>
      </c>
      <c r="F977" s="505">
        <v>0.47</v>
      </c>
      <c r="G977" s="505">
        <v>0.53</v>
      </c>
      <c r="H977" s="509">
        <v>137.46</v>
      </c>
      <c r="I977" s="509">
        <v>45.53</v>
      </c>
      <c r="J977" s="509">
        <v>88.737099999999998</v>
      </c>
      <c r="K977" s="70"/>
      <c r="L977" s="70"/>
    </row>
    <row r="978" spans="1:12" ht="15" customHeight="1" x14ac:dyDescent="0.25">
      <c r="A978" s="501" t="s">
        <v>1732</v>
      </c>
      <c r="B978" s="502">
        <v>30017</v>
      </c>
      <c r="C978" s="501" t="s">
        <v>1071</v>
      </c>
      <c r="D978" s="501" t="s">
        <v>2272</v>
      </c>
      <c r="E978" s="504">
        <v>1</v>
      </c>
      <c r="F978" s="505">
        <v>0.47</v>
      </c>
      <c r="G978" s="505">
        <v>0.53</v>
      </c>
      <c r="H978" s="509">
        <v>12.26</v>
      </c>
      <c r="I978" s="509">
        <v>7.85</v>
      </c>
      <c r="J978" s="509">
        <v>9.9227000000000007</v>
      </c>
      <c r="K978" s="70"/>
      <c r="L978" s="70"/>
    </row>
    <row r="979" spans="1:12" ht="16.5" customHeight="1" x14ac:dyDescent="0.25">
      <c r="A979" s="595"/>
      <c r="B979" s="595"/>
      <c r="C979" s="595"/>
      <c r="D979" s="595"/>
      <c r="E979" s="595"/>
      <c r="F979" s="595"/>
      <c r="G979" s="595" t="s">
        <v>2273</v>
      </c>
      <c r="H979" s="595"/>
      <c r="I979" s="595"/>
      <c r="J979" s="508">
        <v>435.97980000000001</v>
      </c>
      <c r="K979" s="70"/>
      <c r="L979" s="70"/>
    </row>
    <row r="980" spans="1:12" ht="16.5" x14ac:dyDescent="0.25">
      <c r="A980" s="419" t="s">
        <v>199</v>
      </c>
      <c r="B980" s="421" t="s">
        <v>76</v>
      </c>
      <c r="C980" s="419" t="s">
        <v>991</v>
      </c>
      <c r="D980" s="419" t="s">
        <v>972</v>
      </c>
      <c r="E980" s="421" t="s">
        <v>78</v>
      </c>
      <c r="F980" s="607" t="s">
        <v>2274</v>
      </c>
      <c r="G980" s="607"/>
      <c r="H980" s="607"/>
      <c r="I980" s="607"/>
      <c r="J980" s="421" t="s">
        <v>2120</v>
      </c>
      <c r="K980" s="70"/>
      <c r="L980" s="70"/>
    </row>
    <row r="981" spans="1:12" ht="25.5" x14ac:dyDescent="0.25">
      <c r="A981" s="501" t="s">
        <v>1732</v>
      </c>
      <c r="B981" s="502">
        <v>20002</v>
      </c>
      <c r="C981" s="501" t="s">
        <v>1071</v>
      </c>
      <c r="D981" s="501" t="s">
        <v>1075</v>
      </c>
      <c r="E981" s="504">
        <v>1</v>
      </c>
      <c r="F981" s="501"/>
      <c r="G981" s="501"/>
      <c r="H981" s="501"/>
      <c r="I981" s="509">
        <v>25.04</v>
      </c>
      <c r="J981" s="509">
        <v>25.04</v>
      </c>
      <c r="K981" s="70"/>
      <c r="L981" s="70"/>
    </row>
    <row r="982" spans="1:12" ht="15" customHeight="1" x14ac:dyDescent="0.25">
      <c r="A982" s="501" t="s">
        <v>1732</v>
      </c>
      <c r="B982" s="502">
        <v>20031</v>
      </c>
      <c r="C982" s="501" t="s">
        <v>1071</v>
      </c>
      <c r="D982" s="501" t="s">
        <v>994</v>
      </c>
      <c r="E982" s="504">
        <v>2</v>
      </c>
      <c r="F982" s="501"/>
      <c r="G982" s="501"/>
      <c r="H982" s="501"/>
      <c r="I982" s="509">
        <v>13.72</v>
      </c>
      <c r="J982" s="509">
        <v>27.44</v>
      </c>
      <c r="K982" s="70"/>
      <c r="L982" s="70"/>
    </row>
    <row r="983" spans="1:12" ht="15" customHeight="1" x14ac:dyDescent="0.25">
      <c r="A983" s="595"/>
      <c r="B983" s="595"/>
      <c r="C983" s="595"/>
      <c r="D983" s="595"/>
      <c r="E983" s="595"/>
      <c r="F983" s="595"/>
      <c r="G983" s="595" t="s">
        <v>2275</v>
      </c>
      <c r="H983" s="595"/>
      <c r="I983" s="595"/>
      <c r="J983" s="508">
        <v>52.48</v>
      </c>
      <c r="K983" s="70"/>
      <c r="L983" s="70"/>
    </row>
    <row r="984" spans="1:12" ht="15" customHeight="1" x14ac:dyDescent="0.25">
      <c r="A984" s="595"/>
      <c r="B984" s="595"/>
      <c r="C984" s="595"/>
      <c r="D984" s="595"/>
      <c r="E984" s="595"/>
      <c r="F984" s="595"/>
      <c r="G984" s="595" t="s">
        <v>2276</v>
      </c>
      <c r="H984" s="595"/>
      <c r="I984" s="595"/>
      <c r="J984" s="508">
        <v>0</v>
      </c>
      <c r="K984" s="70"/>
      <c r="L984" s="70"/>
    </row>
    <row r="985" spans="1:12" ht="15" customHeight="1" x14ac:dyDescent="0.25">
      <c r="A985" s="595"/>
      <c r="B985" s="595"/>
      <c r="C985" s="595"/>
      <c r="D985" s="595"/>
      <c r="E985" s="595"/>
      <c r="F985" s="595"/>
      <c r="G985" s="595" t="s">
        <v>2113</v>
      </c>
      <c r="H985" s="595"/>
      <c r="I985" s="595"/>
      <c r="J985" s="508">
        <v>499.19979999999998</v>
      </c>
      <c r="K985" s="70"/>
      <c r="L985" s="70"/>
    </row>
    <row r="986" spans="1:12" ht="15" customHeight="1" x14ac:dyDescent="0.25">
      <c r="A986" s="595"/>
      <c r="B986" s="595"/>
      <c r="C986" s="595"/>
      <c r="D986" s="595"/>
      <c r="E986" s="595"/>
      <c r="F986" s="595"/>
      <c r="G986" s="595" t="s">
        <v>2114</v>
      </c>
      <c r="H986" s="595"/>
      <c r="I986" s="595"/>
      <c r="J986" s="508">
        <v>0</v>
      </c>
      <c r="K986" s="70"/>
      <c r="L986" s="70"/>
    </row>
    <row r="987" spans="1:12" ht="15" customHeight="1" x14ac:dyDescent="0.25">
      <c r="A987" s="595"/>
      <c r="B987" s="595"/>
      <c r="C987" s="595"/>
      <c r="D987" s="595"/>
      <c r="E987" s="595"/>
      <c r="F987" s="595"/>
      <c r="G987" s="595" t="s">
        <v>2115</v>
      </c>
      <c r="H987" s="595"/>
      <c r="I987" s="595"/>
      <c r="J987" s="508">
        <v>0</v>
      </c>
      <c r="K987" s="70"/>
      <c r="L987" s="70"/>
    </row>
    <row r="988" spans="1:12" ht="15" customHeight="1" x14ac:dyDescent="0.25">
      <c r="A988" s="595"/>
      <c r="B988" s="595"/>
      <c r="C988" s="595"/>
      <c r="D988" s="595"/>
      <c r="E988" s="595"/>
      <c r="F988" s="595"/>
      <c r="G988" s="595" t="s">
        <v>2116</v>
      </c>
      <c r="H988" s="595"/>
      <c r="I988" s="595"/>
      <c r="J988" s="508">
        <v>1355.4217000000001</v>
      </c>
      <c r="K988" s="70"/>
      <c r="L988" s="70"/>
    </row>
    <row r="989" spans="1:12" ht="16.5" customHeight="1" x14ac:dyDescent="0.25">
      <c r="A989" s="595"/>
      <c r="B989" s="595"/>
      <c r="C989" s="595"/>
      <c r="D989" s="595"/>
      <c r="E989" s="595"/>
      <c r="F989" s="595"/>
      <c r="G989" s="595" t="s">
        <v>2117</v>
      </c>
      <c r="H989" s="595"/>
      <c r="I989" s="595"/>
      <c r="J989" s="508">
        <v>0.36</v>
      </c>
      <c r="K989" s="70"/>
      <c r="L989" s="70"/>
    </row>
    <row r="990" spans="1:12" ht="15.75" customHeight="1" x14ac:dyDescent="0.25">
      <c r="A990" s="445"/>
      <c r="B990" s="445"/>
      <c r="C990" s="445"/>
      <c r="D990" s="445"/>
      <c r="E990" s="445" t="s">
        <v>1735</v>
      </c>
      <c r="F990" s="506">
        <v>3.8718577399196132E-2</v>
      </c>
      <c r="G990" s="445" t="s">
        <v>1736</v>
      </c>
      <c r="H990" s="506">
        <v>0</v>
      </c>
      <c r="I990" s="445" t="s">
        <v>1737</v>
      </c>
      <c r="J990" s="506">
        <v>3.8718577399196132E-2</v>
      </c>
      <c r="K990" s="70"/>
      <c r="L990" s="70"/>
    </row>
    <row r="991" spans="1:12" ht="17.25" thickBot="1" x14ac:dyDescent="0.3">
      <c r="A991" s="445"/>
      <c r="B991" s="445"/>
      <c r="C991" s="445"/>
      <c r="D991" s="445"/>
      <c r="E991" s="445" t="s">
        <v>1738</v>
      </c>
      <c r="F991" s="506">
        <v>0.08</v>
      </c>
      <c r="G991" s="445"/>
      <c r="H991" s="606" t="s">
        <v>1739</v>
      </c>
      <c r="I991" s="606"/>
      <c r="J991" s="506">
        <v>0.44</v>
      </c>
      <c r="K991" s="70"/>
      <c r="L991" s="70"/>
    </row>
    <row r="992" spans="1:12" ht="17.25" thickTop="1" x14ac:dyDescent="0.25">
      <c r="A992" s="507"/>
      <c r="B992" s="507"/>
      <c r="C992" s="507"/>
      <c r="D992" s="507"/>
      <c r="E992" s="507"/>
      <c r="F992" s="507"/>
      <c r="G992" s="507"/>
      <c r="H992" s="507"/>
      <c r="I992" s="507"/>
      <c r="J992" s="507"/>
      <c r="K992" s="507"/>
      <c r="L992" s="70"/>
    </row>
    <row r="993" spans="1:12" ht="16.5" x14ac:dyDescent="0.25">
      <c r="A993" s="419" t="s">
        <v>1343</v>
      </c>
      <c r="B993" s="421" t="s">
        <v>76</v>
      </c>
      <c r="C993" s="419" t="s">
        <v>991</v>
      </c>
      <c r="D993" s="419" t="s">
        <v>191</v>
      </c>
      <c r="E993" s="603" t="s">
        <v>77</v>
      </c>
      <c r="F993" s="603"/>
      <c r="G993" s="420" t="s">
        <v>103</v>
      </c>
      <c r="H993" s="421" t="s">
        <v>147</v>
      </c>
      <c r="I993" s="421" t="s">
        <v>1731</v>
      </c>
      <c r="J993" s="421" t="s">
        <v>1117</v>
      </c>
      <c r="K993" s="421" t="s">
        <v>104</v>
      </c>
      <c r="L993" s="70"/>
    </row>
    <row r="994" spans="1:12" ht="15" customHeight="1" x14ac:dyDescent="0.25">
      <c r="A994" s="441" t="s">
        <v>79</v>
      </c>
      <c r="B994" s="480" t="s">
        <v>1344</v>
      </c>
      <c r="C994" s="441" t="s">
        <v>1071</v>
      </c>
      <c r="D994" s="441" t="s">
        <v>750</v>
      </c>
      <c r="E994" s="604">
        <v>4420</v>
      </c>
      <c r="F994" s="604"/>
      <c r="G994" s="443" t="s">
        <v>45</v>
      </c>
      <c r="H994" s="500">
        <v>1</v>
      </c>
      <c r="I994" s="442"/>
      <c r="J994" s="442">
        <v>244.11</v>
      </c>
      <c r="K994" s="442">
        <v>244.11</v>
      </c>
      <c r="L994" s="70"/>
    </row>
    <row r="995" spans="1:12" ht="16.5" customHeight="1" x14ac:dyDescent="0.25">
      <c r="A995" s="603" t="s">
        <v>198</v>
      </c>
      <c r="B995" s="607" t="s">
        <v>76</v>
      </c>
      <c r="C995" s="603" t="s">
        <v>991</v>
      </c>
      <c r="D995" s="603" t="s">
        <v>2267</v>
      </c>
      <c r="E995" s="607" t="s">
        <v>78</v>
      </c>
      <c r="F995" s="612" t="s">
        <v>2268</v>
      </c>
      <c r="G995" s="607"/>
      <c r="H995" s="612" t="s">
        <v>2269</v>
      </c>
      <c r="I995" s="607"/>
      <c r="J995" s="607" t="s">
        <v>2120</v>
      </c>
      <c r="K995" s="70"/>
      <c r="L995" s="70"/>
    </row>
    <row r="996" spans="1:12" ht="16.5" x14ac:dyDescent="0.25">
      <c r="A996" s="607"/>
      <c r="B996" s="607"/>
      <c r="C996" s="607"/>
      <c r="D996" s="607"/>
      <c r="E996" s="607"/>
      <c r="F996" s="421" t="s">
        <v>2270</v>
      </c>
      <c r="G996" s="421" t="s">
        <v>2271</v>
      </c>
      <c r="H996" s="421" t="s">
        <v>2270</v>
      </c>
      <c r="I996" s="421" t="s">
        <v>2271</v>
      </c>
      <c r="J996" s="607"/>
      <c r="K996" s="70"/>
      <c r="L996" s="70"/>
    </row>
    <row r="997" spans="1:12" ht="25.5" x14ac:dyDescent="0.25">
      <c r="A997" s="501" t="s">
        <v>1732</v>
      </c>
      <c r="B997" s="502">
        <v>30015</v>
      </c>
      <c r="C997" s="501" t="s">
        <v>1071</v>
      </c>
      <c r="D997" s="501" t="s">
        <v>956</v>
      </c>
      <c r="E997" s="504">
        <v>1</v>
      </c>
      <c r="F997" s="505">
        <v>0.37</v>
      </c>
      <c r="G997" s="505">
        <v>0.63</v>
      </c>
      <c r="H997" s="509">
        <v>248</v>
      </c>
      <c r="I997" s="509">
        <v>118.86</v>
      </c>
      <c r="J997" s="509">
        <v>166.64179999999999</v>
      </c>
      <c r="K997" s="70"/>
      <c r="L997" s="70"/>
    </row>
    <row r="998" spans="1:12" ht="25.5" x14ac:dyDescent="0.25">
      <c r="A998" s="501" t="s">
        <v>1732</v>
      </c>
      <c r="B998" s="502">
        <v>30012</v>
      </c>
      <c r="C998" s="501" t="s">
        <v>1071</v>
      </c>
      <c r="D998" s="501" t="s">
        <v>957</v>
      </c>
      <c r="E998" s="504">
        <v>1</v>
      </c>
      <c r="F998" s="505">
        <v>0.43</v>
      </c>
      <c r="G998" s="505">
        <v>0.56999999999999995</v>
      </c>
      <c r="H998" s="509">
        <v>248.6</v>
      </c>
      <c r="I998" s="509">
        <v>121.31</v>
      </c>
      <c r="J998" s="509">
        <v>176.04470000000001</v>
      </c>
      <c r="K998" s="70"/>
      <c r="L998" s="70"/>
    </row>
    <row r="999" spans="1:12" ht="25.5" x14ac:dyDescent="0.25">
      <c r="A999" s="501" t="s">
        <v>1732</v>
      </c>
      <c r="B999" s="502">
        <v>30005</v>
      </c>
      <c r="C999" s="501" t="s">
        <v>1071</v>
      </c>
      <c r="D999" s="501" t="s">
        <v>961</v>
      </c>
      <c r="E999" s="504">
        <v>1</v>
      </c>
      <c r="F999" s="505">
        <v>0.2</v>
      </c>
      <c r="G999" s="505">
        <v>0.8</v>
      </c>
      <c r="H999" s="509">
        <v>137.46</v>
      </c>
      <c r="I999" s="509">
        <v>45.53</v>
      </c>
      <c r="J999" s="509">
        <v>63.915999999999997</v>
      </c>
      <c r="K999" s="70"/>
      <c r="L999" s="70"/>
    </row>
    <row r="1000" spans="1:12" ht="25.5" x14ac:dyDescent="0.25">
      <c r="A1000" s="501" t="s">
        <v>1732</v>
      </c>
      <c r="B1000" s="502">
        <v>30017</v>
      </c>
      <c r="C1000" s="501" t="s">
        <v>1071</v>
      </c>
      <c r="D1000" s="501" t="s">
        <v>2272</v>
      </c>
      <c r="E1000" s="504">
        <v>1</v>
      </c>
      <c r="F1000" s="505">
        <v>0.2</v>
      </c>
      <c r="G1000" s="505">
        <v>0.8</v>
      </c>
      <c r="H1000" s="509">
        <v>12.26</v>
      </c>
      <c r="I1000" s="509">
        <v>7.85</v>
      </c>
      <c r="J1000" s="509">
        <v>8.7319999999999993</v>
      </c>
      <c r="K1000" s="70"/>
      <c r="L1000" s="70"/>
    </row>
    <row r="1001" spans="1:12" ht="15" customHeight="1" x14ac:dyDescent="0.25">
      <c r="A1001" s="501" t="s">
        <v>1732</v>
      </c>
      <c r="B1001" s="502">
        <v>30023</v>
      </c>
      <c r="C1001" s="501" t="s">
        <v>1071</v>
      </c>
      <c r="D1001" s="501" t="s">
        <v>970</v>
      </c>
      <c r="E1001" s="504">
        <v>1</v>
      </c>
      <c r="F1001" s="505">
        <v>1</v>
      </c>
      <c r="G1001" s="505">
        <v>0</v>
      </c>
      <c r="H1001" s="509">
        <v>579.88</v>
      </c>
      <c r="I1001" s="509">
        <v>267</v>
      </c>
      <c r="J1001" s="509">
        <v>579.88</v>
      </c>
      <c r="K1001" s="70"/>
      <c r="L1001" s="70"/>
    </row>
    <row r="1002" spans="1:12" ht="16.5" customHeight="1" x14ac:dyDescent="0.25">
      <c r="A1002" s="595"/>
      <c r="B1002" s="595"/>
      <c r="C1002" s="595"/>
      <c r="D1002" s="595"/>
      <c r="E1002" s="595"/>
      <c r="F1002" s="595"/>
      <c r="G1002" s="595" t="s">
        <v>2273</v>
      </c>
      <c r="H1002" s="595"/>
      <c r="I1002" s="595"/>
      <c r="J1002" s="508">
        <v>995.21450000000004</v>
      </c>
      <c r="K1002" s="70"/>
      <c r="L1002" s="70"/>
    </row>
    <row r="1003" spans="1:12" ht="16.5" x14ac:dyDescent="0.25">
      <c r="A1003" s="419" t="s">
        <v>199</v>
      </c>
      <c r="B1003" s="421" t="s">
        <v>76</v>
      </c>
      <c r="C1003" s="419" t="s">
        <v>991</v>
      </c>
      <c r="D1003" s="419" t="s">
        <v>972</v>
      </c>
      <c r="E1003" s="421" t="s">
        <v>78</v>
      </c>
      <c r="F1003" s="607" t="s">
        <v>2274</v>
      </c>
      <c r="G1003" s="607"/>
      <c r="H1003" s="607"/>
      <c r="I1003" s="607"/>
      <c r="J1003" s="421" t="s">
        <v>2120</v>
      </c>
      <c r="K1003" s="70"/>
      <c r="L1003" s="70"/>
    </row>
    <row r="1004" spans="1:12" ht="25.5" x14ac:dyDescent="0.25">
      <c r="A1004" s="501" t="s">
        <v>1732</v>
      </c>
      <c r="B1004" s="502">
        <v>20002</v>
      </c>
      <c r="C1004" s="501" t="s">
        <v>1071</v>
      </c>
      <c r="D1004" s="501" t="s">
        <v>1075</v>
      </c>
      <c r="E1004" s="504">
        <v>2</v>
      </c>
      <c r="F1004" s="501"/>
      <c r="G1004" s="501"/>
      <c r="H1004" s="501"/>
      <c r="I1004" s="509">
        <v>25.04</v>
      </c>
      <c r="J1004" s="509">
        <v>50.08</v>
      </c>
      <c r="K1004" s="70"/>
      <c r="L1004" s="70"/>
    </row>
    <row r="1005" spans="1:12" ht="15" customHeight="1" x14ac:dyDescent="0.25">
      <c r="A1005" s="501" t="s">
        <v>1732</v>
      </c>
      <c r="B1005" s="502">
        <v>20031</v>
      </c>
      <c r="C1005" s="501" t="s">
        <v>1071</v>
      </c>
      <c r="D1005" s="501" t="s">
        <v>994</v>
      </c>
      <c r="E1005" s="504">
        <v>22</v>
      </c>
      <c r="F1005" s="501"/>
      <c r="G1005" s="501"/>
      <c r="H1005" s="501"/>
      <c r="I1005" s="509">
        <v>13.72</v>
      </c>
      <c r="J1005" s="509">
        <v>301.83999999999997</v>
      </c>
      <c r="K1005" s="70"/>
      <c r="L1005" s="70"/>
    </row>
    <row r="1006" spans="1:12" ht="15" customHeight="1" x14ac:dyDescent="0.25">
      <c r="A1006" s="595"/>
      <c r="B1006" s="595"/>
      <c r="C1006" s="595"/>
      <c r="D1006" s="595"/>
      <c r="E1006" s="595"/>
      <c r="F1006" s="595"/>
      <c r="G1006" s="595" t="s">
        <v>2275</v>
      </c>
      <c r="H1006" s="595"/>
      <c r="I1006" s="595"/>
      <c r="J1006" s="508">
        <v>351.92</v>
      </c>
      <c r="K1006" s="70"/>
      <c r="L1006" s="70"/>
    </row>
    <row r="1007" spans="1:12" ht="15" customHeight="1" x14ac:dyDescent="0.25">
      <c r="A1007" s="595"/>
      <c r="B1007" s="595"/>
      <c r="C1007" s="595"/>
      <c r="D1007" s="595"/>
      <c r="E1007" s="595"/>
      <c r="F1007" s="595"/>
      <c r="G1007" s="595" t="s">
        <v>2276</v>
      </c>
      <c r="H1007" s="595"/>
      <c r="I1007" s="595"/>
      <c r="J1007" s="508">
        <v>0</v>
      </c>
      <c r="K1007" s="70"/>
      <c r="L1007" s="70"/>
    </row>
    <row r="1008" spans="1:12" ht="15" customHeight="1" x14ac:dyDescent="0.25">
      <c r="A1008" s="595"/>
      <c r="B1008" s="595"/>
      <c r="C1008" s="595"/>
      <c r="D1008" s="595"/>
      <c r="E1008" s="595"/>
      <c r="F1008" s="595"/>
      <c r="G1008" s="595" t="s">
        <v>2113</v>
      </c>
      <c r="H1008" s="595"/>
      <c r="I1008" s="595"/>
      <c r="J1008" s="508">
        <v>1419.2945</v>
      </c>
      <c r="K1008" s="70"/>
      <c r="L1008" s="70"/>
    </row>
    <row r="1009" spans="1:12" ht="15" customHeight="1" x14ac:dyDescent="0.25">
      <c r="A1009" s="595"/>
      <c r="B1009" s="595"/>
      <c r="C1009" s="595"/>
      <c r="D1009" s="595"/>
      <c r="E1009" s="595"/>
      <c r="F1009" s="595"/>
      <c r="G1009" s="595" t="s">
        <v>2114</v>
      </c>
      <c r="H1009" s="595"/>
      <c r="I1009" s="595"/>
      <c r="J1009" s="508">
        <v>0</v>
      </c>
      <c r="K1009" s="70"/>
      <c r="L1009" s="70"/>
    </row>
    <row r="1010" spans="1:12" ht="15" customHeight="1" x14ac:dyDescent="0.25">
      <c r="A1010" s="595"/>
      <c r="B1010" s="595"/>
      <c r="C1010" s="595"/>
      <c r="D1010" s="595"/>
      <c r="E1010" s="595"/>
      <c r="F1010" s="595"/>
      <c r="G1010" s="595" t="s">
        <v>2115</v>
      </c>
      <c r="H1010" s="595"/>
      <c r="I1010" s="595"/>
      <c r="J1010" s="508">
        <v>0</v>
      </c>
      <c r="K1010" s="70"/>
      <c r="L1010" s="70"/>
    </row>
    <row r="1011" spans="1:12" ht="15" customHeight="1" x14ac:dyDescent="0.25">
      <c r="A1011" s="595"/>
      <c r="B1011" s="595"/>
      <c r="C1011" s="595"/>
      <c r="D1011" s="595"/>
      <c r="E1011" s="595"/>
      <c r="F1011" s="595"/>
      <c r="G1011" s="595" t="s">
        <v>2116</v>
      </c>
      <c r="H1011" s="595"/>
      <c r="I1011" s="595"/>
      <c r="J1011" s="508">
        <v>19.563300000000002</v>
      </c>
      <c r="K1011" s="70"/>
      <c r="L1011" s="70"/>
    </row>
    <row r="1012" spans="1:12" ht="15" customHeight="1" x14ac:dyDescent="0.25">
      <c r="A1012" s="595"/>
      <c r="B1012" s="595"/>
      <c r="C1012" s="595"/>
      <c r="D1012" s="595"/>
      <c r="E1012" s="595"/>
      <c r="F1012" s="595"/>
      <c r="G1012" s="595" t="s">
        <v>2117</v>
      </c>
      <c r="H1012" s="595"/>
      <c r="I1012" s="595"/>
      <c r="J1012" s="508">
        <v>72.540000000000006</v>
      </c>
      <c r="K1012" s="70"/>
      <c r="L1012" s="70"/>
    </row>
    <row r="1013" spans="1:12" ht="16.5" x14ac:dyDescent="0.25">
      <c r="A1013" s="419" t="s">
        <v>2277</v>
      </c>
      <c r="B1013" s="421" t="s">
        <v>991</v>
      </c>
      <c r="C1013" s="419" t="s">
        <v>76</v>
      </c>
      <c r="D1013" s="419" t="s">
        <v>2278</v>
      </c>
      <c r="E1013" s="421" t="s">
        <v>78</v>
      </c>
      <c r="F1013" s="421" t="s">
        <v>1111</v>
      </c>
      <c r="G1013" s="607" t="s">
        <v>1112</v>
      </c>
      <c r="H1013" s="607"/>
      <c r="I1013" s="607"/>
      <c r="J1013" s="421" t="s">
        <v>2120</v>
      </c>
      <c r="K1013" s="70"/>
      <c r="L1013" s="70"/>
    </row>
    <row r="1014" spans="1:12" ht="15" customHeight="1" x14ac:dyDescent="0.25">
      <c r="A1014" s="510" t="s">
        <v>2279</v>
      </c>
      <c r="B1014" s="511" t="s">
        <v>1071</v>
      </c>
      <c r="C1014" s="510">
        <v>42491</v>
      </c>
      <c r="D1014" s="510" t="s">
        <v>2280</v>
      </c>
      <c r="E1014" s="513">
        <v>1.02</v>
      </c>
      <c r="F1014" s="512" t="s">
        <v>45</v>
      </c>
      <c r="G1014" s="609">
        <v>168.21</v>
      </c>
      <c r="H1014" s="609"/>
      <c r="I1014" s="605"/>
      <c r="J1014" s="515">
        <v>171.57</v>
      </c>
      <c r="K1014" s="70"/>
      <c r="L1014" s="70"/>
    </row>
    <row r="1015" spans="1:12" ht="16.5" customHeight="1" x14ac:dyDescent="0.25">
      <c r="A1015" s="595"/>
      <c r="B1015" s="595"/>
      <c r="C1015" s="595"/>
      <c r="D1015" s="595"/>
      <c r="E1015" s="595"/>
      <c r="F1015" s="595"/>
      <c r="G1015" s="595" t="s">
        <v>2281</v>
      </c>
      <c r="H1015" s="595"/>
      <c r="I1015" s="595"/>
      <c r="J1015" s="508">
        <v>171.57</v>
      </c>
      <c r="K1015" s="70"/>
      <c r="L1015" s="70"/>
    </row>
    <row r="1016" spans="1:12" ht="15.75" customHeight="1" x14ac:dyDescent="0.25">
      <c r="A1016" s="445"/>
      <c r="B1016" s="445"/>
      <c r="C1016" s="445"/>
      <c r="D1016" s="445"/>
      <c r="E1016" s="445" t="s">
        <v>1735</v>
      </c>
      <c r="F1016" s="506">
        <v>20.635791099999999</v>
      </c>
      <c r="G1016" s="445" t="s">
        <v>1736</v>
      </c>
      <c r="H1016" s="506">
        <v>0</v>
      </c>
      <c r="I1016" s="445" t="s">
        <v>1737</v>
      </c>
      <c r="J1016" s="506">
        <v>20.635791127783229</v>
      </c>
      <c r="K1016" s="70"/>
      <c r="L1016" s="70"/>
    </row>
    <row r="1017" spans="1:12" ht="17.25" thickBot="1" x14ac:dyDescent="0.3">
      <c r="A1017" s="445"/>
      <c r="B1017" s="445"/>
      <c r="C1017" s="445"/>
      <c r="D1017" s="445"/>
      <c r="E1017" s="445" t="s">
        <v>1738</v>
      </c>
      <c r="F1017" s="506">
        <v>60.14</v>
      </c>
      <c r="G1017" s="445"/>
      <c r="H1017" s="606" t="s">
        <v>1739</v>
      </c>
      <c r="I1017" s="606"/>
      <c r="J1017" s="506">
        <v>304.25</v>
      </c>
      <c r="K1017" s="70"/>
      <c r="L1017" s="70"/>
    </row>
    <row r="1018" spans="1:12" ht="17.25" thickTop="1" x14ac:dyDescent="0.25">
      <c r="A1018" s="507"/>
      <c r="B1018" s="507"/>
      <c r="C1018" s="507"/>
      <c r="D1018" s="507"/>
      <c r="E1018" s="507"/>
      <c r="F1018" s="507"/>
      <c r="G1018" s="507"/>
      <c r="H1018" s="507"/>
      <c r="I1018" s="507"/>
      <c r="J1018" s="507"/>
      <c r="K1018" s="507"/>
      <c r="L1018" s="70"/>
    </row>
    <row r="1019" spans="1:12" ht="16.5" x14ac:dyDescent="0.25">
      <c r="A1019" s="419" t="s">
        <v>1347</v>
      </c>
      <c r="B1019" s="421" t="s">
        <v>76</v>
      </c>
      <c r="C1019" s="419" t="s">
        <v>991</v>
      </c>
      <c r="D1019" s="419" t="s">
        <v>191</v>
      </c>
      <c r="E1019" s="603" t="s">
        <v>77</v>
      </c>
      <c r="F1019" s="603"/>
      <c r="G1019" s="420" t="s">
        <v>103</v>
      </c>
      <c r="H1019" s="421" t="s">
        <v>147</v>
      </c>
      <c r="I1019" s="421" t="s">
        <v>1731</v>
      </c>
      <c r="J1019" s="421" t="s">
        <v>1117</v>
      </c>
      <c r="K1019" s="421" t="s">
        <v>104</v>
      </c>
      <c r="L1019" s="70"/>
    </row>
    <row r="1020" spans="1:12" ht="25.5" x14ac:dyDescent="0.25">
      <c r="A1020" s="441" t="s">
        <v>79</v>
      </c>
      <c r="B1020" s="480" t="s">
        <v>1348</v>
      </c>
      <c r="C1020" s="441" t="s">
        <v>993</v>
      </c>
      <c r="D1020" s="441" t="s">
        <v>908</v>
      </c>
      <c r="E1020" s="604">
        <v>2613</v>
      </c>
      <c r="F1020" s="604"/>
      <c r="G1020" s="443" t="s">
        <v>19</v>
      </c>
      <c r="H1020" s="500">
        <v>1</v>
      </c>
      <c r="I1020" s="442"/>
      <c r="J1020" s="442">
        <v>12.63</v>
      </c>
      <c r="K1020" s="442">
        <v>12.63</v>
      </c>
      <c r="L1020" s="70"/>
    </row>
    <row r="1021" spans="1:12" ht="25.5" x14ac:dyDescent="0.25">
      <c r="A1021" s="501" t="s">
        <v>1732</v>
      </c>
      <c r="B1021" s="502" t="s">
        <v>1025</v>
      </c>
      <c r="C1021" s="501" t="s">
        <v>993</v>
      </c>
      <c r="D1021" s="501" t="s">
        <v>1026</v>
      </c>
      <c r="E1021" s="602" t="s">
        <v>972</v>
      </c>
      <c r="F1021" s="602"/>
      <c r="G1021" s="503" t="s">
        <v>81</v>
      </c>
      <c r="H1021" s="504">
        <v>0.3</v>
      </c>
      <c r="I1021" s="504"/>
      <c r="J1021" s="505">
        <v>23.41</v>
      </c>
      <c r="K1021" s="505">
        <v>7.02</v>
      </c>
      <c r="L1021" s="70"/>
    </row>
    <row r="1022" spans="1:12" ht="25.5" x14ac:dyDescent="0.25">
      <c r="A1022" s="501" t="s">
        <v>1732</v>
      </c>
      <c r="B1022" s="502" t="s">
        <v>999</v>
      </c>
      <c r="C1022" s="501" t="s">
        <v>993</v>
      </c>
      <c r="D1022" s="501" t="s">
        <v>1000</v>
      </c>
      <c r="E1022" s="602" t="s">
        <v>972</v>
      </c>
      <c r="F1022" s="602"/>
      <c r="G1022" s="503" t="s">
        <v>81</v>
      </c>
      <c r="H1022" s="504">
        <v>0.2</v>
      </c>
      <c r="I1022" s="504"/>
      <c r="J1022" s="505">
        <v>16.04</v>
      </c>
      <c r="K1022" s="505">
        <v>3.2</v>
      </c>
      <c r="L1022" s="70"/>
    </row>
    <row r="1023" spans="1:12" ht="25.5" x14ac:dyDescent="0.25">
      <c r="A1023" s="501" t="s">
        <v>1732</v>
      </c>
      <c r="B1023" s="502" t="s">
        <v>1986</v>
      </c>
      <c r="C1023" s="501" t="s">
        <v>993</v>
      </c>
      <c r="D1023" s="501" t="s">
        <v>1987</v>
      </c>
      <c r="E1023" s="602" t="s">
        <v>1746</v>
      </c>
      <c r="F1023" s="602"/>
      <c r="G1023" s="503" t="s">
        <v>49</v>
      </c>
      <c r="H1023" s="504">
        <v>0.15</v>
      </c>
      <c r="I1023" s="504"/>
      <c r="J1023" s="505">
        <v>1.1599999999999999</v>
      </c>
      <c r="K1023" s="505">
        <v>0.17</v>
      </c>
      <c r="L1023" s="70"/>
    </row>
    <row r="1024" spans="1:12" ht="25.5" x14ac:dyDescent="0.25">
      <c r="A1024" s="501" t="s">
        <v>1732</v>
      </c>
      <c r="B1024" s="502" t="s">
        <v>2282</v>
      </c>
      <c r="C1024" s="501" t="s">
        <v>993</v>
      </c>
      <c r="D1024" s="501" t="s">
        <v>2283</v>
      </c>
      <c r="E1024" s="602" t="s">
        <v>1746</v>
      </c>
      <c r="F1024" s="602"/>
      <c r="G1024" s="503" t="s">
        <v>1222</v>
      </c>
      <c r="H1024" s="504">
        <v>0.7</v>
      </c>
      <c r="I1024" s="504"/>
      <c r="J1024" s="505">
        <v>3.2</v>
      </c>
      <c r="K1024" s="505">
        <v>2.2400000000000002</v>
      </c>
      <c r="L1024" s="70"/>
    </row>
    <row r="1025" spans="1:12" ht="15.75" customHeight="1" x14ac:dyDescent="0.25">
      <c r="A1025" s="445"/>
      <c r="B1025" s="445"/>
      <c r="C1025" s="445"/>
      <c r="D1025" s="445"/>
      <c r="E1025" s="445" t="s">
        <v>1735</v>
      </c>
      <c r="F1025" s="506">
        <v>10.220000000000001</v>
      </c>
      <c r="G1025" s="445" t="s">
        <v>1736</v>
      </c>
      <c r="H1025" s="506">
        <v>0</v>
      </c>
      <c r="I1025" s="445" t="s">
        <v>1737</v>
      </c>
      <c r="J1025" s="506">
        <v>10.220000000000001</v>
      </c>
      <c r="K1025" s="70"/>
      <c r="L1025" s="70"/>
    </row>
    <row r="1026" spans="1:12" ht="17.25" thickBot="1" x14ac:dyDescent="0.3">
      <c r="A1026" s="445"/>
      <c r="B1026" s="445"/>
      <c r="C1026" s="445"/>
      <c r="D1026" s="445"/>
      <c r="E1026" s="445" t="s">
        <v>1738</v>
      </c>
      <c r="F1026" s="506">
        <v>3.1120320000000001</v>
      </c>
      <c r="G1026" s="445"/>
      <c r="H1026" s="606" t="s">
        <v>1739</v>
      </c>
      <c r="I1026" s="606"/>
      <c r="J1026" s="506">
        <v>15.74</v>
      </c>
      <c r="K1026" s="70"/>
      <c r="L1026" s="70"/>
    </row>
    <row r="1027" spans="1:12" ht="17.25" thickTop="1" x14ac:dyDescent="0.25">
      <c r="A1027" s="507"/>
      <c r="B1027" s="507"/>
      <c r="C1027" s="507"/>
      <c r="D1027" s="507"/>
      <c r="E1027" s="507"/>
      <c r="F1027" s="507"/>
      <c r="G1027" s="507"/>
      <c r="H1027" s="507"/>
      <c r="I1027" s="507"/>
      <c r="J1027" s="507"/>
      <c r="K1027" s="507"/>
      <c r="L1027" s="70"/>
    </row>
    <row r="1028" spans="1:12" ht="16.5" x14ac:dyDescent="0.25">
      <c r="A1028" s="419" t="s">
        <v>1349</v>
      </c>
      <c r="B1028" s="421" t="s">
        <v>76</v>
      </c>
      <c r="C1028" s="419" t="s">
        <v>991</v>
      </c>
      <c r="D1028" s="419" t="s">
        <v>191</v>
      </c>
      <c r="E1028" s="603" t="s">
        <v>77</v>
      </c>
      <c r="F1028" s="603"/>
      <c r="G1028" s="420" t="s">
        <v>103</v>
      </c>
      <c r="H1028" s="421" t="s">
        <v>147</v>
      </c>
      <c r="I1028" s="421" t="s">
        <v>1731</v>
      </c>
      <c r="J1028" s="421" t="s">
        <v>1117</v>
      </c>
      <c r="K1028" s="421" t="s">
        <v>104</v>
      </c>
      <c r="L1028" s="70"/>
    </row>
    <row r="1029" spans="1:12" ht="25.5" x14ac:dyDescent="0.25">
      <c r="A1029" s="441" t="s">
        <v>79</v>
      </c>
      <c r="B1029" s="480" t="s">
        <v>1350</v>
      </c>
      <c r="C1029" s="441" t="s">
        <v>993</v>
      </c>
      <c r="D1029" s="441" t="s">
        <v>909</v>
      </c>
      <c r="E1029" s="604">
        <v>2610</v>
      </c>
      <c r="F1029" s="604"/>
      <c r="G1029" s="443" t="s">
        <v>19</v>
      </c>
      <c r="H1029" s="500">
        <v>1</v>
      </c>
      <c r="I1029" s="442"/>
      <c r="J1029" s="442">
        <v>13.31</v>
      </c>
      <c r="K1029" s="442">
        <v>13.31</v>
      </c>
      <c r="L1029" s="70"/>
    </row>
    <row r="1030" spans="1:12" ht="25.5" x14ac:dyDescent="0.25">
      <c r="A1030" s="501" t="s">
        <v>1732</v>
      </c>
      <c r="B1030" s="502" t="s">
        <v>1025</v>
      </c>
      <c r="C1030" s="501" t="s">
        <v>993</v>
      </c>
      <c r="D1030" s="501" t="s">
        <v>1026</v>
      </c>
      <c r="E1030" s="602" t="s">
        <v>972</v>
      </c>
      <c r="F1030" s="602"/>
      <c r="G1030" s="503" t="s">
        <v>81</v>
      </c>
      <c r="H1030" s="504">
        <v>0.30209999999999998</v>
      </c>
      <c r="I1030" s="504"/>
      <c r="J1030" s="505">
        <v>23.41</v>
      </c>
      <c r="K1030" s="505">
        <v>7.07</v>
      </c>
      <c r="L1030" s="70"/>
    </row>
    <row r="1031" spans="1:12" ht="25.5" x14ac:dyDescent="0.25">
      <c r="A1031" s="501" t="s">
        <v>1732</v>
      </c>
      <c r="B1031" s="502" t="s">
        <v>999</v>
      </c>
      <c r="C1031" s="501" t="s">
        <v>993</v>
      </c>
      <c r="D1031" s="501" t="s">
        <v>1000</v>
      </c>
      <c r="E1031" s="602" t="s">
        <v>972</v>
      </c>
      <c r="F1031" s="602"/>
      <c r="G1031" s="503" t="s">
        <v>81</v>
      </c>
      <c r="H1031" s="504">
        <v>8.2199999999999995E-2</v>
      </c>
      <c r="I1031" s="504"/>
      <c r="J1031" s="505">
        <v>16.04</v>
      </c>
      <c r="K1031" s="505">
        <v>1.31</v>
      </c>
      <c r="L1031" s="70"/>
    </row>
    <row r="1032" spans="1:12" ht="25.5" x14ac:dyDescent="0.25">
      <c r="A1032" s="501" t="s">
        <v>1732</v>
      </c>
      <c r="B1032" s="502" t="s">
        <v>1986</v>
      </c>
      <c r="C1032" s="501" t="s">
        <v>993</v>
      </c>
      <c r="D1032" s="501" t="s">
        <v>1987</v>
      </c>
      <c r="E1032" s="602" t="s">
        <v>1746</v>
      </c>
      <c r="F1032" s="602"/>
      <c r="G1032" s="503" t="s">
        <v>49</v>
      </c>
      <c r="H1032" s="504">
        <v>0.1</v>
      </c>
      <c r="I1032" s="504"/>
      <c r="J1032" s="505">
        <v>1.1599999999999999</v>
      </c>
      <c r="K1032" s="505">
        <v>0.11</v>
      </c>
      <c r="L1032" s="70"/>
    </row>
    <row r="1033" spans="1:12" ht="25.5" x14ac:dyDescent="0.25">
      <c r="A1033" s="501" t="s">
        <v>1732</v>
      </c>
      <c r="B1033" s="502" t="s">
        <v>2000</v>
      </c>
      <c r="C1033" s="501" t="s">
        <v>993</v>
      </c>
      <c r="D1033" s="501" t="s">
        <v>2001</v>
      </c>
      <c r="E1033" s="602" t="s">
        <v>1746</v>
      </c>
      <c r="F1033" s="602"/>
      <c r="G1033" s="503" t="s">
        <v>1751</v>
      </c>
      <c r="H1033" s="504">
        <v>0.16</v>
      </c>
      <c r="I1033" s="504"/>
      <c r="J1033" s="505">
        <v>23.5</v>
      </c>
      <c r="K1033" s="505">
        <v>3.76</v>
      </c>
      <c r="L1033" s="70"/>
    </row>
    <row r="1034" spans="1:12" ht="25.5" x14ac:dyDescent="0.25">
      <c r="A1034" s="501" t="s">
        <v>1732</v>
      </c>
      <c r="B1034" s="502" t="s">
        <v>2004</v>
      </c>
      <c r="C1034" s="501" t="s">
        <v>993</v>
      </c>
      <c r="D1034" s="501" t="s">
        <v>2005</v>
      </c>
      <c r="E1034" s="602" t="s">
        <v>1746</v>
      </c>
      <c r="F1034" s="602"/>
      <c r="G1034" s="503" t="s">
        <v>1751</v>
      </c>
      <c r="H1034" s="504">
        <v>0.12</v>
      </c>
      <c r="I1034" s="504"/>
      <c r="J1034" s="505">
        <v>8.85</v>
      </c>
      <c r="K1034" s="505">
        <v>1.06</v>
      </c>
      <c r="L1034" s="70"/>
    </row>
    <row r="1035" spans="1:12" ht="15.75" customHeight="1" x14ac:dyDescent="0.25">
      <c r="A1035" s="445"/>
      <c r="B1035" s="445"/>
      <c r="C1035" s="445"/>
      <c r="D1035" s="445"/>
      <c r="E1035" s="445" t="s">
        <v>1735</v>
      </c>
      <c r="F1035" s="506">
        <v>8.3800000000000008</v>
      </c>
      <c r="G1035" s="445" t="s">
        <v>1736</v>
      </c>
      <c r="H1035" s="506">
        <v>0</v>
      </c>
      <c r="I1035" s="445" t="s">
        <v>1737</v>
      </c>
      <c r="J1035" s="506">
        <v>8.3800000000000008</v>
      </c>
      <c r="K1035" s="70"/>
      <c r="L1035" s="70"/>
    </row>
    <row r="1036" spans="1:12" ht="17.25" thickBot="1" x14ac:dyDescent="0.3">
      <c r="A1036" s="445"/>
      <c r="B1036" s="445"/>
      <c r="C1036" s="445"/>
      <c r="D1036" s="445"/>
      <c r="E1036" s="445" t="s">
        <v>1738</v>
      </c>
      <c r="F1036" s="506">
        <v>3.2795839999999998</v>
      </c>
      <c r="G1036" s="445"/>
      <c r="H1036" s="606" t="s">
        <v>1739</v>
      </c>
      <c r="I1036" s="606"/>
      <c r="J1036" s="506">
        <v>16.579999999999998</v>
      </c>
      <c r="K1036" s="70"/>
      <c r="L1036" s="70"/>
    </row>
    <row r="1037" spans="1:12" ht="17.25" thickTop="1" x14ac:dyDescent="0.25">
      <c r="A1037" s="507"/>
      <c r="B1037" s="507"/>
      <c r="C1037" s="507"/>
      <c r="D1037" s="507"/>
      <c r="E1037" s="507"/>
      <c r="F1037" s="507"/>
      <c r="G1037" s="507"/>
      <c r="H1037" s="507"/>
      <c r="I1037" s="507"/>
      <c r="J1037" s="507"/>
      <c r="K1037" s="507"/>
      <c r="L1037" s="70"/>
    </row>
    <row r="1038" spans="1:12" ht="16.5" x14ac:dyDescent="0.25">
      <c r="A1038" s="419" t="s">
        <v>1353</v>
      </c>
      <c r="B1038" s="421" t="s">
        <v>76</v>
      </c>
      <c r="C1038" s="419" t="s">
        <v>991</v>
      </c>
      <c r="D1038" s="419" t="s">
        <v>191</v>
      </c>
      <c r="E1038" s="603" t="s">
        <v>77</v>
      </c>
      <c r="F1038" s="603"/>
      <c r="G1038" s="420" t="s">
        <v>103</v>
      </c>
      <c r="H1038" s="421" t="s">
        <v>147</v>
      </c>
      <c r="I1038" s="421" t="s">
        <v>1731</v>
      </c>
      <c r="J1038" s="421" t="s">
        <v>1117</v>
      </c>
      <c r="K1038" s="421" t="s">
        <v>104</v>
      </c>
      <c r="L1038" s="70"/>
    </row>
    <row r="1039" spans="1:12" ht="25.5" x14ac:dyDescent="0.25">
      <c r="A1039" s="441" t="s">
        <v>79</v>
      </c>
      <c r="B1039" s="480" t="s">
        <v>1354</v>
      </c>
      <c r="C1039" s="441" t="s">
        <v>993</v>
      </c>
      <c r="D1039" s="441" t="s">
        <v>1355</v>
      </c>
      <c r="E1039" s="604">
        <v>2616</v>
      </c>
      <c r="F1039" s="604"/>
      <c r="G1039" s="443" t="s">
        <v>19</v>
      </c>
      <c r="H1039" s="500">
        <v>1</v>
      </c>
      <c r="I1039" s="442"/>
      <c r="J1039" s="442">
        <v>26.18</v>
      </c>
      <c r="K1039" s="442">
        <v>26.18</v>
      </c>
      <c r="L1039" s="70"/>
    </row>
    <row r="1040" spans="1:12" ht="25.5" x14ac:dyDescent="0.25">
      <c r="A1040" s="501" t="s">
        <v>1732</v>
      </c>
      <c r="B1040" s="502" t="s">
        <v>999</v>
      </c>
      <c r="C1040" s="501" t="s">
        <v>993</v>
      </c>
      <c r="D1040" s="501" t="s">
        <v>1000</v>
      </c>
      <c r="E1040" s="602" t="s">
        <v>972</v>
      </c>
      <c r="F1040" s="602"/>
      <c r="G1040" s="503" t="s">
        <v>81</v>
      </c>
      <c r="H1040" s="504">
        <v>0.27350000000000002</v>
      </c>
      <c r="I1040" s="504"/>
      <c r="J1040" s="505">
        <v>16.04</v>
      </c>
      <c r="K1040" s="505">
        <v>4.38</v>
      </c>
      <c r="L1040" s="70"/>
    </row>
    <row r="1041" spans="1:12" ht="25.5" x14ac:dyDescent="0.25">
      <c r="A1041" s="501" t="s">
        <v>1732</v>
      </c>
      <c r="B1041" s="502" t="s">
        <v>1025</v>
      </c>
      <c r="C1041" s="501" t="s">
        <v>993</v>
      </c>
      <c r="D1041" s="501" t="s">
        <v>1026</v>
      </c>
      <c r="E1041" s="602" t="s">
        <v>972</v>
      </c>
      <c r="F1041" s="602"/>
      <c r="G1041" s="503" t="s">
        <v>81</v>
      </c>
      <c r="H1041" s="504">
        <v>0.48220000000000002</v>
      </c>
      <c r="I1041" s="504"/>
      <c r="J1041" s="505">
        <v>23.41</v>
      </c>
      <c r="K1041" s="505">
        <v>11.28</v>
      </c>
      <c r="L1041" s="70"/>
    </row>
    <row r="1042" spans="1:12" ht="25.5" x14ac:dyDescent="0.25">
      <c r="A1042" s="501" t="s">
        <v>1732</v>
      </c>
      <c r="B1042" s="502" t="s">
        <v>2284</v>
      </c>
      <c r="C1042" s="501" t="s">
        <v>993</v>
      </c>
      <c r="D1042" s="501" t="s">
        <v>2285</v>
      </c>
      <c r="E1042" s="602" t="s">
        <v>1746</v>
      </c>
      <c r="F1042" s="602"/>
      <c r="G1042" s="503" t="s">
        <v>1751</v>
      </c>
      <c r="H1042" s="504">
        <v>0.12859999999999999</v>
      </c>
      <c r="I1042" s="504"/>
      <c r="J1042" s="505">
        <v>41.57</v>
      </c>
      <c r="K1042" s="505">
        <v>5.34</v>
      </c>
      <c r="L1042" s="70"/>
    </row>
    <row r="1043" spans="1:12" ht="38.25" x14ac:dyDescent="0.25">
      <c r="A1043" s="501" t="s">
        <v>1732</v>
      </c>
      <c r="B1043" s="502" t="s">
        <v>1747</v>
      </c>
      <c r="C1043" s="501" t="s">
        <v>993</v>
      </c>
      <c r="D1043" s="501" t="s">
        <v>1748</v>
      </c>
      <c r="E1043" s="602" t="s">
        <v>1746</v>
      </c>
      <c r="F1043" s="602"/>
      <c r="G1043" s="503" t="s">
        <v>49</v>
      </c>
      <c r="H1043" s="504">
        <v>5.3E-3</v>
      </c>
      <c r="I1043" s="504"/>
      <c r="J1043" s="505">
        <v>2.5</v>
      </c>
      <c r="K1043" s="505">
        <v>0.01</v>
      </c>
      <c r="L1043" s="70"/>
    </row>
    <row r="1044" spans="1:12" ht="25.5" x14ac:dyDescent="0.25">
      <c r="A1044" s="501" t="s">
        <v>1732</v>
      </c>
      <c r="B1044" s="502" t="s">
        <v>2012</v>
      </c>
      <c r="C1044" s="501" t="s">
        <v>993</v>
      </c>
      <c r="D1044" s="501" t="s">
        <v>2013</v>
      </c>
      <c r="E1044" s="602" t="s">
        <v>1746</v>
      </c>
      <c r="F1044" s="602"/>
      <c r="G1044" s="503" t="s">
        <v>49</v>
      </c>
      <c r="H1044" s="504">
        <v>0.18</v>
      </c>
      <c r="I1044" s="504"/>
      <c r="J1044" s="505">
        <v>3.04</v>
      </c>
      <c r="K1044" s="505">
        <v>0.54</v>
      </c>
      <c r="L1044" s="70"/>
    </row>
    <row r="1045" spans="1:12" ht="25.5" x14ac:dyDescent="0.25">
      <c r="A1045" s="501" t="s">
        <v>1732</v>
      </c>
      <c r="B1045" s="502" t="s">
        <v>1925</v>
      </c>
      <c r="C1045" s="501" t="s">
        <v>993</v>
      </c>
      <c r="D1045" s="501" t="s">
        <v>1926</v>
      </c>
      <c r="E1045" s="602" t="s">
        <v>1746</v>
      </c>
      <c r="F1045" s="602"/>
      <c r="G1045" s="503" t="s">
        <v>1751</v>
      </c>
      <c r="H1045" s="504">
        <v>0.109</v>
      </c>
      <c r="I1045" s="504"/>
      <c r="J1045" s="505">
        <v>31.08</v>
      </c>
      <c r="K1045" s="505">
        <v>3.38</v>
      </c>
      <c r="L1045" s="70"/>
    </row>
    <row r="1046" spans="1:12" ht="25.5" x14ac:dyDescent="0.25">
      <c r="A1046" s="501" t="s">
        <v>1732</v>
      </c>
      <c r="B1046" s="502" t="s">
        <v>1942</v>
      </c>
      <c r="C1046" s="501" t="s">
        <v>993</v>
      </c>
      <c r="D1046" s="501" t="s">
        <v>1943</v>
      </c>
      <c r="E1046" s="602" t="s">
        <v>1746</v>
      </c>
      <c r="F1046" s="602"/>
      <c r="G1046" s="503" t="s">
        <v>1751</v>
      </c>
      <c r="H1046" s="504">
        <v>7.1499999999999994E-2</v>
      </c>
      <c r="I1046" s="504"/>
      <c r="J1046" s="505">
        <v>17.53</v>
      </c>
      <c r="K1046" s="505">
        <v>1.25</v>
      </c>
      <c r="L1046" s="70"/>
    </row>
    <row r="1047" spans="1:12" ht="15.75" customHeight="1" x14ac:dyDescent="0.25">
      <c r="A1047" s="445"/>
      <c r="B1047" s="445"/>
      <c r="C1047" s="445"/>
      <c r="D1047" s="445"/>
      <c r="E1047" s="445" t="s">
        <v>1735</v>
      </c>
      <c r="F1047" s="506">
        <v>15.66</v>
      </c>
      <c r="G1047" s="445" t="s">
        <v>1736</v>
      </c>
      <c r="H1047" s="506">
        <v>0</v>
      </c>
      <c r="I1047" s="445" t="s">
        <v>1737</v>
      </c>
      <c r="J1047" s="506">
        <v>15.66</v>
      </c>
      <c r="K1047" s="70"/>
      <c r="L1047" s="70"/>
    </row>
    <row r="1048" spans="1:12" ht="17.25" thickBot="1" x14ac:dyDescent="0.3">
      <c r="A1048" s="445"/>
      <c r="B1048" s="445"/>
      <c r="C1048" s="445"/>
      <c r="D1048" s="445"/>
      <c r="E1048" s="445" t="s">
        <v>1738</v>
      </c>
      <c r="F1048" s="506">
        <v>6.4507519999999996</v>
      </c>
      <c r="G1048" s="445"/>
      <c r="H1048" s="606" t="s">
        <v>1739</v>
      </c>
      <c r="I1048" s="606"/>
      <c r="J1048" s="506">
        <v>32.630000000000003</v>
      </c>
      <c r="K1048" s="70"/>
      <c r="L1048" s="70"/>
    </row>
    <row r="1049" spans="1:12" ht="17.25" thickTop="1" x14ac:dyDescent="0.25">
      <c r="A1049" s="507"/>
      <c r="B1049" s="507"/>
      <c r="C1049" s="507"/>
      <c r="D1049" s="507"/>
      <c r="E1049" s="507"/>
      <c r="F1049" s="507"/>
      <c r="G1049" s="507"/>
      <c r="H1049" s="507"/>
      <c r="I1049" s="507"/>
      <c r="J1049" s="507"/>
      <c r="K1049" s="507"/>
      <c r="L1049" s="70"/>
    </row>
    <row r="1050" spans="1:12" ht="16.5" x14ac:dyDescent="0.25">
      <c r="A1050" s="419" t="s">
        <v>1358</v>
      </c>
      <c r="B1050" s="421" t="s">
        <v>76</v>
      </c>
      <c r="C1050" s="419" t="s">
        <v>991</v>
      </c>
      <c r="D1050" s="419" t="s">
        <v>191</v>
      </c>
      <c r="E1050" s="603" t="s">
        <v>77</v>
      </c>
      <c r="F1050" s="603"/>
      <c r="G1050" s="420" t="s">
        <v>103</v>
      </c>
      <c r="H1050" s="421" t="s">
        <v>147</v>
      </c>
      <c r="I1050" s="421" t="s">
        <v>1731</v>
      </c>
      <c r="J1050" s="421" t="s">
        <v>1117</v>
      </c>
      <c r="K1050" s="421" t="s">
        <v>104</v>
      </c>
      <c r="L1050" s="70"/>
    </row>
    <row r="1051" spans="1:12" ht="25.5" x14ac:dyDescent="0.25">
      <c r="A1051" s="441" t="s">
        <v>79</v>
      </c>
      <c r="B1051" s="480" t="s">
        <v>1359</v>
      </c>
      <c r="C1051" s="441" t="s">
        <v>993</v>
      </c>
      <c r="D1051" s="441" t="s">
        <v>1360</v>
      </c>
      <c r="E1051" s="604">
        <v>712</v>
      </c>
      <c r="F1051" s="604"/>
      <c r="G1051" s="443" t="s">
        <v>130</v>
      </c>
      <c r="H1051" s="500">
        <v>1</v>
      </c>
      <c r="I1051" s="442"/>
      <c r="J1051" s="442">
        <v>12.3</v>
      </c>
      <c r="K1051" s="442">
        <v>12.3</v>
      </c>
      <c r="L1051" s="70"/>
    </row>
    <row r="1052" spans="1:12" ht="25.5" x14ac:dyDescent="0.25">
      <c r="A1052" s="501" t="s">
        <v>1732</v>
      </c>
      <c r="B1052" s="502" t="s">
        <v>999</v>
      </c>
      <c r="C1052" s="501" t="s">
        <v>993</v>
      </c>
      <c r="D1052" s="501" t="s">
        <v>1000</v>
      </c>
      <c r="E1052" s="602" t="s">
        <v>972</v>
      </c>
      <c r="F1052" s="602"/>
      <c r="G1052" s="503" t="s">
        <v>81</v>
      </c>
      <c r="H1052" s="504">
        <v>0.17</v>
      </c>
      <c r="I1052" s="504"/>
      <c r="J1052" s="505">
        <v>16.04</v>
      </c>
      <c r="K1052" s="505">
        <v>2.72</v>
      </c>
      <c r="L1052" s="70"/>
    </row>
    <row r="1053" spans="1:12" ht="25.5" x14ac:dyDescent="0.25">
      <c r="A1053" s="501" t="s">
        <v>1732</v>
      </c>
      <c r="B1053" s="502" t="s">
        <v>1021</v>
      </c>
      <c r="C1053" s="501" t="s">
        <v>993</v>
      </c>
      <c r="D1053" s="501" t="s">
        <v>1022</v>
      </c>
      <c r="E1053" s="602" t="s">
        <v>972</v>
      </c>
      <c r="F1053" s="602"/>
      <c r="G1053" s="503" t="s">
        <v>81</v>
      </c>
      <c r="H1053" s="504">
        <v>0.17</v>
      </c>
      <c r="I1053" s="504"/>
      <c r="J1053" s="505">
        <v>23.41</v>
      </c>
      <c r="K1053" s="505">
        <v>3.97</v>
      </c>
      <c r="L1053" s="70"/>
    </row>
    <row r="1054" spans="1:12" ht="25.5" x14ac:dyDescent="0.25">
      <c r="A1054" s="501" t="s">
        <v>1732</v>
      </c>
      <c r="B1054" s="502" t="s">
        <v>2286</v>
      </c>
      <c r="C1054" s="501" t="s">
        <v>993</v>
      </c>
      <c r="D1054" s="501" t="s">
        <v>1360</v>
      </c>
      <c r="E1054" s="602" t="s">
        <v>1746</v>
      </c>
      <c r="F1054" s="602"/>
      <c r="G1054" s="503" t="s">
        <v>41</v>
      </c>
      <c r="H1054" s="504">
        <v>1</v>
      </c>
      <c r="I1054" s="504"/>
      <c r="J1054" s="505">
        <v>5.61</v>
      </c>
      <c r="K1054" s="505">
        <v>5.61</v>
      </c>
      <c r="L1054" s="70"/>
    </row>
    <row r="1055" spans="1:12" ht="15.75" customHeight="1" x14ac:dyDescent="0.25">
      <c r="A1055" s="445"/>
      <c r="B1055" s="445"/>
      <c r="C1055" s="445"/>
      <c r="D1055" s="445"/>
      <c r="E1055" s="445" t="s">
        <v>1735</v>
      </c>
      <c r="F1055" s="506">
        <v>6.69</v>
      </c>
      <c r="G1055" s="445" t="s">
        <v>1736</v>
      </c>
      <c r="H1055" s="506">
        <v>0</v>
      </c>
      <c r="I1055" s="445" t="s">
        <v>1737</v>
      </c>
      <c r="J1055" s="506">
        <v>6.69</v>
      </c>
      <c r="K1055" s="70"/>
      <c r="L1055" s="70"/>
    </row>
    <row r="1056" spans="1:12" ht="17.25" thickBot="1" x14ac:dyDescent="0.3">
      <c r="A1056" s="445"/>
      <c r="B1056" s="445"/>
      <c r="C1056" s="445"/>
      <c r="D1056" s="445"/>
      <c r="E1056" s="445" t="s">
        <v>1738</v>
      </c>
      <c r="F1056" s="506">
        <v>3.0307200000000001</v>
      </c>
      <c r="G1056" s="445"/>
      <c r="H1056" s="606" t="s">
        <v>1739</v>
      </c>
      <c r="I1056" s="606"/>
      <c r="J1056" s="506">
        <v>15.33</v>
      </c>
      <c r="K1056" s="70"/>
      <c r="L1056" s="70"/>
    </row>
    <row r="1057" spans="1:12" ht="17.25" thickTop="1" x14ac:dyDescent="0.25">
      <c r="A1057" s="507"/>
      <c r="B1057" s="507"/>
      <c r="C1057" s="507"/>
      <c r="D1057" s="507"/>
      <c r="E1057" s="507"/>
      <c r="F1057" s="507"/>
      <c r="G1057" s="507"/>
      <c r="H1057" s="507"/>
      <c r="I1057" s="507"/>
      <c r="J1057" s="507"/>
      <c r="K1057" s="507"/>
      <c r="L1057" s="70"/>
    </row>
    <row r="1058" spans="1:12" ht="16.5" x14ac:dyDescent="0.25">
      <c r="A1058" s="419" t="s">
        <v>1361</v>
      </c>
      <c r="B1058" s="421" t="s">
        <v>76</v>
      </c>
      <c r="C1058" s="419" t="s">
        <v>991</v>
      </c>
      <c r="D1058" s="419" t="s">
        <v>191</v>
      </c>
      <c r="E1058" s="603" t="s">
        <v>77</v>
      </c>
      <c r="F1058" s="603"/>
      <c r="G1058" s="420" t="s">
        <v>103</v>
      </c>
      <c r="H1058" s="421" t="s">
        <v>147</v>
      </c>
      <c r="I1058" s="421" t="s">
        <v>1731</v>
      </c>
      <c r="J1058" s="421" t="s">
        <v>1117</v>
      </c>
      <c r="K1058" s="421" t="s">
        <v>104</v>
      </c>
      <c r="L1058" s="70"/>
    </row>
    <row r="1059" spans="1:12" ht="25.5" x14ac:dyDescent="0.25">
      <c r="A1059" s="441" t="s">
        <v>79</v>
      </c>
      <c r="B1059" s="480" t="s">
        <v>1362</v>
      </c>
      <c r="C1059" s="441" t="s">
        <v>993</v>
      </c>
      <c r="D1059" s="441" t="s">
        <v>1363</v>
      </c>
      <c r="E1059" s="604">
        <v>712</v>
      </c>
      <c r="F1059" s="604"/>
      <c r="G1059" s="443" t="s">
        <v>130</v>
      </c>
      <c r="H1059" s="500">
        <v>1</v>
      </c>
      <c r="I1059" s="442"/>
      <c r="J1059" s="442">
        <v>46.51</v>
      </c>
      <c r="K1059" s="442">
        <v>46.51</v>
      </c>
      <c r="L1059" s="70"/>
    </row>
    <row r="1060" spans="1:12" ht="25.5" x14ac:dyDescent="0.25">
      <c r="A1060" s="501" t="s">
        <v>1732</v>
      </c>
      <c r="B1060" s="502" t="s">
        <v>999</v>
      </c>
      <c r="C1060" s="501" t="s">
        <v>993</v>
      </c>
      <c r="D1060" s="501" t="s">
        <v>1000</v>
      </c>
      <c r="E1060" s="602" t="s">
        <v>972</v>
      </c>
      <c r="F1060" s="602"/>
      <c r="G1060" s="503" t="s">
        <v>81</v>
      </c>
      <c r="H1060" s="504">
        <v>0.4</v>
      </c>
      <c r="I1060" s="504"/>
      <c r="J1060" s="505">
        <v>16.04</v>
      </c>
      <c r="K1060" s="505">
        <v>6.41</v>
      </c>
      <c r="L1060" s="70"/>
    </row>
    <row r="1061" spans="1:12" ht="25.5" x14ac:dyDescent="0.25">
      <c r="A1061" s="501" t="s">
        <v>1732</v>
      </c>
      <c r="B1061" s="502" t="s">
        <v>1021</v>
      </c>
      <c r="C1061" s="501" t="s">
        <v>993</v>
      </c>
      <c r="D1061" s="501" t="s">
        <v>1022</v>
      </c>
      <c r="E1061" s="602" t="s">
        <v>972</v>
      </c>
      <c r="F1061" s="602"/>
      <c r="G1061" s="503" t="s">
        <v>81</v>
      </c>
      <c r="H1061" s="504">
        <v>0.4</v>
      </c>
      <c r="I1061" s="504"/>
      <c r="J1061" s="505">
        <v>23.41</v>
      </c>
      <c r="K1061" s="505">
        <v>9.36</v>
      </c>
      <c r="L1061" s="70"/>
    </row>
    <row r="1062" spans="1:12" ht="25.5" x14ac:dyDescent="0.25">
      <c r="A1062" s="501" t="s">
        <v>1732</v>
      </c>
      <c r="B1062" s="502" t="s">
        <v>2287</v>
      </c>
      <c r="C1062" s="501" t="s">
        <v>993</v>
      </c>
      <c r="D1062" s="501" t="s">
        <v>1363</v>
      </c>
      <c r="E1062" s="602" t="s">
        <v>1746</v>
      </c>
      <c r="F1062" s="602"/>
      <c r="G1062" s="503" t="s">
        <v>41</v>
      </c>
      <c r="H1062" s="504">
        <v>1</v>
      </c>
      <c r="I1062" s="504"/>
      <c r="J1062" s="505">
        <v>30.74</v>
      </c>
      <c r="K1062" s="505">
        <v>30.74</v>
      </c>
      <c r="L1062" s="70"/>
    </row>
    <row r="1063" spans="1:12" ht="15.75" customHeight="1" x14ac:dyDescent="0.25">
      <c r="A1063" s="445"/>
      <c r="B1063" s="445"/>
      <c r="C1063" s="445"/>
      <c r="D1063" s="445"/>
      <c r="E1063" s="445" t="s">
        <v>1735</v>
      </c>
      <c r="F1063" s="506">
        <v>15.77</v>
      </c>
      <c r="G1063" s="445" t="s">
        <v>1736</v>
      </c>
      <c r="H1063" s="506">
        <v>0</v>
      </c>
      <c r="I1063" s="445" t="s">
        <v>1737</v>
      </c>
      <c r="J1063" s="506">
        <v>15.77</v>
      </c>
      <c r="K1063" s="70"/>
      <c r="L1063" s="70"/>
    </row>
    <row r="1064" spans="1:12" ht="17.25" thickBot="1" x14ac:dyDescent="0.3">
      <c r="A1064" s="445"/>
      <c r="B1064" s="445"/>
      <c r="C1064" s="445"/>
      <c r="D1064" s="445"/>
      <c r="E1064" s="445" t="s">
        <v>1738</v>
      </c>
      <c r="F1064" s="506">
        <v>11.460063999999999</v>
      </c>
      <c r="G1064" s="445"/>
      <c r="H1064" s="606" t="s">
        <v>1739</v>
      </c>
      <c r="I1064" s="606"/>
      <c r="J1064" s="506">
        <v>57.97</v>
      </c>
      <c r="K1064" s="70"/>
      <c r="L1064" s="70"/>
    </row>
    <row r="1065" spans="1:12" ht="17.25" thickTop="1" x14ac:dyDescent="0.25">
      <c r="A1065" s="507"/>
      <c r="B1065" s="507"/>
      <c r="C1065" s="507"/>
      <c r="D1065" s="507"/>
      <c r="E1065" s="507"/>
      <c r="F1065" s="507"/>
      <c r="G1065" s="507"/>
      <c r="H1065" s="507"/>
      <c r="I1065" s="507"/>
      <c r="J1065" s="507"/>
      <c r="K1065" s="507"/>
      <c r="L1065" s="70"/>
    </row>
    <row r="1066" spans="1:12" ht="16.5" x14ac:dyDescent="0.25">
      <c r="A1066" s="419" t="s">
        <v>1364</v>
      </c>
      <c r="B1066" s="421" t="s">
        <v>76</v>
      </c>
      <c r="C1066" s="419" t="s">
        <v>991</v>
      </c>
      <c r="D1066" s="419" t="s">
        <v>191</v>
      </c>
      <c r="E1066" s="603" t="s">
        <v>77</v>
      </c>
      <c r="F1066" s="603"/>
      <c r="G1066" s="420" t="s">
        <v>103</v>
      </c>
      <c r="H1066" s="421" t="s">
        <v>147</v>
      </c>
      <c r="I1066" s="421" t="s">
        <v>1731</v>
      </c>
      <c r="J1066" s="421" t="s">
        <v>1117</v>
      </c>
      <c r="K1066" s="421" t="s">
        <v>104</v>
      </c>
      <c r="L1066" s="70"/>
    </row>
    <row r="1067" spans="1:12" ht="25.5" x14ac:dyDescent="0.25">
      <c r="A1067" s="441" t="s">
        <v>79</v>
      </c>
      <c r="B1067" s="480" t="s">
        <v>1365</v>
      </c>
      <c r="C1067" s="441" t="s">
        <v>993</v>
      </c>
      <c r="D1067" s="441" t="s">
        <v>1366</v>
      </c>
      <c r="E1067" s="604">
        <v>705</v>
      </c>
      <c r="F1067" s="604"/>
      <c r="G1067" s="443" t="s">
        <v>130</v>
      </c>
      <c r="H1067" s="500">
        <v>1</v>
      </c>
      <c r="I1067" s="442"/>
      <c r="J1067" s="442">
        <v>6.46</v>
      </c>
      <c r="K1067" s="442">
        <v>6.46</v>
      </c>
      <c r="L1067" s="70"/>
    </row>
    <row r="1068" spans="1:12" ht="25.5" x14ac:dyDescent="0.25">
      <c r="A1068" s="501" t="s">
        <v>1732</v>
      </c>
      <c r="B1068" s="502" t="s">
        <v>999</v>
      </c>
      <c r="C1068" s="501" t="s">
        <v>993</v>
      </c>
      <c r="D1068" s="501" t="s">
        <v>1000</v>
      </c>
      <c r="E1068" s="602" t="s">
        <v>972</v>
      </c>
      <c r="F1068" s="602"/>
      <c r="G1068" s="503" t="s">
        <v>81</v>
      </c>
      <c r="H1068" s="504">
        <v>5.5E-2</v>
      </c>
      <c r="I1068" s="504"/>
      <c r="J1068" s="505">
        <v>16.04</v>
      </c>
      <c r="K1068" s="505">
        <v>0.88</v>
      </c>
      <c r="L1068" s="70"/>
    </row>
    <row r="1069" spans="1:12" ht="25.5" x14ac:dyDescent="0.25">
      <c r="A1069" s="501" t="s">
        <v>1732</v>
      </c>
      <c r="B1069" s="502" t="s">
        <v>1021</v>
      </c>
      <c r="C1069" s="501" t="s">
        <v>993</v>
      </c>
      <c r="D1069" s="501" t="s">
        <v>1022</v>
      </c>
      <c r="E1069" s="602" t="s">
        <v>972</v>
      </c>
      <c r="F1069" s="602"/>
      <c r="G1069" s="503" t="s">
        <v>81</v>
      </c>
      <c r="H1069" s="504">
        <v>5.5E-2</v>
      </c>
      <c r="I1069" s="504"/>
      <c r="J1069" s="505">
        <v>23.41</v>
      </c>
      <c r="K1069" s="505">
        <v>1.28</v>
      </c>
      <c r="L1069" s="70"/>
    </row>
    <row r="1070" spans="1:12" ht="25.5" x14ac:dyDescent="0.25">
      <c r="A1070" s="501" t="s">
        <v>1732</v>
      </c>
      <c r="B1070" s="502" t="s">
        <v>2288</v>
      </c>
      <c r="C1070" s="501" t="s">
        <v>993</v>
      </c>
      <c r="D1070" s="501" t="s">
        <v>2289</v>
      </c>
      <c r="E1070" s="602" t="s">
        <v>1746</v>
      </c>
      <c r="F1070" s="602"/>
      <c r="G1070" s="503" t="s">
        <v>41</v>
      </c>
      <c r="H1070" s="504">
        <v>1.02</v>
      </c>
      <c r="I1070" s="504"/>
      <c r="J1070" s="505">
        <v>4.22</v>
      </c>
      <c r="K1070" s="505">
        <v>4.3</v>
      </c>
      <c r="L1070" s="70"/>
    </row>
    <row r="1071" spans="1:12" ht="15.75" customHeight="1" x14ac:dyDescent="0.25">
      <c r="A1071" s="445"/>
      <c r="B1071" s="445"/>
      <c r="C1071" s="445"/>
      <c r="D1071" s="445"/>
      <c r="E1071" s="445" t="s">
        <v>1735</v>
      </c>
      <c r="F1071" s="506">
        <v>2.16</v>
      </c>
      <c r="G1071" s="445" t="s">
        <v>1736</v>
      </c>
      <c r="H1071" s="506">
        <v>0</v>
      </c>
      <c r="I1071" s="445" t="s">
        <v>1737</v>
      </c>
      <c r="J1071" s="506">
        <v>2.16</v>
      </c>
      <c r="K1071" s="70"/>
      <c r="L1071" s="70"/>
    </row>
    <row r="1072" spans="1:12" ht="17.25" thickBot="1" x14ac:dyDescent="0.3">
      <c r="A1072" s="445"/>
      <c r="B1072" s="445"/>
      <c r="C1072" s="445"/>
      <c r="D1072" s="445"/>
      <c r="E1072" s="445" t="s">
        <v>1738</v>
      </c>
      <c r="F1072" s="506">
        <v>1.591744</v>
      </c>
      <c r="G1072" s="445"/>
      <c r="H1072" s="606" t="s">
        <v>1739</v>
      </c>
      <c r="I1072" s="606"/>
      <c r="J1072" s="506">
        <v>8.0500000000000007</v>
      </c>
      <c r="K1072" s="70"/>
      <c r="L1072" s="70"/>
    </row>
    <row r="1073" spans="1:12" ht="17.25" thickTop="1" x14ac:dyDescent="0.25">
      <c r="A1073" s="507"/>
      <c r="B1073" s="507"/>
      <c r="C1073" s="507"/>
      <c r="D1073" s="507"/>
      <c r="E1073" s="507"/>
      <c r="F1073" s="507"/>
      <c r="G1073" s="507"/>
      <c r="H1073" s="507"/>
      <c r="I1073" s="507"/>
      <c r="J1073" s="507"/>
      <c r="K1073" s="507"/>
      <c r="L1073" s="70"/>
    </row>
    <row r="1074" spans="1:12" ht="16.5" x14ac:dyDescent="0.25">
      <c r="A1074" s="419" t="s">
        <v>1367</v>
      </c>
      <c r="B1074" s="421" t="s">
        <v>76</v>
      </c>
      <c r="C1074" s="419" t="s">
        <v>991</v>
      </c>
      <c r="D1074" s="419" t="s">
        <v>191</v>
      </c>
      <c r="E1074" s="603" t="s">
        <v>77</v>
      </c>
      <c r="F1074" s="603"/>
      <c r="G1074" s="420" t="s">
        <v>103</v>
      </c>
      <c r="H1074" s="421" t="s">
        <v>147</v>
      </c>
      <c r="I1074" s="421" t="s">
        <v>1731</v>
      </c>
      <c r="J1074" s="421" t="s">
        <v>1117</v>
      </c>
      <c r="K1074" s="421" t="s">
        <v>104</v>
      </c>
      <c r="L1074" s="70"/>
    </row>
    <row r="1075" spans="1:12" ht="25.5" x14ac:dyDescent="0.25">
      <c r="A1075" s="441" t="s">
        <v>79</v>
      </c>
      <c r="B1075" s="480" t="s">
        <v>1368</v>
      </c>
      <c r="C1075" s="441" t="s">
        <v>993</v>
      </c>
      <c r="D1075" s="441" t="s">
        <v>1369</v>
      </c>
      <c r="E1075" s="604">
        <v>705</v>
      </c>
      <c r="F1075" s="604"/>
      <c r="G1075" s="443" t="s">
        <v>130</v>
      </c>
      <c r="H1075" s="500">
        <v>1</v>
      </c>
      <c r="I1075" s="442"/>
      <c r="J1075" s="442">
        <v>11.58</v>
      </c>
      <c r="K1075" s="442">
        <v>11.58</v>
      </c>
      <c r="L1075" s="70"/>
    </row>
    <row r="1076" spans="1:12" ht="25.5" x14ac:dyDescent="0.25">
      <c r="A1076" s="501" t="s">
        <v>1732</v>
      </c>
      <c r="B1076" s="502" t="s">
        <v>999</v>
      </c>
      <c r="C1076" s="501" t="s">
        <v>993</v>
      </c>
      <c r="D1076" s="501" t="s">
        <v>1000</v>
      </c>
      <c r="E1076" s="602" t="s">
        <v>972</v>
      </c>
      <c r="F1076" s="602"/>
      <c r="G1076" s="503" t="s">
        <v>81</v>
      </c>
      <c r="H1076" s="504">
        <v>7.0000000000000007E-2</v>
      </c>
      <c r="I1076" s="504"/>
      <c r="J1076" s="505">
        <v>16.04</v>
      </c>
      <c r="K1076" s="505">
        <v>1.1200000000000001</v>
      </c>
      <c r="L1076" s="70"/>
    </row>
    <row r="1077" spans="1:12" ht="25.5" x14ac:dyDescent="0.25">
      <c r="A1077" s="501" t="s">
        <v>1732</v>
      </c>
      <c r="B1077" s="502" t="s">
        <v>1021</v>
      </c>
      <c r="C1077" s="501" t="s">
        <v>993</v>
      </c>
      <c r="D1077" s="501" t="s">
        <v>1022</v>
      </c>
      <c r="E1077" s="602" t="s">
        <v>972</v>
      </c>
      <c r="F1077" s="602"/>
      <c r="G1077" s="503" t="s">
        <v>81</v>
      </c>
      <c r="H1077" s="504">
        <v>7.0000000000000007E-2</v>
      </c>
      <c r="I1077" s="504"/>
      <c r="J1077" s="505">
        <v>23.41</v>
      </c>
      <c r="K1077" s="505">
        <v>1.63</v>
      </c>
      <c r="L1077" s="70"/>
    </row>
    <row r="1078" spans="1:12" ht="25.5" x14ac:dyDescent="0.25">
      <c r="A1078" s="501" t="s">
        <v>1732</v>
      </c>
      <c r="B1078" s="502" t="s">
        <v>2290</v>
      </c>
      <c r="C1078" s="501" t="s">
        <v>993</v>
      </c>
      <c r="D1078" s="501" t="s">
        <v>2291</v>
      </c>
      <c r="E1078" s="602" t="s">
        <v>1746</v>
      </c>
      <c r="F1078" s="602"/>
      <c r="G1078" s="503" t="s">
        <v>41</v>
      </c>
      <c r="H1078" s="504">
        <v>1.02</v>
      </c>
      <c r="I1078" s="504"/>
      <c r="J1078" s="505">
        <v>8.66</v>
      </c>
      <c r="K1078" s="505">
        <v>8.83</v>
      </c>
      <c r="L1078" s="70"/>
    </row>
    <row r="1079" spans="1:12" ht="15.75" customHeight="1" x14ac:dyDescent="0.25">
      <c r="A1079" s="445"/>
      <c r="B1079" s="445"/>
      <c r="C1079" s="445"/>
      <c r="D1079" s="445"/>
      <c r="E1079" s="445" t="s">
        <v>1735</v>
      </c>
      <c r="F1079" s="506">
        <v>2.75</v>
      </c>
      <c r="G1079" s="445" t="s">
        <v>1736</v>
      </c>
      <c r="H1079" s="506">
        <v>0</v>
      </c>
      <c r="I1079" s="445" t="s">
        <v>1737</v>
      </c>
      <c r="J1079" s="506">
        <v>2.75</v>
      </c>
      <c r="K1079" s="70"/>
      <c r="L1079" s="70"/>
    </row>
    <row r="1080" spans="1:12" ht="17.25" thickBot="1" x14ac:dyDescent="0.3">
      <c r="A1080" s="445"/>
      <c r="B1080" s="445"/>
      <c r="C1080" s="445"/>
      <c r="D1080" s="445"/>
      <c r="E1080" s="445" t="s">
        <v>1738</v>
      </c>
      <c r="F1080" s="506">
        <v>2.8533119999999998</v>
      </c>
      <c r="G1080" s="445"/>
      <c r="H1080" s="606" t="s">
        <v>1739</v>
      </c>
      <c r="I1080" s="606"/>
      <c r="J1080" s="506">
        <v>14.43</v>
      </c>
      <c r="K1080" s="70"/>
      <c r="L1080" s="70"/>
    </row>
    <row r="1081" spans="1:12" ht="17.25" thickTop="1" x14ac:dyDescent="0.25">
      <c r="A1081" s="507"/>
      <c r="B1081" s="507"/>
      <c r="C1081" s="507"/>
      <c r="D1081" s="507"/>
      <c r="E1081" s="507"/>
      <c r="F1081" s="507"/>
      <c r="G1081" s="507"/>
      <c r="H1081" s="507"/>
      <c r="I1081" s="507"/>
      <c r="J1081" s="507"/>
      <c r="K1081" s="507"/>
      <c r="L1081" s="70"/>
    </row>
    <row r="1082" spans="1:12" ht="16.5" x14ac:dyDescent="0.25">
      <c r="A1082" s="419" t="s">
        <v>1371</v>
      </c>
      <c r="B1082" s="421" t="s">
        <v>76</v>
      </c>
      <c r="C1082" s="419" t="s">
        <v>991</v>
      </c>
      <c r="D1082" s="419" t="s">
        <v>191</v>
      </c>
      <c r="E1082" s="603" t="s">
        <v>77</v>
      </c>
      <c r="F1082" s="603"/>
      <c r="G1082" s="420" t="s">
        <v>103</v>
      </c>
      <c r="H1082" s="421" t="s">
        <v>147</v>
      </c>
      <c r="I1082" s="421" t="s">
        <v>1731</v>
      </c>
      <c r="J1082" s="421" t="s">
        <v>1117</v>
      </c>
      <c r="K1082" s="421" t="s">
        <v>104</v>
      </c>
      <c r="L1082" s="70"/>
    </row>
    <row r="1083" spans="1:12" ht="25.5" x14ac:dyDescent="0.25">
      <c r="A1083" s="441" t="s">
        <v>79</v>
      </c>
      <c r="B1083" s="480" t="s">
        <v>1372</v>
      </c>
      <c r="C1083" s="441" t="s">
        <v>993</v>
      </c>
      <c r="D1083" s="441" t="s">
        <v>1373</v>
      </c>
      <c r="E1083" s="604">
        <v>723</v>
      </c>
      <c r="F1083" s="604"/>
      <c r="G1083" s="443" t="s">
        <v>1141</v>
      </c>
      <c r="H1083" s="500">
        <v>1</v>
      </c>
      <c r="I1083" s="442"/>
      <c r="J1083" s="442">
        <v>73.38</v>
      </c>
      <c r="K1083" s="442">
        <v>73.38</v>
      </c>
      <c r="L1083" s="70"/>
    </row>
    <row r="1084" spans="1:12" ht="25.5" x14ac:dyDescent="0.25">
      <c r="A1084" s="501" t="s">
        <v>1732</v>
      </c>
      <c r="B1084" s="502" t="s">
        <v>999</v>
      </c>
      <c r="C1084" s="501" t="s">
        <v>993</v>
      </c>
      <c r="D1084" s="501" t="s">
        <v>1000</v>
      </c>
      <c r="E1084" s="602" t="s">
        <v>972</v>
      </c>
      <c r="F1084" s="602"/>
      <c r="G1084" s="503" t="s">
        <v>81</v>
      </c>
      <c r="H1084" s="504">
        <v>1</v>
      </c>
      <c r="I1084" s="504"/>
      <c r="J1084" s="505">
        <v>16.04</v>
      </c>
      <c r="K1084" s="505">
        <v>16.04</v>
      </c>
      <c r="L1084" s="70"/>
    </row>
    <row r="1085" spans="1:12" ht="25.5" x14ac:dyDescent="0.25">
      <c r="A1085" s="501" t="s">
        <v>1732</v>
      </c>
      <c r="B1085" s="502" t="s">
        <v>1021</v>
      </c>
      <c r="C1085" s="501" t="s">
        <v>993</v>
      </c>
      <c r="D1085" s="501" t="s">
        <v>1022</v>
      </c>
      <c r="E1085" s="602" t="s">
        <v>972</v>
      </c>
      <c r="F1085" s="602"/>
      <c r="G1085" s="503" t="s">
        <v>81</v>
      </c>
      <c r="H1085" s="504">
        <v>1</v>
      </c>
      <c r="I1085" s="504"/>
      <c r="J1085" s="505">
        <v>23.41</v>
      </c>
      <c r="K1085" s="505">
        <v>23.41</v>
      </c>
      <c r="L1085" s="70"/>
    </row>
    <row r="1086" spans="1:12" ht="25.5" x14ac:dyDescent="0.25">
      <c r="A1086" s="501" t="s">
        <v>1732</v>
      </c>
      <c r="B1086" s="502" t="s">
        <v>2292</v>
      </c>
      <c r="C1086" s="501" t="s">
        <v>993</v>
      </c>
      <c r="D1086" s="501" t="s">
        <v>1373</v>
      </c>
      <c r="E1086" s="602" t="s">
        <v>1746</v>
      </c>
      <c r="F1086" s="602"/>
      <c r="G1086" s="503" t="s">
        <v>49</v>
      </c>
      <c r="H1086" s="504">
        <v>1</v>
      </c>
      <c r="I1086" s="504"/>
      <c r="J1086" s="505">
        <v>33.93</v>
      </c>
      <c r="K1086" s="505">
        <v>33.93</v>
      </c>
      <c r="L1086" s="70"/>
    </row>
    <row r="1087" spans="1:12" ht="15.75" customHeight="1" x14ac:dyDescent="0.25">
      <c r="A1087" s="445"/>
      <c r="B1087" s="445"/>
      <c r="C1087" s="445"/>
      <c r="D1087" s="445"/>
      <c r="E1087" s="445" t="s">
        <v>1735</v>
      </c>
      <c r="F1087" s="506">
        <v>39.450000000000003</v>
      </c>
      <c r="G1087" s="445" t="s">
        <v>1736</v>
      </c>
      <c r="H1087" s="506">
        <v>0</v>
      </c>
      <c r="I1087" s="445" t="s">
        <v>1737</v>
      </c>
      <c r="J1087" s="506">
        <v>39.450000000000003</v>
      </c>
      <c r="K1087" s="70"/>
      <c r="L1087" s="70"/>
    </row>
    <row r="1088" spans="1:12" ht="17.25" thickBot="1" x14ac:dyDescent="0.3">
      <c r="A1088" s="445"/>
      <c r="B1088" s="445"/>
      <c r="C1088" s="445"/>
      <c r="D1088" s="445"/>
      <c r="E1088" s="445" t="s">
        <v>1738</v>
      </c>
      <c r="F1088" s="506">
        <v>18.080832000000001</v>
      </c>
      <c r="G1088" s="445"/>
      <c r="H1088" s="606" t="s">
        <v>1739</v>
      </c>
      <c r="I1088" s="606"/>
      <c r="J1088" s="506">
        <v>91.46</v>
      </c>
      <c r="K1088" s="70"/>
      <c r="L1088" s="70"/>
    </row>
    <row r="1089" spans="1:12" ht="17.25" thickTop="1" x14ac:dyDescent="0.25">
      <c r="A1089" s="507"/>
      <c r="B1089" s="507"/>
      <c r="C1089" s="507"/>
      <c r="D1089" s="507"/>
      <c r="E1089" s="507"/>
      <c r="F1089" s="507"/>
      <c r="G1089" s="507"/>
      <c r="H1089" s="507"/>
      <c r="I1089" s="507"/>
      <c r="J1089" s="507"/>
      <c r="K1089" s="507"/>
      <c r="L1089" s="70"/>
    </row>
    <row r="1090" spans="1:12" ht="16.5" x14ac:dyDescent="0.25">
      <c r="A1090" s="419" t="s">
        <v>1374</v>
      </c>
      <c r="B1090" s="421" t="s">
        <v>76</v>
      </c>
      <c r="C1090" s="419" t="s">
        <v>991</v>
      </c>
      <c r="D1090" s="419" t="s">
        <v>191</v>
      </c>
      <c r="E1090" s="603" t="s">
        <v>77</v>
      </c>
      <c r="F1090" s="603"/>
      <c r="G1090" s="420" t="s">
        <v>103</v>
      </c>
      <c r="H1090" s="421" t="s">
        <v>147</v>
      </c>
      <c r="I1090" s="421" t="s">
        <v>1731</v>
      </c>
      <c r="J1090" s="421" t="s">
        <v>1117</v>
      </c>
      <c r="K1090" s="421" t="s">
        <v>104</v>
      </c>
      <c r="L1090" s="70"/>
    </row>
    <row r="1091" spans="1:12" ht="25.5" x14ac:dyDescent="0.25">
      <c r="A1091" s="441" t="s">
        <v>79</v>
      </c>
      <c r="B1091" s="480" t="s">
        <v>1375</v>
      </c>
      <c r="C1091" s="441" t="s">
        <v>993</v>
      </c>
      <c r="D1091" s="441" t="s">
        <v>1376</v>
      </c>
      <c r="E1091" s="604">
        <v>717</v>
      </c>
      <c r="F1091" s="604"/>
      <c r="G1091" s="443" t="s">
        <v>1141</v>
      </c>
      <c r="H1091" s="500">
        <v>1</v>
      </c>
      <c r="I1091" s="442"/>
      <c r="J1091" s="442">
        <v>6.89</v>
      </c>
      <c r="K1091" s="442">
        <v>6.89</v>
      </c>
      <c r="L1091" s="70"/>
    </row>
    <row r="1092" spans="1:12" ht="25.5" x14ac:dyDescent="0.25">
      <c r="A1092" s="501" t="s">
        <v>1732</v>
      </c>
      <c r="B1092" s="502" t="s">
        <v>999</v>
      </c>
      <c r="C1092" s="501" t="s">
        <v>993</v>
      </c>
      <c r="D1092" s="501" t="s">
        <v>1000</v>
      </c>
      <c r="E1092" s="602" t="s">
        <v>972</v>
      </c>
      <c r="F1092" s="602"/>
      <c r="G1092" s="503" t="s">
        <v>81</v>
      </c>
      <c r="H1092" s="504">
        <v>0.06</v>
      </c>
      <c r="I1092" s="504"/>
      <c r="J1092" s="505">
        <v>16.04</v>
      </c>
      <c r="K1092" s="505">
        <v>0.96</v>
      </c>
      <c r="L1092" s="70"/>
    </row>
    <row r="1093" spans="1:12" ht="25.5" x14ac:dyDescent="0.25">
      <c r="A1093" s="501" t="s">
        <v>1732</v>
      </c>
      <c r="B1093" s="502" t="s">
        <v>1021</v>
      </c>
      <c r="C1093" s="501" t="s">
        <v>993</v>
      </c>
      <c r="D1093" s="501" t="s">
        <v>1022</v>
      </c>
      <c r="E1093" s="602" t="s">
        <v>972</v>
      </c>
      <c r="F1093" s="602"/>
      <c r="G1093" s="503" t="s">
        <v>81</v>
      </c>
      <c r="H1093" s="504">
        <v>0.06</v>
      </c>
      <c r="I1093" s="504"/>
      <c r="J1093" s="505">
        <v>23.41</v>
      </c>
      <c r="K1093" s="505">
        <v>1.4</v>
      </c>
      <c r="L1093" s="70"/>
    </row>
    <row r="1094" spans="1:12" ht="25.5" x14ac:dyDescent="0.25">
      <c r="A1094" s="501" t="s">
        <v>1732</v>
      </c>
      <c r="B1094" s="502" t="s">
        <v>2293</v>
      </c>
      <c r="C1094" s="501" t="s">
        <v>993</v>
      </c>
      <c r="D1094" s="501" t="s">
        <v>2294</v>
      </c>
      <c r="E1094" s="602" t="s">
        <v>1746</v>
      </c>
      <c r="F1094" s="602"/>
      <c r="G1094" s="503" t="s">
        <v>49</v>
      </c>
      <c r="H1094" s="504">
        <v>1</v>
      </c>
      <c r="I1094" s="504"/>
      <c r="J1094" s="505">
        <v>4.53</v>
      </c>
      <c r="K1094" s="505">
        <v>4.53</v>
      </c>
      <c r="L1094" s="70"/>
    </row>
    <row r="1095" spans="1:12" ht="15.75" customHeight="1" x14ac:dyDescent="0.25">
      <c r="A1095" s="445"/>
      <c r="B1095" s="445"/>
      <c r="C1095" s="445"/>
      <c r="D1095" s="445"/>
      <c r="E1095" s="445" t="s">
        <v>1735</v>
      </c>
      <c r="F1095" s="506">
        <v>2.36</v>
      </c>
      <c r="G1095" s="445" t="s">
        <v>1736</v>
      </c>
      <c r="H1095" s="506">
        <v>0</v>
      </c>
      <c r="I1095" s="445" t="s">
        <v>1737</v>
      </c>
      <c r="J1095" s="506">
        <v>2.36</v>
      </c>
      <c r="K1095" s="70"/>
      <c r="L1095" s="70"/>
    </row>
    <row r="1096" spans="1:12" ht="17.25" thickBot="1" x14ac:dyDescent="0.3">
      <c r="A1096" s="445"/>
      <c r="B1096" s="445"/>
      <c r="C1096" s="445"/>
      <c r="D1096" s="445"/>
      <c r="E1096" s="445" t="s">
        <v>1738</v>
      </c>
      <c r="F1096" s="506">
        <v>1.6976960000000001</v>
      </c>
      <c r="G1096" s="445"/>
      <c r="H1096" s="606" t="s">
        <v>1739</v>
      </c>
      <c r="I1096" s="606"/>
      <c r="J1096" s="506">
        <v>8.58</v>
      </c>
      <c r="K1096" s="70"/>
      <c r="L1096" s="70"/>
    </row>
    <row r="1097" spans="1:12" ht="17.25" thickTop="1" x14ac:dyDescent="0.25">
      <c r="A1097" s="507"/>
      <c r="B1097" s="507"/>
      <c r="C1097" s="507"/>
      <c r="D1097" s="507"/>
      <c r="E1097" s="507"/>
      <c r="F1097" s="507"/>
      <c r="G1097" s="507"/>
      <c r="H1097" s="507"/>
      <c r="I1097" s="507"/>
      <c r="J1097" s="507"/>
      <c r="K1097" s="507"/>
      <c r="L1097" s="70"/>
    </row>
    <row r="1098" spans="1:12" ht="16.5" x14ac:dyDescent="0.25">
      <c r="A1098" s="419" t="s">
        <v>1377</v>
      </c>
      <c r="B1098" s="421" t="s">
        <v>76</v>
      </c>
      <c r="C1098" s="419" t="s">
        <v>991</v>
      </c>
      <c r="D1098" s="419" t="s">
        <v>191</v>
      </c>
      <c r="E1098" s="603" t="s">
        <v>77</v>
      </c>
      <c r="F1098" s="603"/>
      <c r="G1098" s="420" t="s">
        <v>103</v>
      </c>
      <c r="H1098" s="421" t="s">
        <v>147</v>
      </c>
      <c r="I1098" s="421" t="s">
        <v>1731</v>
      </c>
      <c r="J1098" s="421" t="s">
        <v>1117</v>
      </c>
      <c r="K1098" s="421" t="s">
        <v>104</v>
      </c>
      <c r="L1098" s="70"/>
    </row>
    <row r="1099" spans="1:12" ht="25.5" x14ac:dyDescent="0.25">
      <c r="A1099" s="441" t="s">
        <v>79</v>
      </c>
      <c r="B1099" s="480" t="s">
        <v>1378</v>
      </c>
      <c r="C1099" s="441" t="s">
        <v>993</v>
      </c>
      <c r="D1099" s="441" t="s">
        <v>1379</v>
      </c>
      <c r="E1099" s="604">
        <v>711</v>
      </c>
      <c r="F1099" s="604"/>
      <c r="G1099" s="443" t="s">
        <v>1141</v>
      </c>
      <c r="H1099" s="500">
        <v>1</v>
      </c>
      <c r="I1099" s="442"/>
      <c r="J1099" s="442">
        <v>14.89</v>
      </c>
      <c r="K1099" s="442">
        <v>14.89</v>
      </c>
      <c r="L1099" s="70"/>
    </row>
    <row r="1100" spans="1:12" ht="25.5" x14ac:dyDescent="0.25">
      <c r="A1100" s="501" t="s">
        <v>1732</v>
      </c>
      <c r="B1100" s="502" t="s">
        <v>999</v>
      </c>
      <c r="C1100" s="501" t="s">
        <v>993</v>
      </c>
      <c r="D1100" s="501" t="s">
        <v>1000</v>
      </c>
      <c r="E1100" s="602" t="s">
        <v>972</v>
      </c>
      <c r="F1100" s="602"/>
      <c r="G1100" s="503" t="s">
        <v>81</v>
      </c>
      <c r="H1100" s="504">
        <v>0.14000000000000001</v>
      </c>
      <c r="I1100" s="504"/>
      <c r="J1100" s="505">
        <v>16.04</v>
      </c>
      <c r="K1100" s="505">
        <v>2.2400000000000002</v>
      </c>
      <c r="L1100" s="70"/>
    </row>
    <row r="1101" spans="1:12" ht="25.5" x14ac:dyDescent="0.25">
      <c r="A1101" s="501" t="s">
        <v>1732</v>
      </c>
      <c r="B1101" s="502" t="s">
        <v>1021</v>
      </c>
      <c r="C1101" s="501" t="s">
        <v>993</v>
      </c>
      <c r="D1101" s="501" t="s">
        <v>1022</v>
      </c>
      <c r="E1101" s="602" t="s">
        <v>972</v>
      </c>
      <c r="F1101" s="602"/>
      <c r="G1101" s="503" t="s">
        <v>81</v>
      </c>
      <c r="H1101" s="504">
        <v>0.14000000000000001</v>
      </c>
      <c r="I1101" s="504"/>
      <c r="J1101" s="505">
        <v>23.41</v>
      </c>
      <c r="K1101" s="505">
        <v>3.27</v>
      </c>
      <c r="L1101" s="70"/>
    </row>
    <row r="1102" spans="1:12" ht="25.5" x14ac:dyDescent="0.25">
      <c r="A1102" s="501" t="s">
        <v>1732</v>
      </c>
      <c r="B1102" s="502" t="s">
        <v>2295</v>
      </c>
      <c r="C1102" s="501" t="s">
        <v>993</v>
      </c>
      <c r="D1102" s="501" t="s">
        <v>2296</v>
      </c>
      <c r="E1102" s="602" t="s">
        <v>1746</v>
      </c>
      <c r="F1102" s="602"/>
      <c r="G1102" s="503" t="s">
        <v>49</v>
      </c>
      <c r="H1102" s="504">
        <v>1</v>
      </c>
      <c r="I1102" s="504"/>
      <c r="J1102" s="505">
        <v>9.3800000000000008</v>
      </c>
      <c r="K1102" s="505">
        <v>9.3800000000000008</v>
      </c>
      <c r="L1102" s="70"/>
    </row>
    <row r="1103" spans="1:12" ht="15.75" customHeight="1" x14ac:dyDescent="0.25">
      <c r="A1103" s="445"/>
      <c r="B1103" s="445"/>
      <c r="C1103" s="445"/>
      <c r="D1103" s="445"/>
      <c r="E1103" s="445" t="s">
        <v>1735</v>
      </c>
      <c r="F1103" s="506">
        <v>5.51</v>
      </c>
      <c r="G1103" s="445" t="s">
        <v>1736</v>
      </c>
      <c r="H1103" s="506">
        <v>0</v>
      </c>
      <c r="I1103" s="445" t="s">
        <v>1737</v>
      </c>
      <c r="J1103" s="506">
        <v>5.51</v>
      </c>
      <c r="K1103" s="70"/>
      <c r="L1103" s="70"/>
    </row>
    <row r="1104" spans="1:12" ht="17.25" thickBot="1" x14ac:dyDescent="0.3">
      <c r="A1104" s="445"/>
      <c r="B1104" s="445"/>
      <c r="C1104" s="445"/>
      <c r="D1104" s="445"/>
      <c r="E1104" s="445" t="s">
        <v>1738</v>
      </c>
      <c r="F1104" s="506">
        <v>3.6688960000000002</v>
      </c>
      <c r="G1104" s="445"/>
      <c r="H1104" s="606" t="s">
        <v>1739</v>
      </c>
      <c r="I1104" s="606"/>
      <c r="J1104" s="506">
        <v>18.55</v>
      </c>
      <c r="K1104" s="70"/>
      <c r="L1104" s="70"/>
    </row>
    <row r="1105" spans="1:12" ht="17.25" thickTop="1" x14ac:dyDescent="0.25">
      <c r="A1105" s="507"/>
      <c r="B1105" s="507"/>
      <c r="C1105" s="507"/>
      <c r="D1105" s="507"/>
      <c r="E1105" s="507"/>
      <c r="F1105" s="507"/>
      <c r="G1105" s="507"/>
      <c r="H1105" s="507"/>
      <c r="I1105" s="507"/>
      <c r="J1105" s="507"/>
      <c r="K1105" s="507"/>
      <c r="L1105" s="70"/>
    </row>
    <row r="1106" spans="1:12" ht="16.5" x14ac:dyDescent="0.25">
      <c r="A1106" s="419" t="s">
        <v>1380</v>
      </c>
      <c r="B1106" s="421" t="s">
        <v>76</v>
      </c>
      <c r="C1106" s="419" t="s">
        <v>991</v>
      </c>
      <c r="D1106" s="419" t="s">
        <v>191</v>
      </c>
      <c r="E1106" s="603" t="s">
        <v>77</v>
      </c>
      <c r="F1106" s="603"/>
      <c r="G1106" s="420" t="s">
        <v>103</v>
      </c>
      <c r="H1106" s="421" t="s">
        <v>147</v>
      </c>
      <c r="I1106" s="421" t="s">
        <v>1731</v>
      </c>
      <c r="J1106" s="421" t="s">
        <v>1117</v>
      </c>
      <c r="K1106" s="421" t="s">
        <v>104</v>
      </c>
      <c r="L1106" s="70"/>
    </row>
    <row r="1107" spans="1:12" ht="25.5" x14ac:dyDescent="0.25">
      <c r="A1107" s="441" t="s">
        <v>79</v>
      </c>
      <c r="B1107" s="480" t="s">
        <v>1381</v>
      </c>
      <c r="C1107" s="441" t="s">
        <v>993</v>
      </c>
      <c r="D1107" s="441" t="s">
        <v>1382</v>
      </c>
      <c r="E1107" s="604">
        <v>705</v>
      </c>
      <c r="F1107" s="604"/>
      <c r="G1107" s="443" t="s">
        <v>1141</v>
      </c>
      <c r="H1107" s="500">
        <v>1</v>
      </c>
      <c r="I1107" s="442"/>
      <c r="J1107" s="442">
        <v>7.44</v>
      </c>
      <c r="K1107" s="442">
        <v>7.44</v>
      </c>
      <c r="L1107" s="70"/>
    </row>
    <row r="1108" spans="1:12" ht="25.5" x14ac:dyDescent="0.25">
      <c r="A1108" s="501" t="s">
        <v>1732</v>
      </c>
      <c r="B1108" s="502" t="s">
        <v>999</v>
      </c>
      <c r="C1108" s="501" t="s">
        <v>993</v>
      </c>
      <c r="D1108" s="501" t="s">
        <v>1000</v>
      </c>
      <c r="E1108" s="602" t="s">
        <v>972</v>
      </c>
      <c r="F1108" s="602"/>
      <c r="G1108" s="503" t="s">
        <v>81</v>
      </c>
      <c r="H1108" s="504">
        <v>0.06</v>
      </c>
      <c r="I1108" s="504"/>
      <c r="J1108" s="505">
        <v>16.04</v>
      </c>
      <c r="K1108" s="505">
        <v>0.96</v>
      </c>
      <c r="L1108" s="70"/>
    </row>
    <row r="1109" spans="1:12" ht="25.5" x14ac:dyDescent="0.25">
      <c r="A1109" s="501" t="s">
        <v>1732</v>
      </c>
      <c r="B1109" s="502" t="s">
        <v>1021</v>
      </c>
      <c r="C1109" s="501" t="s">
        <v>993</v>
      </c>
      <c r="D1109" s="501" t="s">
        <v>1022</v>
      </c>
      <c r="E1109" s="602" t="s">
        <v>972</v>
      </c>
      <c r="F1109" s="602"/>
      <c r="G1109" s="503" t="s">
        <v>81</v>
      </c>
      <c r="H1109" s="504">
        <v>0.06</v>
      </c>
      <c r="I1109" s="504"/>
      <c r="J1109" s="505">
        <v>23.41</v>
      </c>
      <c r="K1109" s="505">
        <v>1.4</v>
      </c>
      <c r="L1109" s="70"/>
    </row>
    <row r="1110" spans="1:12" ht="25.5" x14ac:dyDescent="0.25">
      <c r="A1110" s="501" t="s">
        <v>1732</v>
      </c>
      <c r="B1110" s="502" t="s">
        <v>2297</v>
      </c>
      <c r="C1110" s="501" t="s">
        <v>993</v>
      </c>
      <c r="D1110" s="501" t="s">
        <v>1382</v>
      </c>
      <c r="E1110" s="602" t="s">
        <v>1746</v>
      </c>
      <c r="F1110" s="602"/>
      <c r="G1110" s="503" t="s">
        <v>49</v>
      </c>
      <c r="H1110" s="504">
        <v>1</v>
      </c>
      <c r="I1110" s="504"/>
      <c r="J1110" s="505">
        <v>5.08</v>
      </c>
      <c r="K1110" s="505">
        <v>5.08</v>
      </c>
      <c r="L1110" s="70"/>
    </row>
    <row r="1111" spans="1:12" ht="15.75" customHeight="1" x14ac:dyDescent="0.25">
      <c r="A1111" s="445"/>
      <c r="B1111" s="445"/>
      <c r="C1111" s="445"/>
      <c r="D1111" s="445"/>
      <c r="E1111" s="445" t="s">
        <v>1735</v>
      </c>
      <c r="F1111" s="506">
        <v>2.36</v>
      </c>
      <c r="G1111" s="445" t="s">
        <v>1736</v>
      </c>
      <c r="H1111" s="506">
        <v>0</v>
      </c>
      <c r="I1111" s="445" t="s">
        <v>1737</v>
      </c>
      <c r="J1111" s="506">
        <v>2.36</v>
      </c>
      <c r="K1111" s="70"/>
      <c r="L1111" s="70"/>
    </row>
    <row r="1112" spans="1:12" ht="17.25" thickBot="1" x14ac:dyDescent="0.3">
      <c r="A1112" s="445"/>
      <c r="B1112" s="445"/>
      <c r="C1112" s="445"/>
      <c r="D1112" s="445"/>
      <c r="E1112" s="445" t="s">
        <v>1738</v>
      </c>
      <c r="F1112" s="506">
        <v>1.833216</v>
      </c>
      <c r="G1112" s="445"/>
      <c r="H1112" s="606" t="s">
        <v>1739</v>
      </c>
      <c r="I1112" s="606"/>
      <c r="J1112" s="506">
        <v>9.27</v>
      </c>
      <c r="K1112" s="70"/>
      <c r="L1112" s="70"/>
    </row>
    <row r="1113" spans="1:12" ht="17.25" thickTop="1" x14ac:dyDescent="0.25">
      <c r="A1113" s="507"/>
      <c r="B1113" s="507"/>
      <c r="C1113" s="507"/>
      <c r="D1113" s="507"/>
      <c r="E1113" s="507"/>
      <c r="F1113" s="507"/>
      <c r="G1113" s="507"/>
      <c r="H1113" s="507"/>
      <c r="I1113" s="507"/>
      <c r="J1113" s="507"/>
      <c r="K1113" s="507"/>
      <c r="L1113" s="70"/>
    </row>
    <row r="1114" spans="1:12" ht="16.5" x14ac:dyDescent="0.25">
      <c r="A1114" s="419" t="s">
        <v>1383</v>
      </c>
      <c r="B1114" s="421" t="s">
        <v>76</v>
      </c>
      <c r="C1114" s="419" t="s">
        <v>991</v>
      </c>
      <c r="D1114" s="419" t="s">
        <v>191</v>
      </c>
      <c r="E1114" s="603" t="s">
        <v>77</v>
      </c>
      <c r="F1114" s="603"/>
      <c r="G1114" s="420" t="s">
        <v>103</v>
      </c>
      <c r="H1114" s="421" t="s">
        <v>147</v>
      </c>
      <c r="I1114" s="421" t="s">
        <v>1731</v>
      </c>
      <c r="J1114" s="421" t="s">
        <v>1117</v>
      </c>
      <c r="K1114" s="421" t="s">
        <v>104</v>
      </c>
      <c r="L1114" s="70"/>
    </row>
    <row r="1115" spans="1:12" ht="25.5" x14ac:dyDescent="0.25">
      <c r="A1115" s="441" t="s">
        <v>79</v>
      </c>
      <c r="B1115" s="480" t="s">
        <v>1384</v>
      </c>
      <c r="C1115" s="441" t="s">
        <v>993</v>
      </c>
      <c r="D1115" s="441" t="s">
        <v>1385</v>
      </c>
      <c r="E1115" s="604">
        <v>702</v>
      </c>
      <c r="F1115" s="604"/>
      <c r="G1115" s="443" t="s">
        <v>1222</v>
      </c>
      <c r="H1115" s="500">
        <v>1</v>
      </c>
      <c r="I1115" s="442"/>
      <c r="J1115" s="442">
        <v>51.7</v>
      </c>
      <c r="K1115" s="442">
        <v>51.7</v>
      </c>
      <c r="L1115" s="70"/>
    </row>
    <row r="1116" spans="1:12" ht="25.5" x14ac:dyDescent="0.25">
      <c r="A1116" s="501" t="s">
        <v>1732</v>
      </c>
      <c r="B1116" s="502" t="s">
        <v>999</v>
      </c>
      <c r="C1116" s="501" t="s">
        <v>993</v>
      </c>
      <c r="D1116" s="501" t="s">
        <v>1000</v>
      </c>
      <c r="E1116" s="602" t="s">
        <v>972</v>
      </c>
      <c r="F1116" s="602"/>
      <c r="G1116" s="503" t="s">
        <v>81</v>
      </c>
      <c r="H1116" s="504">
        <v>0.90669999999999995</v>
      </c>
      <c r="I1116" s="504"/>
      <c r="J1116" s="505">
        <v>16.04</v>
      </c>
      <c r="K1116" s="505">
        <v>14.54</v>
      </c>
      <c r="L1116" s="70"/>
    </row>
    <row r="1117" spans="1:12" ht="25.5" x14ac:dyDescent="0.25">
      <c r="A1117" s="501" t="s">
        <v>1732</v>
      </c>
      <c r="B1117" s="502" t="s">
        <v>1021</v>
      </c>
      <c r="C1117" s="501" t="s">
        <v>993</v>
      </c>
      <c r="D1117" s="501" t="s">
        <v>1022</v>
      </c>
      <c r="E1117" s="602" t="s">
        <v>972</v>
      </c>
      <c r="F1117" s="602"/>
      <c r="G1117" s="503" t="s">
        <v>81</v>
      </c>
      <c r="H1117" s="504">
        <v>0.90669999999999995</v>
      </c>
      <c r="I1117" s="504"/>
      <c r="J1117" s="505">
        <v>23.41</v>
      </c>
      <c r="K1117" s="505">
        <v>21.22</v>
      </c>
      <c r="L1117" s="70"/>
    </row>
    <row r="1118" spans="1:12" ht="25.5" x14ac:dyDescent="0.25">
      <c r="A1118" s="501" t="s">
        <v>1732</v>
      </c>
      <c r="B1118" s="502" t="s">
        <v>2028</v>
      </c>
      <c r="C1118" s="501" t="s">
        <v>993</v>
      </c>
      <c r="D1118" s="501" t="s">
        <v>2029</v>
      </c>
      <c r="E1118" s="602" t="s">
        <v>1746</v>
      </c>
      <c r="F1118" s="602"/>
      <c r="G1118" s="503" t="s">
        <v>1222</v>
      </c>
      <c r="H1118" s="504">
        <v>1</v>
      </c>
      <c r="I1118" s="504"/>
      <c r="J1118" s="505">
        <v>15.94</v>
      </c>
      <c r="K1118" s="505">
        <v>15.94</v>
      </c>
      <c r="L1118" s="70"/>
    </row>
    <row r="1119" spans="1:12" ht="15.75" customHeight="1" x14ac:dyDescent="0.25">
      <c r="A1119" s="445"/>
      <c r="B1119" s="445"/>
      <c r="C1119" s="445"/>
      <c r="D1119" s="445"/>
      <c r="E1119" s="445" t="s">
        <v>1735</v>
      </c>
      <c r="F1119" s="506">
        <v>35.76</v>
      </c>
      <c r="G1119" s="445" t="s">
        <v>1736</v>
      </c>
      <c r="H1119" s="506">
        <v>0</v>
      </c>
      <c r="I1119" s="445" t="s">
        <v>1737</v>
      </c>
      <c r="J1119" s="506">
        <v>35.76</v>
      </c>
      <c r="K1119" s="70"/>
      <c r="L1119" s="70"/>
    </row>
    <row r="1120" spans="1:12" ht="17.25" thickBot="1" x14ac:dyDescent="0.3">
      <c r="A1120" s="445"/>
      <c r="B1120" s="445"/>
      <c r="C1120" s="445"/>
      <c r="D1120" s="445"/>
      <c r="E1120" s="445" t="s">
        <v>1738</v>
      </c>
      <c r="F1120" s="506">
        <v>12.73888</v>
      </c>
      <c r="G1120" s="445"/>
      <c r="H1120" s="606" t="s">
        <v>1739</v>
      </c>
      <c r="I1120" s="606"/>
      <c r="J1120" s="506">
        <v>64.430000000000007</v>
      </c>
      <c r="K1120" s="70"/>
      <c r="L1120" s="70"/>
    </row>
    <row r="1121" spans="1:12" ht="17.25" thickTop="1" x14ac:dyDescent="0.25">
      <c r="A1121" s="507"/>
      <c r="B1121" s="507"/>
      <c r="C1121" s="507"/>
      <c r="D1121" s="507"/>
      <c r="E1121" s="507"/>
      <c r="F1121" s="507"/>
      <c r="G1121" s="507"/>
      <c r="H1121" s="507"/>
      <c r="I1121" s="507"/>
      <c r="J1121" s="507"/>
      <c r="K1121" s="507"/>
      <c r="L1121" s="70"/>
    </row>
    <row r="1122" spans="1:12" ht="16.5" x14ac:dyDescent="0.25">
      <c r="A1122" s="419" t="s">
        <v>1386</v>
      </c>
      <c r="B1122" s="421" t="s">
        <v>76</v>
      </c>
      <c r="C1122" s="419" t="s">
        <v>991</v>
      </c>
      <c r="D1122" s="419" t="s">
        <v>191</v>
      </c>
      <c r="E1122" s="603" t="s">
        <v>77</v>
      </c>
      <c r="F1122" s="603"/>
      <c r="G1122" s="420" t="s">
        <v>103</v>
      </c>
      <c r="H1122" s="421" t="s">
        <v>147</v>
      </c>
      <c r="I1122" s="421" t="s">
        <v>1731</v>
      </c>
      <c r="J1122" s="421" t="s">
        <v>1117</v>
      </c>
      <c r="K1122" s="421" t="s">
        <v>104</v>
      </c>
      <c r="L1122" s="70"/>
    </row>
    <row r="1123" spans="1:12" ht="25.5" x14ac:dyDescent="0.25">
      <c r="A1123" s="441" t="s">
        <v>79</v>
      </c>
      <c r="B1123" s="480" t="s">
        <v>1387</v>
      </c>
      <c r="C1123" s="441" t="s">
        <v>993</v>
      </c>
      <c r="D1123" s="441" t="s">
        <v>1388</v>
      </c>
      <c r="E1123" s="604">
        <v>717</v>
      </c>
      <c r="F1123" s="604"/>
      <c r="G1123" s="443" t="s">
        <v>1141</v>
      </c>
      <c r="H1123" s="500">
        <v>1</v>
      </c>
      <c r="I1123" s="442"/>
      <c r="J1123" s="442">
        <v>2.81</v>
      </c>
      <c r="K1123" s="442">
        <v>2.81</v>
      </c>
      <c r="L1123" s="70"/>
    </row>
    <row r="1124" spans="1:12" ht="25.5" x14ac:dyDescent="0.25">
      <c r="A1124" s="501" t="s">
        <v>1732</v>
      </c>
      <c r="B1124" s="502" t="s">
        <v>999</v>
      </c>
      <c r="C1124" s="501" t="s">
        <v>993</v>
      </c>
      <c r="D1124" s="501" t="s">
        <v>1000</v>
      </c>
      <c r="E1124" s="602" t="s">
        <v>972</v>
      </c>
      <c r="F1124" s="602"/>
      <c r="G1124" s="503" t="s">
        <v>81</v>
      </c>
      <c r="H1124" s="504">
        <v>0.03</v>
      </c>
      <c r="I1124" s="504"/>
      <c r="J1124" s="505">
        <v>16.04</v>
      </c>
      <c r="K1124" s="505">
        <v>0.48</v>
      </c>
      <c r="L1124" s="70"/>
    </row>
    <row r="1125" spans="1:12" ht="25.5" x14ac:dyDescent="0.25">
      <c r="A1125" s="501" t="s">
        <v>1732</v>
      </c>
      <c r="B1125" s="502" t="s">
        <v>1021</v>
      </c>
      <c r="C1125" s="501" t="s">
        <v>993</v>
      </c>
      <c r="D1125" s="501" t="s">
        <v>1022</v>
      </c>
      <c r="E1125" s="602" t="s">
        <v>972</v>
      </c>
      <c r="F1125" s="602"/>
      <c r="G1125" s="503" t="s">
        <v>81</v>
      </c>
      <c r="H1125" s="504">
        <v>0.03</v>
      </c>
      <c r="I1125" s="504"/>
      <c r="J1125" s="505">
        <v>23.41</v>
      </c>
      <c r="K1125" s="505">
        <v>0.7</v>
      </c>
      <c r="L1125" s="70"/>
    </row>
    <row r="1126" spans="1:12" ht="25.5" x14ac:dyDescent="0.25">
      <c r="A1126" s="501" t="s">
        <v>1732</v>
      </c>
      <c r="B1126" s="502" t="s">
        <v>2298</v>
      </c>
      <c r="C1126" s="501" t="s">
        <v>993</v>
      </c>
      <c r="D1126" s="501" t="s">
        <v>1388</v>
      </c>
      <c r="E1126" s="602" t="s">
        <v>1746</v>
      </c>
      <c r="F1126" s="602"/>
      <c r="G1126" s="503" t="s">
        <v>49</v>
      </c>
      <c r="H1126" s="504">
        <v>1</v>
      </c>
      <c r="I1126" s="504"/>
      <c r="J1126" s="505">
        <v>1.63</v>
      </c>
      <c r="K1126" s="505">
        <v>1.63</v>
      </c>
      <c r="L1126" s="70"/>
    </row>
    <row r="1127" spans="1:12" ht="15.75" customHeight="1" x14ac:dyDescent="0.25">
      <c r="A1127" s="445"/>
      <c r="B1127" s="445"/>
      <c r="C1127" s="445"/>
      <c r="D1127" s="445"/>
      <c r="E1127" s="445" t="s">
        <v>1735</v>
      </c>
      <c r="F1127" s="506">
        <v>1.18</v>
      </c>
      <c r="G1127" s="445" t="s">
        <v>1736</v>
      </c>
      <c r="H1127" s="506">
        <v>0</v>
      </c>
      <c r="I1127" s="445" t="s">
        <v>1737</v>
      </c>
      <c r="J1127" s="506">
        <v>1.18</v>
      </c>
      <c r="K1127" s="70"/>
      <c r="L1127" s="70"/>
    </row>
    <row r="1128" spans="1:12" ht="17.25" thickBot="1" x14ac:dyDescent="0.3">
      <c r="A1128" s="445"/>
      <c r="B1128" s="445"/>
      <c r="C1128" s="445"/>
      <c r="D1128" s="445"/>
      <c r="E1128" s="445" t="s">
        <v>1738</v>
      </c>
      <c r="F1128" s="506">
        <v>0.692384</v>
      </c>
      <c r="G1128" s="445"/>
      <c r="H1128" s="606" t="s">
        <v>1739</v>
      </c>
      <c r="I1128" s="606"/>
      <c r="J1128" s="506">
        <v>3.5</v>
      </c>
      <c r="K1128" s="70"/>
      <c r="L1128" s="70"/>
    </row>
    <row r="1129" spans="1:12" ht="17.25" thickTop="1" x14ac:dyDescent="0.25">
      <c r="A1129" s="507"/>
      <c r="B1129" s="507"/>
      <c r="C1129" s="507"/>
      <c r="D1129" s="507"/>
      <c r="E1129" s="507"/>
      <c r="F1129" s="507"/>
      <c r="G1129" s="507"/>
      <c r="H1129" s="507"/>
      <c r="I1129" s="507"/>
      <c r="J1129" s="507"/>
      <c r="K1129" s="507"/>
      <c r="L1129" s="70"/>
    </row>
    <row r="1130" spans="1:12" ht="38.25" customHeight="1" x14ac:dyDescent="0.25">
      <c r="A1130" s="419" t="s">
        <v>1389</v>
      </c>
      <c r="B1130" s="421" t="s">
        <v>76</v>
      </c>
      <c r="C1130" s="419" t="s">
        <v>991</v>
      </c>
      <c r="D1130" s="419" t="s">
        <v>191</v>
      </c>
      <c r="E1130" s="603" t="s">
        <v>77</v>
      </c>
      <c r="F1130" s="603"/>
      <c r="G1130" s="420" t="s">
        <v>103</v>
      </c>
      <c r="H1130" s="421" t="s">
        <v>147</v>
      </c>
      <c r="I1130" s="421" t="s">
        <v>1731</v>
      </c>
      <c r="J1130" s="421" t="s">
        <v>1117</v>
      </c>
      <c r="K1130" s="421" t="s">
        <v>104</v>
      </c>
      <c r="L1130" s="70"/>
    </row>
    <row r="1131" spans="1:12" ht="25.5" customHeight="1" x14ac:dyDescent="0.25">
      <c r="A1131" s="441" t="s">
        <v>79</v>
      </c>
      <c r="B1131" s="480" t="s">
        <v>1390</v>
      </c>
      <c r="C1131" s="441" t="s">
        <v>1168</v>
      </c>
      <c r="D1131" s="441" t="s">
        <v>363</v>
      </c>
      <c r="E1131" s="604" t="s">
        <v>2299</v>
      </c>
      <c r="F1131" s="604"/>
      <c r="G1131" s="443" t="s">
        <v>38</v>
      </c>
      <c r="H1131" s="500">
        <v>1</v>
      </c>
      <c r="I1131" s="442"/>
      <c r="J1131" s="442">
        <v>27.61</v>
      </c>
      <c r="K1131" s="442">
        <v>27.61</v>
      </c>
      <c r="L1131" s="70"/>
    </row>
    <row r="1132" spans="1:12" ht="25.5" x14ac:dyDescent="0.25">
      <c r="A1132" s="501" t="s">
        <v>1732</v>
      </c>
      <c r="B1132" s="502" t="s">
        <v>2300</v>
      </c>
      <c r="C1132" s="501" t="s">
        <v>1115</v>
      </c>
      <c r="D1132" s="501" t="s">
        <v>2301</v>
      </c>
      <c r="E1132" s="602" t="s">
        <v>1746</v>
      </c>
      <c r="F1132" s="602"/>
      <c r="G1132" s="503" t="s">
        <v>38</v>
      </c>
      <c r="H1132" s="504">
        <v>1</v>
      </c>
      <c r="I1132" s="504"/>
      <c r="J1132" s="505">
        <v>14.49</v>
      </c>
      <c r="K1132" s="505">
        <v>14.49</v>
      </c>
      <c r="L1132" s="70"/>
    </row>
    <row r="1133" spans="1:12" ht="25.5" x14ac:dyDescent="0.25">
      <c r="A1133" s="501" t="s">
        <v>1732</v>
      </c>
      <c r="B1133" s="502" t="s">
        <v>1021</v>
      </c>
      <c r="C1133" s="501" t="s">
        <v>993</v>
      </c>
      <c r="D1133" s="501" t="s">
        <v>1022</v>
      </c>
      <c r="E1133" s="602" t="s">
        <v>972</v>
      </c>
      <c r="F1133" s="602"/>
      <c r="G1133" s="503" t="s">
        <v>81</v>
      </c>
      <c r="H1133" s="504">
        <v>0.3226</v>
      </c>
      <c r="I1133" s="504">
        <v>0</v>
      </c>
      <c r="J1133" s="505">
        <v>23.41</v>
      </c>
      <c r="K1133" s="505">
        <v>7.55</v>
      </c>
      <c r="L1133" s="70"/>
    </row>
    <row r="1134" spans="1:12" ht="25.5" x14ac:dyDescent="0.25">
      <c r="A1134" s="501" t="s">
        <v>1732</v>
      </c>
      <c r="B1134" s="502" t="s">
        <v>999</v>
      </c>
      <c r="C1134" s="501" t="s">
        <v>993</v>
      </c>
      <c r="D1134" s="501" t="s">
        <v>1000</v>
      </c>
      <c r="E1134" s="602" t="s">
        <v>972</v>
      </c>
      <c r="F1134" s="602"/>
      <c r="G1134" s="503" t="s">
        <v>81</v>
      </c>
      <c r="H1134" s="504">
        <v>0.3226</v>
      </c>
      <c r="I1134" s="504">
        <v>0</v>
      </c>
      <c r="J1134" s="505">
        <v>16.04</v>
      </c>
      <c r="K1134" s="505">
        <v>5.17</v>
      </c>
      <c r="L1134" s="70"/>
    </row>
    <row r="1135" spans="1:12" ht="25.5" x14ac:dyDescent="0.25">
      <c r="A1135" s="501" t="s">
        <v>1732</v>
      </c>
      <c r="B1135" s="502" t="s">
        <v>2302</v>
      </c>
      <c r="C1135" s="501" t="s">
        <v>993</v>
      </c>
      <c r="D1135" s="501" t="s">
        <v>2303</v>
      </c>
      <c r="E1135" s="602" t="s">
        <v>1746</v>
      </c>
      <c r="F1135" s="602"/>
      <c r="G1135" s="503" t="s">
        <v>49</v>
      </c>
      <c r="H1135" s="504">
        <v>2</v>
      </c>
      <c r="I1135" s="504">
        <v>0</v>
      </c>
      <c r="J1135" s="505">
        <v>0.2</v>
      </c>
      <c r="K1135" s="505">
        <v>0.4</v>
      </c>
      <c r="L1135" s="70"/>
    </row>
    <row r="1136" spans="1:12" ht="15.75" customHeight="1" x14ac:dyDescent="0.25">
      <c r="A1136" s="445"/>
      <c r="B1136" s="445"/>
      <c r="C1136" s="445"/>
      <c r="D1136" s="445"/>
      <c r="E1136" s="445" t="s">
        <v>1735</v>
      </c>
      <c r="F1136" s="506">
        <v>12.72</v>
      </c>
      <c r="G1136" s="445" t="s">
        <v>1736</v>
      </c>
      <c r="H1136" s="506">
        <v>0</v>
      </c>
      <c r="I1136" s="445" t="s">
        <v>1737</v>
      </c>
      <c r="J1136" s="506">
        <v>12.72</v>
      </c>
      <c r="K1136" s="70"/>
      <c r="L1136" s="70"/>
    </row>
    <row r="1137" spans="1:12" ht="17.25" thickBot="1" x14ac:dyDescent="0.3">
      <c r="A1137" s="445"/>
      <c r="B1137" s="445"/>
      <c r="C1137" s="445"/>
      <c r="D1137" s="445"/>
      <c r="E1137" s="445" t="s">
        <v>1738</v>
      </c>
      <c r="F1137" s="506">
        <v>6.8031040000000003</v>
      </c>
      <c r="G1137" s="445"/>
      <c r="H1137" s="606" t="s">
        <v>1739</v>
      </c>
      <c r="I1137" s="606"/>
      <c r="J1137" s="506">
        <v>34.409999999999997</v>
      </c>
      <c r="K1137" s="70"/>
      <c r="L1137" s="70"/>
    </row>
    <row r="1138" spans="1:12" ht="17.25" thickTop="1" x14ac:dyDescent="0.25">
      <c r="A1138" s="507"/>
      <c r="B1138" s="507"/>
      <c r="C1138" s="507"/>
      <c r="D1138" s="507"/>
      <c r="E1138" s="507"/>
      <c r="F1138" s="507"/>
      <c r="G1138" s="507"/>
      <c r="H1138" s="507"/>
      <c r="I1138" s="507"/>
      <c r="J1138" s="507"/>
      <c r="K1138" s="507"/>
      <c r="L1138" s="70"/>
    </row>
    <row r="1139" spans="1:12" ht="38.25" customHeight="1" x14ac:dyDescent="0.25">
      <c r="A1139" s="419" t="s">
        <v>1391</v>
      </c>
      <c r="B1139" s="421" t="s">
        <v>76</v>
      </c>
      <c r="C1139" s="419" t="s">
        <v>991</v>
      </c>
      <c r="D1139" s="419" t="s">
        <v>191</v>
      </c>
      <c r="E1139" s="603" t="s">
        <v>77</v>
      </c>
      <c r="F1139" s="603"/>
      <c r="G1139" s="420" t="s">
        <v>103</v>
      </c>
      <c r="H1139" s="421" t="s">
        <v>147</v>
      </c>
      <c r="I1139" s="421" t="s">
        <v>1731</v>
      </c>
      <c r="J1139" s="421" t="s">
        <v>1117</v>
      </c>
      <c r="K1139" s="421" t="s">
        <v>104</v>
      </c>
      <c r="L1139" s="70"/>
    </row>
    <row r="1140" spans="1:12" ht="25.5" customHeight="1" x14ac:dyDescent="0.25">
      <c r="A1140" s="441" t="s">
        <v>79</v>
      </c>
      <c r="B1140" s="480" t="s">
        <v>1392</v>
      </c>
      <c r="C1140" s="441" t="s">
        <v>1168</v>
      </c>
      <c r="D1140" s="441" t="s">
        <v>365</v>
      </c>
      <c r="E1140" s="604" t="s">
        <v>2299</v>
      </c>
      <c r="F1140" s="604"/>
      <c r="G1140" s="443" t="s">
        <v>38</v>
      </c>
      <c r="H1140" s="500">
        <v>1</v>
      </c>
      <c r="I1140" s="442"/>
      <c r="J1140" s="442">
        <v>36.46</v>
      </c>
      <c r="K1140" s="442">
        <v>36.46</v>
      </c>
      <c r="L1140" s="70"/>
    </row>
    <row r="1141" spans="1:12" ht="25.5" x14ac:dyDescent="0.25">
      <c r="A1141" s="501" t="s">
        <v>1732</v>
      </c>
      <c r="B1141" s="502" t="s">
        <v>2304</v>
      </c>
      <c r="C1141" s="501" t="s">
        <v>1115</v>
      </c>
      <c r="D1141" s="501" t="s">
        <v>2305</v>
      </c>
      <c r="E1141" s="602" t="s">
        <v>1746</v>
      </c>
      <c r="F1141" s="602"/>
      <c r="G1141" s="503" t="s">
        <v>38</v>
      </c>
      <c r="H1141" s="504">
        <v>1</v>
      </c>
      <c r="I1141" s="504"/>
      <c r="J1141" s="505">
        <v>18.010000000000002</v>
      </c>
      <c r="K1141" s="505">
        <v>18.010000000000002</v>
      </c>
      <c r="L1141" s="70"/>
    </row>
    <row r="1142" spans="1:12" ht="25.5" x14ac:dyDescent="0.25">
      <c r="A1142" s="501" t="s">
        <v>1732</v>
      </c>
      <c r="B1142" s="502" t="s">
        <v>999</v>
      </c>
      <c r="C1142" s="501" t="s">
        <v>993</v>
      </c>
      <c r="D1142" s="501" t="s">
        <v>1000</v>
      </c>
      <c r="E1142" s="602" t="s">
        <v>972</v>
      </c>
      <c r="F1142" s="602"/>
      <c r="G1142" s="503" t="s">
        <v>81</v>
      </c>
      <c r="H1142" s="504">
        <v>0.45779999999999998</v>
      </c>
      <c r="I1142" s="504">
        <v>0</v>
      </c>
      <c r="J1142" s="505">
        <v>16.04</v>
      </c>
      <c r="K1142" s="505">
        <v>7.34</v>
      </c>
      <c r="L1142" s="70"/>
    </row>
    <row r="1143" spans="1:12" ht="25.5" x14ac:dyDescent="0.25">
      <c r="A1143" s="501" t="s">
        <v>1732</v>
      </c>
      <c r="B1143" s="502" t="s">
        <v>1021</v>
      </c>
      <c r="C1143" s="501" t="s">
        <v>993</v>
      </c>
      <c r="D1143" s="501" t="s">
        <v>1022</v>
      </c>
      <c r="E1143" s="602" t="s">
        <v>972</v>
      </c>
      <c r="F1143" s="602"/>
      <c r="G1143" s="503" t="s">
        <v>81</v>
      </c>
      <c r="H1143" s="504">
        <v>0.45779999999999998</v>
      </c>
      <c r="I1143" s="504">
        <v>0</v>
      </c>
      <c r="J1143" s="505">
        <v>23.41</v>
      </c>
      <c r="K1143" s="505">
        <v>10.71</v>
      </c>
      <c r="L1143" s="70"/>
    </row>
    <row r="1144" spans="1:12" ht="25.5" x14ac:dyDescent="0.25">
      <c r="A1144" s="501" t="s">
        <v>1732</v>
      </c>
      <c r="B1144" s="502" t="s">
        <v>2302</v>
      </c>
      <c r="C1144" s="501" t="s">
        <v>993</v>
      </c>
      <c r="D1144" s="501" t="s">
        <v>2303</v>
      </c>
      <c r="E1144" s="602" t="s">
        <v>1746</v>
      </c>
      <c r="F1144" s="602"/>
      <c r="G1144" s="503" t="s">
        <v>49</v>
      </c>
      <c r="H1144" s="504">
        <v>2</v>
      </c>
      <c r="I1144" s="504">
        <v>0</v>
      </c>
      <c r="J1144" s="505">
        <v>0.2</v>
      </c>
      <c r="K1144" s="505">
        <v>0.4</v>
      </c>
      <c r="L1144" s="70"/>
    </row>
    <row r="1145" spans="1:12" ht="15.75" customHeight="1" x14ac:dyDescent="0.25">
      <c r="A1145" s="445"/>
      <c r="B1145" s="445"/>
      <c r="C1145" s="445"/>
      <c r="D1145" s="445"/>
      <c r="E1145" s="445" t="s">
        <v>1735</v>
      </c>
      <c r="F1145" s="506">
        <v>18.05</v>
      </c>
      <c r="G1145" s="445" t="s">
        <v>1736</v>
      </c>
      <c r="H1145" s="506">
        <v>0</v>
      </c>
      <c r="I1145" s="445" t="s">
        <v>1737</v>
      </c>
      <c r="J1145" s="506">
        <v>18.05</v>
      </c>
      <c r="K1145" s="70"/>
      <c r="L1145" s="70"/>
    </row>
    <row r="1146" spans="1:12" ht="17.25" thickBot="1" x14ac:dyDescent="0.3">
      <c r="A1146" s="445"/>
      <c r="B1146" s="445"/>
      <c r="C1146" s="445"/>
      <c r="D1146" s="445"/>
      <c r="E1146" s="445" t="s">
        <v>1738</v>
      </c>
      <c r="F1146" s="506">
        <v>8.9837439999999997</v>
      </c>
      <c r="G1146" s="445"/>
      <c r="H1146" s="606" t="s">
        <v>1739</v>
      </c>
      <c r="I1146" s="606"/>
      <c r="J1146" s="506">
        <v>45.44</v>
      </c>
      <c r="K1146" s="70"/>
      <c r="L1146" s="70"/>
    </row>
    <row r="1147" spans="1:12" ht="17.25" thickTop="1" x14ac:dyDescent="0.25">
      <c r="A1147" s="507"/>
      <c r="B1147" s="507"/>
      <c r="C1147" s="507"/>
      <c r="D1147" s="507"/>
      <c r="E1147" s="507"/>
      <c r="F1147" s="507"/>
      <c r="G1147" s="507"/>
      <c r="H1147" s="507"/>
      <c r="I1147" s="507"/>
      <c r="J1147" s="507"/>
      <c r="K1147" s="507"/>
      <c r="L1147" s="70"/>
    </row>
    <row r="1148" spans="1:12" ht="16.5" x14ac:dyDescent="0.25">
      <c r="A1148" s="419" t="s">
        <v>1393</v>
      </c>
      <c r="B1148" s="421" t="s">
        <v>76</v>
      </c>
      <c r="C1148" s="419" t="s">
        <v>991</v>
      </c>
      <c r="D1148" s="419" t="s">
        <v>191</v>
      </c>
      <c r="E1148" s="603" t="s">
        <v>77</v>
      </c>
      <c r="F1148" s="603"/>
      <c r="G1148" s="420" t="s">
        <v>103</v>
      </c>
      <c r="H1148" s="421" t="s">
        <v>147</v>
      </c>
      <c r="I1148" s="421" t="s">
        <v>1731</v>
      </c>
      <c r="J1148" s="421" t="s">
        <v>1117</v>
      </c>
      <c r="K1148" s="421" t="s">
        <v>104</v>
      </c>
      <c r="L1148" s="70"/>
    </row>
    <row r="1149" spans="1:12" ht="25.5" x14ac:dyDescent="0.25">
      <c r="A1149" s="441" t="s">
        <v>79</v>
      </c>
      <c r="B1149" s="480" t="s">
        <v>1394</v>
      </c>
      <c r="C1149" s="441" t="s">
        <v>993</v>
      </c>
      <c r="D1149" s="441" t="s">
        <v>1395</v>
      </c>
      <c r="E1149" s="604">
        <v>703</v>
      </c>
      <c r="F1149" s="604"/>
      <c r="G1149" s="443" t="s">
        <v>1141</v>
      </c>
      <c r="H1149" s="500">
        <v>1</v>
      </c>
      <c r="I1149" s="442"/>
      <c r="J1149" s="442">
        <v>1.71</v>
      </c>
      <c r="K1149" s="442">
        <v>1.71</v>
      </c>
      <c r="L1149" s="70"/>
    </row>
    <row r="1150" spans="1:12" ht="25.5" x14ac:dyDescent="0.25">
      <c r="A1150" s="501" t="s">
        <v>1732</v>
      </c>
      <c r="B1150" s="502" t="s">
        <v>999</v>
      </c>
      <c r="C1150" s="501" t="s">
        <v>993</v>
      </c>
      <c r="D1150" s="501" t="s">
        <v>1000</v>
      </c>
      <c r="E1150" s="602" t="s">
        <v>972</v>
      </c>
      <c r="F1150" s="602"/>
      <c r="G1150" s="503" t="s">
        <v>81</v>
      </c>
      <c r="H1150" s="504">
        <v>0.01</v>
      </c>
      <c r="I1150" s="504"/>
      <c r="J1150" s="505">
        <v>16.04</v>
      </c>
      <c r="K1150" s="505">
        <v>0.16</v>
      </c>
      <c r="L1150" s="70"/>
    </row>
    <row r="1151" spans="1:12" ht="25.5" x14ac:dyDescent="0.25">
      <c r="A1151" s="501" t="s">
        <v>1732</v>
      </c>
      <c r="B1151" s="502" t="s">
        <v>1021</v>
      </c>
      <c r="C1151" s="501" t="s">
        <v>993</v>
      </c>
      <c r="D1151" s="501" t="s">
        <v>1022</v>
      </c>
      <c r="E1151" s="602" t="s">
        <v>972</v>
      </c>
      <c r="F1151" s="602"/>
      <c r="G1151" s="503" t="s">
        <v>81</v>
      </c>
      <c r="H1151" s="504">
        <v>0.01</v>
      </c>
      <c r="I1151" s="504"/>
      <c r="J1151" s="505">
        <v>23.41</v>
      </c>
      <c r="K1151" s="505">
        <v>0.23</v>
      </c>
      <c r="L1151" s="70"/>
    </row>
    <row r="1152" spans="1:12" ht="25.5" x14ac:dyDescent="0.25">
      <c r="A1152" s="501" t="s">
        <v>1732</v>
      </c>
      <c r="B1152" s="502" t="s">
        <v>2306</v>
      </c>
      <c r="C1152" s="501" t="s">
        <v>993</v>
      </c>
      <c r="D1152" s="501" t="s">
        <v>2307</v>
      </c>
      <c r="E1152" s="602" t="s">
        <v>1746</v>
      </c>
      <c r="F1152" s="602"/>
      <c r="G1152" s="503" t="s">
        <v>49</v>
      </c>
      <c r="H1152" s="504">
        <v>1</v>
      </c>
      <c r="I1152" s="504"/>
      <c r="J1152" s="505">
        <v>1.32</v>
      </c>
      <c r="K1152" s="505">
        <v>1.32</v>
      </c>
      <c r="L1152" s="70"/>
    </row>
    <row r="1153" spans="1:12" ht="15.75" customHeight="1" x14ac:dyDescent="0.25">
      <c r="A1153" s="445"/>
      <c r="B1153" s="445"/>
      <c r="C1153" s="445"/>
      <c r="D1153" s="445"/>
      <c r="E1153" s="445" t="s">
        <v>1735</v>
      </c>
      <c r="F1153" s="506">
        <v>0.39</v>
      </c>
      <c r="G1153" s="445" t="s">
        <v>1736</v>
      </c>
      <c r="H1153" s="506">
        <v>0</v>
      </c>
      <c r="I1153" s="445" t="s">
        <v>1737</v>
      </c>
      <c r="J1153" s="506">
        <v>0.39</v>
      </c>
      <c r="K1153" s="70"/>
      <c r="L1153" s="70"/>
    </row>
    <row r="1154" spans="1:12" ht="17.25" thickBot="1" x14ac:dyDescent="0.3">
      <c r="A1154" s="445"/>
      <c r="B1154" s="445"/>
      <c r="C1154" s="445"/>
      <c r="D1154" s="445"/>
      <c r="E1154" s="445" t="s">
        <v>1738</v>
      </c>
      <c r="F1154" s="506">
        <v>0.421344</v>
      </c>
      <c r="G1154" s="445"/>
      <c r="H1154" s="606" t="s">
        <v>1739</v>
      </c>
      <c r="I1154" s="606"/>
      <c r="J1154" s="506">
        <v>2.13</v>
      </c>
      <c r="K1154" s="70"/>
      <c r="L1154" s="70"/>
    </row>
    <row r="1155" spans="1:12" ht="17.25" thickTop="1" x14ac:dyDescent="0.25">
      <c r="A1155" s="507"/>
      <c r="B1155" s="507"/>
      <c r="C1155" s="507"/>
      <c r="D1155" s="507"/>
      <c r="E1155" s="507"/>
      <c r="F1155" s="507"/>
      <c r="G1155" s="507"/>
      <c r="H1155" s="507"/>
      <c r="I1155" s="507"/>
      <c r="J1155" s="507"/>
      <c r="K1155" s="507"/>
      <c r="L1155" s="70"/>
    </row>
    <row r="1156" spans="1:12" ht="16.5" x14ac:dyDescent="0.25">
      <c r="A1156" s="419" t="s">
        <v>1396</v>
      </c>
      <c r="B1156" s="421" t="s">
        <v>76</v>
      </c>
      <c r="C1156" s="419" t="s">
        <v>991</v>
      </c>
      <c r="D1156" s="419" t="s">
        <v>191</v>
      </c>
      <c r="E1156" s="603" t="s">
        <v>77</v>
      </c>
      <c r="F1156" s="603"/>
      <c r="G1156" s="420" t="s">
        <v>103</v>
      </c>
      <c r="H1156" s="421" t="s">
        <v>147</v>
      </c>
      <c r="I1156" s="421" t="s">
        <v>1731</v>
      </c>
      <c r="J1156" s="421" t="s">
        <v>1117</v>
      </c>
      <c r="K1156" s="421" t="s">
        <v>104</v>
      </c>
      <c r="L1156" s="70"/>
    </row>
    <row r="1157" spans="1:12" ht="25.5" x14ac:dyDescent="0.25">
      <c r="A1157" s="441" t="s">
        <v>79</v>
      </c>
      <c r="B1157" s="480" t="s">
        <v>1397</v>
      </c>
      <c r="C1157" s="441" t="s">
        <v>993</v>
      </c>
      <c r="D1157" s="441" t="s">
        <v>1398</v>
      </c>
      <c r="E1157" s="604">
        <v>702</v>
      </c>
      <c r="F1157" s="604"/>
      <c r="G1157" s="443" t="s">
        <v>1141</v>
      </c>
      <c r="H1157" s="500">
        <v>1</v>
      </c>
      <c r="I1157" s="442"/>
      <c r="J1157" s="442">
        <v>13.29</v>
      </c>
      <c r="K1157" s="442">
        <v>13.29</v>
      </c>
      <c r="L1157" s="70"/>
    </row>
    <row r="1158" spans="1:12" ht="25.5" x14ac:dyDescent="0.25">
      <c r="A1158" s="501" t="s">
        <v>1732</v>
      </c>
      <c r="B1158" s="502" t="s">
        <v>999</v>
      </c>
      <c r="C1158" s="501" t="s">
        <v>993</v>
      </c>
      <c r="D1158" s="501" t="s">
        <v>1000</v>
      </c>
      <c r="E1158" s="602" t="s">
        <v>972</v>
      </c>
      <c r="F1158" s="602"/>
      <c r="G1158" s="503" t="s">
        <v>81</v>
      </c>
      <c r="H1158" s="504">
        <v>0.25</v>
      </c>
      <c r="I1158" s="504"/>
      <c r="J1158" s="505">
        <v>16.04</v>
      </c>
      <c r="K1158" s="505">
        <v>4.01</v>
      </c>
      <c r="L1158" s="70"/>
    </row>
    <row r="1159" spans="1:12" ht="25.5" x14ac:dyDescent="0.25">
      <c r="A1159" s="501" t="s">
        <v>1732</v>
      </c>
      <c r="B1159" s="502" t="s">
        <v>1021</v>
      </c>
      <c r="C1159" s="501" t="s">
        <v>993</v>
      </c>
      <c r="D1159" s="501" t="s">
        <v>1022</v>
      </c>
      <c r="E1159" s="602" t="s">
        <v>972</v>
      </c>
      <c r="F1159" s="602"/>
      <c r="G1159" s="503" t="s">
        <v>81</v>
      </c>
      <c r="H1159" s="504">
        <v>0.25</v>
      </c>
      <c r="I1159" s="504"/>
      <c r="J1159" s="505">
        <v>23.41</v>
      </c>
      <c r="K1159" s="505">
        <v>5.85</v>
      </c>
      <c r="L1159" s="70"/>
    </row>
    <row r="1160" spans="1:12" ht="25.5" x14ac:dyDescent="0.25">
      <c r="A1160" s="501" t="s">
        <v>1732</v>
      </c>
      <c r="B1160" s="502" t="s">
        <v>2308</v>
      </c>
      <c r="C1160" s="501" t="s">
        <v>993</v>
      </c>
      <c r="D1160" s="501" t="s">
        <v>1398</v>
      </c>
      <c r="E1160" s="602" t="s">
        <v>1746</v>
      </c>
      <c r="F1160" s="602"/>
      <c r="G1160" s="503" t="s">
        <v>49</v>
      </c>
      <c r="H1160" s="504">
        <v>1</v>
      </c>
      <c r="I1160" s="504"/>
      <c r="J1160" s="505">
        <v>3.43</v>
      </c>
      <c r="K1160" s="505">
        <v>3.43</v>
      </c>
      <c r="L1160" s="70"/>
    </row>
    <row r="1161" spans="1:12" ht="15.75" customHeight="1" x14ac:dyDescent="0.25">
      <c r="A1161" s="445"/>
      <c r="B1161" s="445"/>
      <c r="C1161" s="445"/>
      <c r="D1161" s="445"/>
      <c r="E1161" s="445" t="s">
        <v>1735</v>
      </c>
      <c r="F1161" s="506">
        <v>9.86</v>
      </c>
      <c r="G1161" s="445" t="s">
        <v>1736</v>
      </c>
      <c r="H1161" s="506">
        <v>0</v>
      </c>
      <c r="I1161" s="445" t="s">
        <v>1737</v>
      </c>
      <c r="J1161" s="506">
        <v>9.86</v>
      </c>
      <c r="K1161" s="70"/>
      <c r="L1161" s="70"/>
    </row>
    <row r="1162" spans="1:12" ht="17.25" thickBot="1" x14ac:dyDescent="0.3">
      <c r="A1162" s="445"/>
      <c r="B1162" s="445"/>
      <c r="C1162" s="445"/>
      <c r="D1162" s="445"/>
      <c r="E1162" s="445" t="s">
        <v>1738</v>
      </c>
      <c r="F1162" s="506">
        <v>3.2746559999999998</v>
      </c>
      <c r="G1162" s="445"/>
      <c r="H1162" s="606" t="s">
        <v>1739</v>
      </c>
      <c r="I1162" s="606"/>
      <c r="J1162" s="506">
        <v>16.559999999999999</v>
      </c>
      <c r="K1162" s="70"/>
      <c r="L1162" s="70"/>
    </row>
    <row r="1163" spans="1:12" ht="17.25" thickTop="1" x14ac:dyDescent="0.25">
      <c r="A1163" s="507"/>
      <c r="B1163" s="507"/>
      <c r="C1163" s="507"/>
      <c r="D1163" s="507"/>
      <c r="E1163" s="507"/>
      <c r="F1163" s="507"/>
      <c r="G1163" s="507"/>
      <c r="H1163" s="507"/>
      <c r="I1163" s="507"/>
      <c r="J1163" s="507"/>
      <c r="K1163" s="507"/>
      <c r="L1163" s="70"/>
    </row>
    <row r="1164" spans="1:12" ht="16.5" x14ac:dyDescent="0.25">
      <c r="A1164" s="419" t="s">
        <v>1399</v>
      </c>
      <c r="B1164" s="421" t="s">
        <v>76</v>
      </c>
      <c r="C1164" s="419" t="s">
        <v>991</v>
      </c>
      <c r="D1164" s="419" t="s">
        <v>191</v>
      </c>
      <c r="E1164" s="603" t="s">
        <v>77</v>
      </c>
      <c r="F1164" s="603"/>
      <c r="G1164" s="420" t="s">
        <v>103</v>
      </c>
      <c r="H1164" s="421" t="s">
        <v>147</v>
      </c>
      <c r="I1164" s="421" t="s">
        <v>1731</v>
      </c>
      <c r="J1164" s="421" t="s">
        <v>1117</v>
      </c>
      <c r="K1164" s="421" t="s">
        <v>104</v>
      </c>
      <c r="L1164" s="70"/>
    </row>
    <row r="1165" spans="1:12" ht="25.5" x14ac:dyDescent="0.25">
      <c r="A1165" s="441" t="s">
        <v>79</v>
      </c>
      <c r="B1165" s="480" t="s">
        <v>1400</v>
      </c>
      <c r="C1165" s="441" t="s">
        <v>993</v>
      </c>
      <c r="D1165" s="441" t="s">
        <v>1401</v>
      </c>
      <c r="E1165" s="604">
        <v>714</v>
      </c>
      <c r="F1165" s="604"/>
      <c r="G1165" s="443" t="s">
        <v>1141</v>
      </c>
      <c r="H1165" s="500">
        <v>1</v>
      </c>
      <c r="I1165" s="442"/>
      <c r="J1165" s="442">
        <v>15.26</v>
      </c>
      <c r="K1165" s="442">
        <v>15.26</v>
      </c>
      <c r="L1165" s="70"/>
    </row>
    <row r="1166" spans="1:12" ht="25.5" x14ac:dyDescent="0.25">
      <c r="A1166" s="501" t="s">
        <v>1732</v>
      </c>
      <c r="B1166" s="502" t="s">
        <v>999</v>
      </c>
      <c r="C1166" s="501" t="s">
        <v>993</v>
      </c>
      <c r="D1166" s="501" t="s">
        <v>1000</v>
      </c>
      <c r="E1166" s="602" t="s">
        <v>972</v>
      </c>
      <c r="F1166" s="602"/>
      <c r="G1166" s="503" t="s">
        <v>81</v>
      </c>
      <c r="H1166" s="504">
        <v>0.2</v>
      </c>
      <c r="I1166" s="504"/>
      <c r="J1166" s="505">
        <v>16.04</v>
      </c>
      <c r="K1166" s="505">
        <v>3.2</v>
      </c>
      <c r="L1166" s="70"/>
    </row>
    <row r="1167" spans="1:12" ht="25.5" x14ac:dyDescent="0.25">
      <c r="A1167" s="501" t="s">
        <v>1732</v>
      </c>
      <c r="B1167" s="502" t="s">
        <v>1021</v>
      </c>
      <c r="C1167" s="501" t="s">
        <v>993</v>
      </c>
      <c r="D1167" s="501" t="s">
        <v>1022</v>
      </c>
      <c r="E1167" s="602" t="s">
        <v>972</v>
      </c>
      <c r="F1167" s="602"/>
      <c r="G1167" s="503" t="s">
        <v>81</v>
      </c>
      <c r="H1167" s="504">
        <v>0.2</v>
      </c>
      <c r="I1167" s="504"/>
      <c r="J1167" s="505">
        <v>23.41</v>
      </c>
      <c r="K1167" s="505">
        <v>4.68</v>
      </c>
      <c r="L1167" s="70"/>
    </row>
    <row r="1168" spans="1:12" ht="25.5" x14ac:dyDescent="0.25">
      <c r="A1168" s="501" t="s">
        <v>1732</v>
      </c>
      <c r="B1168" s="502" t="s">
        <v>2309</v>
      </c>
      <c r="C1168" s="501" t="s">
        <v>993</v>
      </c>
      <c r="D1168" s="501" t="s">
        <v>2310</v>
      </c>
      <c r="E1168" s="602" t="s">
        <v>1746</v>
      </c>
      <c r="F1168" s="602"/>
      <c r="G1168" s="503" t="s">
        <v>49</v>
      </c>
      <c r="H1168" s="504">
        <v>1</v>
      </c>
      <c r="I1168" s="504"/>
      <c r="J1168" s="505">
        <v>7.38</v>
      </c>
      <c r="K1168" s="505">
        <v>7.38</v>
      </c>
      <c r="L1168" s="70"/>
    </row>
    <row r="1169" spans="1:12" ht="15.75" customHeight="1" x14ac:dyDescent="0.25">
      <c r="A1169" s="445"/>
      <c r="B1169" s="445"/>
      <c r="C1169" s="445"/>
      <c r="D1169" s="445"/>
      <c r="E1169" s="445" t="s">
        <v>1735</v>
      </c>
      <c r="F1169" s="506">
        <v>7.88</v>
      </c>
      <c r="G1169" s="445" t="s">
        <v>1736</v>
      </c>
      <c r="H1169" s="506">
        <v>0</v>
      </c>
      <c r="I1169" s="445" t="s">
        <v>1737</v>
      </c>
      <c r="J1169" s="506">
        <v>7.88</v>
      </c>
      <c r="K1169" s="70"/>
      <c r="L1169" s="70"/>
    </row>
    <row r="1170" spans="1:12" ht="17.25" thickBot="1" x14ac:dyDescent="0.3">
      <c r="A1170" s="445"/>
      <c r="B1170" s="445"/>
      <c r="C1170" s="445"/>
      <c r="D1170" s="445"/>
      <c r="E1170" s="445" t="s">
        <v>1738</v>
      </c>
      <c r="F1170" s="506">
        <v>3.7600639999999999</v>
      </c>
      <c r="G1170" s="445"/>
      <c r="H1170" s="606" t="s">
        <v>1739</v>
      </c>
      <c r="I1170" s="606"/>
      <c r="J1170" s="506">
        <v>19.02</v>
      </c>
      <c r="K1170" s="70"/>
      <c r="L1170" s="70"/>
    </row>
    <row r="1171" spans="1:12" ht="17.25" thickTop="1" x14ac:dyDescent="0.25">
      <c r="A1171" s="507"/>
      <c r="B1171" s="507"/>
      <c r="C1171" s="507"/>
      <c r="D1171" s="507"/>
      <c r="E1171" s="507"/>
      <c r="F1171" s="507"/>
      <c r="G1171" s="507"/>
      <c r="H1171" s="507"/>
      <c r="I1171" s="507"/>
      <c r="J1171" s="507"/>
      <c r="K1171" s="507"/>
      <c r="L1171" s="70"/>
    </row>
    <row r="1172" spans="1:12" ht="16.5" x14ac:dyDescent="0.25">
      <c r="A1172" s="419" t="s">
        <v>1402</v>
      </c>
      <c r="B1172" s="421" t="s">
        <v>76</v>
      </c>
      <c r="C1172" s="419" t="s">
        <v>991</v>
      </c>
      <c r="D1172" s="419" t="s">
        <v>191</v>
      </c>
      <c r="E1172" s="603" t="s">
        <v>77</v>
      </c>
      <c r="F1172" s="603"/>
      <c r="G1172" s="420" t="s">
        <v>103</v>
      </c>
      <c r="H1172" s="421" t="s">
        <v>147</v>
      </c>
      <c r="I1172" s="421" t="s">
        <v>1731</v>
      </c>
      <c r="J1172" s="421" t="s">
        <v>1117</v>
      </c>
      <c r="K1172" s="421" t="s">
        <v>104</v>
      </c>
      <c r="L1172" s="70"/>
    </row>
    <row r="1173" spans="1:12" ht="25.5" x14ac:dyDescent="0.25">
      <c r="A1173" s="441" t="s">
        <v>79</v>
      </c>
      <c r="B1173" s="480" t="s">
        <v>1403</v>
      </c>
      <c r="C1173" s="441" t="s">
        <v>993</v>
      </c>
      <c r="D1173" s="441" t="s">
        <v>1404</v>
      </c>
      <c r="E1173" s="604">
        <v>702</v>
      </c>
      <c r="F1173" s="604"/>
      <c r="G1173" s="443" t="s">
        <v>1141</v>
      </c>
      <c r="H1173" s="500">
        <v>1</v>
      </c>
      <c r="I1173" s="442"/>
      <c r="J1173" s="442">
        <v>33.92</v>
      </c>
      <c r="K1173" s="442">
        <v>33.92</v>
      </c>
      <c r="L1173" s="70"/>
    </row>
    <row r="1174" spans="1:12" ht="25.5" x14ac:dyDescent="0.25">
      <c r="A1174" s="501" t="s">
        <v>1732</v>
      </c>
      <c r="B1174" s="502" t="s">
        <v>999</v>
      </c>
      <c r="C1174" s="501" t="s">
        <v>993</v>
      </c>
      <c r="D1174" s="501" t="s">
        <v>1000</v>
      </c>
      <c r="E1174" s="602" t="s">
        <v>972</v>
      </c>
      <c r="F1174" s="602"/>
      <c r="G1174" s="503" t="s">
        <v>81</v>
      </c>
      <c r="H1174" s="504">
        <v>0.3</v>
      </c>
      <c r="I1174" s="504"/>
      <c r="J1174" s="505">
        <v>16.04</v>
      </c>
      <c r="K1174" s="505">
        <v>4.8099999999999996</v>
      </c>
      <c r="L1174" s="70"/>
    </row>
    <row r="1175" spans="1:12" ht="25.5" x14ac:dyDescent="0.25">
      <c r="A1175" s="501" t="s">
        <v>1732</v>
      </c>
      <c r="B1175" s="502" t="s">
        <v>1021</v>
      </c>
      <c r="C1175" s="501" t="s">
        <v>993</v>
      </c>
      <c r="D1175" s="501" t="s">
        <v>1022</v>
      </c>
      <c r="E1175" s="602" t="s">
        <v>972</v>
      </c>
      <c r="F1175" s="602"/>
      <c r="G1175" s="503" t="s">
        <v>81</v>
      </c>
      <c r="H1175" s="504">
        <v>0.3</v>
      </c>
      <c r="I1175" s="504"/>
      <c r="J1175" s="505">
        <v>23.41</v>
      </c>
      <c r="K1175" s="505">
        <v>7.02</v>
      </c>
      <c r="L1175" s="70"/>
    </row>
    <row r="1176" spans="1:12" ht="25.5" x14ac:dyDescent="0.25">
      <c r="A1176" s="501" t="s">
        <v>1732</v>
      </c>
      <c r="B1176" s="502" t="s">
        <v>2311</v>
      </c>
      <c r="C1176" s="501" t="s">
        <v>993</v>
      </c>
      <c r="D1176" s="501" t="s">
        <v>2312</v>
      </c>
      <c r="E1176" s="602" t="s">
        <v>1746</v>
      </c>
      <c r="F1176" s="602"/>
      <c r="G1176" s="503" t="s">
        <v>49</v>
      </c>
      <c r="H1176" s="504">
        <v>1</v>
      </c>
      <c r="I1176" s="504"/>
      <c r="J1176" s="505">
        <v>22.09</v>
      </c>
      <c r="K1176" s="505">
        <v>22.09</v>
      </c>
      <c r="L1176" s="70"/>
    </row>
    <row r="1177" spans="1:12" ht="15.75" customHeight="1" x14ac:dyDescent="0.25">
      <c r="A1177" s="445"/>
      <c r="B1177" s="445"/>
      <c r="C1177" s="445"/>
      <c r="D1177" s="445"/>
      <c r="E1177" s="445" t="s">
        <v>1735</v>
      </c>
      <c r="F1177" s="506">
        <v>11.83</v>
      </c>
      <c r="G1177" s="445" t="s">
        <v>1736</v>
      </c>
      <c r="H1177" s="506">
        <v>0</v>
      </c>
      <c r="I1177" s="445" t="s">
        <v>1737</v>
      </c>
      <c r="J1177" s="506">
        <v>11.83</v>
      </c>
      <c r="K1177" s="70"/>
      <c r="L1177" s="70"/>
    </row>
    <row r="1178" spans="1:12" ht="17.25" thickBot="1" x14ac:dyDescent="0.3">
      <c r="A1178" s="445"/>
      <c r="B1178" s="445"/>
      <c r="C1178" s="445"/>
      <c r="D1178" s="445"/>
      <c r="E1178" s="445" t="s">
        <v>1738</v>
      </c>
      <c r="F1178" s="506">
        <v>8.3578880000000009</v>
      </c>
      <c r="G1178" s="445"/>
      <c r="H1178" s="606" t="s">
        <v>1739</v>
      </c>
      <c r="I1178" s="606"/>
      <c r="J1178" s="506">
        <v>42.27</v>
      </c>
      <c r="K1178" s="70"/>
      <c r="L1178" s="70"/>
    </row>
    <row r="1179" spans="1:12" ht="17.25" thickTop="1" x14ac:dyDescent="0.25">
      <c r="A1179" s="507"/>
      <c r="B1179" s="507"/>
      <c r="C1179" s="507"/>
      <c r="D1179" s="507"/>
      <c r="E1179" s="507"/>
      <c r="F1179" s="507"/>
      <c r="G1179" s="507"/>
      <c r="H1179" s="507"/>
      <c r="I1179" s="507"/>
      <c r="J1179" s="507"/>
      <c r="K1179" s="507"/>
      <c r="L1179" s="70"/>
    </row>
    <row r="1180" spans="1:12" ht="16.5" x14ac:dyDescent="0.25">
      <c r="A1180" s="419" t="s">
        <v>1405</v>
      </c>
      <c r="B1180" s="421" t="s">
        <v>76</v>
      </c>
      <c r="C1180" s="419" t="s">
        <v>991</v>
      </c>
      <c r="D1180" s="419" t="s">
        <v>191</v>
      </c>
      <c r="E1180" s="603" t="s">
        <v>77</v>
      </c>
      <c r="F1180" s="603"/>
      <c r="G1180" s="420" t="s">
        <v>103</v>
      </c>
      <c r="H1180" s="421" t="s">
        <v>147</v>
      </c>
      <c r="I1180" s="421" t="s">
        <v>1731</v>
      </c>
      <c r="J1180" s="421" t="s">
        <v>1117</v>
      </c>
      <c r="K1180" s="421" t="s">
        <v>104</v>
      </c>
      <c r="L1180" s="70"/>
    </row>
    <row r="1181" spans="1:12" ht="25.5" x14ac:dyDescent="0.25">
      <c r="A1181" s="441" t="s">
        <v>79</v>
      </c>
      <c r="B1181" s="480" t="s">
        <v>1406</v>
      </c>
      <c r="C1181" s="441" t="s">
        <v>993</v>
      </c>
      <c r="D1181" s="441" t="s">
        <v>1407</v>
      </c>
      <c r="E1181" s="604">
        <v>718</v>
      </c>
      <c r="F1181" s="604"/>
      <c r="G1181" s="443" t="s">
        <v>1141</v>
      </c>
      <c r="H1181" s="500">
        <v>1</v>
      </c>
      <c r="I1181" s="442"/>
      <c r="J1181" s="442">
        <v>1179</v>
      </c>
      <c r="K1181" s="442">
        <v>1179</v>
      </c>
      <c r="L1181" s="70"/>
    </row>
    <row r="1182" spans="1:12" ht="25.5" x14ac:dyDescent="0.25">
      <c r="A1182" s="501" t="s">
        <v>1732</v>
      </c>
      <c r="B1182" s="502" t="s">
        <v>999</v>
      </c>
      <c r="C1182" s="501" t="s">
        <v>993</v>
      </c>
      <c r="D1182" s="501" t="s">
        <v>1000</v>
      </c>
      <c r="E1182" s="602" t="s">
        <v>972</v>
      </c>
      <c r="F1182" s="602"/>
      <c r="G1182" s="503" t="s">
        <v>81</v>
      </c>
      <c r="H1182" s="504">
        <v>2</v>
      </c>
      <c r="I1182" s="504"/>
      <c r="J1182" s="505">
        <v>16.04</v>
      </c>
      <c r="K1182" s="505">
        <v>32.08</v>
      </c>
      <c r="L1182" s="70"/>
    </row>
    <row r="1183" spans="1:12" ht="25.5" x14ac:dyDescent="0.25">
      <c r="A1183" s="501" t="s">
        <v>1732</v>
      </c>
      <c r="B1183" s="502" t="s">
        <v>992</v>
      </c>
      <c r="C1183" s="501" t="s">
        <v>993</v>
      </c>
      <c r="D1183" s="501" t="s">
        <v>994</v>
      </c>
      <c r="E1183" s="602" t="s">
        <v>972</v>
      </c>
      <c r="F1183" s="602"/>
      <c r="G1183" s="503" t="s">
        <v>81</v>
      </c>
      <c r="H1183" s="504">
        <v>0.67610000000000003</v>
      </c>
      <c r="I1183" s="504"/>
      <c r="J1183" s="505">
        <v>14.62</v>
      </c>
      <c r="K1183" s="505">
        <v>9.8800000000000008</v>
      </c>
      <c r="L1183" s="70"/>
    </row>
    <row r="1184" spans="1:12" ht="25.5" x14ac:dyDescent="0.25">
      <c r="A1184" s="501" t="s">
        <v>1732</v>
      </c>
      <c r="B1184" s="502" t="s">
        <v>1023</v>
      </c>
      <c r="C1184" s="501" t="s">
        <v>993</v>
      </c>
      <c r="D1184" s="501" t="s">
        <v>1024</v>
      </c>
      <c r="E1184" s="602" t="s">
        <v>972</v>
      </c>
      <c r="F1184" s="602"/>
      <c r="G1184" s="503" t="s">
        <v>81</v>
      </c>
      <c r="H1184" s="504">
        <v>4.5100000000000001E-2</v>
      </c>
      <c r="I1184" s="504"/>
      <c r="J1184" s="505">
        <v>17.559999999999999</v>
      </c>
      <c r="K1184" s="505">
        <v>0.79</v>
      </c>
      <c r="L1184" s="70"/>
    </row>
    <row r="1185" spans="1:12" ht="25.5" x14ac:dyDescent="0.25">
      <c r="A1185" s="501" t="s">
        <v>1732</v>
      </c>
      <c r="B1185" s="502" t="s">
        <v>1013</v>
      </c>
      <c r="C1185" s="501" t="s">
        <v>993</v>
      </c>
      <c r="D1185" s="501" t="s">
        <v>1014</v>
      </c>
      <c r="E1185" s="602" t="s">
        <v>972</v>
      </c>
      <c r="F1185" s="602"/>
      <c r="G1185" s="503" t="s">
        <v>81</v>
      </c>
      <c r="H1185" s="504">
        <v>4.5100000000000001E-2</v>
      </c>
      <c r="I1185" s="504"/>
      <c r="J1185" s="505">
        <v>23.41</v>
      </c>
      <c r="K1185" s="505">
        <v>1.05</v>
      </c>
      <c r="L1185" s="70"/>
    </row>
    <row r="1186" spans="1:12" ht="25.5" x14ac:dyDescent="0.25">
      <c r="A1186" s="501" t="s">
        <v>1732</v>
      </c>
      <c r="B1186" s="502" t="s">
        <v>1021</v>
      </c>
      <c r="C1186" s="501" t="s">
        <v>993</v>
      </c>
      <c r="D1186" s="501" t="s">
        <v>1022</v>
      </c>
      <c r="E1186" s="602" t="s">
        <v>972</v>
      </c>
      <c r="F1186" s="602"/>
      <c r="G1186" s="503" t="s">
        <v>81</v>
      </c>
      <c r="H1186" s="504">
        <v>2</v>
      </c>
      <c r="I1186" s="504"/>
      <c r="J1186" s="505">
        <v>23.41</v>
      </c>
      <c r="K1186" s="505">
        <v>46.82</v>
      </c>
      <c r="L1186" s="70"/>
    </row>
    <row r="1187" spans="1:12" ht="25.5" x14ac:dyDescent="0.25">
      <c r="A1187" s="501" t="s">
        <v>1732</v>
      </c>
      <c r="B1187" s="502" t="s">
        <v>1756</v>
      </c>
      <c r="C1187" s="501" t="s">
        <v>993</v>
      </c>
      <c r="D1187" s="501" t="s">
        <v>1757</v>
      </c>
      <c r="E1187" s="602" t="s">
        <v>1746</v>
      </c>
      <c r="F1187" s="602"/>
      <c r="G1187" s="503" t="s">
        <v>45</v>
      </c>
      <c r="H1187" s="504">
        <v>6.5299999999999997E-2</v>
      </c>
      <c r="I1187" s="504"/>
      <c r="J1187" s="505">
        <v>152.69</v>
      </c>
      <c r="K1187" s="505">
        <v>9.9700000000000006</v>
      </c>
      <c r="L1187" s="70"/>
    </row>
    <row r="1188" spans="1:12" ht="25.5" x14ac:dyDescent="0.25">
      <c r="A1188" s="501" t="s">
        <v>1732</v>
      </c>
      <c r="B1188" s="502" t="s">
        <v>2313</v>
      </c>
      <c r="C1188" s="501" t="s">
        <v>993</v>
      </c>
      <c r="D1188" s="501" t="s">
        <v>2314</v>
      </c>
      <c r="E1188" s="602" t="s">
        <v>1746</v>
      </c>
      <c r="F1188" s="602"/>
      <c r="G1188" s="503" t="s">
        <v>49</v>
      </c>
      <c r="H1188" s="504">
        <v>1</v>
      </c>
      <c r="I1188" s="504"/>
      <c r="J1188" s="505">
        <v>1057.5</v>
      </c>
      <c r="K1188" s="505">
        <v>1057.5</v>
      </c>
      <c r="L1188" s="70"/>
    </row>
    <row r="1189" spans="1:12" ht="25.5" x14ac:dyDescent="0.25">
      <c r="A1189" s="501" t="s">
        <v>1732</v>
      </c>
      <c r="B1189" s="502" t="s">
        <v>1854</v>
      </c>
      <c r="C1189" s="501" t="s">
        <v>993</v>
      </c>
      <c r="D1189" s="501" t="s">
        <v>1855</v>
      </c>
      <c r="E1189" s="602" t="s">
        <v>1746</v>
      </c>
      <c r="F1189" s="602"/>
      <c r="G1189" s="503" t="s">
        <v>1222</v>
      </c>
      <c r="H1189" s="504">
        <v>18.760000000000002</v>
      </c>
      <c r="I1189" s="504"/>
      <c r="J1189" s="505">
        <v>0.65</v>
      </c>
      <c r="K1189" s="505">
        <v>12.19</v>
      </c>
      <c r="L1189" s="70"/>
    </row>
    <row r="1190" spans="1:12" ht="25.5" x14ac:dyDescent="0.25">
      <c r="A1190" s="501" t="s">
        <v>1732</v>
      </c>
      <c r="B1190" s="502" t="s">
        <v>1874</v>
      </c>
      <c r="C1190" s="501" t="s">
        <v>993</v>
      </c>
      <c r="D1190" s="501" t="s">
        <v>1875</v>
      </c>
      <c r="E1190" s="602" t="s">
        <v>1746</v>
      </c>
      <c r="F1190" s="602"/>
      <c r="G1190" s="503" t="s">
        <v>45</v>
      </c>
      <c r="H1190" s="504">
        <v>4.3900000000000002E-2</v>
      </c>
      <c r="I1190" s="504"/>
      <c r="J1190" s="505">
        <v>148.97999999999999</v>
      </c>
      <c r="K1190" s="505">
        <v>6.54</v>
      </c>
      <c r="L1190" s="70"/>
    </row>
    <row r="1191" spans="1:12" ht="25.5" x14ac:dyDescent="0.25">
      <c r="A1191" s="501" t="s">
        <v>1732</v>
      </c>
      <c r="B1191" s="502" t="s">
        <v>1872</v>
      </c>
      <c r="C1191" s="501" t="s">
        <v>993</v>
      </c>
      <c r="D1191" s="501" t="s">
        <v>1873</v>
      </c>
      <c r="E1191" s="602" t="s">
        <v>1746</v>
      </c>
      <c r="F1191" s="602"/>
      <c r="G1191" s="503" t="s">
        <v>45</v>
      </c>
      <c r="H1191" s="504">
        <v>1.46E-2</v>
      </c>
      <c r="I1191" s="504"/>
      <c r="J1191" s="505">
        <v>149.94999999999999</v>
      </c>
      <c r="K1191" s="505">
        <v>2.1800000000000002</v>
      </c>
      <c r="L1191" s="70"/>
    </row>
    <row r="1192" spans="1:12" ht="15.75" customHeight="1" x14ac:dyDescent="0.25">
      <c r="A1192" s="445"/>
      <c r="B1192" s="445"/>
      <c r="C1192" s="445"/>
      <c r="D1192" s="445"/>
      <c r="E1192" s="445" t="s">
        <v>1735</v>
      </c>
      <c r="F1192" s="506">
        <v>90.62</v>
      </c>
      <c r="G1192" s="445" t="s">
        <v>1736</v>
      </c>
      <c r="H1192" s="506">
        <v>0</v>
      </c>
      <c r="I1192" s="445" t="s">
        <v>1737</v>
      </c>
      <c r="J1192" s="506">
        <v>90.62</v>
      </c>
      <c r="K1192" s="70"/>
      <c r="L1192" s="70"/>
    </row>
    <row r="1193" spans="1:12" ht="17.25" thickBot="1" x14ac:dyDescent="0.3">
      <c r="A1193" s="445"/>
      <c r="B1193" s="445"/>
      <c r="C1193" s="445"/>
      <c r="D1193" s="445"/>
      <c r="E1193" s="445" t="s">
        <v>1738</v>
      </c>
      <c r="F1193" s="506">
        <v>290.50560000000002</v>
      </c>
      <c r="G1193" s="445"/>
      <c r="H1193" s="606" t="s">
        <v>1739</v>
      </c>
      <c r="I1193" s="606"/>
      <c r="J1193" s="506">
        <v>1469.5</v>
      </c>
      <c r="K1193" s="70"/>
      <c r="L1193" s="70"/>
    </row>
    <row r="1194" spans="1:12" ht="17.25" thickTop="1" x14ac:dyDescent="0.25">
      <c r="A1194" s="507"/>
      <c r="B1194" s="507"/>
      <c r="C1194" s="507"/>
      <c r="D1194" s="507"/>
      <c r="E1194" s="507"/>
      <c r="F1194" s="507"/>
      <c r="G1194" s="507"/>
      <c r="H1194" s="507"/>
      <c r="I1194" s="507"/>
      <c r="J1194" s="507"/>
      <c r="K1194" s="507"/>
      <c r="L1194" s="70"/>
    </row>
    <row r="1195" spans="1:12" ht="16.5" x14ac:dyDescent="0.25">
      <c r="A1195" s="419" t="s">
        <v>1408</v>
      </c>
      <c r="B1195" s="421" t="s">
        <v>76</v>
      </c>
      <c r="C1195" s="419" t="s">
        <v>991</v>
      </c>
      <c r="D1195" s="419" t="s">
        <v>191</v>
      </c>
      <c r="E1195" s="603" t="s">
        <v>77</v>
      </c>
      <c r="F1195" s="603"/>
      <c r="G1195" s="420" t="s">
        <v>103</v>
      </c>
      <c r="H1195" s="421" t="s">
        <v>147</v>
      </c>
      <c r="I1195" s="421" t="s">
        <v>1731</v>
      </c>
      <c r="J1195" s="421" t="s">
        <v>1117</v>
      </c>
      <c r="K1195" s="421" t="s">
        <v>104</v>
      </c>
      <c r="L1195" s="70"/>
    </row>
    <row r="1196" spans="1:12" ht="25.5" x14ac:dyDescent="0.25">
      <c r="A1196" s="441" t="s">
        <v>79</v>
      </c>
      <c r="B1196" s="480" t="s">
        <v>1409</v>
      </c>
      <c r="C1196" s="441" t="s">
        <v>993</v>
      </c>
      <c r="D1196" s="441" t="s">
        <v>1410</v>
      </c>
      <c r="E1196" s="604">
        <v>710</v>
      </c>
      <c r="F1196" s="604"/>
      <c r="G1196" s="443" t="s">
        <v>1141</v>
      </c>
      <c r="H1196" s="500">
        <v>1</v>
      </c>
      <c r="I1196" s="442"/>
      <c r="J1196" s="442">
        <v>13.65</v>
      </c>
      <c r="K1196" s="442">
        <v>13.65</v>
      </c>
      <c r="L1196" s="70"/>
    </row>
    <row r="1197" spans="1:12" ht="25.5" x14ac:dyDescent="0.25">
      <c r="A1197" s="501" t="s">
        <v>1732</v>
      </c>
      <c r="B1197" s="502" t="s">
        <v>999</v>
      </c>
      <c r="C1197" s="501" t="s">
        <v>993</v>
      </c>
      <c r="D1197" s="501" t="s">
        <v>1000</v>
      </c>
      <c r="E1197" s="602" t="s">
        <v>972</v>
      </c>
      <c r="F1197" s="602"/>
      <c r="G1197" s="503" t="s">
        <v>81</v>
      </c>
      <c r="H1197" s="504">
        <v>0.2</v>
      </c>
      <c r="I1197" s="504"/>
      <c r="J1197" s="505">
        <v>16.04</v>
      </c>
      <c r="K1197" s="505">
        <v>3.2</v>
      </c>
      <c r="L1197" s="70"/>
    </row>
    <row r="1198" spans="1:12" ht="25.5" x14ac:dyDescent="0.25">
      <c r="A1198" s="501" t="s">
        <v>1732</v>
      </c>
      <c r="B1198" s="502" t="s">
        <v>1021</v>
      </c>
      <c r="C1198" s="501" t="s">
        <v>993</v>
      </c>
      <c r="D1198" s="501" t="s">
        <v>1022</v>
      </c>
      <c r="E1198" s="602" t="s">
        <v>972</v>
      </c>
      <c r="F1198" s="602"/>
      <c r="G1198" s="503" t="s">
        <v>81</v>
      </c>
      <c r="H1198" s="504">
        <v>0.2</v>
      </c>
      <c r="I1198" s="504"/>
      <c r="J1198" s="505">
        <v>23.41</v>
      </c>
      <c r="K1198" s="505">
        <v>4.68</v>
      </c>
      <c r="L1198" s="70"/>
    </row>
    <row r="1199" spans="1:12" ht="25.5" x14ac:dyDescent="0.25">
      <c r="A1199" s="501" t="s">
        <v>1732</v>
      </c>
      <c r="B1199" s="502" t="s">
        <v>2315</v>
      </c>
      <c r="C1199" s="501" t="s">
        <v>993</v>
      </c>
      <c r="D1199" s="501" t="s">
        <v>1410</v>
      </c>
      <c r="E1199" s="602" t="s">
        <v>1746</v>
      </c>
      <c r="F1199" s="602"/>
      <c r="G1199" s="503" t="s">
        <v>49</v>
      </c>
      <c r="H1199" s="504">
        <v>1</v>
      </c>
      <c r="I1199" s="504"/>
      <c r="J1199" s="505">
        <v>5.77</v>
      </c>
      <c r="K1199" s="505">
        <v>5.77</v>
      </c>
      <c r="L1199" s="70"/>
    </row>
    <row r="1200" spans="1:12" ht="15.75" customHeight="1" x14ac:dyDescent="0.25">
      <c r="A1200" s="445"/>
      <c r="B1200" s="445"/>
      <c r="C1200" s="445"/>
      <c r="D1200" s="445"/>
      <c r="E1200" s="445" t="s">
        <v>1735</v>
      </c>
      <c r="F1200" s="506">
        <v>7.88</v>
      </c>
      <c r="G1200" s="445" t="s">
        <v>1736</v>
      </c>
      <c r="H1200" s="506">
        <v>0</v>
      </c>
      <c r="I1200" s="445" t="s">
        <v>1737</v>
      </c>
      <c r="J1200" s="506">
        <v>7.88</v>
      </c>
      <c r="K1200" s="70"/>
      <c r="L1200" s="70"/>
    </row>
    <row r="1201" spans="1:12" ht="17.25" thickBot="1" x14ac:dyDescent="0.3">
      <c r="A1201" s="445"/>
      <c r="B1201" s="445"/>
      <c r="C1201" s="445"/>
      <c r="D1201" s="445"/>
      <c r="E1201" s="445" t="s">
        <v>1738</v>
      </c>
      <c r="F1201" s="506">
        <v>3.3633600000000001</v>
      </c>
      <c r="G1201" s="445"/>
      <c r="H1201" s="606" t="s">
        <v>1739</v>
      </c>
      <c r="I1201" s="606"/>
      <c r="J1201" s="506">
        <v>17.010000000000002</v>
      </c>
      <c r="K1201" s="70"/>
      <c r="L1201" s="70"/>
    </row>
    <row r="1202" spans="1:12" ht="17.25" thickTop="1" x14ac:dyDescent="0.25">
      <c r="A1202" s="507"/>
      <c r="B1202" s="507"/>
      <c r="C1202" s="507"/>
      <c r="D1202" s="507"/>
      <c r="E1202" s="507"/>
      <c r="F1202" s="507"/>
      <c r="G1202" s="507"/>
      <c r="H1202" s="507"/>
      <c r="I1202" s="507"/>
      <c r="J1202" s="507"/>
      <c r="K1202" s="507"/>
      <c r="L1202" s="70"/>
    </row>
    <row r="1203" spans="1:12" ht="16.5" x14ac:dyDescent="0.25">
      <c r="A1203" s="419" t="s">
        <v>1411</v>
      </c>
      <c r="B1203" s="421" t="s">
        <v>76</v>
      </c>
      <c r="C1203" s="419" t="s">
        <v>991</v>
      </c>
      <c r="D1203" s="419" t="s">
        <v>191</v>
      </c>
      <c r="E1203" s="603" t="s">
        <v>77</v>
      </c>
      <c r="F1203" s="603"/>
      <c r="G1203" s="420" t="s">
        <v>103</v>
      </c>
      <c r="H1203" s="421" t="s">
        <v>147</v>
      </c>
      <c r="I1203" s="421" t="s">
        <v>1731</v>
      </c>
      <c r="J1203" s="421" t="s">
        <v>1117</v>
      </c>
      <c r="K1203" s="421" t="s">
        <v>104</v>
      </c>
      <c r="L1203" s="70"/>
    </row>
    <row r="1204" spans="1:12" ht="25.5" x14ac:dyDescent="0.25">
      <c r="A1204" s="441" t="s">
        <v>79</v>
      </c>
      <c r="B1204" s="480" t="s">
        <v>1412</v>
      </c>
      <c r="C1204" s="441" t="s">
        <v>993</v>
      </c>
      <c r="D1204" s="441" t="s">
        <v>1413</v>
      </c>
      <c r="E1204" s="604">
        <v>704</v>
      </c>
      <c r="F1204" s="604"/>
      <c r="G1204" s="443" t="s">
        <v>1414</v>
      </c>
      <c r="H1204" s="500">
        <v>1</v>
      </c>
      <c r="I1204" s="442"/>
      <c r="J1204" s="442">
        <v>3.21</v>
      </c>
      <c r="K1204" s="442">
        <v>3.21</v>
      </c>
      <c r="L1204" s="70"/>
    </row>
    <row r="1205" spans="1:12" ht="25.5" x14ac:dyDescent="0.25">
      <c r="A1205" s="501" t="s">
        <v>1732</v>
      </c>
      <c r="B1205" s="502" t="s">
        <v>999</v>
      </c>
      <c r="C1205" s="501" t="s">
        <v>993</v>
      </c>
      <c r="D1205" s="501" t="s">
        <v>1000</v>
      </c>
      <c r="E1205" s="602" t="s">
        <v>972</v>
      </c>
      <c r="F1205" s="602"/>
      <c r="G1205" s="503" t="s">
        <v>81</v>
      </c>
      <c r="H1205" s="504">
        <v>0.01</v>
      </c>
      <c r="I1205" s="504"/>
      <c r="J1205" s="505">
        <v>16.04</v>
      </c>
      <c r="K1205" s="505">
        <v>0.16</v>
      </c>
      <c r="L1205" s="70"/>
    </row>
    <row r="1206" spans="1:12" ht="25.5" x14ac:dyDescent="0.25">
      <c r="A1206" s="501" t="s">
        <v>1732</v>
      </c>
      <c r="B1206" s="502" t="s">
        <v>1021</v>
      </c>
      <c r="C1206" s="501" t="s">
        <v>993</v>
      </c>
      <c r="D1206" s="501" t="s">
        <v>1022</v>
      </c>
      <c r="E1206" s="602" t="s">
        <v>972</v>
      </c>
      <c r="F1206" s="602"/>
      <c r="G1206" s="503" t="s">
        <v>81</v>
      </c>
      <c r="H1206" s="504">
        <v>0.01</v>
      </c>
      <c r="I1206" s="504"/>
      <c r="J1206" s="505">
        <v>23.41</v>
      </c>
      <c r="K1206" s="505">
        <v>0.23</v>
      </c>
      <c r="L1206" s="70"/>
    </row>
    <row r="1207" spans="1:12" ht="25.5" x14ac:dyDescent="0.25">
      <c r="A1207" s="501" t="s">
        <v>1732</v>
      </c>
      <c r="B1207" s="502" t="s">
        <v>2316</v>
      </c>
      <c r="C1207" s="501" t="s">
        <v>993</v>
      </c>
      <c r="D1207" s="501" t="s">
        <v>1413</v>
      </c>
      <c r="E1207" s="602" t="s">
        <v>1746</v>
      </c>
      <c r="F1207" s="602"/>
      <c r="G1207" s="503" t="s">
        <v>1414</v>
      </c>
      <c r="H1207" s="504">
        <v>1</v>
      </c>
      <c r="I1207" s="504"/>
      <c r="J1207" s="505">
        <v>2.82</v>
      </c>
      <c r="K1207" s="505">
        <v>2.82</v>
      </c>
      <c r="L1207" s="70"/>
    </row>
    <row r="1208" spans="1:12" ht="15.75" customHeight="1" x14ac:dyDescent="0.25">
      <c r="A1208" s="445"/>
      <c r="B1208" s="445"/>
      <c r="C1208" s="445"/>
      <c r="D1208" s="445"/>
      <c r="E1208" s="445" t="s">
        <v>1735</v>
      </c>
      <c r="F1208" s="506">
        <v>0.39</v>
      </c>
      <c r="G1208" s="445" t="s">
        <v>1736</v>
      </c>
      <c r="H1208" s="506">
        <v>0</v>
      </c>
      <c r="I1208" s="445" t="s">
        <v>1737</v>
      </c>
      <c r="J1208" s="506">
        <v>0.39</v>
      </c>
      <c r="K1208" s="70"/>
      <c r="L1208" s="70"/>
    </row>
    <row r="1209" spans="1:12" ht="17.25" thickBot="1" x14ac:dyDescent="0.3">
      <c r="A1209" s="445"/>
      <c r="B1209" s="445"/>
      <c r="C1209" s="445"/>
      <c r="D1209" s="445"/>
      <c r="E1209" s="445" t="s">
        <v>1738</v>
      </c>
      <c r="F1209" s="506">
        <v>0.79094399999999998</v>
      </c>
      <c r="G1209" s="445"/>
      <c r="H1209" s="606" t="s">
        <v>1739</v>
      </c>
      <c r="I1209" s="606"/>
      <c r="J1209" s="506">
        <v>4</v>
      </c>
      <c r="K1209" s="70"/>
      <c r="L1209" s="70"/>
    </row>
    <row r="1210" spans="1:12" ht="17.25" thickTop="1" x14ac:dyDescent="0.25">
      <c r="A1210" s="507"/>
      <c r="B1210" s="507"/>
      <c r="C1210" s="507"/>
      <c r="D1210" s="507"/>
      <c r="E1210" s="507"/>
      <c r="F1210" s="507"/>
      <c r="G1210" s="507"/>
      <c r="H1210" s="507"/>
      <c r="I1210" s="507"/>
      <c r="J1210" s="507"/>
      <c r="K1210" s="507"/>
      <c r="L1210" s="70"/>
    </row>
    <row r="1211" spans="1:12" ht="16.5" x14ac:dyDescent="0.25">
      <c r="A1211" s="419" t="s">
        <v>1415</v>
      </c>
      <c r="B1211" s="421" t="s">
        <v>76</v>
      </c>
      <c r="C1211" s="419" t="s">
        <v>991</v>
      </c>
      <c r="D1211" s="419" t="s">
        <v>191</v>
      </c>
      <c r="E1211" s="603" t="s">
        <v>77</v>
      </c>
      <c r="F1211" s="603"/>
      <c r="G1211" s="420" t="s">
        <v>103</v>
      </c>
      <c r="H1211" s="421" t="s">
        <v>147</v>
      </c>
      <c r="I1211" s="421" t="s">
        <v>1731</v>
      </c>
      <c r="J1211" s="421" t="s">
        <v>1117</v>
      </c>
      <c r="K1211" s="421" t="s">
        <v>104</v>
      </c>
      <c r="L1211" s="70"/>
    </row>
    <row r="1212" spans="1:12" ht="25.5" x14ac:dyDescent="0.25">
      <c r="A1212" s="441" t="s">
        <v>79</v>
      </c>
      <c r="B1212" s="480" t="s">
        <v>1416</v>
      </c>
      <c r="C1212" s="441" t="s">
        <v>993</v>
      </c>
      <c r="D1212" s="441" t="s">
        <v>1417</v>
      </c>
      <c r="E1212" s="604">
        <v>850</v>
      </c>
      <c r="F1212" s="604"/>
      <c r="G1212" s="443" t="s">
        <v>1141</v>
      </c>
      <c r="H1212" s="500">
        <v>1</v>
      </c>
      <c r="I1212" s="442"/>
      <c r="J1212" s="442">
        <v>17.89</v>
      </c>
      <c r="K1212" s="442">
        <v>17.89</v>
      </c>
      <c r="L1212" s="70"/>
    </row>
    <row r="1213" spans="1:12" ht="25.5" x14ac:dyDescent="0.25">
      <c r="A1213" s="501" t="s">
        <v>1732</v>
      </c>
      <c r="B1213" s="502" t="s">
        <v>999</v>
      </c>
      <c r="C1213" s="501" t="s">
        <v>993</v>
      </c>
      <c r="D1213" s="501" t="s">
        <v>1000</v>
      </c>
      <c r="E1213" s="602" t="s">
        <v>972</v>
      </c>
      <c r="F1213" s="602"/>
      <c r="G1213" s="503" t="s">
        <v>81</v>
      </c>
      <c r="H1213" s="504">
        <v>0.2</v>
      </c>
      <c r="I1213" s="504"/>
      <c r="J1213" s="505">
        <v>16.04</v>
      </c>
      <c r="K1213" s="505">
        <v>3.2</v>
      </c>
      <c r="L1213" s="70"/>
    </row>
    <row r="1214" spans="1:12" ht="25.5" x14ac:dyDescent="0.25">
      <c r="A1214" s="501" t="s">
        <v>1732</v>
      </c>
      <c r="B1214" s="502" t="s">
        <v>1011</v>
      </c>
      <c r="C1214" s="501" t="s">
        <v>993</v>
      </c>
      <c r="D1214" s="501" t="s">
        <v>1012</v>
      </c>
      <c r="E1214" s="602" t="s">
        <v>972</v>
      </c>
      <c r="F1214" s="602"/>
      <c r="G1214" s="503" t="s">
        <v>81</v>
      </c>
      <c r="H1214" s="504">
        <v>0.2</v>
      </c>
      <c r="I1214" s="504"/>
      <c r="J1214" s="505">
        <v>23.41</v>
      </c>
      <c r="K1214" s="505">
        <v>4.68</v>
      </c>
      <c r="L1214" s="70"/>
    </row>
    <row r="1215" spans="1:12" ht="25.5" x14ac:dyDescent="0.25">
      <c r="A1215" s="501" t="s">
        <v>1732</v>
      </c>
      <c r="B1215" s="502" t="s">
        <v>2020</v>
      </c>
      <c r="C1215" s="501" t="s">
        <v>993</v>
      </c>
      <c r="D1215" s="501" t="s">
        <v>2021</v>
      </c>
      <c r="E1215" s="602" t="s">
        <v>1746</v>
      </c>
      <c r="F1215" s="602"/>
      <c r="G1215" s="503" t="s">
        <v>41</v>
      </c>
      <c r="H1215" s="504">
        <v>0.4</v>
      </c>
      <c r="I1215" s="504"/>
      <c r="J1215" s="505">
        <v>0.4</v>
      </c>
      <c r="K1215" s="505">
        <v>0.16</v>
      </c>
      <c r="L1215" s="70"/>
    </row>
    <row r="1216" spans="1:12" ht="25.5" x14ac:dyDescent="0.25">
      <c r="A1216" s="501" t="s">
        <v>1732</v>
      </c>
      <c r="B1216" s="502" t="s">
        <v>2317</v>
      </c>
      <c r="C1216" s="501" t="s">
        <v>993</v>
      </c>
      <c r="D1216" s="501" t="s">
        <v>2318</v>
      </c>
      <c r="E1216" s="602" t="s">
        <v>1746</v>
      </c>
      <c r="F1216" s="602"/>
      <c r="G1216" s="503" t="s">
        <v>49</v>
      </c>
      <c r="H1216" s="504">
        <v>1</v>
      </c>
      <c r="I1216" s="504"/>
      <c r="J1216" s="505">
        <v>9.85</v>
      </c>
      <c r="K1216" s="505">
        <v>9.85</v>
      </c>
      <c r="L1216" s="70"/>
    </row>
    <row r="1217" spans="1:12" ht="15.75" customHeight="1" x14ac:dyDescent="0.25">
      <c r="A1217" s="445"/>
      <c r="B1217" s="445"/>
      <c r="C1217" s="445"/>
      <c r="D1217" s="445"/>
      <c r="E1217" s="445" t="s">
        <v>1735</v>
      </c>
      <c r="F1217" s="506">
        <v>7.88</v>
      </c>
      <c r="G1217" s="445" t="s">
        <v>1736</v>
      </c>
      <c r="H1217" s="506">
        <v>0</v>
      </c>
      <c r="I1217" s="445" t="s">
        <v>1737</v>
      </c>
      <c r="J1217" s="506">
        <v>7.88</v>
      </c>
      <c r="K1217" s="70"/>
      <c r="L1217" s="70"/>
    </row>
    <row r="1218" spans="1:12" ht="17.25" thickBot="1" x14ac:dyDescent="0.3">
      <c r="A1218" s="445"/>
      <c r="B1218" s="445"/>
      <c r="C1218" s="445"/>
      <c r="D1218" s="445"/>
      <c r="E1218" s="445" t="s">
        <v>1738</v>
      </c>
      <c r="F1218" s="506">
        <v>4.4080959999999996</v>
      </c>
      <c r="G1218" s="445"/>
      <c r="H1218" s="606" t="s">
        <v>1739</v>
      </c>
      <c r="I1218" s="606"/>
      <c r="J1218" s="506">
        <v>22.29</v>
      </c>
      <c r="K1218" s="70"/>
      <c r="L1218" s="70"/>
    </row>
    <row r="1219" spans="1:12" ht="17.25" thickTop="1" x14ac:dyDescent="0.25">
      <c r="A1219" s="507"/>
      <c r="B1219" s="507"/>
      <c r="C1219" s="507"/>
      <c r="D1219" s="507"/>
      <c r="E1219" s="507"/>
      <c r="F1219" s="507"/>
      <c r="G1219" s="507"/>
      <c r="H1219" s="507"/>
      <c r="I1219" s="507"/>
      <c r="J1219" s="507"/>
      <c r="K1219" s="507"/>
      <c r="L1219" s="70"/>
    </row>
    <row r="1220" spans="1:12" ht="16.5" x14ac:dyDescent="0.25">
      <c r="A1220" s="419" t="s">
        <v>1418</v>
      </c>
      <c r="B1220" s="421" t="s">
        <v>76</v>
      </c>
      <c r="C1220" s="419" t="s">
        <v>991</v>
      </c>
      <c r="D1220" s="419" t="s">
        <v>191</v>
      </c>
      <c r="E1220" s="603" t="s">
        <v>77</v>
      </c>
      <c r="F1220" s="603"/>
      <c r="G1220" s="420" t="s">
        <v>103</v>
      </c>
      <c r="H1220" s="421" t="s">
        <v>147</v>
      </c>
      <c r="I1220" s="421" t="s">
        <v>1731</v>
      </c>
      <c r="J1220" s="421" t="s">
        <v>1117</v>
      </c>
      <c r="K1220" s="421" t="s">
        <v>104</v>
      </c>
      <c r="L1220" s="70"/>
    </row>
    <row r="1221" spans="1:12" ht="25.5" x14ac:dyDescent="0.25">
      <c r="A1221" s="441" t="s">
        <v>79</v>
      </c>
      <c r="B1221" s="480" t="s">
        <v>1419</v>
      </c>
      <c r="C1221" s="441" t="s">
        <v>993</v>
      </c>
      <c r="D1221" s="441" t="s">
        <v>1420</v>
      </c>
      <c r="E1221" s="604">
        <v>812</v>
      </c>
      <c r="F1221" s="604"/>
      <c r="G1221" s="443" t="s">
        <v>1141</v>
      </c>
      <c r="H1221" s="500">
        <v>1</v>
      </c>
      <c r="I1221" s="442"/>
      <c r="J1221" s="442">
        <v>9.39</v>
      </c>
      <c r="K1221" s="442">
        <v>9.39</v>
      </c>
      <c r="L1221" s="70"/>
    </row>
    <row r="1222" spans="1:12" ht="25.5" x14ac:dyDescent="0.25">
      <c r="A1222" s="501" t="s">
        <v>1732</v>
      </c>
      <c r="B1222" s="502" t="s">
        <v>999</v>
      </c>
      <c r="C1222" s="501" t="s">
        <v>993</v>
      </c>
      <c r="D1222" s="501" t="s">
        <v>1000</v>
      </c>
      <c r="E1222" s="602" t="s">
        <v>972</v>
      </c>
      <c r="F1222" s="602"/>
      <c r="G1222" s="503" t="s">
        <v>81</v>
      </c>
      <c r="H1222" s="504">
        <v>0.2</v>
      </c>
      <c r="I1222" s="504"/>
      <c r="J1222" s="505">
        <v>16.04</v>
      </c>
      <c r="K1222" s="505">
        <v>3.2</v>
      </c>
      <c r="L1222" s="70"/>
    </row>
    <row r="1223" spans="1:12" ht="25.5" x14ac:dyDescent="0.25">
      <c r="A1223" s="501" t="s">
        <v>1732</v>
      </c>
      <c r="B1223" s="502" t="s">
        <v>1011</v>
      </c>
      <c r="C1223" s="501" t="s">
        <v>993</v>
      </c>
      <c r="D1223" s="501" t="s">
        <v>1012</v>
      </c>
      <c r="E1223" s="602" t="s">
        <v>972</v>
      </c>
      <c r="F1223" s="602"/>
      <c r="G1223" s="503" t="s">
        <v>81</v>
      </c>
      <c r="H1223" s="504">
        <v>0.2</v>
      </c>
      <c r="I1223" s="504"/>
      <c r="J1223" s="505">
        <v>23.41</v>
      </c>
      <c r="K1223" s="505">
        <v>4.68</v>
      </c>
      <c r="L1223" s="70"/>
    </row>
    <row r="1224" spans="1:12" ht="25.5" x14ac:dyDescent="0.25">
      <c r="A1224" s="501" t="s">
        <v>1732</v>
      </c>
      <c r="B1224" s="502" t="s">
        <v>2319</v>
      </c>
      <c r="C1224" s="501" t="s">
        <v>993</v>
      </c>
      <c r="D1224" s="501" t="s">
        <v>1420</v>
      </c>
      <c r="E1224" s="602" t="s">
        <v>1746</v>
      </c>
      <c r="F1224" s="602"/>
      <c r="G1224" s="503" t="s">
        <v>49</v>
      </c>
      <c r="H1224" s="504">
        <v>1</v>
      </c>
      <c r="I1224" s="504"/>
      <c r="J1224" s="505">
        <v>1.51</v>
      </c>
      <c r="K1224" s="505">
        <v>1.51</v>
      </c>
      <c r="L1224" s="70"/>
    </row>
    <row r="1225" spans="1:12" ht="15.75" customHeight="1" x14ac:dyDescent="0.25">
      <c r="A1225" s="445"/>
      <c r="B1225" s="445"/>
      <c r="C1225" s="445"/>
      <c r="D1225" s="445"/>
      <c r="E1225" s="445" t="s">
        <v>1735</v>
      </c>
      <c r="F1225" s="506">
        <v>7.88</v>
      </c>
      <c r="G1225" s="445" t="s">
        <v>1736</v>
      </c>
      <c r="H1225" s="506">
        <v>0</v>
      </c>
      <c r="I1225" s="445" t="s">
        <v>1737</v>
      </c>
      <c r="J1225" s="506">
        <v>7.88</v>
      </c>
      <c r="K1225" s="70"/>
      <c r="L1225" s="70"/>
    </row>
    <row r="1226" spans="1:12" ht="17.25" thickBot="1" x14ac:dyDescent="0.3">
      <c r="A1226" s="445"/>
      <c r="B1226" s="445"/>
      <c r="C1226" s="445"/>
      <c r="D1226" s="445"/>
      <c r="E1226" s="445" t="s">
        <v>1738</v>
      </c>
      <c r="F1226" s="506">
        <v>2.3136960000000002</v>
      </c>
      <c r="G1226" s="445"/>
      <c r="H1226" s="606" t="s">
        <v>1739</v>
      </c>
      <c r="I1226" s="606"/>
      <c r="J1226" s="506">
        <v>11.7</v>
      </c>
      <c r="K1226" s="70"/>
      <c r="L1226" s="70"/>
    </row>
    <row r="1227" spans="1:12" ht="17.25" thickTop="1" x14ac:dyDescent="0.25">
      <c r="A1227" s="507"/>
      <c r="B1227" s="507"/>
      <c r="C1227" s="507"/>
      <c r="D1227" s="507"/>
      <c r="E1227" s="507"/>
      <c r="F1227" s="507"/>
      <c r="G1227" s="507"/>
      <c r="H1227" s="507"/>
      <c r="I1227" s="507"/>
      <c r="J1227" s="507"/>
      <c r="K1227" s="507"/>
      <c r="L1227" s="70"/>
    </row>
    <row r="1228" spans="1:12" ht="16.5" x14ac:dyDescent="0.25">
      <c r="A1228" s="419" t="s">
        <v>1421</v>
      </c>
      <c r="B1228" s="421" t="s">
        <v>76</v>
      </c>
      <c r="C1228" s="419" t="s">
        <v>991</v>
      </c>
      <c r="D1228" s="419" t="s">
        <v>191</v>
      </c>
      <c r="E1228" s="603" t="s">
        <v>77</v>
      </c>
      <c r="F1228" s="603"/>
      <c r="G1228" s="420" t="s">
        <v>103</v>
      </c>
      <c r="H1228" s="421" t="s">
        <v>147</v>
      </c>
      <c r="I1228" s="421" t="s">
        <v>1731</v>
      </c>
      <c r="J1228" s="421" t="s">
        <v>1117</v>
      </c>
      <c r="K1228" s="421" t="s">
        <v>104</v>
      </c>
      <c r="L1228" s="70"/>
    </row>
    <row r="1229" spans="1:12" ht="25.5" x14ac:dyDescent="0.25">
      <c r="A1229" s="441" t="s">
        <v>79</v>
      </c>
      <c r="B1229" s="480" t="s">
        <v>1422</v>
      </c>
      <c r="C1229" s="441" t="s">
        <v>993</v>
      </c>
      <c r="D1229" s="441" t="s">
        <v>409</v>
      </c>
      <c r="E1229" s="604">
        <v>711</v>
      </c>
      <c r="F1229" s="604"/>
      <c r="G1229" s="443" t="s">
        <v>1141</v>
      </c>
      <c r="H1229" s="500">
        <v>1</v>
      </c>
      <c r="I1229" s="442"/>
      <c r="J1229" s="442">
        <v>7.29</v>
      </c>
      <c r="K1229" s="442">
        <v>7.29</v>
      </c>
      <c r="L1229" s="70"/>
    </row>
    <row r="1230" spans="1:12" ht="25.5" x14ac:dyDescent="0.25">
      <c r="A1230" s="501" t="s">
        <v>1732</v>
      </c>
      <c r="B1230" s="502" t="s">
        <v>999</v>
      </c>
      <c r="C1230" s="501" t="s">
        <v>993</v>
      </c>
      <c r="D1230" s="501" t="s">
        <v>1000</v>
      </c>
      <c r="E1230" s="602" t="s">
        <v>972</v>
      </c>
      <c r="F1230" s="602"/>
      <c r="G1230" s="503" t="s">
        <v>81</v>
      </c>
      <c r="H1230" s="504">
        <v>0.1</v>
      </c>
      <c r="I1230" s="504"/>
      <c r="J1230" s="505">
        <v>16.04</v>
      </c>
      <c r="K1230" s="505">
        <v>1.6</v>
      </c>
      <c r="L1230" s="70"/>
    </row>
    <row r="1231" spans="1:12" ht="25.5" x14ac:dyDescent="0.25">
      <c r="A1231" s="501" t="s">
        <v>1732</v>
      </c>
      <c r="B1231" s="502" t="s">
        <v>1021</v>
      </c>
      <c r="C1231" s="501" t="s">
        <v>993</v>
      </c>
      <c r="D1231" s="501" t="s">
        <v>1022</v>
      </c>
      <c r="E1231" s="602" t="s">
        <v>972</v>
      </c>
      <c r="F1231" s="602"/>
      <c r="G1231" s="503" t="s">
        <v>81</v>
      </c>
      <c r="H1231" s="504">
        <v>0.1</v>
      </c>
      <c r="I1231" s="504"/>
      <c r="J1231" s="505">
        <v>23.41</v>
      </c>
      <c r="K1231" s="505">
        <v>2.34</v>
      </c>
      <c r="L1231" s="70"/>
    </row>
    <row r="1232" spans="1:12" ht="25.5" x14ac:dyDescent="0.25">
      <c r="A1232" s="501" t="s">
        <v>1732</v>
      </c>
      <c r="B1232" s="502" t="s">
        <v>2320</v>
      </c>
      <c r="C1232" s="501" t="s">
        <v>993</v>
      </c>
      <c r="D1232" s="501" t="s">
        <v>409</v>
      </c>
      <c r="E1232" s="602" t="s">
        <v>1746</v>
      </c>
      <c r="F1232" s="602"/>
      <c r="G1232" s="503" t="s">
        <v>49</v>
      </c>
      <c r="H1232" s="504">
        <v>1</v>
      </c>
      <c r="I1232" s="504"/>
      <c r="J1232" s="505">
        <v>3.35</v>
      </c>
      <c r="K1232" s="505">
        <v>3.35</v>
      </c>
      <c r="L1232" s="70"/>
    </row>
    <row r="1233" spans="1:12" ht="15.75" customHeight="1" x14ac:dyDescent="0.25">
      <c r="A1233" s="445"/>
      <c r="B1233" s="445"/>
      <c r="C1233" s="445"/>
      <c r="D1233" s="445"/>
      <c r="E1233" s="445" t="s">
        <v>1735</v>
      </c>
      <c r="F1233" s="506">
        <v>3.94</v>
      </c>
      <c r="G1233" s="445" t="s">
        <v>1736</v>
      </c>
      <c r="H1233" s="506">
        <v>0</v>
      </c>
      <c r="I1233" s="445" t="s">
        <v>1737</v>
      </c>
      <c r="J1233" s="506">
        <v>3.94</v>
      </c>
      <c r="K1233" s="70"/>
      <c r="L1233" s="70"/>
    </row>
    <row r="1234" spans="1:12" ht="17.25" thickBot="1" x14ac:dyDescent="0.3">
      <c r="A1234" s="445"/>
      <c r="B1234" s="445"/>
      <c r="C1234" s="445"/>
      <c r="D1234" s="445"/>
      <c r="E1234" s="445" t="s">
        <v>1738</v>
      </c>
      <c r="F1234" s="506">
        <v>1.7962560000000001</v>
      </c>
      <c r="G1234" s="445"/>
      <c r="H1234" s="606" t="s">
        <v>1739</v>
      </c>
      <c r="I1234" s="606"/>
      <c r="J1234" s="506">
        <v>9.08</v>
      </c>
      <c r="K1234" s="70"/>
      <c r="L1234" s="70"/>
    </row>
    <row r="1235" spans="1:12" ht="17.25" thickTop="1" x14ac:dyDescent="0.25">
      <c r="A1235" s="507"/>
      <c r="B1235" s="507"/>
      <c r="C1235" s="507"/>
      <c r="D1235" s="507"/>
      <c r="E1235" s="507"/>
      <c r="F1235" s="507"/>
      <c r="G1235" s="507"/>
      <c r="H1235" s="507"/>
      <c r="I1235" s="507"/>
      <c r="J1235" s="507"/>
      <c r="K1235" s="507"/>
      <c r="L1235" s="70"/>
    </row>
    <row r="1236" spans="1:12" ht="51" customHeight="1" x14ac:dyDescent="0.25">
      <c r="A1236" s="419" t="s">
        <v>1423</v>
      </c>
      <c r="B1236" s="421" t="s">
        <v>76</v>
      </c>
      <c r="C1236" s="419" t="s">
        <v>991</v>
      </c>
      <c r="D1236" s="419" t="s">
        <v>191</v>
      </c>
      <c r="E1236" s="603" t="s">
        <v>77</v>
      </c>
      <c r="F1236" s="603"/>
      <c r="G1236" s="420" t="s">
        <v>103</v>
      </c>
      <c r="H1236" s="421" t="s">
        <v>147</v>
      </c>
      <c r="I1236" s="421" t="s">
        <v>1731</v>
      </c>
      <c r="J1236" s="421" t="s">
        <v>1117</v>
      </c>
      <c r="K1236" s="421" t="s">
        <v>104</v>
      </c>
      <c r="L1236" s="70"/>
    </row>
    <row r="1237" spans="1:12" ht="38.25" customHeight="1" x14ac:dyDescent="0.25">
      <c r="A1237" s="441" t="s">
        <v>79</v>
      </c>
      <c r="B1237" s="480" t="s">
        <v>1424</v>
      </c>
      <c r="C1237" s="441" t="s">
        <v>1168</v>
      </c>
      <c r="D1237" s="441" t="s">
        <v>414</v>
      </c>
      <c r="E1237" s="604" t="s">
        <v>2299</v>
      </c>
      <c r="F1237" s="604"/>
      <c r="G1237" s="443" t="s">
        <v>38</v>
      </c>
      <c r="H1237" s="500">
        <v>1</v>
      </c>
      <c r="I1237" s="442"/>
      <c r="J1237" s="442">
        <v>156.91999999999999</v>
      </c>
      <c r="K1237" s="442">
        <v>156.91999999999999</v>
      </c>
      <c r="L1237" s="70"/>
    </row>
    <row r="1238" spans="1:12" ht="25.5" x14ac:dyDescent="0.25">
      <c r="A1238" s="510" t="s">
        <v>2123</v>
      </c>
      <c r="B1238" s="511" t="s">
        <v>2321</v>
      </c>
      <c r="C1238" s="510" t="s">
        <v>993</v>
      </c>
      <c r="D1238" s="510" t="s">
        <v>2322</v>
      </c>
      <c r="E1238" s="605">
        <v>726</v>
      </c>
      <c r="F1238" s="605"/>
      <c r="G1238" s="512" t="s">
        <v>130</v>
      </c>
      <c r="H1238" s="513">
        <v>0.35</v>
      </c>
      <c r="I1238" s="513"/>
      <c r="J1238" s="514">
        <v>22.69</v>
      </c>
      <c r="K1238" s="514">
        <v>7.94</v>
      </c>
      <c r="L1238" s="70"/>
    </row>
    <row r="1239" spans="1:12" ht="25.5" x14ac:dyDescent="0.25">
      <c r="A1239" s="510" t="s">
        <v>2123</v>
      </c>
      <c r="B1239" s="511" t="s">
        <v>2323</v>
      </c>
      <c r="C1239" s="510" t="s">
        <v>993</v>
      </c>
      <c r="D1239" s="510" t="s">
        <v>2324</v>
      </c>
      <c r="E1239" s="605">
        <v>702</v>
      </c>
      <c r="F1239" s="605"/>
      <c r="G1239" s="512" t="s">
        <v>41</v>
      </c>
      <c r="H1239" s="513">
        <v>0.35</v>
      </c>
      <c r="I1239" s="513"/>
      <c r="J1239" s="514">
        <v>103.4</v>
      </c>
      <c r="K1239" s="514">
        <v>36.19</v>
      </c>
      <c r="L1239" s="70"/>
    </row>
    <row r="1240" spans="1:12" ht="25.5" x14ac:dyDescent="0.25">
      <c r="A1240" s="501" t="s">
        <v>1732</v>
      </c>
      <c r="B1240" s="502" t="s">
        <v>2325</v>
      </c>
      <c r="C1240" s="501" t="s">
        <v>1115</v>
      </c>
      <c r="D1240" s="501" t="s">
        <v>2326</v>
      </c>
      <c r="E1240" s="602" t="s">
        <v>1746</v>
      </c>
      <c r="F1240" s="602"/>
      <c r="G1240" s="503" t="s">
        <v>38</v>
      </c>
      <c r="H1240" s="504">
        <v>1</v>
      </c>
      <c r="I1240" s="504">
        <v>0</v>
      </c>
      <c r="J1240" s="505">
        <v>52.7</v>
      </c>
      <c r="K1240" s="505">
        <v>52.7</v>
      </c>
      <c r="L1240" s="70"/>
    </row>
    <row r="1241" spans="1:12" ht="25.5" x14ac:dyDescent="0.25">
      <c r="A1241" s="501" t="s">
        <v>1732</v>
      </c>
      <c r="B1241" s="502" t="s">
        <v>1021</v>
      </c>
      <c r="C1241" s="501" t="s">
        <v>993</v>
      </c>
      <c r="D1241" s="501" t="s">
        <v>1022</v>
      </c>
      <c r="E1241" s="602" t="s">
        <v>972</v>
      </c>
      <c r="F1241" s="602"/>
      <c r="G1241" s="503" t="s">
        <v>81</v>
      </c>
      <c r="H1241" s="504">
        <v>1.5233000000000001</v>
      </c>
      <c r="I1241" s="504">
        <v>0</v>
      </c>
      <c r="J1241" s="505">
        <v>23.41</v>
      </c>
      <c r="K1241" s="505">
        <v>35.659999999999997</v>
      </c>
      <c r="L1241" s="70"/>
    </row>
    <row r="1242" spans="1:12" ht="25.5" x14ac:dyDescent="0.25">
      <c r="A1242" s="501" t="s">
        <v>1732</v>
      </c>
      <c r="B1242" s="502" t="s">
        <v>999</v>
      </c>
      <c r="C1242" s="501" t="s">
        <v>993</v>
      </c>
      <c r="D1242" s="501" t="s">
        <v>1000</v>
      </c>
      <c r="E1242" s="602" t="s">
        <v>972</v>
      </c>
      <c r="F1242" s="602"/>
      <c r="G1242" s="503" t="s">
        <v>81</v>
      </c>
      <c r="H1242" s="504">
        <v>1.5233000000000001</v>
      </c>
      <c r="I1242" s="504">
        <v>0</v>
      </c>
      <c r="J1242" s="505">
        <v>16.04</v>
      </c>
      <c r="K1242" s="505">
        <v>24.43</v>
      </c>
      <c r="L1242" s="70"/>
    </row>
    <row r="1243" spans="1:12" ht="15.75" customHeight="1" x14ac:dyDescent="0.25">
      <c r="A1243" s="445"/>
      <c r="B1243" s="445"/>
      <c r="C1243" s="445"/>
      <c r="D1243" s="445"/>
      <c r="E1243" s="445" t="s">
        <v>1735</v>
      </c>
      <c r="F1243" s="506">
        <v>73.47</v>
      </c>
      <c r="G1243" s="445" t="s">
        <v>1736</v>
      </c>
      <c r="H1243" s="506">
        <v>0</v>
      </c>
      <c r="I1243" s="445" t="s">
        <v>1737</v>
      </c>
      <c r="J1243" s="506">
        <v>73.47</v>
      </c>
      <c r="K1243" s="70"/>
      <c r="L1243" s="70"/>
    </row>
    <row r="1244" spans="1:12" ht="17.25" thickBot="1" x14ac:dyDescent="0.3">
      <c r="A1244" s="445"/>
      <c r="B1244" s="445"/>
      <c r="C1244" s="445"/>
      <c r="D1244" s="445"/>
      <c r="E1244" s="445" t="s">
        <v>1738</v>
      </c>
      <c r="F1244" s="506">
        <v>38.665087999999997</v>
      </c>
      <c r="G1244" s="445"/>
      <c r="H1244" s="606" t="s">
        <v>1739</v>
      </c>
      <c r="I1244" s="606"/>
      <c r="J1244" s="506">
        <v>195.58</v>
      </c>
      <c r="K1244" s="70"/>
      <c r="L1244" s="70"/>
    </row>
    <row r="1245" spans="1:12" ht="17.25" thickTop="1" x14ac:dyDescent="0.25">
      <c r="A1245" s="507"/>
      <c r="B1245" s="507"/>
      <c r="C1245" s="507"/>
      <c r="D1245" s="507"/>
      <c r="E1245" s="507"/>
      <c r="F1245" s="507"/>
      <c r="G1245" s="507"/>
      <c r="H1245" s="507"/>
      <c r="I1245" s="507"/>
      <c r="J1245" s="507"/>
      <c r="K1245" s="507"/>
      <c r="L1245" s="70"/>
    </row>
    <row r="1246" spans="1:12" ht="16.5" x14ac:dyDescent="0.25">
      <c r="A1246" s="419" t="s">
        <v>1425</v>
      </c>
      <c r="B1246" s="421" t="s">
        <v>76</v>
      </c>
      <c r="C1246" s="419" t="s">
        <v>991</v>
      </c>
      <c r="D1246" s="419" t="s">
        <v>191</v>
      </c>
      <c r="E1246" s="603" t="s">
        <v>77</v>
      </c>
      <c r="F1246" s="603"/>
      <c r="G1246" s="420" t="s">
        <v>103</v>
      </c>
      <c r="H1246" s="421" t="s">
        <v>147</v>
      </c>
      <c r="I1246" s="421" t="s">
        <v>1731</v>
      </c>
      <c r="J1246" s="421" t="s">
        <v>1117</v>
      </c>
      <c r="K1246" s="421" t="s">
        <v>104</v>
      </c>
      <c r="L1246" s="70"/>
    </row>
    <row r="1247" spans="1:12" ht="25.5" x14ac:dyDescent="0.25">
      <c r="A1247" s="441" t="s">
        <v>79</v>
      </c>
      <c r="B1247" s="480" t="s">
        <v>1426</v>
      </c>
      <c r="C1247" s="441" t="s">
        <v>993</v>
      </c>
      <c r="D1247" s="441" t="s">
        <v>1427</v>
      </c>
      <c r="E1247" s="604">
        <v>711</v>
      </c>
      <c r="F1247" s="604"/>
      <c r="G1247" s="443" t="s">
        <v>1141</v>
      </c>
      <c r="H1247" s="500">
        <v>1</v>
      </c>
      <c r="I1247" s="442"/>
      <c r="J1247" s="442">
        <v>23.31</v>
      </c>
      <c r="K1247" s="442">
        <v>23.31</v>
      </c>
      <c r="L1247" s="70"/>
    </row>
    <row r="1248" spans="1:12" ht="25.5" x14ac:dyDescent="0.25">
      <c r="A1248" s="501" t="s">
        <v>1732</v>
      </c>
      <c r="B1248" s="502" t="s">
        <v>999</v>
      </c>
      <c r="C1248" s="501" t="s">
        <v>993</v>
      </c>
      <c r="D1248" s="501" t="s">
        <v>1000</v>
      </c>
      <c r="E1248" s="602" t="s">
        <v>972</v>
      </c>
      <c r="F1248" s="602"/>
      <c r="G1248" s="503" t="s">
        <v>81</v>
      </c>
      <c r="H1248" s="504">
        <v>0.3</v>
      </c>
      <c r="I1248" s="504"/>
      <c r="J1248" s="505">
        <v>16.04</v>
      </c>
      <c r="K1248" s="505">
        <v>4.8099999999999996</v>
      </c>
      <c r="L1248" s="70"/>
    </row>
    <row r="1249" spans="1:12" ht="25.5" x14ac:dyDescent="0.25">
      <c r="A1249" s="501" t="s">
        <v>1732</v>
      </c>
      <c r="B1249" s="502" t="s">
        <v>1021</v>
      </c>
      <c r="C1249" s="501" t="s">
        <v>993</v>
      </c>
      <c r="D1249" s="501" t="s">
        <v>1022</v>
      </c>
      <c r="E1249" s="602" t="s">
        <v>972</v>
      </c>
      <c r="F1249" s="602"/>
      <c r="G1249" s="503" t="s">
        <v>81</v>
      </c>
      <c r="H1249" s="504">
        <v>0.3</v>
      </c>
      <c r="I1249" s="504"/>
      <c r="J1249" s="505">
        <v>23.41</v>
      </c>
      <c r="K1249" s="505">
        <v>7.02</v>
      </c>
      <c r="L1249" s="70"/>
    </row>
    <row r="1250" spans="1:12" ht="25.5" x14ac:dyDescent="0.25">
      <c r="A1250" s="501" t="s">
        <v>1732</v>
      </c>
      <c r="B1250" s="502" t="s">
        <v>1839</v>
      </c>
      <c r="C1250" s="501" t="s">
        <v>993</v>
      </c>
      <c r="D1250" s="501" t="s">
        <v>1427</v>
      </c>
      <c r="E1250" s="602" t="s">
        <v>1746</v>
      </c>
      <c r="F1250" s="602"/>
      <c r="G1250" s="503" t="s">
        <v>49</v>
      </c>
      <c r="H1250" s="504">
        <v>1</v>
      </c>
      <c r="I1250" s="504"/>
      <c r="J1250" s="505">
        <v>11.48</v>
      </c>
      <c r="K1250" s="505">
        <v>11.48</v>
      </c>
      <c r="L1250" s="70"/>
    </row>
    <row r="1251" spans="1:12" ht="15.75" customHeight="1" x14ac:dyDescent="0.25">
      <c r="A1251" s="445"/>
      <c r="B1251" s="445"/>
      <c r="C1251" s="445"/>
      <c r="D1251" s="445"/>
      <c r="E1251" s="445" t="s">
        <v>1735</v>
      </c>
      <c r="F1251" s="506">
        <v>11.83</v>
      </c>
      <c r="G1251" s="445" t="s">
        <v>1736</v>
      </c>
      <c r="H1251" s="506">
        <v>0</v>
      </c>
      <c r="I1251" s="445" t="s">
        <v>1737</v>
      </c>
      <c r="J1251" s="506">
        <v>11.83</v>
      </c>
      <c r="K1251" s="70"/>
      <c r="L1251" s="70"/>
    </row>
    <row r="1252" spans="1:12" ht="17.25" thickBot="1" x14ac:dyDescent="0.3">
      <c r="A1252" s="445"/>
      <c r="B1252" s="445"/>
      <c r="C1252" s="445"/>
      <c r="D1252" s="445"/>
      <c r="E1252" s="445" t="s">
        <v>1738</v>
      </c>
      <c r="F1252" s="506">
        <v>5.7435840000000002</v>
      </c>
      <c r="G1252" s="445"/>
      <c r="H1252" s="606" t="s">
        <v>1739</v>
      </c>
      <c r="I1252" s="606"/>
      <c r="J1252" s="506">
        <v>29.05</v>
      </c>
      <c r="K1252" s="70"/>
      <c r="L1252" s="70"/>
    </row>
    <row r="1253" spans="1:12" ht="17.25" thickTop="1" x14ac:dyDescent="0.25">
      <c r="A1253" s="507"/>
      <c r="B1253" s="507"/>
      <c r="C1253" s="507"/>
      <c r="D1253" s="507"/>
      <c r="E1253" s="507"/>
      <c r="F1253" s="507"/>
      <c r="G1253" s="507"/>
      <c r="H1253" s="507"/>
      <c r="I1253" s="507"/>
      <c r="J1253" s="507"/>
      <c r="K1253" s="507"/>
      <c r="L1253" s="70"/>
    </row>
    <row r="1254" spans="1:12" ht="16.5" x14ac:dyDescent="0.25">
      <c r="A1254" s="419" t="s">
        <v>1428</v>
      </c>
      <c r="B1254" s="421" t="s">
        <v>76</v>
      </c>
      <c r="C1254" s="419" t="s">
        <v>991</v>
      </c>
      <c r="D1254" s="419" t="s">
        <v>191</v>
      </c>
      <c r="E1254" s="603" t="s">
        <v>77</v>
      </c>
      <c r="F1254" s="603"/>
      <c r="G1254" s="420" t="s">
        <v>103</v>
      </c>
      <c r="H1254" s="421" t="s">
        <v>147</v>
      </c>
      <c r="I1254" s="421" t="s">
        <v>1731</v>
      </c>
      <c r="J1254" s="421" t="s">
        <v>1117</v>
      </c>
      <c r="K1254" s="421" t="s">
        <v>104</v>
      </c>
      <c r="L1254" s="70"/>
    </row>
    <row r="1255" spans="1:12" ht="25.5" x14ac:dyDescent="0.25">
      <c r="A1255" s="441" t="s">
        <v>79</v>
      </c>
      <c r="B1255" s="480" t="s">
        <v>1429</v>
      </c>
      <c r="C1255" s="441" t="s">
        <v>993</v>
      </c>
      <c r="D1255" s="441" t="s">
        <v>1430</v>
      </c>
      <c r="E1255" s="604">
        <v>711</v>
      </c>
      <c r="F1255" s="604"/>
      <c r="G1255" s="443" t="s">
        <v>1141</v>
      </c>
      <c r="H1255" s="500">
        <v>1</v>
      </c>
      <c r="I1255" s="442"/>
      <c r="J1255" s="442">
        <v>26.63</v>
      </c>
      <c r="K1255" s="442">
        <v>26.63</v>
      </c>
      <c r="L1255" s="70"/>
    </row>
    <row r="1256" spans="1:12" ht="25.5" x14ac:dyDescent="0.25">
      <c r="A1256" s="501" t="s">
        <v>1732</v>
      </c>
      <c r="B1256" s="502" t="s">
        <v>999</v>
      </c>
      <c r="C1256" s="501" t="s">
        <v>993</v>
      </c>
      <c r="D1256" s="501" t="s">
        <v>1000</v>
      </c>
      <c r="E1256" s="602" t="s">
        <v>972</v>
      </c>
      <c r="F1256" s="602"/>
      <c r="G1256" s="503" t="s">
        <v>81</v>
      </c>
      <c r="H1256" s="504">
        <v>0.3</v>
      </c>
      <c r="I1256" s="504"/>
      <c r="J1256" s="505">
        <v>16.04</v>
      </c>
      <c r="K1256" s="505">
        <v>4.8099999999999996</v>
      </c>
      <c r="L1256" s="70"/>
    </row>
    <row r="1257" spans="1:12" ht="25.5" x14ac:dyDescent="0.25">
      <c r="A1257" s="501" t="s">
        <v>1732</v>
      </c>
      <c r="B1257" s="502" t="s">
        <v>1021</v>
      </c>
      <c r="C1257" s="501" t="s">
        <v>993</v>
      </c>
      <c r="D1257" s="501" t="s">
        <v>1022</v>
      </c>
      <c r="E1257" s="602" t="s">
        <v>972</v>
      </c>
      <c r="F1257" s="602"/>
      <c r="G1257" s="503" t="s">
        <v>81</v>
      </c>
      <c r="H1257" s="504">
        <v>0.3</v>
      </c>
      <c r="I1257" s="504"/>
      <c r="J1257" s="505">
        <v>23.41</v>
      </c>
      <c r="K1257" s="505">
        <v>7.02</v>
      </c>
      <c r="L1257" s="70"/>
    </row>
    <row r="1258" spans="1:12" ht="25.5" x14ac:dyDescent="0.25">
      <c r="A1258" s="501" t="s">
        <v>1732</v>
      </c>
      <c r="B1258" s="502" t="s">
        <v>2327</v>
      </c>
      <c r="C1258" s="501" t="s">
        <v>993</v>
      </c>
      <c r="D1258" s="501" t="s">
        <v>1430</v>
      </c>
      <c r="E1258" s="602" t="s">
        <v>1746</v>
      </c>
      <c r="F1258" s="602"/>
      <c r="G1258" s="503" t="s">
        <v>49</v>
      </c>
      <c r="H1258" s="504">
        <v>1</v>
      </c>
      <c r="I1258" s="504"/>
      <c r="J1258" s="505">
        <v>14.8</v>
      </c>
      <c r="K1258" s="505">
        <v>14.8</v>
      </c>
      <c r="L1258" s="70"/>
    </row>
    <row r="1259" spans="1:12" ht="15.75" customHeight="1" x14ac:dyDescent="0.25">
      <c r="A1259" s="445"/>
      <c r="B1259" s="445"/>
      <c r="C1259" s="445"/>
      <c r="D1259" s="445"/>
      <c r="E1259" s="445" t="s">
        <v>1735</v>
      </c>
      <c r="F1259" s="506">
        <v>11.83</v>
      </c>
      <c r="G1259" s="445" t="s">
        <v>1736</v>
      </c>
      <c r="H1259" s="506">
        <v>0</v>
      </c>
      <c r="I1259" s="445" t="s">
        <v>1737</v>
      </c>
      <c r="J1259" s="506">
        <v>11.83</v>
      </c>
      <c r="K1259" s="70"/>
      <c r="L1259" s="70"/>
    </row>
    <row r="1260" spans="1:12" ht="17.25" thickBot="1" x14ac:dyDescent="0.3">
      <c r="A1260" s="445"/>
      <c r="B1260" s="445"/>
      <c r="C1260" s="445"/>
      <c r="D1260" s="445"/>
      <c r="E1260" s="445" t="s">
        <v>1738</v>
      </c>
      <c r="F1260" s="506">
        <v>6.5616320000000004</v>
      </c>
      <c r="G1260" s="445"/>
      <c r="H1260" s="606" t="s">
        <v>1739</v>
      </c>
      <c r="I1260" s="606"/>
      <c r="J1260" s="506">
        <v>33.19</v>
      </c>
      <c r="K1260" s="70"/>
      <c r="L1260" s="70"/>
    </row>
    <row r="1261" spans="1:12" ht="17.25" thickTop="1" x14ac:dyDescent="0.25">
      <c r="A1261" s="507"/>
      <c r="B1261" s="507"/>
      <c r="C1261" s="507"/>
      <c r="D1261" s="507"/>
      <c r="E1261" s="507"/>
      <c r="F1261" s="507"/>
      <c r="G1261" s="507"/>
      <c r="H1261" s="507"/>
      <c r="I1261" s="507"/>
      <c r="J1261" s="507"/>
      <c r="K1261" s="507"/>
      <c r="L1261" s="70"/>
    </row>
    <row r="1262" spans="1:12" ht="16.5" x14ac:dyDescent="0.25">
      <c r="A1262" s="419" t="s">
        <v>1431</v>
      </c>
      <c r="B1262" s="421" t="s">
        <v>76</v>
      </c>
      <c r="C1262" s="419" t="s">
        <v>991</v>
      </c>
      <c r="D1262" s="419" t="s">
        <v>191</v>
      </c>
      <c r="E1262" s="603" t="s">
        <v>77</v>
      </c>
      <c r="F1262" s="603"/>
      <c r="G1262" s="420" t="s">
        <v>103</v>
      </c>
      <c r="H1262" s="421" t="s">
        <v>147</v>
      </c>
      <c r="I1262" s="421" t="s">
        <v>1731</v>
      </c>
      <c r="J1262" s="421" t="s">
        <v>1117</v>
      </c>
      <c r="K1262" s="421" t="s">
        <v>104</v>
      </c>
      <c r="L1262" s="70"/>
    </row>
    <row r="1263" spans="1:12" ht="25.5" x14ac:dyDescent="0.25">
      <c r="A1263" s="441" t="s">
        <v>79</v>
      </c>
      <c r="B1263" s="480" t="s">
        <v>1432</v>
      </c>
      <c r="C1263" s="441" t="s">
        <v>993</v>
      </c>
      <c r="D1263" s="441" t="s">
        <v>1433</v>
      </c>
      <c r="E1263" s="604">
        <v>711</v>
      </c>
      <c r="F1263" s="604"/>
      <c r="G1263" s="443" t="s">
        <v>1141</v>
      </c>
      <c r="H1263" s="500">
        <v>1</v>
      </c>
      <c r="I1263" s="442"/>
      <c r="J1263" s="442">
        <v>105.16</v>
      </c>
      <c r="K1263" s="442">
        <v>105.16</v>
      </c>
      <c r="L1263" s="70"/>
    </row>
    <row r="1264" spans="1:12" ht="25.5" x14ac:dyDescent="0.25">
      <c r="A1264" s="501" t="s">
        <v>1732</v>
      </c>
      <c r="B1264" s="502" t="s">
        <v>999</v>
      </c>
      <c r="C1264" s="501" t="s">
        <v>993</v>
      </c>
      <c r="D1264" s="501" t="s">
        <v>1000</v>
      </c>
      <c r="E1264" s="602" t="s">
        <v>972</v>
      </c>
      <c r="F1264" s="602"/>
      <c r="G1264" s="503" t="s">
        <v>81</v>
      </c>
      <c r="H1264" s="504">
        <v>1</v>
      </c>
      <c r="I1264" s="504"/>
      <c r="J1264" s="505">
        <v>16.04</v>
      </c>
      <c r="K1264" s="505">
        <v>16.04</v>
      </c>
      <c r="L1264" s="70"/>
    </row>
    <row r="1265" spans="1:12" ht="25.5" x14ac:dyDescent="0.25">
      <c r="A1265" s="501" t="s">
        <v>1732</v>
      </c>
      <c r="B1265" s="502" t="s">
        <v>1021</v>
      </c>
      <c r="C1265" s="501" t="s">
        <v>993</v>
      </c>
      <c r="D1265" s="501" t="s">
        <v>1022</v>
      </c>
      <c r="E1265" s="602" t="s">
        <v>972</v>
      </c>
      <c r="F1265" s="602"/>
      <c r="G1265" s="503" t="s">
        <v>81</v>
      </c>
      <c r="H1265" s="504">
        <v>1</v>
      </c>
      <c r="I1265" s="504"/>
      <c r="J1265" s="505">
        <v>23.41</v>
      </c>
      <c r="K1265" s="505">
        <v>23.41</v>
      </c>
      <c r="L1265" s="70"/>
    </row>
    <row r="1266" spans="1:12" ht="25.5" x14ac:dyDescent="0.25">
      <c r="A1266" s="501" t="s">
        <v>1732</v>
      </c>
      <c r="B1266" s="502" t="s">
        <v>2082</v>
      </c>
      <c r="C1266" s="501" t="s">
        <v>993</v>
      </c>
      <c r="D1266" s="501" t="s">
        <v>2083</v>
      </c>
      <c r="E1266" s="602" t="s">
        <v>1746</v>
      </c>
      <c r="F1266" s="602"/>
      <c r="G1266" s="503" t="s">
        <v>49</v>
      </c>
      <c r="H1266" s="504">
        <v>1</v>
      </c>
      <c r="I1266" s="504"/>
      <c r="J1266" s="505">
        <v>65.709999999999994</v>
      </c>
      <c r="K1266" s="505">
        <v>65.709999999999994</v>
      </c>
      <c r="L1266" s="70"/>
    </row>
    <row r="1267" spans="1:12" ht="15.75" customHeight="1" x14ac:dyDescent="0.25">
      <c r="A1267" s="445"/>
      <c r="B1267" s="445"/>
      <c r="C1267" s="445"/>
      <c r="D1267" s="445"/>
      <c r="E1267" s="445" t="s">
        <v>1735</v>
      </c>
      <c r="F1267" s="506">
        <v>39.450000000000003</v>
      </c>
      <c r="G1267" s="445" t="s">
        <v>1736</v>
      </c>
      <c r="H1267" s="506">
        <v>0</v>
      </c>
      <c r="I1267" s="445" t="s">
        <v>1737</v>
      </c>
      <c r="J1267" s="506">
        <v>39.450000000000003</v>
      </c>
      <c r="K1267" s="70"/>
      <c r="L1267" s="70"/>
    </row>
    <row r="1268" spans="1:12" ht="17.25" thickBot="1" x14ac:dyDescent="0.3">
      <c r="A1268" s="445"/>
      <c r="B1268" s="445"/>
      <c r="C1268" s="445"/>
      <c r="D1268" s="445"/>
      <c r="E1268" s="445" t="s">
        <v>1738</v>
      </c>
      <c r="F1268" s="506">
        <v>25.911424</v>
      </c>
      <c r="G1268" s="445"/>
      <c r="H1268" s="606" t="s">
        <v>1739</v>
      </c>
      <c r="I1268" s="606"/>
      <c r="J1268" s="506">
        <v>131.07</v>
      </c>
      <c r="K1268" s="70"/>
      <c r="L1268" s="70"/>
    </row>
    <row r="1269" spans="1:12" ht="17.25" thickTop="1" x14ac:dyDescent="0.25">
      <c r="A1269" s="507"/>
      <c r="B1269" s="507"/>
      <c r="C1269" s="507"/>
      <c r="D1269" s="507"/>
      <c r="E1269" s="507"/>
      <c r="F1269" s="507"/>
      <c r="G1269" s="507"/>
      <c r="H1269" s="507"/>
      <c r="I1269" s="507"/>
      <c r="J1269" s="507"/>
      <c r="K1269" s="507"/>
      <c r="L1269" s="70"/>
    </row>
    <row r="1270" spans="1:12" ht="16.5" x14ac:dyDescent="0.25">
      <c r="A1270" s="419" t="s">
        <v>1434</v>
      </c>
      <c r="B1270" s="421" t="s">
        <v>76</v>
      </c>
      <c r="C1270" s="419" t="s">
        <v>991</v>
      </c>
      <c r="D1270" s="419" t="s">
        <v>191</v>
      </c>
      <c r="E1270" s="603" t="s">
        <v>77</v>
      </c>
      <c r="F1270" s="603"/>
      <c r="G1270" s="420" t="s">
        <v>103</v>
      </c>
      <c r="H1270" s="421" t="s">
        <v>147</v>
      </c>
      <c r="I1270" s="421" t="s">
        <v>1731</v>
      </c>
      <c r="J1270" s="421" t="s">
        <v>1117</v>
      </c>
      <c r="K1270" s="421" t="s">
        <v>104</v>
      </c>
      <c r="L1270" s="70"/>
    </row>
    <row r="1271" spans="1:12" ht="25.5" x14ac:dyDescent="0.25">
      <c r="A1271" s="441" t="s">
        <v>79</v>
      </c>
      <c r="B1271" s="480" t="s">
        <v>1435</v>
      </c>
      <c r="C1271" s="441" t="s">
        <v>993</v>
      </c>
      <c r="D1271" s="441" t="s">
        <v>1436</v>
      </c>
      <c r="E1271" s="604">
        <v>716</v>
      </c>
      <c r="F1271" s="604"/>
      <c r="G1271" s="443" t="s">
        <v>1141</v>
      </c>
      <c r="H1271" s="500">
        <v>1</v>
      </c>
      <c r="I1271" s="442"/>
      <c r="J1271" s="442">
        <v>105.52</v>
      </c>
      <c r="K1271" s="442">
        <v>105.52</v>
      </c>
      <c r="L1271" s="70"/>
    </row>
    <row r="1272" spans="1:12" ht="25.5" x14ac:dyDescent="0.25">
      <c r="A1272" s="501" t="s">
        <v>1732</v>
      </c>
      <c r="B1272" s="502" t="s">
        <v>999</v>
      </c>
      <c r="C1272" s="501" t="s">
        <v>993</v>
      </c>
      <c r="D1272" s="501" t="s">
        <v>1000</v>
      </c>
      <c r="E1272" s="602" t="s">
        <v>972</v>
      </c>
      <c r="F1272" s="602"/>
      <c r="G1272" s="503" t="s">
        <v>81</v>
      </c>
      <c r="H1272" s="504">
        <v>0.3226</v>
      </c>
      <c r="I1272" s="504"/>
      <c r="J1272" s="505">
        <v>16.04</v>
      </c>
      <c r="K1272" s="505">
        <v>5.17</v>
      </c>
      <c r="L1272" s="70"/>
    </row>
    <row r="1273" spans="1:12" ht="25.5" x14ac:dyDescent="0.25">
      <c r="A1273" s="501" t="s">
        <v>1732</v>
      </c>
      <c r="B1273" s="502" t="s">
        <v>1021</v>
      </c>
      <c r="C1273" s="501" t="s">
        <v>993</v>
      </c>
      <c r="D1273" s="501" t="s">
        <v>1022</v>
      </c>
      <c r="E1273" s="602" t="s">
        <v>972</v>
      </c>
      <c r="F1273" s="602"/>
      <c r="G1273" s="503" t="s">
        <v>81</v>
      </c>
      <c r="H1273" s="504">
        <v>0.3226</v>
      </c>
      <c r="I1273" s="504"/>
      <c r="J1273" s="505">
        <v>23.41</v>
      </c>
      <c r="K1273" s="505">
        <v>7.55</v>
      </c>
      <c r="L1273" s="70"/>
    </row>
    <row r="1274" spans="1:12" ht="25.5" x14ac:dyDescent="0.25">
      <c r="A1274" s="501" t="s">
        <v>1732</v>
      </c>
      <c r="B1274" s="502" t="s">
        <v>2328</v>
      </c>
      <c r="C1274" s="501" t="s">
        <v>993</v>
      </c>
      <c r="D1274" s="501" t="s">
        <v>1436</v>
      </c>
      <c r="E1274" s="602" t="s">
        <v>1746</v>
      </c>
      <c r="F1274" s="602"/>
      <c r="G1274" s="503" t="s">
        <v>49</v>
      </c>
      <c r="H1274" s="504">
        <v>1</v>
      </c>
      <c r="I1274" s="504"/>
      <c r="J1274" s="505">
        <v>92.8</v>
      </c>
      <c r="K1274" s="505">
        <v>92.8</v>
      </c>
      <c r="L1274" s="70"/>
    </row>
    <row r="1275" spans="1:12" ht="15.75" customHeight="1" x14ac:dyDescent="0.25">
      <c r="A1275" s="445"/>
      <c r="B1275" s="445"/>
      <c r="C1275" s="445"/>
      <c r="D1275" s="445"/>
      <c r="E1275" s="445" t="s">
        <v>1735</v>
      </c>
      <c r="F1275" s="506">
        <v>12.72</v>
      </c>
      <c r="G1275" s="445" t="s">
        <v>1736</v>
      </c>
      <c r="H1275" s="506">
        <v>0</v>
      </c>
      <c r="I1275" s="445" t="s">
        <v>1737</v>
      </c>
      <c r="J1275" s="506">
        <v>12.72</v>
      </c>
      <c r="K1275" s="70"/>
      <c r="L1275" s="70"/>
    </row>
    <row r="1276" spans="1:12" ht="17.25" thickBot="1" x14ac:dyDescent="0.3">
      <c r="A1276" s="445"/>
      <c r="B1276" s="445"/>
      <c r="C1276" s="445"/>
      <c r="D1276" s="445"/>
      <c r="E1276" s="445" t="s">
        <v>1738</v>
      </c>
      <c r="F1276" s="506">
        <v>26.000128</v>
      </c>
      <c r="G1276" s="445"/>
      <c r="H1276" s="606" t="s">
        <v>1739</v>
      </c>
      <c r="I1276" s="606"/>
      <c r="J1276" s="506">
        <v>131.52000000000001</v>
      </c>
      <c r="K1276" s="70"/>
      <c r="L1276" s="70"/>
    </row>
    <row r="1277" spans="1:12" ht="17.25" thickTop="1" x14ac:dyDescent="0.25">
      <c r="A1277" s="507"/>
      <c r="B1277" s="507"/>
      <c r="C1277" s="507"/>
      <c r="D1277" s="507"/>
      <c r="E1277" s="507"/>
      <c r="F1277" s="507"/>
      <c r="G1277" s="507"/>
      <c r="H1277" s="507"/>
      <c r="I1277" s="507"/>
      <c r="J1277" s="507"/>
      <c r="K1277" s="507"/>
      <c r="L1277" s="70"/>
    </row>
    <row r="1278" spans="1:12" ht="16.5" x14ac:dyDescent="0.25">
      <c r="A1278" s="419" t="s">
        <v>1437</v>
      </c>
      <c r="B1278" s="421" t="s">
        <v>76</v>
      </c>
      <c r="C1278" s="419" t="s">
        <v>991</v>
      </c>
      <c r="D1278" s="419" t="s">
        <v>191</v>
      </c>
      <c r="E1278" s="603" t="s">
        <v>77</v>
      </c>
      <c r="F1278" s="603"/>
      <c r="G1278" s="420" t="s">
        <v>103</v>
      </c>
      <c r="H1278" s="421" t="s">
        <v>147</v>
      </c>
      <c r="I1278" s="421" t="s">
        <v>1731</v>
      </c>
      <c r="J1278" s="421" t="s">
        <v>1117</v>
      </c>
      <c r="K1278" s="421" t="s">
        <v>104</v>
      </c>
      <c r="L1278" s="70"/>
    </row>
    <row r="1279" spans="1:12" ht="25.5" x14ac:dyDescent="0.25">
      <c r="A1279" s="441" t="s">
        <v>79</v>
      </c>
      <c r="B1279" s="480" t="s">
        <v>1438</v>
      </c>
      <c r="C1279" s="441" t="s">
        <v>993</v>
      </c>
      <c r="D1279" s="441" t="s">
        <v>1439</v>
      </c>
      <c r="E1279" s="604">
        <v>716</v>
      </c>
      <c r="F1279" s="604"/>
      <c r="G1279" s="443" t="s">
        <v>49</v>
      </c>
      <c r="H1279" s="500">
        <v>1</v>
      </c>
      <c r="I1279" s="442"/>
      <c r="J1279" s="442">
        <v>391.75</v>
      </c>
      <c r="K1279" s="442">
        <v>391.75</v>
      </c>
      <c r="L1279" s="70"/>
    </row>
    <row r="1280" spans="1:12" ht="25.5" x14ac:dyDescent="0.25">
      <c r="A1280" s="501" t="s">
        <v>1732</v>
      </c>
      <c r="B1280" s="502" t="s">
        <v>1021</v>
      </c>
      <c r="C1280" s="501" t="s">
        <v>993</v>
      </c>
      <c r="D1280" s="501" t="s">
        <v>1022</v>
      </c>
      <c r="E1280" s="602" t="s">
        <v>972</v>
      </c>
      <c r="F1280" s="602"/>
      <c r="G1280" s="503" t="s">
        <v>81</v>
      </c>
      <c r="H1280" s="504">
        <v>0.3226</v>
      </c>
      <c r="I1280" s="504"/>
      <c r="J1280" s="505">
        <v>23.41</v>
      </c>
      <c r="K1280" s="505">
        <v>7.55</v>
      </c>
      <c r="L1280" s="70"/>
    </row>
    <row r="1281" spans="1:12" ht="25.5" x14ac:dyDescent="0.25">
      <c r="A1281" s="501" t="s">
        <v>1732</v>
      </c>
      <c r="B1281" s="502" t="s">
        <v>999</v>
      </c>
      <c r="C1281" s="501" t="s">
        <v>993</v>
      </c>
      <c r="D1281" s="501" t="s">
        <v>1000</v>
      </c>
      <c r="E1281" s="602" t="s">
        <v>972</v>
      </c>
      <c r="F1281" s="602"/>
      <c r="G1281" s="503" t="s">
        <v>81</v>
      </c>
      <c r="H1281" s="504">
        <v>0.3226</v>
      </c>
      <c r="I1281" s="504"/>
      <c r="J1281" s="505">
        <v>16.04</v>
      </c>
      <c r="K1281" s="505">
        <v>5.17</v>
      </c>
      <c r="L1281" s="70"/>
    </row>
    <row r="1282" spans="1:12" ht="38.25" x14ac:dyDescent="0.25">
      <c r="A1282" s="501" t="s">
        <v>1732</v>
      </c>
      <c r="B1282" s="502" t="s">
        <v>2329</v>
      </c>
      <c r="C1282" s="501" t="s">
        <v>993</v>
      </c>
      <c r="D1282" s="501" t="s">
        <v>2330</v>
      </c>
      <c r="E1282" s="602" t="s">
        <v>1746</v>
      </c>
      <c r="F1282" s="602"/>
      <c r="G1282" s="503" t="s">
        <v>49</v>
      </c>
      <c r="H1282" s="504">
        <v>1</v>
      </c>
      <c r="I1282" s="504"/>
      <c r="J1282" s="505">
        <v>379.03</v>
      </c>
      <c r="K1282" s="505">
        <v>379.03</v>
      </c>
      <c r="L1282" s="70"/>
    </row>
    <row r="1283" spans="1:12" ht="15.75" customHeight="1" x14ac:dyDescent="0.25">
      <c r="A1283" s="445"/>
      <c r="B1283" s="445"/>
      <c r="C1283" s="445"/>
      <c r="D1283" s="445"/>
      <c r="E1283" s="445" t="s">
        <v>1735</v>
      </c>
      <c r="F1283" s="506">
        <v>12.72</v>
      </c>
      <c r="G1283" s="445" t="s">
        <v>1736</v>
      </c>
      <c r="H1283" s="506">
        <v>0</v>
      </c>
      <c r="I1283" s="445" t="s">
        <v>1737</v>
      </c>
      <c r="J1283" s="506">
        <v>12.72</v>
      </c>
      <c r="K1283" s="70"/>
      <c r="L1283" s="70"/>
    </row>
    <row r="1284" spans="1:12" ht="17.25" thickBot="1" x14ac:dyDescent="0.3">
      <c r="A1284" s="445"/>
      <c r="B1284" s="445"/>
      <c r="C1284" s="445"/>
      <c r="D1284" s="445"/>
      <c r="E1284" s="445" t="s">
        <v>1738</v>
      </c>
      <c r="F1284" s="506">
        <v>96.527199999999993</v>
      </c>
      <c r="G1284" s="445"/>
      <c r="H1284" s="606" t="s">
        <v>1739</v>
      </c>
      <c r="I1284" s="606"/>
      <c r="J1284" s="506">
        <v>488.27</v>
      </c>
      <c r="K1284" s="70"/>
      <c r="L1284" s="70"/>
    </row>
    <row r="1285" spans="1:12" ht="17.25" thickTop="1" x14ac:dyDescent="0.25">
      <c r="A1285" s="507"/>
      <c r="B1285" s="507"/>
      <c r="C1285" s="507"/>
      <c r="D1285" s="507"/>
      <c r="E1285" s="507"/>
      <c r="F1285" s="507"/>
      <c r="G1285" s="507"/>
      <c r="H1285" s="507"/>
      <c r="I1285" s="507"/>
      <c r="J1285" s="507"/>
      <c r="K1285" s="507"/>
      <c r="L1285" s="70"/>
    </row>
    <row r="1286" spans="1:12" ht="16.5" x14ac:dyDescent="0.25">
      <c r="A1286" s="419" t="s">
        <v>1440</v>
      </c>
      <c r="B1286" s="421" t="s">
        <v>76</v>
      </c>
      <c r="C1286" s="419" t="s">
        <v>991</v>
      </c>
      <c r="D1286" s="419" t="s">
        <v>191</v>
      </c>
      <c r="E1286" s="603" t="s">
        <v>77</v>
      </c>
      <c r="F1286" s="603"/>
      <c r="G1286" s="420" t="s">
        <v>103</v>
      </c>
      <c r="H1286" s="421" t="s">
        <v>147</v>
      </c>
      <c r="I1286" s="421" t="s">
        <v>1731</v>
      </c>
      <c r="J1286" s="421" t="s">
        <v>1117</v>
      </c>
      <c r="K1286" s="421" t="s">
        <v>104</v>
      </c>
      <c r="L1286" s="70"/>
    </row>
    <row r="1287" spans="1:12" ht="25.5" x14ac:dyDescent="0.25">
      <c r="A1287" s="441" t="s">
        <v>79</v>
      </c>
      <c r="B1287" s="480" t="s">
        <v>1441</v>
      </c>
      <c r="C1287" s="441" t="s">
        <v>993</v>
      </c>
      <c r="D1287" s="441" t="s">
        <v>1442</v>
      </c>
      <c r="E1287" s="604">
        <v>706</v>
      </c>
      <c r="F1287" s="604"/>
      <c r="G1287" s="443" t="s">
        <v>45</v>
      </c>
      <c r="H1287" s="500">
        <v>1</v>
      </c>
      <c r="I1287" s="442"/>
      <c r="J1287" s="442">
        <v>49.54</v>
      </c>
      <c r="K1287" s="442">
        <v>49.54</v>
      </c>
      <c r="L1287" s="70"/>
    </row>
    <row r="1288" spans="1:12" ht="25.5" x14ac:dyDescent="0.25">
      <c r="A1288" s="501" t="s">
        <v>1732</v>
      </c>
      <c r="B1288" s="502" t="s">
        <v>992</v>
      </c>
      <c r="C1288" s="501" t="s">
        <v>993</v>
      </c>
      <c r="D1288" s="501" t="s">
        <v>994</v>
      </c>
      <c r="E1288" s="602" t="s">
        <v>972</v>
      </c>
      <c r="F1288" s="602"/>
      <c r="G1288" s="503" t="s">
        <v>81</v>
      </c>
      <c r="H1288" s="504">
        <v>3.3889999999999998</v>
      </c>
      <c r="I1288" s="504"/>
      <c r="J1288" s="505">
        <v>14.62</v>
      </c>
      <c r="K1288" s="505">
        <v>49.54</v>
      </c>
      <c r="L1288" s="70"/>
    </row>
    <row r="1289" spans="1:12" ht="15.75" customHeight="1" x14ac:dyDescent="0.25">
      <c r="A1289" s="445"/>
      <c r="B1289" s="445"/>
      <c r="C1289" s="445"/>
      <c r="D1289" s="445"/>
      <c r="E1289" s="445" t="s">
        <v>1735</v>
      </c>
      <c r="F1289" s="506">
        <v>49.54</v>
      </c>
      <c r="G1289" s="445" t="s">
        <v>1736</v>
      </c>
      <c r="H1289" s="506">
        <v>0</v>
      </c>
      <c r="I1289" s="445" t="s">
        <v>1737</v>
      </c>
      <c r="J1289" s="506">
        <v>49.54</v>
      </c>
      <c r="K1289" s="70"/>
      <c r="L1289" s="70"/>
    </row>
    <row r="1290" spans="1:12" ht="17.25" thickBot="1" x14ac:dyDescent="0.3">
      <c r="A1290" s="445"/>
      <c r="B1290" s="445"/>
      <c r="C1290" s="445"/>
      <c r="D1290" s="445"/>
      <c r="E1290" s="445" t="s">
        <v>1738</v>
      </c>
      <c r="F1290" s="506">
        <v>12.206656000000001</v>
      </c>
      <c r="G1290" s="445"/>
      <c r="H1290" s="606" t="s">
        <v>1739</v>
      </c>
      <c r="I1290" s="606"/>
      <c r="J1290" s="506">
        <v>61.74</v>
      </c>
      <c r="K1290" s="70"/>
      <c r="L1290" s="70"/>
    </row>
    <row r="1291" spans="1:12" ht="17.25" thickTop="1" x14ac:dyDescent="0.25">
      <c r="A1291" s="507"/>
      <c r="B1291" s="507"/>
      <c r="C1291" s="507"/>
      <c r="D1291" s="507"/>
      <c r="E1291" s="507"/>
      <c r="F1291" s="507"/>
      <c r="G1291" s="507"/>
      <c r="H1291" s="507"/>
      <c r="I1291" s="507"/>
      <c r="J1291" s="507"/>
      <c r="K1291" s="507"/>
      <c r="L1291" s="70"/>
    </row>
    <row r="1292" spans="1:12" ht="16.5" x14ac:dyDescent="0.25">
      <c r="A1292" s="419" t="s">
        <v>1443</v>
      </c>
      <c r="B1292" s="421" t="s">
        <v>76</v>
      </c>
      <c r="C1292" s="419" t="s">
        <v>991</v>
      </c>
      <c r="D1292" s="419" t="s">
        <v>191</v>
      </c>
      <c r="E1292" s="603" t="s">
        <v>77</v>
      </c>
      <c r="F1292" s="603"/>
      <c r="G1292" s="420" t="s">
        <v>103</v>
      </c>
      <c r="H1292" s="421" t="s">
        <v>147</v>
      </c>
      <c r="I1292" s="421" t="s">
        <v>1731</v>
      </c>
      <c r="J1292" s="421" t="s">
        <v>1117</v>
      </c>
      <c r="K1292" s="421" t="s">
        <v>104</v>
      </c>
      <c r="L1292" s="70"/>
    </row>
    <row r="1293" spans="1:12" ht="25.5" x14ac:dyDescent="0.25">
      <c r="A1293" s="441" t="s">
        <v>79</v>
      </c>
      <c r="B1293" s="480" t="s">
        <v>1444</v>
      </c>
      <c r="C1293" s="441" t="s">
        <v>993</v>
      </c>
      <c r="D1293" s="441" t="s">
        <v>1445</v>
      </c>
      <c r="E1293" s="604">
        <v>706</v>
      </c>
      <c r="F1293" s="604"/>
      <c r="G1293" s="443" t="s">
        <v>19</v>
      </c>
      <c r="H1293" s="500">
        <v>1</v>
      </c>
      <c r="I1293" s="442"/>
      <c r="J1293" s="442">
        <v>91.32</v>
      </c>
      <c r="K1293" s="442">
        <v>91.32</v>
      </c>
      <c r="L1293" s="70"/>
    </row>
    <row r="1294" spans="1:12" ht="25.5" x14ac:dyDescent="0.25">
      <c r="A1294" s="501" t="s">
        <v>1732</v>
      </c>
      <c r="B1294" s="502" t="s">
        <v>992</v>
      </c>
      <c r="C1294" s="501" t="s">
        <v>993</v>
      </c>
      <c r="D1294" s="501" t="s">
        <v>994</v>
      </c>
      <c r="E1294" s="602" t="s">
        <v>972</v>
      </c>
      <c r="F1294" s="602"/>
      <c r="G1294" s="503" t="s">
        <v>81</v>
      </c>
      <c r="H1294" s="504">
        <v>0.35460000000000003</v>
      </c>
      <c r="I1294" s="504"/>
      <c r="J1294" s="505">
        <v>14.62</v>
      </c>
      <c r="K1294" s="505">
        <v>5.18</v>
      </c>
      <c r="L1294" s="70"/>
    </row>
    <row r="1295" spans="1:12" ht="25.5" x14ac:dyDescent="0.25">
      <c r="A1295" s="501" t="s">
        <v>1732</v>
      </c>
      <c r="B1295" s="502" t="s">
        <v>1013</v>
      </c>
      <c r="C1295" s="501" t="s">
        <v>993</v>
      </c>
      <c r="D1295" s="501" t="s">
        <v>1014</v>
      </c>
      <c r="E1295" s="602" t="s">
        <v>972</v>
      </c>
      <c r="F1295" s="602"/>
      <c r="G1295" s="503" t="s">
        <v>81</v>
      </c>
      <c r="H1295" s="504">
        <v>3.2199999999999999E-2</v>
      </c>
      <c r="I1295" s="504"/>
      <c r="J1295" s="505">
        <v>23.41</v>
      </c>
      <c r="K1295" s="505">
        <v>0.75</v>
      </c>
      <c r="L1295" s="70"/>
    </row>
    <row r="1296" spans="1:12" ht="25.5" x14ac:dyDescent="0.25">
      <c r="A1296" s="501" t="s">
        <v>1732</v>
      </c>
      <c r="B1296" s="502" t="s">
        <v>1023</v>
      </c>
      <c r="C1296" s="501" t="s">
        <v>993</v>
      </c>
      <c r="D1296" s="501" t="s">
        <v>1024</v>
      </c>
      <c r="E1296" s="602" t="s">
        <v>972</v>
      </c>
      <c r="F1296" s="602"/>
      <c r="G1296" s="503" t="s">
        <v>81</v>
      </c>
      <c r="H1296" s="504">
        <v>3.2199999999999999E-2</v>
      </c>
      <c r="I1296" s="504"/>
      <c r="J1296" s="505">
        <v>17.559999999999999</v>
      </c>
      <c r="K1296" s="505">
        <v>0.56000000000000005</v>
      </c>
      <c r="L1296" s="70"/>
    </row>
    <row r="1297" spans="1:12" ht="25.5" x14ac:dyDescent="0.25">
      <c r="A1297" s="501" t="s">
        <v>1732</v>
      </c>
      <c r="B1297" s="502" t="s">
        <v>1009</v>
      </c>
      <c r="C1297" s="501" t="s">
        <v>993</v>
      </c>
      <c r="D1297" s="501" t="s">
        <v>1010</v>
      </c>
      <c r="E1297" s="602" t="s">
        <v>972</v>
      </c>
      <c r="F1297" s="602"/>
      <c r="G1297" s="503" t="s">
        <v>81</v>
      </c>
      <c r="H1297" s="504">
        <v>6.6400000000000001E-2</v>
      </c>
      <c r="I1297" s="504"/>
      <c r="J1297" s="505">
        <v>23.41</v>
      </c>
      <c r="K1297" s="505">
        <v>1.55</v>
      </c>
      <c r="L1297" s="70"/>
    </row>
    <row r="1298" spans="1:12" ht="25.5" x14ac:dyDescent="0.25">
      <c r="A1298" s="501" t="s">
        <v>1732</v>
      </c>
      <c r="B1298" s="502" t="s">
        <v>1007</v>
      </c>
      <c r="C1298" s="501" t="s">
        <v>993</v>
      </c>
      <c r="D1298" s="501" t="s">
        <v>1008</v>
      </c>
      <c r="E1298" s="602" t="s">
        <v>972</v>
      </c>
      <c r="F1298" s="602"/>
      <c r="G1298" s="503" t="s">
        <v>81</v>
      </c>
      <c r="H1298" s="504">
        <v>0.27260000000000001</v>
      </c>
      <c r="I1298" s="504"/>
      <c r="J1298" s="505">
        <v>23.41</v>
      </c>
      <c r="K1298" s="505">
        <v>6.38</v>
      </c>
      <c r="L1298" s="70"/>
    </row>
    <row r="1299" spans="1:12" ht="25.5" x14ac:dyDescent="0.25">
      <c r="A1299" s="501" t="s">
        <v>1732</v>
      </c>
      <c r="B1299" s="502" t="s">
        <v>999</v>
      </c>
      <c r="C1299" s="501" t="s">
        <v>993</v>
      </c>
      <c r="D1299" s="501" t="s">
        <v>1000</v>
      </c>
      <c r="E1299" s="602" t="s">
        <v>972</v>
      </c>
      <c r="F1299" s="602"/>
      <c r="G1299" s="503" t="s">
        <v>81</v>
      </c>
      <c r="H1299" s="504">
        <v>0.34200000000000003</v>
      </c>
      <c r="I1299" s="504"/>
      <c r="J1299" s="505">
        <v>16.04</v>
      </c>
      <c r="K1299" s="505">
        <v>5.48</v>
      </c>
      <c r="L1299" s="70"/>
    </row>
    <row r="1300" spans="1:12" ht="25.5" x14ac:dyDescent="0.25">
      <c r="A1300" s="501" t="s">
        <v>1732</v>
      </c>
      <c r="B1300" s="502" t="s">
        <v>1796</v>
      </c>
      <c r="C1300" s="501" t="s">
        <v>993</v>
      </c>
      <c r="D1300" s="501" t="s">
        <v>1797</v>
      </c>
      <c r="E1300" s="602" t="s">
        <v>1746</v>
      </c>
      <c r="F1300" s="602"/>
      <c r="G1300" s="503" t="s">
        <v>1222</v>
      </c>
      <c r="H1300" s="504">
        <v>1.24E-2</v>
      </c>
      <c r="I1300" s="504"/>
      <c r="J1300" s="505">
        <v>21.99</v>
      </c>
      <c r="K1300" s="505">
        <v>0.27</v>
      </c>
      <c r="L1300" s="70"/>
    </row>
    <row r="1301" spans="1:12" ht="25.5" x14ac:dyDescent="0.25">
      <c r="A1301" s="501" t="s">
        <v>1732</v>
      </c>
      <c r="B1301" s="502" t="s">
        <v>1936</v>
      </c>
      <c r="C1301" s="501" t="s">
        <v>993</v>
      </c>
      <c r="D1301" s="501" t="s">
        <v>1937</v>
      </c>
      <c r="E1301" s="602" t="s">
        <v>1746</v>
      </c>
      <c r="F1301" s="602"/>
      <c r="G1301" s="503" t="s">
        <v>41</v>
      </c>
      <c r="H1301" s="504">
        <v>0.25330000000000003</v>
      </c>
      <c r="I1301" s="504"/>
      <c r="J1301" s="505">
        <v>12.8</v>
      </c>
      <c r="K1301" s="505">
        <v>3.24</v>
      </c>
      <c r="L1301" s="70"/>
    </row>
    <row r="1302" spans="1:12" ht="25.5" x14ac:dyDescent="0.25">
      <c r="A1302" s="501" t="s">
        <v>1732</v>
      </c>
      <c r="B1302" s="502" t="s">
        <v>1854</v>
      </c>
      <c r="C1302" s="501" t="s">
        <v>993</v>
      </c>
      <c r="D1302" s="501" t="s">
        <v>1855</v>
      </c>
      <c r="E1302" s="602" t="s">
        <v>1746</v>
      </c>
      <c r="F1302" s="602"/>
      <c r="G1302" s="503" t="s">
        <v>1222</v>
      </c>
      <c r="H1302" s="504">
        <v>16</v>
      </c>
      <c r="I1302" s="504"/>
      <c r="J1302" s="505">
        <v>0.65</v>
      </c>
      <c r="K1302" s="505">
        <v>10.4</v>
      </c>
      <c r="L1302" s="70"/>
    </row>
    <row r="1303" spans="1:12" ht="25.5" x14ac:dyDescent="0.25">
      <c r="A1303" s="501" t="s">
        <v>1732</v>
      </c>
      <c r="B1303" s="502" t="s">
        <v>1978</v>
      </c>
      <c r="C1303" s="501" t="s">
        <v>993</v>
      </c>
      <c r="D1303" s="501" t="s">
        <v>1979</v>
      </c>
      <c r="E1303" s="602" t="s">
        <v>1746</v>
      </c>
      <c r="F1303" s="602"/>
      <c r="G1303" s="503" t="s">
        <v>19</v>
      </c>
      <c r="H1303" s="504">
        <v>0.2147</v>
      </c>
      <c r="I1303" s="504"/>
      <c r="J1303" s="505">
        <v>34.090000000000003</v>
      </c>
      <c r="K1303" s="505">
        <v>7.31</v>
      </c>
      <c r="L1303" s="70"/>
    </row>
    <row r="1304" spans="1:12" ht="25.5" x14ac:dyDescent="0.25">
      <c r="A1304" s="501" t="s">
        <v>1732</v>
      </c>
      <c r="B1304" s="502" t="s">
        <v>1874</v>
      </c>
      <c r="C1304" s="501" t="s">
        <v>993</v>
      </c>
      <c r="D1304" s="501" t="s">
        <v>1875</v>
      </c>
      <c r="E1304" s="602" t="s">
        <v>1746</v>
      </c>
      <c r="F1304" s="602"/>
      <c r="G1304" s="503" t="s">
        <v>45</v>
      </c>
      <c r="H1304" s="504">
        <v>3.1399999999999997E-2</v>
      </c>
      <c r="I1304" s="504"/>
      <c r="J1304" s="505">
        <v>148.97999999999999</v>
      </c>
      <c r="K1304" s="505">
        <v>4.67</v>
      </c>
      <c r="L1304" s="70"/>
    </row>
    <row r="1305" spans="1:12" ht="25.5" x14ac:dyDescent="0.25">
      <c r="A1305" s="501" t="s">
        <v>1732</v>
      </c>
      <c r="B1305" s="502" t="s">
        <v>2164</v>
      </c>
      <c r="C1305" s="501" t="s">
        <v>993</v>
      </c>
      <c r="D1305" s="501" t="s">
        <v>2165</v>
      </c>
      <c r="E1305" s="602" t="s">
        <v>1746</v>
      </c>
      <c r="F1305" s="602"/>
      <c r="G1305" s="503" t="s">
        <v>1222</v>
      </c>
      <c r="H1305" s="504">
        <v>3.9116</v>
      </c>
      <c r="I1305" s="504"/>
      <c r="J1305" s="505">
        <v>8.81</v>
      </c>
      <c r="K1305" s="505">
        <v>34.46</v>
      </c>
      <c r="L1305" s="70"/>
    </row>
    <row r="1306" spans="1:12" ht="25.5" x14ac:dyDescent="0.25">
      <c r="A1306" s="501" t="s">
        <v>1732</v>
      </c>
      <c r="B1306" s="502" t="s">
        <v>2030</v>
      </c>
      <c r="C1306" s="501" t="s">
        <v>993</v>
      </c>
      <c r="D1306" s="501" t="s">
        <v>2031</v>
      </c>
      <c r="E1306" s="602" t="s">
        <v>1746</v>
      </c>
      <c r="F1306" s="602"/>
      <c r="G1306" s="503" t="s">
        <v>1222</v>
      </c>
      <c r="H1306" s="504">
        <v>7.6999999999999999E-2</v>
      </c>
      <c r="I1306" s="504"/>
      <c r="J1306" s="505">
        <v>14.28</v>
      </c>
      <c r="K1306" s="505">
        <v>1.0900000000000001</v>
      </c>
      <c r="L1306" s="70"/>
    </row>
    <row r="1307" spans="1:12" ht="25.5" x14ac:dyDescent="0.25">
      <c r="A1307" s="501" t="s">
        <v>1732</v>
      </c>
      <c r="B1307" s="502" t="s">
        <v>1872</v>
      </c>
      <c r="C1307" s="501" t="s">
        <v>993</v>
      </c>
      <c r="D1307" s="501" t="s">
        <v>1873</v>
      </c>
      <c r="E1307" s="602" t="s">
        <v>1746</v>
      </c>
      <c r="F1307" s="602"/>
      <c r="G1307" s="503" t="s">
        <v>45</v>
      </c>
      <c r="H1307" s="504">
        <v>1.0500000000000001E-2</v>
      </c>
      <c r="I1307" s="504"/>
      <c r="J1307" s="505">
        <v>149.94999999999999</v>
      </c>
      <c r="K1307" s="505">
        <v>1.57</v>
      </c>
      <c r="L1307" s="70"/>
    </row>
    <row r="1308" spans="1:12" ht="25.5" x14ac:dyDescent="0.25">
      <c r="A1308" s="501" t="s">
        <v>1732</v>
      </c>
      <c r="B1308" s="502" t="s">
        <v>2160</v>
      </c>
      <c r="C1308" s="501" t="s">
        <v>993</v>
      </c>
      <c r="D1308" s="501" t="s">
        <v>2161</v>
      </c>
      <c r="E1308" s="602" t="s">
        <v>1746</v>
      </c>
      <c r="F1308" s="602"/>
      <c r="G1308" s="503" t="s">
        <v>1222</v>
      </c>
      <c r="H1308" s="504">
        <v>0.3256</v>
      </c>
      <c r="I1308" s="504"/>
      <c r="J1308" s="505">
        <v>6.86</v>
      </c>
      <c r="K1308" s="505">
        <v>2.23</v>
      </c>
      <c r="L1308" s="70"/>
    </row>
    <row r="1309" spans="1:12" ht="25.5" x14ac:dyDescent="0.25">
      <c r="A1309" s="501" t="s">
        <v>1732</v>
      </c>
      <c r="B1309" s="502" t="s">
        <v>1756</v>
      </c>
      <c r="C1309" s="501" t="s">
        <v>993</v>
      </c>
      <c r="D1309" s="501" t="s">
        <v>1757</v>
      </c>
      <c r="E1309" s="602" t="s">
        <v>1746</v>
      </c>
      <c r="F1309" s="602"/>
      <c r="G1309" s="503" t="s">
        <v>45</v>
      </c>
      <c r="H1309" s="504">
        <v>4.0500000000000001E-2</v>
      </c>
      <c r="I1309" s="504"/>
      <c r="J1309" s="505">
        <v>152.69</v>
      </c>
      <c r="K1309" s="505">
        <v>6.18</v>
      </c>
      <c r="L1309" s="70"/>
    </row>
    <row r="1310" spans="1:12" ht="15.75" customHeight="1" x14ac:dyDescent="0.25">
      <c r="A1310" s="445"/>
      <c r="B1310" s="445"/>
      <c r="C1310" s="445"/>
      <c r="D1310" s="445"/>
      <c r="E1310" s="445" t="s">
        <v>1735</v>
      </c>
      <c r="F1310" s="506">
        <v>19.899999999999999</v>
      </c>
      <c r="G1310" s="445" t="s">
        <v>1736</v>
      </c>
      <c r="H1310" s="506">
        <v>0</v>
      </c>
      <c r="I1310" s="445" t="s">
        <v>1737</v>
      </c>
      <c r="J1310" s="506">
        <v>19.899999999999999</v>
      </c>
      <c r="K1310" s="70"/>
      <c r="L1310" s="70"/>
    </row>
    <row r="1311" spans="1:12" ht="17.25" thickBot="1" x14ac:dyDescent="0.3">
      <c r="A1311" s="445"/>
      <c r="B1311" s="445"/>
      <c r="C1311" s="445"/>
      <c r="D1311" s="445"/>
      <c r="E1311" s="445" t="s">
        <v>1738</v>
      </c>
      <c r="F1311" s="506">
        <v>22.501248</v>
      </c>
      <c r="G1311" s="445"/>
      <c r="H1311" s="606" t="s">
        <v>1739</v>
      </c>
      <c r="I1311" s="606"/>
      <c r="J1311" s="506">
        <v>113.82</v>
      </c>
      <c r="K1311" s="70"/>
      <c r="L1311" s="70"/>
    </row>
    <row r="1312" spans="1:12" ht="17.25" thickTop="1" x14ac:dyDescent="0.25">
      <c r="A1312" s="507"/>
      <c r="B1312" s="507"/>
      <c r="C1312" s="507"/>
      <c r="D1312" s="507"/>
      <c r="E1312" s="507"/>
      <c r="F1312" s="507"/>
      <c r="G1312" s="507"/>
      <c r="H1312" s="507"/>
      <c r="I1312" s="507"/>
      <c r="J1312" s="507"/>
      <c r="K1312" s="507"/>
      <c r="L1312" s="70"/>
    </row>
    <row r="1313" spans="1:12" ht="16.5" x14ac:dyDescent="0.25">
      <c r="A1313" s="419" t="s">
        <v>1446</v>
      </c>
      <c r="B1313" s="421" t="s">
        <v>76</v>
      </c>
      <c r="C1313" s="419" t="s">
        <v>991</v>
      </c>
      <c r="D1313" s="419" t="s">
        <v>191</v>
      </c>
      <c r="E1313" s="603" t="s">
        <v>77</v>
      </c>
      <c r="F1313" s="603"/>
      <c r="G1313" s="420" t="s">
        <v>103</v>
      </c>
      <c r="H1313" s="421" t="s">
        <v>147</v>
      </c>
      <c r="I1313" s="421" t="s">
        <v>1731</v>
      </c>
      <c r="J1313" s="421" t="s">
        <v>1117</v>
      </c>
      <c r="K1313" s="421" t="s">
        <v>104</v>
      </c>
      <c r="L1313" s="70"/>
    </row>
    <row r="1314" spans="1:12" ht="25.5" x14ac:dyDescent="0.25">
      <c r="A1314" s="441" t="s">
        <v>79</v>
      </c>
      <c r="B1314" s="480" t="s">
        <v>1447</v>
      </c>
      <c r="C1314" s="441" t="s">
        <v>993</v>
      </c>
      <c r="D1314" s="441" t="s">
        <v>1448</v>
      </c>
      <c r="E1314" s="604">
        <v>706</v>
      </c>
      <c r="F1314" s="604"/>
      <c r="G1314" s="443" t="s">
        <v>19</v>
      </c>
      <c r="H1314" s="500">
        <v>1</v>
      </c>
      <c r="I1314" s="442"/>
      <c r="J1314" s="442">
        <v>157.84</v>
      </c>
      <c r="K1314" s="442">
        <v>157.84</v>
      </c>
      <c r="L1314" s="70"/>
    </row>
    <row r="1315" spans="1:12" ht="25.5" x14ac:dyDescent="0.25">
      <c r="A1315" s="501" t="s">
        <v>1732</v>
      </c>
      <c r="B1315" s="502" t="s">
        <v>992</v>
      </c>
      <c r="C1315" s="501" t="s">
        <v>993</v>
      </c>
      <c r="D1315" s="501" t="s">
        <v>994</v>
      </c>
      <c r="E1315" s="602" t="s">
        <v>972</v>
      </c>
      <c r="F1315" s="602"/>
      <c r="G1315" s="503" t="s">
        <v>81</v>
      </c>
      <c r="H1315" s="504">
        <v>2.419</v>
      </c>
      <c r="I1315" s="504"/>
      <c r="J1315" s="505">
        <v>14.62</v>
      </c>
      <c r="K1315" s="505">
        <v>35.36</v>
      </c>
      <c r="L1315" s="70"/>
    </row>
    <row r="1316" spans="1:12" ht="25.5" x14ac:dyDescent="0.25">
      <c r="A1316" s="501" t="s">
        <v>1732</v>
      </c>
      <c r="B1316" s="502" t="s">
        <v>1003</v>
      </c>
      <c r="C1316" s="501" t="s">
        <v>993</v>
      </c>
      <c r="D1316" s="501" t="s">
        <v>1004</v>
      </c>
      <c r="E1316" s="602" t="s">
        <v>972</v>
      </c>
      <c r="F1316" s="602"/>
      <c r="G1316" s="503" t="s">
        <v>81</v>
      </c>
      <c r="H1316" s="504">
        <v>2.4323999999999999</v>
      </c>
      <c r="I1316" s="504"/>
      <c r="J1316" s="505">
        <v>23.41</v>
      </c>
      <c r="K1316" s="505">
        <v>56.94</v>
      </c>
      <c r="L1316" s="70"/>
    </row>
    <row r="1317" spans="1:12" ht="25.5" x14ac:dyDescent="0.25">
      <c r="A1317" s="501" t="s">
        <v>1732</v>
      </c>
      <c r="B1317" s="502" t="s">
        <v>1974</v>
      </c>
      <c r="C1317" s="501" t="s">
        <v>993</v>
      </c>
      <c r="D1317" s="501" t="s">
        <v>1975</v>
      </c>
      <c r="E1317" s="602" t="s">
        <v>1746</v>
      </c>
      <c r="F1317" s="602"/>
      <c r="G1317" s="503" t="s">
        <v>45</v>
      </c>
      <c r="H1317" s="504">
        <v>5.7200000000000001E-2</v>
      </c>
      <c r="I1317" s="504"/>
      <c r="J1317" s="505">
        <v>172.18</v>
      </c>
      <c r="K1317" s="505">
        <v>9.84</v>
      </c>
      <c r="L1317" s="70"/>
    </row>
    <row r="1318" spans="1:12" ht="25.5" x14ac:dyDescent="0.25">
      <c r="A1318" s="501" t="s">
        <v>1732</v>
      </c>
      <c r="B1318" s="502" t="s">
        <v>2022</v>
      </c>
      <c r="C1318" s="501" t="s">
        <v>993</v>
      </c>
      <c r="D1318" s="501" t="s">
        <v>2023</v>
      </c>
      <c r="E1318" s="602" t="s">
        <v>1746</v>
      </c>
      <c r="F1318" s="602"/>
      <c r="G1318" s="503" t="s">
        <v>1222</v>
      </c>
      <c r="H1318" s="504">
        <v>8.5631000000000004</v>
      </c>
      <c r="I1318" s="504"/>
      <c r="J1318" s="505">
        <v>0.99</v>
      </c>
      <c r="K1318" s="505">
        <v>8.4700000000000006</v>
      </c>
      <c r="L1318" s="70"/>
    </row>
    <row r="1319" spans="1:12" ht="25.5" x14ac:dyDescent="0.25">
      <c r="A1319" s="501" t="s">
        <v>1732</v>
      </c>
      <c r="B1319" s="502" t="s">
        <v>1854</v>
      </c>
      <c r="C1319" s="501" t="s">
        <v>993</v>
      </c>
      <c r="D1319" s="501" t="s">
        <v>1855</v>
      </c>
      <c r="E1319" s="602" t="s">
        <v>1746</v>
      </c>
      <c r="F1319" s="602"/>
      <c r="G1319" s="503" t="s">
        <v>1222</v>
      </c>
      <c r="H1319" s="504">
        <v>6.7549999999999999</v>
      </c>
      <c r="I1319" s="504"/>
      <c r="J1319" s="505">
        <v>0.65</v>
      </c>
      <c r="K1319" s="505">
        <v>4.3899999999999997</v>
      </c>
      <c r="L1319" s="70"/>
    </row>
    <row r="1320" spans="1:12" ht="25.5" x14ac:dyDescent="0.25">
      <c r="A1320" s="501" t="s">
        <v>1732</v>
      </c>
      <c r="B1320" s="502" t="s">
        <v>1994</v>
      </c>
      <c r="C1320" s="501" t="s">
        <v>993</v>
      </c>
      <c r="D1320" s="501" t="s">
        <v>1995</v>
      </c>
      <c r="E1320" s="602" t="s">
        <v>1746</v>
      </c>
      <c r="F1320" s="602"/>
      <c r="G1320" s="503" t="s">
        <v>49</v>
      </c>
      <c r="H1320" s="504">
        <v>84</v>
      </c>
      <c r="I1320" s="504"/>
      <c r="J1320" s="505">
        <v>0.51</v>
      </c>
      <c r="K1320" s="505">
        <v>42.84</v>
      </c>
      <c r="L1320" s="70"/>
    </row>
    <row r="1321" spans="1:12" ht="15.75" customHeight="1" x14ac:dyDescent="0.25">
      <c r="A1321" s="445"/>
      <c r="B1321" s="445"/>
      <c r="C1321" s="445"/>
      <c r="D1321" s="445"/>
      <c r="E1321" s="445" t="s">
        <v>1735</v>
      </c>
      <c r="F1321" s="506">
        <v>92.3</v>
      </c>
      <c r="G1321" s="445" t="s">
        <v>1736</v>
      </c>
      <c r="H1321" s="506">
        <v>0</v>
      </c>
      <c r="I1321" s="445" t="s">
        <v>1737</v>
      </c>
      <c r="J1321" s="506">
        <v>92.3</v>
      </c>
      <c r="K1321" s="70"/>
      <c r="L1321" s="70"/>
    </row>
    <row r="1322" spans="1:12" ht="17.25" thickBot="1" x14ac:dyDescent="0.3">
      <c r="A1322" s="445"/>
      <c r="B1322" s="445"/>
      <c r="C1322" s="445"/>
      <c r="D1322" s="445"/>
      <c r="E1322" s="445" t="s">
        <v>1738</v>
      </c>
      <c r="F1322" s="506">
        <v>38.891776</v>
      </c>
      <c r="G1322" s="445"/>
      <c r="H1322" s="606" t="s">
        <v>1739</v>
      </c>
      <c r="I1322" s="606"/>
      <c r="J1322" s="506">
        <v>196.73</v>
      </c>
      <c r="K1322" s="70"/>
      <c r="L1322" s="70"/>
    </row>
    <row r="1323" spans="1:12" ht="17.25" thickTop="1" x14ac:dyDescent="0.25">
      <c r="A1323" s="507"/>
      <c r="B1323" s="507"/>
      <c r="C1323" s="507"/>
      <c r="D1323" s="507"/>
      <c r="E1323" s="507"/>
      <c r="F1323" s="507"/>
      <c r="G1323" s="507"/>
      <c r="H1323" s="507"/>
      <c r="I1323" s="507"/>
      <c r="J1323" s="507"/>
      <c r="K1323" s="507"/>
      <c r="L1323" s="70"/>
    </row>
    <row r="1324" spans="1:12" ht="16.5" x14ac:dyDescent="0.25">
      <c r="A1324" s="419" t="s">
        <v>1449</v>
      </c>
      <c r="B1324" s="421" t="s">
        <v>76</v>
      </c>
      <c r="C1324" s="419" t="s">
        <v>991</v>
      </c>
      <c r="D1324" s="419" t="s">
        <v>191</v>
      </c>
      <c r="E1324" s="603" t="s">
        <v>77</v>
      </c>
      <c r="F1324" s="603"/>
      <c r="G1324" s="420" t="s">
        <v>103</v>
      </c>
      <c r="H1324" s="421" t="s">
        <v>147</v>
      </c>
      <c r="I1324" s="421" t="s">
        <v>1731</v>
      </c>
      <c r="J1324" s="421" t="s">
        <v>1117</v>
      </c>
      <c r="K1324" s="421" t="s">
        <v>104</v>
      </c>
      <c r="L1324" s="70"/>
    </row>
    <row r="1325" spans="1:12" ht="25.5" x14ac:dyDescent="0.25">
      <c r="A1325" s="441" t="s">
        <v>79</v>
      </c>
      <c r="B1325" s="480" t="s">
        <v>1450</v>
      </c>
      <c r="C1325" s="441" t="s">
        <v>993</v>
      </c>
      <c r="D1325" s="441" t="s">
        <v>379</v>
      </c>
      <c r="E1325" s="604">
        <v>706</v>
      </c>
      <c r="F1325" s="604"/>
      <c r="G1325" s="443" t="s">
        <v>45</v>
      </c>
      <c r="H1325" s="500">
        <v>1</v>
      </c>
      <c r="I1325" s="442"/>
      <c r="J1325" s="442">
        <v>215.03</v>
      </c>
      <c r="K1325" s="442">
        <v>215.03</v>
      </c>
      <c r="L1325" s="70"/>
    </row>
    <row r="1326" spans="1:12" ht="25.5" x14ac:dyDescent="0.25">
      <c r="A1326" s="501" t="s">
        <v>1732</v>
      </c>
      <c r="B1326" s="502" t="s">
        <v>992</v>
      </c>
      <c r="C1326" s="501" t="s">
        <v>993</v>
      </c>
      <c r="D1326" s="501" t="s">
        <v>994</v>
      </c>
      <c r="E1326" s="602" t="s">
        <v>972</v>
      </c>
      <c r="F1326" s="602"/>
      <c r="G1326" s="503" t="s">
        <v>81</v>
      </c>
      <c r="H1326" s="504">
        <v>2</v>
      </c>
      <c r="I1326" s="504"/>
      <c r="J1326" s="505">
        <v>14.62</v>
      </c>
      <c r="K1326" s="505">
        <v>29.24</v>
      </c>
      <c r="L1326" s="70"/>
    </row>
    <row r="1327" spans="1:12" ht="25.5" x14ac:dyDescent="0.25">
      <c r="A1327" s="501" t="s">
        <v>1732</v>
      </c>
      <c r="B1327" s="502" t="s">
        <v>1872</v>
      </c>
      <c r="C1327" s="501" t="s">
        <v>993</v>
      </c>
      <c r="D1327" s="501" t="s">
        <v>1873</v>
      </c>
      <c r="E1327" s="602" t="s">
        <v>1746</v>
      </c>
      <c r="F1327" s="602"/>
      <c r="G1327" s="503" t="s">
        <v>45</v>
      </c>
      <c r="H1327" s="504">
        <v>0.6</v>
      </c>
      <c r="I1327" s="504"/>
      <c r="J1327" s="505">
        <v>149.94999999999999</v>
      </c>
      <c r="K1327" s="505">
        <v>89.97</v>
      </c>
      <c r="L1327" s="70"/>
    </row>
    <row r="1328" spans="1:12" ht="25.5" x14ac:dyDescent="0.25">
      <c r="A1328" s="501" t="s">
        <v>1732</v>
      </c>
      <c r="B1328" s="502" t="s">
        <v>2147</v>
      </c>
      <c r="C1328" s="501" t="s">
        <v>993</v>
      </c>
      <c r="D1328" s="501" t="s">
        <v>2148</v>
      </c>
      <c r="E1328" s="602" t="s">
        <v>1746</v>
      </c>
      <c r="F1328" s="602"/>
      <c r="G1328" s="503" t="s">
        <v>45</v>
      </c>
      <c r="H1328" s="504">
        <v>0.6</v>
      </c>
      <c r="I1328" s="504"/>
      <c r="J1328" s="505">
        <v>159.69999999999999</v>
      </c>
      <c r="K1328" s="505">
        <v>95.82</v>
      </c>
      <c r="L1328" s="70"/>
    </row>
    <row r="1329" spans="1:12" ht="15.75" customHeight="1" x14ac:dyDescent="0.25">
      <c r="A1329" s="445"/>
      <c r="B1329" s="445"/>
      <c r="C1329" s="445"/>
      <c r="D1329" s="445"/>
      <c r="E1329" s="445" t="s">
        <v>1735</v>
      </c>
      <c r="F1329" s="506">
        <v>29.24</v>
      </c>
      <c r="G1329" s="445" t="s">
        <v>1736</v>
      </c>
      <c r="H1329" s="506">
        <v>0</v>
      </c>
      <c r="I1329" s="445" t="s">
        <v>1737</v>
      </c>
      <c r="J1329" s="506">
        <v>29.24</v>
      </c>
      <c r="K1329" s="70"/>
      <c r="L1329" s="70"/>
    </row>
    <row r="1330" spans="1:12" ht="17.25" thickBot="1" x14ac:dyDescent="0.3">
      <c r="A1330" s="445"/>
      <c r="B1330" s="445"/>
      <c r="C1330" s="445"/>
      <c r="D1330" s="445"/>
      <c r="E1330" s="445" t="s">
        <v>1738</v>
      </c>
      <c r="F1330" s="506">
        <v>52.983392000000002</v>
      </c>
      <c r="G1330" s="445"/>
      <c r="H1330" s="606" t="s">
        <v>1739</v>
      </c>
      <c r="I1330" s="606"/>
      <c r="J1330" s="506">
        <v>268.01</v>
      </c>
      <c r="K1330" s="70"/>
      <c r="L1330" s="70"/>
    </row>
    <row r="1331" spans="1:12" ht="17.25" thickTop="1" x14ac:dyDescent="0.25">
      <c r="A1331" s="507"/>
      <c r="B1331" s="507"/>
      <c r="C1331" s="507"/>
      <c r="D1331" s="507"/>
      <c r="E1331" s="507"/>
      <c r="F1331" s="507"/>
      <c r="G1331" s="507"/>
      <c r="H1331" s="507"/>
      <c r="I1331" s="507"/>
      <c r="J1331" s="507"/>
      <c r="K1331" s="507"/>
      <c r="L1331" s="70"/>
    </row>
    <row r="1332" spans="1:12" ht="16.5" x14ac:dyDescent="0.25">
      <c r="A1332" s="419" t="s">
        <v>1451</v>
      </c>
      <c r="B1332" s="421" t="s">
        <v>76</v>
      </c>
      <c r="C1332" s="419" t="s">
        <v>991</v>
      </c>
      <c r="D1332" s="419" t="s">
        <v>191</v>
      </c>
      <c r="E1332" s="603" t="s">
        <v>77</v>
      </c>
      <c r="F1332" s="603"/>
      <c r="G1332" s="420" t="s">
        <v>103</v>
      </c>
      <c r="H1332" s="421" t="s">
        <v>147</v>
      </c>
      <c r="I1332" s="421" t="s">
        <v>1731</v>
      </c>
      <c r="J1332" s="421" t="s">
        <v>1117</v>
      </c>
      <c r="K1332" s="421" t="s">
        <v>104</v>
      </c>
      <c r="L1332" s="70"/>
    </row>
    <row r="1333" spans="1:12" ht="25.5" x14ac:dyDescent="0.25">
      <c r="A1333" s="441" t="s">
        <v>79</v>
      </c>
      <c r="B1333" s="480" t="s">
        <v>1452</v>
      </c>
      <c r="C1333" s="441" t="s">
        <v>1168</v>
      </c>
      <c r="D1333" s="441" t="s">
        <v>381</v>
      </c>
      <c r="E1333" s="604">
        <v>720</v>
      </c>
      <c r="F1333" s="604"/>
      <c r="G1333" s="443" t="s">
        <v>1141</v>
      </c>
      <c r="H1333" s="500">
        <v>1</v>
      </c>
      <c r="I1333" s="442"/>
      <c r="J1333" s="442">
        <v>695</v>
      </c>
      <c r="K1333" s="442">
        <v>695</v>
      </c>
      <c r="L1333" s="70"/>
    </row>
    <row r="1334" spans="1:12" ht="25.5" x14ac:dyDescent="0.25">
      <c r="A1334" s="501" t="s">
        <v>1732</v>
      </c>
      <c r="B1334" s="502" t="s">
        <v>2331</v>
      </c>
      <c r="C1334" s="501" t="s">
        <v>993</v>
      </c>
      <c r="D1334" s="501" t="s">
        <v>2332</v>
      </c>
      <c r="E1334" s="602" t="s">
        <v>1746</v>
      </c>
      <c r="F1334" s="602"/>
      <c r="G1334" s="503" t="s">
        <v>49</v>
      </c>
      <c r="H1334" s="504">
        <v>1</v>
      </c>
      <c r="I1334" s="504">
        <v>0</v>
      </c>
      <c r="J1334" s="505">
        <v>695</v>
      </c>
      <c r="K1334" s="505">
        <v>695</v>
      </c>
      <c r="L1334" s="70"/>
    </row>
    <row r="1335" spans="1:12" ht="15.75" customHeight="1" x14ac:dyDescent="0.25">
      <c r="A1335" s="445"/>
      <c r="B1335" s="445"/>
      <c r="C1335" s="445"/>
      <c r="D1335" s="445"/>
      <c r="E1335" s="445" t="s">
        <v>1735</v>
      </c>
      <c r="F1335" s="506">
        <v>0</v>
      </c>
      <c r="G1335" s="445" t="s">
        <v>1736</v>
      </c>
      <c r="H1335" s="506">
        <v>0</v>
      </c>
      <c r="I1335" s="445" t="s">
        <v>1737</v>
      </c>
      <c r="J1335" s="506">
        <v>0</v>
      </c>
      <c r="K1335" s="70"/>
      <c r="L1335" s="70"/>
    </row>
    <row r="1336" spans="1:12" ht="17.25" thickBot="1" x14ac:dyDescent="0.3">
      <c r="A1336" s="445"/>
      <c r="B1336" s="445"/>
      <c r="C1336" s="445"/>
      <c r="D1336" s="445"/>
      <c r="E1336" s="445" t="s">
        <v>1738</v>
      </c>
      <c r="F1336" s="506">
        <v>171.24799999999999</v>
      </c>
      <c r="G1336" s="445"/>
      <c r="H1336" s="606" t="s">
        <v>1739</v>
      </c>
      <c r="I1336" s="606"/>
      <c r="J1336" s="506">
        <v>866.24</v>
      </c>
      <c r="K1336" s="70"/>
      <c r="L1336" s="70"/>
    </row>
    <row r="1337" spans="1:12" ht="17.25" thickTop="1" x14ac:dyDescent="0.25">
      <c r="A1337" s="507"/>
      <c r="B1337" s="507"/>
      <c r="C1337" s="507"/>
      <c r="D1337" s="507"/>
      <c r="E1337" s="507"/>
      <c r="F1337" s="507"/>
      <c r="G1337" s="507"/>
      <c r="H1337" s="507"/>
      <c r="I1337" s="507"/>
      <c r="J1337" s="507"/>
      <c r="K1337" s="507"/>
      <c r="L1337" s="70"/>
    </row>
    <row r="1338" spans="1:12" ht="16.5" x14ac:dyDescent="0.25">
      <c r="A1338" s="419" t="s">
        <v>1453</v>
      </c>
      <c r="B1338" s="421" t="s">
        <v>76</v>
      </c>
      <c r="C1338" s="419" t="s">
        <v>991</v>
      </c>
      <c r="D1338" s="419" t="s">
        <v>191</v>
      </c>
      <c r="E1338" s="603" t="s">
        <v>77</v>
      </c>
      <c r="F1338" s="603"/>
      <c r="G1338" s="420" t="s">
        <v>103</v>
      </c>
      <c r="H1338" s="421" t="s">
        <v>147</v>
      </c>
      <c r="I1338" s="421" t="s">
        <v>1731</v>
      </c>
      <c r="J1338" s="421" t="s">
        <v>1117</v>
      </c>
      <c r="K1338" s="421" t="s">
        <v>104</v>
      </c>
      <c r="L1338" s="70"/>
    </row>
    <row r="1339" spans="1:12" ht="25.5" x14ac:dyDescent="0.25">
      <c r="A1339" s="441" t="s">
        <v>79</v>
      </c>
      <c r="B1339" s="480" t="s">
        <v>1454</v>
      </c>
      <c r="C1339" s="441" t="s">
        <v>993</v>
      </c>
      <c r="D1339" s="441" t="s">
        <v>1455</v>
      </c>
      <c r="E1339" s="604">
        <v>719</v>
      </c>
      <c r="F1339" s="604"/>
      <c r="G1339" s="443" t="s">
        <v>45</v>
      </c>
      <c r="H1339" s="500">
        <v>1</v>
      </c>
      <c r="I1339" s="442"/>
      <c r="J1339" s="442">
        <v>59.5</v>
      </c>
      <c r="K1339" s="442">
        <v>59.5</v>
      </c>
      <c r="L1339" s="70"/>
    </row>
    <row r="1340" spans="1:12" ht="25.5" x14ac:dyDescent="0.25">
      <c r="A1340" s="501" t="s">
        <v>1732</v>
      </c>
      <c r="B1340" s="502" t="s">
        <v>992</v>
      </c>
      <c r="C1340" s="501" t="s">
        <v>993</v>
      </c>
      <c r="D1340" s="501" t="s">
        <v>994</v>
      </c>
      <c r="E1340" s="602" t="s">
        <v>972</v>
      </c>
      <c r="F1340" s="602"/>
      <c r="G1340" s="503" t="s">
        <v>81</v>
      </c>
      <c r="H1340" s="504">
        <v>4.07</v>
      </c>
      <c r="I1340" s="504"/>
      <c r="J1340" s="505">
        <v>14.62</v>
      </c>
      <c r="K1340" s="505">
        <v>59.5</v>
      </c>
      <c r="L1340" s="70"/>
    </row>
    <row r="1341" spans="1:12" ht="15.75" customHeight="1" x14ac:dyDescent="0.25">
      <c r="A1341" s="445"/>
      <c r="B1341" s="445"/>
      <c r="C1341" s="445"/>
      <c r="D1341" s="445"/>
      <c r="E1341" s="445" t="s">
        <v>1735</v>
      </c>
      <c r="F1341" s="506">
        <v>59.5</v>
      </c>
      <c r="G1341" s="445" t="s">
        <v>1736</v>
      </c>
      <c r="H1341" s="506">
        <v>0</v>
      </c>
      <c r="I1341" s="445" t="s">
        <v>1737</v>
      </c>
      <c r="J1341" s="506">
        <v>59.5</v>
      </c>
      <c r="K1341" s="70"/>
      <c r="L1341" s="70"/>
    </row>
    <row r="1342" spans="1:12" ht="17.25" thickBot="1" x14ac:dyDescent="0.3">
      <c r="A1342" s="445"/>
      <c r="B1342" s="445"/>
      <c r="C1342" s="445"/>
      <c r="D1342" s="445"/>
      <c r="E1342" s="445" t="s">
        <v>1738</v>
      </c>
      <c r="F1342" s="506">
        <v>14.6608</v>
      </c>
      <c r="G1342" s="445"/>
      <c r="H1342" s="606" t="s">
        <v>1739</v>
      </c>
      <c r="I1342" s="606"/>
      <c r="J1342" s="506">
        <v>74.16</v>
      </c>
      <c r="K1342" s="70"/>
      <c r="L1342" s="70"/>
    </row>
    <row r="1343" spans="1:12" ht="17.25" thickTop="1" x14ac:dyDescent="0.25">
      <c r="A1343" s="507"/>
      <c r="B1343" s="507"/>
      <c r="C1343" s="507"/>
      <c r="D1343" s="507"/>
      <c r="E1343" s="507"/>
      <c r="F1343" s="507"/>
      <c r="G1343" s="507"/>
      <c r="H1343" s="507"/>
      <c r="I1343" s="507"/>
      <c r="J1343" s="507"/>
      <c r="K1343" s="507"/>
      <c r="L1343" s="70"/>
    </row>
    <row r="1344" spans="1:12" ht="16.5" x14ac:dyDescent="0.25">
      <c r="A1344" s="419" t="s">
        <v>1456</v>
      </c>
      <c r="B1344" s="421" t="s">
        <v>76</v>
      </c>
      <c r="C1344" s="419" t="s">
        <v>991</v>
      </c>
      <c r="D1344" s="419" t="s">
        <v>191</v>
      </c>
      <c r="E1344" s="603" t="s">
        <v>77</v>
      </c>
      <c r="F1344" s="603"/>
      <c r="G1344" s="420" t="s">
        <v>103</v>
      </c>
      <c r="H1344" s="421" t="s">
        <v>147</v>
      </c>
      <c r="I1344" s="421" t="s">
        <v>1731</v>
      </c>
      <c r="J1344" s="421" t="s">
        <v>1117</v>
      </c>
      <c r="K1344" s="421" t="s">
        <v>104</v>
      </c>
      <c r="L1344" s="70"/>
    </row>
    <row r="1345" spans="1:12" ht="25.5" x14ac:dyDescent="0.25">
      <c r="A1345" s="441" t="s">
        <v>79</v>
      </c>
      <c r="B1345" s="480" t="s">
        <v>1457</v>
      </c>
      <c r="C1345" s="441" t="s">
        <v>993</v>
      </c>
      <c r="D1345" s="441" t="s">
        <v>1458</v>
      </c>
      <c r="E1345" s="604">
        <v>720</v>
      </c>
      <c r="F1345" s="604"/>
      <c r="G1345" s="443" t="s">
        <v>81</v>
      </c>
      <c r="H1345" s="500">
        <v>1</v>
      </c>
      <c r="I1345" s="442"/>
      <c r="J1345" s="442">
        <v>200</v>
      </c>
      <c r="K1345" s="442">
        <v>200</v>
      </c>
      <c r="L1345" s="70"/>
    </row>
    <row r="1346" spans="1:12" ht="25.5" x14ac:dyDescent="0.25">
      <c r="A1346" s="501" t="s">
        <v>1732</v>
      </c>
      <c r="B1346" s="502" t="s">
        <v>2333</v>
      </c>
      <c r="C1346" s="501" t="s">
        <v>993</v>
      </c>
      <c r="D1346" s="501" t="s">
        <v>2334</v>
      </c>
      <c r="E1346" s="602" t="s">
        <v>1746</v>
      </c>
      <c r="F1346" s="602"/>
      <c r="G1346" s="503" t="s">
        <v>80</v>
      </c>
      <c r="H1346" s="504">
        <v>1</v>
      </c>
      <c r="I1346" s="504"/>
      <c r="J1346" s="505">
        <v>200</v>
      </c>
      <c r="K1346" s="505">
        <v>200</v>
      </c>
      <c r="L1346" s="70"/>
    </row>
    <row r="1347" spans="1:12" ht="15.75" customHeight="1" x14ac:dyDescent="0.25">
      <c r="A1347" s="445"/>
      <c r="B1347" s="445"/>
      <c r="C1347" s="445"/>
      <c r="D1347" s="445"/>
      <c r="E1347" s="445" t="s">
        <v>1735</v>
      </c>
      <c r="F1347" s="506">
        <v>0</v>
      </c>
      <c r="G1347" s="445" t="s">
        <v>1736</v>
      </c>
      <c r="H1347" s="506">
        <v>0</v>
      </c>
      <c r="I1347" s="445" t="s">
        <v>1737</v>
      </c>
      <c r="J1347" s="506">
        <v>0</v>
      </c>
      <c r="K1347" s="70"/>
      <c r="L1347" s="70"/>
    </row>
    <row r="1348" spans="1:12" ht="17.25" thickBot="1" x14ac:dyDescent="0.3">
      <c r="A1348" s="445"/>
      <c r="B1348" s="445"/>
      <c r="C1348" s="445"/>
      <c r="D1348" s="445"/>
      <c r="E1348" s="445" t="s">
        <v>1738</v>
      </c>
      <c r="F1348" s="506">
        <v>49.28</v>
      </c>
      <c r="G1348" s="445"/>
      <c r="H1348" s="606" t="s">
        <v>1739</v>
      </c>
      <c r="I1348" s="606"/>
      <c r="J1348" s="506">
        <v>249.28</v>
      </c>
      <c r="K1348" s="70"/>
      <c r="L1348" s="70"/>
    </row>
    <row r="1349" spans="1:12" ht="17.25" thickTop="1" x14ac:dyDescent="0.25">
      <c r="A1349" s="507"/>
      <c r="B1349" s="507"/>
      <c r="C1349" s="507"/>
      <c r="D1349" s="507"/>
      <c r="E1349" s="507"/>
      <c r="F1349" s="507"/>
      <c r="G1349" s="507"/>
      <c r="H1349" s="507"/>
      <c r="I1349" s="507"/>
      <c r="J1349" s="507"/>
      <c r="K1349" s="507"/>
      <c r="L1349" s="70"/>
    </row>
    <row r="1350" spans="1:12" ht="16.5" x14ac:dyDescent="0.25">
      <c r="A1350" s="419" t="s">
        <v>1459</v>
      </c>
      <c r="B1350" s="421" t="s">
        <v>76</v>
      </c>
      <c r="C1350" s="419" t="s">
        <v>991</v>
      </c>
      <c r="D1350" s="419" t="s">
        <v>191</v>
      </c>
      <c r="E1350" s="603" t="s">
        <v>77</v>
      </c>
      <c r="F1350" s="603"/>
      <c r="G1350" s="420" t="s">
        <v>103</v>
      </c>
      <c r="H1350" s="421" t="s">
        <v>147</v>
      </c>
      <c r="I1350" s="421" t="s">
        <v>1731</v>
      </c>
      <c r="J1350" s="421" t="s">
        <v>1117</v>
      </c>
      <c r="K1350" s="421" t="s">
        <v>104</v>
      </c>
      <c r="L1350" s="70"/>
    </row>
    <row r="1351" spans="1:12" ht="38.25" x14ac:dyDescent="0.25">
      <c r="A1351" s="441" t="s">
        <v>79</v>
      </c>
      <c r="B1351" s="480" t="s">
        <v>1460</v>
      </c>
      <c r="C1351" s="441" t="s">
        <v>993</v>
      </c>
      <c r="D1351" s="441" t="s">
        <v>1461</v>
      </c>
      <c r="E1351" s="604">
        <v>717</v>
      </c>
      <c r="F1351" s="604"/>
      <c r="G1351" s="443" t="s">
        <v>19</v>
      </c>
      <c r="H1351" s="500">
        <v>1</v>
      </c>
      <c r="I1351" s="442"/>
      <c r="J1351" s="442">
        <v>466.51</v>
      </c>
      <c r="K1351" s="442">
        <v>466.51</v>
      </c>
      <c r="L1351" s="70"/>
    </row>
    <row r="1352" spans="1:12" ht="25.5" x14ac:dyDescent="0.25">
      <c r="A1352" s="501" t="s">
        <v>1732</v>
      </c>
      <c r="B1352" s="502" t="s">
        <v>999</v>
      </c>
      <c r="C1352" s="501" t="s">
        <v>993</v>
      </c>
      <c r="D1352" s="501" t="s">
        <v>1000</v>
      </c>
      <c r="E1352" s="602" t="s">
        <v>972</v>
      </c>
      <c r="F1352" s="602"/>
      <c r="G1352" s="503" t="s">
        <v>81</v>
      </c>
      <c r="H1352" s="504">
        <v>0.49</v>
      </c>
      <c r="I1352" s="504"/>
      <c r="J1352" s="505">
        <v>16.04</v>
      </c>
      <c r="K1352" s="505">
        <v>7.85</v>
      </c>
      <c r="L1352" s="70"/>
    </row>
    <row r="1353" spans="1:12" ht="25.5" x14ac:dyDescent="0.25">
      <c r="A1353" s="501" t="s">
        <v>1732</v>
      </c>
      <c r="B1353" s="502" t="s">
        <v>1023</v>
      </c>
      <c r="C1353" s="501" t="s">
        <v>993</v>
      </c>
      <c r="D1353" s="501" t="s">
        <v>1024</v>
      </c>
      <c r="E1353" s="602" t="s">
        <v>972</v>
      </c>
      <c r="F1353" s="602"/>
      <c r="G1353" s="503" t="s">
        <v>81</v>
      </c>
      <c r="H1353" s="504">
        <v>0.16</v>
      </c>
      <c r="I1353" s="504"/>
      <c r="J1353" s="505">
        <v>17.559999999999999</v>
      </c>
      <c r="K1353" s="505">
        <v>2.8</v>
      </c>
      <c r="L1353" s="70"/>
    </row>
    <row r="1354" spans="1:12" ht="25.5" x14ac:dyDescent="0.25">
      <c r="A1354" s="501" t="s">
        <v>1732</v>
      </c>
      <c r="B1354" s="502" t="s">
        <v>1003</v>
      </c>
      <c r="C1354" s="501" t="s">
        <v>993</v>
      </c>
      <c r="D1354" s="501" t="s">
        <v>1004</v>
      </c>
      <c r="E1354" s="602" t="s">
        <v>972</v>
      </c>
      <c r="F1354" s="602"/>
      <c r="G1354" s="503" t="s">
        <v>81</v>
      </c>
      <c r="H1354" s="504">
        <v>3.26</v>
      </c>
      <c r="I1354" s="504"/>
      <c r="J1354" s="505">
        <v>23.41</v>
      </c>
      <c r="K1354" s="505">
        <v>76.31</v>
      </c>
      <c r="L1354" s="70"/>
    </row>
    <row r="1355" spans="1:12" ht="25.5" x14ac:dyDescent="0.25">
      <c r="A1355" s="501" t="s">
        <v>1732</v>
      </c>
      <c r="B1355" s="502" t="s">
        <v>1007</v>
      </c>
      <c r="C1355" s="501" t="s">
        <v>993</v>
      </c>
      <c r="D1355" s="501" t="s">
        <v>1008</v>
      </c>
      <c r="E1355" s="602" t="s">
        <v>972</v>
      </c>
      <c r="F1355" s="602"/>
      <c r="G1355" s="503" t="s">
        <v>81</v>
      </c>
      <c r="H1355" s="504">
        <v>0.31</v>
      </c>
      <c r="I1355" s="504"/>
      <c r="J1355" s="505">
        <v>23.41</v>
      </c>
      <c r="K1355" s="505">
        <v>7.25</v>
      </c>
      <c r="L1355" s="70"/>
    </row>
    <row r="1356" spans="1:12" ht="25.5" x14ac:dyDescent="0.25">
      <c r="A1356" s="501" t="s">
        <v>1732</v>
      </c>
      <c r="B1356" s="502" t="s">
        <v>1009</v>
      </c>
      <c r="C1356" s="501" t="s">
        <v>993</v>
      </c>
      <c r="D1356" s="501" t="s">
        <v>1010</v>
      </c>
      <c r="E1356" s="602" t="s">
        <v>972</v>
      </c>
      <c r="F1356" s="602"/>
      <c r="G1356" s="503" t="s">
        <v>81</v>
      </c>
      <c r="H1356" s="504">
        <v>0.69</v>
      </c>
      <c r="I1356" s="504"/>
      <c r="J1356" s="505">
        <v>23.41</v>
      </c>
      <c r="K1356" s="505">
        <v>16.149999999999999</v>
      </c>
      <c r="L1356" s="70"/>
    </row>
    <row r="1357" spans="1:12" ht="25.5" x14ac:dyDescent="0.25">
      <c r="A1357" s="501" t="s">
        <v>1732</v>
      </c>
      <c r="B1357" s="502" t="s">
        <v>1025</v>
      </c>
      <c r="C1357" s="501" t="s">
        <v>993</v>
      </c>
      <c r="D1357" s="501" t="s">
        <v>1026</v>
      </c>
      <c r="E1357" s="602" t="s">
        <v>972</v>
      </c>
      <c r="F1357" s="602"/>
      <c r="G1357" s="503" t="s">
        <v>81</v>
      </c>
      <c r="H1357" s="504">
        <v>0.76</v>
      </c>
      <c r="I1357" s="504"/>
      <c r="J1357" s="505">
        <v>23.41</v>
      </c>
      <c r="K1357" s="505">
        <v>17.79</v>
      </c>
      <c r="L1357" s="70"/>
    </row>
    <row r="1358" spans="1:12" ht="25.5" x14ac:dyDescent="0.25">
      <c r="A1358" s="501" t="s">
        <v>1732</v>
      </c>
      <c r="B1358" s="502" t="s">
        <v>992</v>
      </c>
      <c r="C1358" s="501" t="s">
        <v>993</v>
      </c>
      <c r="D1358" s="501" t="s">
        <v>994</v>
      </c>
      <c r="E1358" s="602" t="s">
        <v>972</v>
      </c>
      <c r="F1358" s="602"/>
      <c r="G1358" s="503" t="s">
        <v>81</v>
      </c>
      <c r="H1358" s="504">
        <v>5.7</v>
      </c>
      <c r="I1358" s="504"/>
      <c r="J1358" s="505">
        <v>14.62</v>
      </c>
      <c r="K1358" s="505">
        <v>83.33</v>
      </c>
      <c r="L1358" s="70"/>
    </row>
    <row r="1359" spans="1:12" ht="25.5" x14ac:dyDescent="0.25">
      <c r="A1359" s="501" t="s">
        <v>1732</v>
      </c>
      <c r="B1359" s="502" t="s">
        <v>1994</v>
      </c>
      <c r="C1359" s="501" t="s">
        <v>993</v>
      </c>
      <c r="D1359" s="501" t="s">
        <v>1995</v>
      </c>
      <c r="E1359" s="602" t="s">
        <v>1746</v>
      </c>
      <c r="F1359" s="602"/>
      <c r="G1359" s="503" t="s">
        <v>49</v>
      </c>
      <c r="H1359" s="504">
        <v>183.02</v>
      </c>
      <c r="I1359" s="504"/>
      <c r="J1359" s="505">
        <v>0.51</v>
      </c>
      <c r="K1359" s="505">
        <v>93.34</v>
      </c>
      <c r="L1359" s="70"/>
    </row>
    <row r="1360" spans="1:12" ht="25.5" x14ac:dyDescent="0.25">
      <c r="A1360" s="501" t="s">
        <v>1732</v>
      </c>
      <c r="B1360" s="502" t="s">
        <v>2000</v>
      </c>
      <c r="C1360" s="501" t="s">
        <v>993</v>
      </c>
      <c r="D1360" s="501" t="s">
        <v>2001</v>
      </c>
      <c r="E1360" s="602" t="s">
        <v>1746</v>
      </c>
      <c r="F1360" s="602"/>
      <c r="G1360" s="503" t="s">
        <v>1751</v>
      </c>
      <c r="H1360" s="504">
        <v>0.49</v>
      </c>
      <c r="I1360" s="504"/>
      <c r="J1360" s="505">
        <v>23.5</v>
      </c>
      <c r="K1360" s="505">
        <v>11.51</v>
      </c>
      <c r="L1360" s="70"/>
    </row>
    <row r="1361" spans="1:12" ht="25.5" x14ac:dyDescent="0.25">
      <c r="A1361" s="501" t="s">
        <v>1732</v>
      </c>
      <c r="B1361" s="502" t="s">
        <v>1798</v>
      </c>
      <c r="C1361" s="501" t="s">
        <v>993</v>
      </c>
      <c r="D1361" s="501" t="s">
        <v>1799</v>
      </c>
      <c r="E1361" s="602" t="s">
        <v>1746</v>
      </c>
      <c r="F1361" s="602"/>
      <c r="G1361" s="503" t="s">
        <v>41</v>
      </c>
      <c r="H1361" s="504">
        <v>0.01</v>
      </c>
      <c r="I1361" s="504"/>
      <c r="J1361" s="505">
        <v>8.2100000000000009</v>
      </c>
      <c r="K1361" s="505">
        <v>0.08</v>
      </c>
      <c r="L1361" s="70"/>
    </row>
    <row r="1362" spans="1:12" ht="25.5" x14ac:dyDescent="0.25">
      <c r="A1362" s="501" t="s">
        <v>1732</v>
      </c>
      <c r="B1362" s="502" t="s">
        <v>1796</v>
      </c>
      <c r="C1362" s="501" t="s">
        <v>993</v>
      </c>
      <c r="D1362" s="501" t="s">
        <v>1797</v>
      </c>
      <c r="E1362" s="602" t="s">
        <v>1746</v>
      </c>
      <c r="F1362" s="602"/>
      <c r="G1362" s="503" t="s">
        <v>1222</v>
      </c>
      <c r="H1362" s="504">
        <v>0.14000000000000001</v>
      </c>
      <c r="I1362" s="504"/>
      <c r="J1362" s="505">
        <v>21.99</v>
      </c>
      <c r="K1362" s="505">
        <v>3.07</v>
      </c>
      <c r="L1362" s="70"/>
    </row>
    <row r="1363" spans="1:12" ht="25.5" x14ac:dyDescent="0.25">
      <c r="A1363" s="501" t="s">
        <v>1732</v>
      </c>
      <c r="B1363" s="502" t="s">
        <v>1950</v>
      </c>
      <c r="C1363" s="501" t="s">
        <v>993</v>
      </c>
      <c r="D1363" s="501" t="s">
        <v>1951</v>
      </c>
      <c r="E1363" s="602" t="s">
        <v>1746</v>
      </c>
      <c r="F1363" s="602"/>
      <c r="G1363" s="503" t="s">
        <v>41</v>
      </c>
      <c r="H1363" s="504">
        <v>0.6</v>
      </c>
      <c r="I1363" s="504"/>
      <c r="J1363" s="505">
        <v>6.74</v>
      </c>
      <c r="K1363" s="505">
        <v>4.04</v>
      </c>
      <c r="L1363" s="70"/>
    </row>
    <row r="1364" spans="1:12" ht="25.5" x14ac:dyDescent="0.25">
      <c r="A1364" s="501" t="s">
        <v>1732</v>
      </c>
      <c r="B1364" s="502" t="s">
        <v>2004</v>
      </c>
      <c r="C1364" s="501" t="s">
        <v>993</v>
      </c>
      <c r="D1364" s="501" t="s">
        <v>2005</v>
      </c>
      <c r="E1364" s="602" t="s">
        <v>1746</v>
      </c>
      <c r="F1364" s="602"/>
      <c r="G1364" s="503" t="s">
        <v>1751</v>
      </c>
      <c r="H1364" s="504">
        <v>0.26</v>
      </c>
      <c r="I1364" s="504"/>
      <c r="J1364" s="505">
        <v>8.85</v>
      </c>
      <c r="K1364" s="505">
        <v>2.2999999999999998</v>
      </c>
      <c r="L1364" s="70"/>
    </row>
    <row r="1365" spans="1:12" ht="25.5" x14ac:dyDescent="0.25">
      <c r="A1365" s="501" t="s">
        <v>1732</v>
      </c>
      <c r="B1365" s="502" t="s">
        <v>2006</v>
      </c>
      <c r="C1365" s="501" t="s">
        <v>993</v>
      </c>
      <c r="D1365" s="501" t="s">
        <v>2007</v>
      </c>
      <c r="E1365" s="602" t="s">
        <v>1746</v>
      </c>
      <c r="F1365" s="602"/>
      <c r="G1365" s="503" t="s">
        <v>1222</v>
      </c>
      <c r="H1365" s="504">
        <v>0.1</v>
      </c>
      <c r="I1365" s="504"/>
      <c r="J1365" s="505">
        <v>7.5</v>
      </c>
      <c r="K1365" s="505">
        <v>0.75</v>
      </c>
      <c r="L1365" s="70"/>
    </row>
    <row r="1366" spans="1:12" ht="25.5" x14ac:dyDescent="0.25">
      <c r="A1366" s="501" t="s">
        <v>1732</v>
      </c>
      <c r="B1366" s="502" t="s">
        <v>1936</v>
      </c>
      <c r="C1366" s="501" t="s">
        <v>993</v>
      </c>
      <c r="D1366" s="501" t="s">
        <v>1937</v>
      </c>
      <c r="E1366" s="602" t="s">
        <v>1746</v>
      </c>
      <c r="F1366" s="602"/>
      <c r="G1366" s="503" t="s">
        <v>41</v>
      </c>
      <c r="H1366" s="504">
        <v>0.84</v>
      </c>
      <c r="I1366" s="504"/>
      <c r="J1366" s="505">
        <v>12.8</v>
      </c>
      <c r="K1366" s="505">
        <v>10.75</v>
      </c>
      <c r="L1366" s="70"/>
    </row>
    <row r="1367" spans="1:12" ht="25.5" x14ac:dyDescent="0.25">
      <c r="A1367" s="501" t="s">
        <v>1732</v>
      </c>
      <c r="B1367" s="502" t="s">
        <v>1986</v>
      </c>
      <c r="C1367" s="501" t="s">
        <v>993</v>
      </c>
      <c r="D1367" s="501" t="s">
        <v>1987</v>
      </c>
      <c r="E1367" s="602" t="s">
        <v>1746</v>
      </c>
      <c r="F1367" s="602"/>
      <c r="G1367" s="503" t="s">
        <v>49</v>
      </c>
      <c r="H1367" s="504">
        <v>0.22</v>
      </c>
      <c r="I1367" s="504"/>
      <c r="J1367" s="505">
        <v>1.1599999999999999</v>
      </c>
      <c r="K1367" s="505">
        <v>0.25</v>
      </c>
      <c r="L1367" s="70"/>
    </row>
    <row r="1368" spans="1:12" ht="25.5" x14ac:dyDescent="0.25">
      <c r="A1368" s="501" t="s">
        <v>1732</v>
      </c>
      <c r="B1368" s="502" t="s">
        <v>1837</v>
      </c>
      <c r="C1368" s="501" t="s">
        <v>993</v>
      </c>
      <c r="D1368" s="501" t="s">
        <v>1838</v>
      </c>
      <c r="E1368" s="602" t="s">
        <v>1746</v>
      </c>
      <c r="F1368" s="602"/>
      <c r="G1368" s="503" t="s">
        <v>41</v>
      </c>
      <c r="H1368" s="504">
        <v>1.0900000000000001</v>
      </c>
      <c r="I1368" s="504"/>
      <c r="J1368" s="505">
        <v>3.44</v>
      </c>
      <c r="K1368" s="505">
        <v>3.74</v>
      </c>
      <c r="L1368" s="70"/>
    </row>
    <row r="1369" spans="1:12" ht="25.5" x14ac:dyDescent="0.25">
      <c r="A1369" s="501" t="s">
        <v>1732</v>
      </c>
      <c r="B1369" s="502" t="s">
        <v>2158</v>
      </c>
      <c r="C1369" s="501" t="s">
        <v>993</v>
      </c>
      <c r="D1369" s="501" t="s">
        <v>2159</v>
      </c>
      <c r="E1369" s="602" t="s">
        <v>1746</v>
      </c>
      <c r="F1369" s="602"/>
      <c r="G1369" s="503" t="s">
        <v>1751</v>
      </c>
      <c r="H1369" s="504">
        <v>0.05</v>
      </c>
      <c r="I1369" s="504"/>
      <c r="J1369" s="505">
        <v>9.73</v>
      </c>
      <c r="K1369" s="505">
        <v>0.48</v>
      </c>
      <c r="L1369" s="70"/>
    </row>
    <row r="1370" spans="1:12" ht="25.5" x14ac:dyDescent="0.25">
      <c r="A1370" s="501" t="s">
        <v>1732</v>
      </c>
      <c r="B1370" s="502" t="s">
        <v>1854</v>
      </c>
      <c r="C1370" s="501" t="s">
        <v>993</v>
      </c>
      <c r="D1370" s="501" t="s">
        <v>1855</v>
      </c>
      <c r="E1370" s="602" t="s">
        <v>1746</v>
      </c>
      <c r="F1370" s="602"/>
      <c r="G1370" s="503" t="s">
        <v>1222</v>
      </c>
      <c r="H1370" s="504">
        <v>38.299999999999997</v>
      </c>
      <c r="I1370" s="504"/>
      <c r="J1370" s="505">
        <v>0.65</v>
      </c>
      <c r="K1370" s="505">
        <v>24.89</v>
      </c>
      <c r="L1370" s="70"/>
    </row>
    <row r="1371" spans="1:12" ht="25.5" x14ac:dyDescent="0.25">
      <c r="A1371" s="501" t="s">
        <v>1732</v>
      </c>
      <c r="B1371" s="502" t="s">
        <v>1978</v>
      </c>
      <c r="C1371" s="501" t="s">
        <v>993</v>
      </c>
      <c r="D1371" s="501" t="s">
        <v>1979</v>
      </c>
      <c r="E1371" s="602" t="s">
        <v>1746</v>
      </c>
      <c r="F1371" s="602"/>
      <c r="G1371" s="503" t="s">
        <v>19</v>
      </c>
      <c r="H1371" s="504">
        <v>0.23</v>
      </c>
      <c r="I1371" s="504"/>
      <c r="J1371" s="505">
        <v>34.090000000000003</v>
      </c>
      <c r="K1371" s="505">
        <v>7.84</v>
      </c>
      <c r="L1371" s="70"/>
    </row>
    <row r="1372" spans="1:12" ht="25.5" x14ac:dyDescent="0.25">
      <c r="A1372" s="501" t="s">
        <v>1732</v>
      </c>
      <c r="B1372" s="502" t="s">
        <v>1974</v>
      </c>
      <c r="C1372" s="501" t="s">
        <v>993</v>
      </c>
      <c r="D1372" s="501" t="s">
        <v>1975</v>
      </c>
      <c r="E1372" s="602" t="s">
        <v>1746</v>
      </c>
      <c r="F1372" s="602"/>
      <c r="G1372" s="503" t="s">
        <v>45</v>
      </c>
      <c r="H1372" s="504">
        <v>0.2</v>
      </c>
      <c r="I1372" s="504"/>
      <c r="J1372" s="505">
        <v>172.18</v>
      </c>
      <c r="K1372" s="505">
        <v>34.43</v>
      </c>
      <c r="L1372" s="70"/>
    </row>
    <row r="1373" spans="1:12" ht="25.5" x14ac:dyDescent="0.25">
      <c r="A1373" s="501" t="s">
        <v>1732</v>
      </c>
      <c r="B1373" s="502" t="s">
        <v>2186</v>
      </c>
      <c r="C1373" s="501" t="s">
        <v>993</v>
      </c>
      <c r="D1373" s="501" t="s">
        <v>2187</v>
      </c>
      <c r="E1373" s="602" t="s">
        <v>1746</v>
      </c>
      <c r="F1373" s="602"/>
      <c r="G1373" s="503" t="s">
        <v>1222</v>
      </c>
      <c r="H1373" s="504">
        <v>4.4000000000000003E-3</v>
      </c>
      <c r="I1373" s="504"/>
      <c r="J1373" s="505">
        <v>16.78</v>
      </c>
      <c r="K1373" s="505">
        <v>7.0000000000000007E-2</v>
      </c>
      <c r="L1373" s="70"/>
    </row>
    <row r="1374" spans="1:12" ht="25.5" x14ac:dyDescent="0.25">
      <c r="A1374" s="501" t="s">
        <v>1732</v>
      </c>
      <c r="B1374" s="502" t="s">
        <v>2030</v>
      </c>
      <c r="C1374" s="501" t="s">
        <v>993</v>
      </c>
      <c r="D1374" s="501" t="s">
        <v>2031</v>
      </c>
      <c r="E1374" s="602" t="s">
        <v>1746</v>
      </c>
      <c r="F1374" s="602"/>
      <c r="G1374" s="503" t="s">
        <v>1222</v>
      </c>
      <c r="H1374" s="504">
        <v>0.08</v>
      </c>
      <c r="I1374" s="504"/>
      <c r="J1374" s="505">
        <v>14.28</v>
      </c>
      <c r="K1374" s="505">
        <v>1.1399999999999999</v>
      </c>
      <c r="L1374" s="70"/>
    </row>
    <row r="1375" spans="1:12" ht="25.5" x14ac:dyDescent="0.25">
      <c r="A1375" s="501" t="s">
        <v>1732</v>
      </c>
      <c r="B1375" s="502" t="s">
        <v>1872</v>
      </c>
      <c r="C1375" s="501" t="s">
        <v>993</v>
      </c>
      <c r="D1375" s="501" t="s">
        <v>1873</v>
      </c>
      <c r="E1375" s="602" t="s">
        <v>1746</v>
      </c>
      <c r="F1375" s="602"/>
      <c r="G1375" s="503" t="s">
        <v>45</v>
      </c>
      <c r="H1375" s="504">
        <v>0.03</v>
      </c>
      <c r="I1375" s="504"/>
      <c r="J1375" s="505">
        <v>149.94999999999999</v>
      </c>
      <c r="K1375" s="505">
        <v>4.49</v>
      </c>
      <c r="L1375" s="70"/>
    </row>
    <row r="1376" spans="1:12" ht="25.5" x14ac:dyDescent="0.25">
      <c r="A1376" s="501" t="s">
        <v>1732</v>
      </c>
      <c r="B1376" s="502" t="s">
        <v>2022</v>
      </c>
      <c r="C1376" s="501" t="s">
        <v>993</v>
      </c>
      <c r="D1376" s="501" t="s">
        <v>2023</v>
      </c>
      <c r="E1376" s="602" t="s">
        <v>1746</v>
      </c>
      <c r="F1376" s="602"/>
      <c r="G1376" s="503" t="s">
        <v>1222</v>
      </c>
      <c r="H1376" s="504">
        <v>17.95</v>
      </c>
      <c r="I1376" s="504"/>
      <c r="J1376" s="505">
        <v>0.99</v>
      </c>
      <c r="K1376" s="505">
        <v>17.77</v>
      </c>
      <c r="L1376" s="70"/>
    </row>
    <row r="1377" spans="1:12" ht="25.5" x14ac:dyDescent="0.25">
      <c r="A1377" s="501" t="s">
        <v>1732</v>
      </c>
      <c r="B1377" s="502" t="s">
        <v>1874</v>
      </c>
      <c r="C1377" s="501" t="s">
        <v>993</v>
      </c>
      <c r="D1377" s="501" t="s">
        <v>1875</v>
      </c>
      <c r="E1377" s="602" t="s">
        <v>1746</v>
      </c>
      <c r="F1377" s="602"/>
      <c r="G1377" s="503" t="s">
        <v>45</v>
      </c>
      <c r="H1377" s="504">
        <v>0.03</v>
      </c>
      <c r="I1377" s="504"/>
      <c r="J1377" s="505">
        <v>148.97999999999999</v>
      </c>
      <c r="K1377" s="505">
        <v>4.46</v>
      </c>
      <c r="L1377" s="70"/>
    </row>
    <row r="1378" spans="1:12" ht="25.5" x14ac:dyDescent="0.25">
      <c r="A1378" s="501" t="s">
        <v>1732</v>
      </c>
      <c r="B1378" s="502" t="s">
        <v>2160</v>
      </c>
      <c r="C1378" s="501" t="s">
        <v>993</v>
      </c>
      <c r="D1378" s="501" t="s">
        <v>2161</v>
      </c>
      <c r="E1378" s="602" t="s">
        <v>1746</v>
      </c>
      <c r="F1378" s="602"/>
      <c r="G1378" s="503" t="s">
        <v>1222</v>
      </c>
      <c r="H1378" s="504">
        <v>4.32</v>
      </c>
      <c r="I1378" s="504"/>
      <c r="J1378" s="505">
        <v>6.86</v>
      </c>
      <c r="K1378" s="505">
        <v>29.63</v>
      </c>
      <c r="L1378" s="70"/>
    </row>
    <row r="1379" spans="1:12" ht="15.75" customHeight="1" x14ac:dyDescent="0.25">
      <c r="A1379" s="445"/>
      <c r="B1379" s="445"/>
      <c r="C1379" s="445"/>
      <c r="D1379" s="445"/>
      <c r="E1379" s="445" t="s">
        <v>1735</v>
      </c>
      <c r="F1379" s="506">
        <v>211.48</v>
      </c>
      <c r="G1379" s="445" t="s">
        <v>1736</v>
      </c>
      <c r="H1379" s="506">
        <v>0</v>
      </c>
      <c r="I1379" s="445" t="s">
        <v>1737</v>
      </c>
      <c r="J1379" s="506">
        <v>211.48</v>
      </c>
      <c r="K1379" s="70"/>
      <c r="L1379" s="70"/>
    </row>
    <row r="1380" spans="1:12" ht="17.25" thickBot="1" x14ac:dyDescent="0.3">
      <c r="A1380" s="445"/>
      <c r="B1380" s="445"/>
      <c r="C1380" s="445"/>
      <c r="D1380" s="445"/>
      <c r="E1380" s="445" t="s">
        <v>1738</v>
      </c>
      <c r="F1380" s="506">
        <v>114.948064</v>
      </c>
      <c r="G1380" s="445"/>
      <c r="H1380" s="606" t="s">
        <v>1739</v>
      </c>
      <c r="I1380" s="606"/>
      <c r="J1380" s="506">
        <v>581.45000000000005</v>
      </c>
      <c r="K1380" s="70"/>
      <c r="L1380" s="70"/>
    </row>
    <row r="1381" spans="1:12" ht="17.25" thickTop="1" x14ac:dyDescent="0.25">
      <c r="A1381" s="507"/>
      <c r="B1381" s="507"/>
      <c r="C1381" s="507"/>
      <c r="D1381" s="507"/>
      <c r="E1381" s="507"/>
      <c r="F1381" s="507"/>
      <c r="G1381" s="507"/>
      <c r="H1381" s="507"/>
      <c r="I1381" s="507"/>
      <c r="J1381" s="507"/>
      <c r="K1381" s="507"/>
      <c r="L1381" s="70"/>
    </row>
    <row r="1382" spans="1:12" ht="16.5" x14ac:dyDescent="0.25">
      <c r="A1382" s="419" t="s">
        <v>1464</v>
      </c>
      <c r="B1382" s="421" t="s">
        <v>76</v>
      </c>
      <c r="C1382" s="419" t="s">
        <v>991</v>
      </c>
      <c r="D1382" s="419" t="s">
        <v>191</v>
      </c>
      <c r="E1382" s="603" t="s">
        <v>77</v>
      </c>
      <c r="F1382" s="603"/>
      <c r="G1382" s="420" t="s">
        <v>103</v>
      </c>
      <c r="H1382" s="421" t="s">
        <v>147</v>
      </c>
      <c r="I1382" s="421" t="s">
        <v>1731</v>
      </c>
      <c r="J1382" s="421" t="s">
        <v>1117</v>
      </c>
      <c r="K1382" s="421" t="s">
        <v>104</v>
      </c>
      <c r="L1382" s="70"/>
    </row>
    <row r="1383" spans="1:12" ht="25.5" x14ac:dyDescent="0.25">
      <c r="A1383" s="441" t="s">
        <v>79</v>
      </c>
      <c r="B1383" s="480" t="s">
        <v>1465</v>
      </c>
      <c r="C1383" s="441" t="s">
        <v>993</v>
      </c>
      <c r="D1383" s="441" t="s">
        <v>1466</v>
      </c>
      <c r="E1383" s="604">
        <v>712</v>
      </c>
      <c r="F1383" s="604"/>
      <c r="G1383" s="443" t="s">
        <v>130</v>
      </c>
      <c r="H1383" s="500">
        <v>1</v>
      </c>
      <c r="I1383" s="442"/>
      <c r="J1383" s="442">
        <v>16.850000000000001</v>
      </c>
      <c r="K1383" s="442">
        <v>16.850000000000001</v>
      </c>
      <c r="L1383" s="70"/>
    </row>
    <row r="1384" spans="1:12" ht="25.5" x14ac:dyDescent="0.25">
      <c r="A1384" s="501" t="s">
        <v>1732</v>
      </c>
      <c r="B1384" s="502" t="s">
        <v>999</v>
      </c>
      <c r="C1384" s="501" t="s">
        <v>993</v>
      </c>
      <c r="D1384" s="501" t="s">
        <v>1000</v>
      </c>
      <c r="E1384" s="602" t="s">
        <v>972</v>
      </c>
      <c r="F1384" s="602"/>
      <c r="G1384" s="503" t="s">
        <v>81</v>
      </c>
      <c r="H1384" s="504">
        <v>0.2</v>
      </c>
      <c r="I1384" s="504"/>
      <c r="J1384" s="505">
        <v>16.04</v>
      </c>
      <c r="K1384" s="505">
        <v>3.2</v>
      </c>
      <c r="L1384" s="70"/>
    </row>
    <row r="1385" spans="1:12" ht="25.5" x14ac:dyDescent="0.25">
      <c r="A1385" s="501" t="s">
        <v>1732</v>
      </c>
      <c r="B1385" s="502" t="s">
        <v>1021</v>
      </c>
      <c r="C1385" s="501" t="s">
        <v>993</v>
      </c>
      <c r="D1385" s="501" t="s">
        <v>1022</v>
      </c>
      <c r="E1385" s="602" t="s">
        <v>972</v>
      </c>
      <c r="F1385" s="602"/>
      <c r="G1385" s="503" t="s">
        <v>81</v>
      </c>
      <c r="H1385" s="504">
        <v>0.2</v>
      </c>
      <c r="I1385" s="504"/>
      <c r="J1385" s="505">
        <v>23.41</v>
      </c>
      <c r="K1385" s="505">
        <v>4.68</v>
      </c>
      <c r="L1385" s="70"/>
    </row>
    <row r="1386" spans="1:12" ht="25.5" x14ac:dyDescent="0.25">
      <c r="A1386" s="501" t="s">
        <v>1732</v>
      </c>
      <c r="B1386" s="502" t="s">
        <v>2335</v>
      </c>
      <c r="C1386" s="501" t="s">
        <v>993</v>
      </c>
      <c r="D1386" s="501" t="s">
        <v>1466</v>
      </c>
      <c r="E1386" s="602" t="s">
        <v>1746</v>
      </c>
      <c r="F1386" s="602"/>
      <c r="G1386" s="503" t="s">
        <v>41</v>
      </c>
      <c r="H1386" s="504">
        <v>1</v>
      </c>
      <c r="I1386" s="504"/>
      <c r="J1386" s="505">
        <v>8.9700000000000006</v>
      </c>
      <c r="K1386" s="505">
        <v>8.9700000000000006</v>
      </c>
      <c r="L1386" s="70"/>
    </row>
    <row r="1387" spans="1:12" ht="15.75" customHeight="1" x14ac:dyDescent="0.25">
      <c r="A1387" s="445"/>
      <c r="B1387" s="445"/>
      <c r="C1387" s="445"/>
      <c r="D1387" s="445"/>
      <c r="E1387" s="445" t="s">
        <v>1735</v>
      </c>
      <c r="F1387" s="506">
        <v>7.88</v>
      </c>
      <c r="G1387" s="445" t="s">
        <v>1736</v>
      </c>
      <c r="H1387" s="506">
        <v>0</v>
      </c>
      <c r="I1387" s="445" t="s">
        <v>1737</v>
      </c>
      <c r="J1387" s="506">
        <v>7.88</v>
      </c>
      <c r="K1387" s="70"/>
      <c r="L1387" s="70"/>
    </row>
    <row r="1388" spans="1:12" ht="17.25" thickBot="1" x14ac:dyDescent="0.3">
      <c r="A1388" s="445"/>
      <c r="B1388" s="445"/>
      <c r="C1388" s="445"/>
      <c r="D1388" s="445"/>
      <c r="E1388" s="445" t="s">
        <v>1738</v>
      </c>
      <c r="F1388" s="506">
        <v>4.15184</v>
      </c>
      <c r="G1388" s="445"/>
      <c r="H1388" s="606" t="s">
        <v>1739</v>
      </c>
      <c r="I1388" s="606"/>
      <c r="J1388" s="506">
        <v>21</v>
      </c>
      <c r="K1388" s="70"/>
      <c r="L1388" s="70"/>
    </row>
    <row r="1389" spans="1:12" ht="17.25" thickTop="1" x14ac:dyDescent="0.25">
      <c r="A1389" s="507"/>
      <c r="B1389" s="507"/>
      <c r="C1389" s="507"/>
      <c r="D1389" s="507"/>
      <c r="E1389" s="507"/>
      <c r="F1389" s="507"/>
      <c r="G1389" s="507"/>
      <c r="H1389" s="507"/>
      <c r="I1389" s="507"/>
      <c r="J1389" s="507"/>
      <c r="K1389" s="507"/>
      <c r="L1389" s="70"/>
    </row>
    <row r="1390" spans="1:12" ht="16.5" x14ac:dyDescent="0.25">
      <c r="A1390" s="419" t="s">
        <v>1467</v>
      </c>
      <c r="B1390" s="421" t="s">
        <v>76</v>
      </c>
      <c r="C1390" s="419" t="s">
        <v>991</v>
      </c>
      <c r="D1390" s="419" t="s">
        <v>191</v>
      </c>
      <c r="E1390" s="603" t="s">
        <v>77</v>
      </c>
      <c r="F1390" s="603"/>
      <c r="G1390" s="420" t="s">
        <v>103</v>
      </c>
      <c r="H1390" s="421" t="s">
        <v>147</v>
      </c>
      <c r="I1390" s="421" t="s">
        <v>1731</v>
      </c>
      <c r="J1390" s="421" t="s">
        <v>1117</v>
      </c>
      <c r="K1390" s="421" t="s">
        <v>104</v>
      </c>
      <c r="L1390" s="70"/>
    </row>
    <row r="1391" spans="1:12" ht="25.5" x14ac:dyDescent="0.25">
      <c r="A1391" s="441" t="s">
        <v>79</v>
      </c>
      <c r="B1391" s="480" t="s">
        <v>1468</v>
      </c>
      <c r="C1391" s="441" t="s">
        <v>993</v>
      </c>
      <c r="D1391" s="441" t="s">
        <v>1469</v>
      </c>
      <c r="E1391" s="604">
        <v>705</v>
      </c>
      <c r="F1391" s="604"/>
      <c r="G1391" s="443" t="s">
        <v>130</v>
      </c>
      <c r="H1391" s="500">
        <v>1</v>
      </c>
      <c r="I1391" s="442"/>
      <c r="J1391" s="442">
        <v>19.239999999999998</v>
      </c>
      <c r="K1391" s="442">
        <v>19.239999999999998</v>
      </c>
      <c r="L1391" s="70"/>
    </row>
    <row r="1392" spans="1:12" ht="25.5" x14ac:dyDescent="0.25">
      <c r="A1392" s="501" t="s">
        <v>1732</v>
      </c>
      <c r="B1392" s="502" t="s">
        <v>999</v>
      </c>
      <c r="C1392" s="501" t="s">
        <v>993</v>
      </c>
      <c r="D1392" s="501" t="s">
        <v>1000</v>
      </c>
      <c r="E1392" s="602" t="s">
        <v>972</v>
      </c>
      <c r="F1392" s="602"/>
      <c r="G1392" s="503" t="s">
        <v>81</v>
      </c>
      <c r="H1392" s="504">
        <v>0.08</v>
      </c>
      <c r="I1392" s="504"/>
      <c r="J1392" s="505">
        <v>16.04</v>
      </c>
      <c r="K1392" s="505">
        <v>1.28</v>
      </c>
      <c r="L1392" s="70"/>
    </row>
    <row r="1393" spans="1:12" ht="25.5" x14ac:dyDescent="0.25">
      <c r="A1393" s="501" t="s">
        <v>1732</v>
      </c>
      <c r="B1393" s="502" t="s">
        <v>1021</v>
      </c>
      <c r="C1393" s="501" t="s">
        <v>993</v>
      </c>
      <c r="D1393" s="501" t="s">
        <v>1022</v>
      </c>
      <c r="E1393" s="602" t="s">
        <v>972</v>
      </c>
      <c r="F1393" s="602"/>
      <c r="G1393" s="503" t="s">
        <v>81</v>
      </c>
      <c r="H1393" s="504">
        <v>0.08</v>
      </c>
      <c r="I1393" s="504"/>
      <c r="J1393" s="505">
        <v>23.41</v>
      </c>
      <c r="K1393" s="505">
        <v>1.87</v>
      </c>
      <c r="L1393" s="70"/>
    </row>
    <row r="1394" spans="1:12" ht="25.5" x14ac:dyDescent="0.25">
      <c r="A1394" s="501" t="s">
        <v>1732</v>
      </c>
      <c r="B1394" s="502" t="s">
        <v>2336</v>
      </c>
      <c r="C1394" s="501" t="s">
        <v>993</v>
      </c>
      <c r="D1394" s="501" t="s">
        <v>2337</v>
      </c>
      <c r="E1394" s="602" t="s">
        <v>1746</v>
      </c>
      <c r="F1394" s="602"/>
      <c r="G1394" s="503" t="s">
        <v>41</v>
      </c>
      <c r="H1394" s="504">
        <v>1.02</v>
      </c>
      <c r="I1394" s="504"/>
      <c r="J1394" s="505">
        <v>15.78</v>
      </c>
      <c r="K1394" s="505">
        <v>16.09</v>
      </c>
      <c r="L1394" s="70"/>
    </row>
    <row r="1395" spans="1:12" ht="15.75" customHeight="1" x14ac:dyDescent="0.25">
      <c r="A1395" s="445"/>
      <c r="B1395" s="445"/>
      <c r="C1395" s="445"/>
      <c r="D1395" s="445"/>
      <c r="E1395" s="445" t="s">
        <v>1735</v>
      </c>
      <c r="F1395" s="506">
        <v>3.15</v>
      </c>
      <c r="G1395" s="445" t="s">
        <v>1736</v>
      </c>
      <c r="H1395" s="506">
        <v>0</v>
      </c>
      <c r="I1395" s="445" t="s">
        <v>1737</v>
      </c>
      <c r="J1395" s="506">
        <v>3.15</v>
      </c>
      <c r="K1395" s="70"/>
      <c r="L1395" s="70"/>
    </row>
    <row r="1396" spans="1:12" ht="17.25" thickBot="1" x14ac:dyDescent="0.3">
      <c r="A1396" s="445"/>
      <c r="B1396" s="445"/>
      <c r="C1396" s="445"/>
      <c r="D1396" s="445"/>
      <c r="E1396" s="445" t="s">
        <v>1738</v>
      </c>
      <c r="F1396" s="506">
        <v>4.7407360000000001</v>
      </c>
      <c r="G1396" s="445"/>
      <c r="H1396" s="606" t="s">
        <v>1739</v>
      </c>
      <c r="I1396" s="606"/>
      <c r="J1396" s="506">
        <v>23.98</v>
      </c>
      <c r="K1396" s="70"/>
      <c r="L1396" s="70"/>
    </row>
    <row r="1397" spans="1:12" ht="17.25" thickTop="1" x14ac:dyDescent="0.25">
      <c r="A1397" s="507"/>
      <c r="B1397" s="507"/>
      <c r="C1397" s="507"/>
      <c r="D1397" s="507"/>
      <c r="E1397" s="507"/>
      <c r="F1397" s="507"/>
      <c r="G1397" s="507"/>
      <c r="H1397" s="507"/>
      <c r="I1397" s="507"/>
      <c r="J1397" s="507"/>
      <c r="K1397" s="507"/>
      <c r="L1397" s="70"/>
    </row>
    <row r="1398" spans="1:12" ht="16.5" x14ac:dyDescent="0.25">
      <c r="A1398" s="419" t="s">
        <v>1470</v>
      </c>
      <c r="B1398" s="421" t="s">
        <v>76</v>
      </c>
      <c r="C1398" s="419" t="s">
        <v>991</v>
      </c>
      <c r="D1398" s="419" t="s">
        <v>191</v>
      </c>
      <c r="E1398" s="603" t="s">
        <v>77</v>
      </c>
      <c r="F1398" s="603"/>
      <c r="G1398" s="420" t="s">
        <v>103</v>
      </c>
      <c r="H1398" s="421" t="s">
        <v>147</v>
      </c>
      <c r="I1398" s="421" t="s">
        <v>1731</v>
      </c>
      <c r="J1398" s="421" t="s">
        <v>1117</v>
      </c>
      <c r="K1398" s="421" t="s">
        <v>104</v>
      </c>
      <c r="L1398" s="70"/>
    </row>
    <row r="1399" spans="1:12" ht="25.5" x14ac:dyDescent="0.25">
      <c r="A1399" s="441" t="s">
        <v>79</v>
      </c>
      <c r="B1399" s="480" t="s">
        <v>1471</v>
      </c>
      <c r="C1399" s="441" t="s">
        <v>993</v>
      </c>
      <c r="D1399" s="441" t="s">
        <v>1472</v>
      </c>
      <c r="E1399" s="604">
        <v>705</v>
      </c>
      <c r="F1399" s="604"/>
      <c r="G1399" s="443" t="s">
        <v>130</v>
      </c>
      <c r="H1399" s="500">
        <v>1</v>
      </c>
      <c r="I1399" s="442"/>
      <c r="J1399" s="442">
        <v>38.979999999999997</v>
      </c>
      <c r="K1399" s="442">
        <v>38.979999999999997</v>
      </c>
      <c r="L1399" s="70"/>
    </row>
    <row r="1400" spans="1:12" ht="25.5" x14ac:dyDescent="0.25">
      <c r="A1400" s="501" t="s">
        <v>1732</v>
      </c>
      <c r="B1400" s="502" t="s">
        <v>999</v>
      </c>
      <c r="C1400" s="501" t="s">
        <v>993</v>
      </c>
      <c r="D1400" s="501" t="s">
        <v>1000</v>
      </c>
      <c r="E1400" s="602" t="s">
        <v>972</v>
      </c>
      <c r="F1400" s="602"/>
      <c r="G1400" s="503" t="s">
        <v>81</v>
      </c>
      <c r="H1400" s="504">
        <v>0.16</v>
      </c>
      <c r="I1400" s="504"/>
      <c r="J1400" s="505">
        <v>16.04</v>
      </c>
      <c r="K1400" s="505">
        <v>2.56</v>
      </c>
      <c r="L1400" s="70"/>
    </row>
    <row r="1401" spans="1:12" ht="25.5" x14ac:dyDescent="0.25">
      <c r="A1401" s="501" t="s">
        <v>1732</v>
      </c>
      <c r="B1401" s="502" t="s">
        <v>1021</v>
      </c>
      <c r="C1401" s="501" t="s">
        <v>993</v>
      </c>
      <c r="D1401" s="501" t="s">
        <v>1022</v>
      </c>
      <c r="E1401" s="602" t="s">
        <v>972</v>
      </c>
      <c r="F1401" s="602"/>
      <c r="G1401" s="503" t="s">
        <v>81</v>
      </c>
      <c r="H1401" s="504">
        <v>0.16</v>
      </c>
      <c r="I1401" s="504"/>
      <c r="J1401" s="505">
        <v>23.41</v>
      </c>
      <c r="K1401" s="505">
        <v>3.74</v>
      </c>
      <c r="L1401" s="70"/>
    </row>
    <row r="1402" spans="1:12" ht="25.5" x14ac:dyDescent="0.25">
      <c r="A1402" s="501" t="s">
        <v>1732</v>
      </c>
      <c r="B1402" s="502" t="s">
        <v>2338</v>
      </c>
      <c r="C1402" s="501" t="s">
        <v>993</v>
      </c>
      <c r="D1402" s="501" t="s">
        <v>1472</v>
      </c>
      <c r="E1402" s="602" t="s">
        <v>1746</v>
      </c>
      <c r="F1402" s="602"/>
      <c r="G1402" s="503" t="s">
        <v>41</v>
      </c>
      <c r="H1402" s="504">
        <v>1.02</v>
      </c>
      <c r="I1402" s="504"/>
      <c r="J1402" s="505">
        <v>32.04</v>
      </c>
      <c r="K1402" s="505">
        <v>32.68</v>
      </c>
      <c r="L1402" s="70"/>
    </row>
    <row r="1403" spans="1:12" ht="15.75" customHeight="1" x14ac:dyDescent="0.25">
      <c r="A1403" s="445"/>
      <c r="B1403" s="445"/>
      <c r="C1403" s="445"/>
      <c r="D1403" s="445"/>
      <c r="E1403" s="445" t="s">
        <v>1735</v>
      </c>
      <c r="F1403" s="506">
        <v>6.3</v>
      </c>
      <c r="G1403" s="445" t="s">
        <v>1736</v>
      </c>
      <c r="H1403" s="506">
        <v>0</v>
      </c>
      <c r="I1403" s="445" t="s">
        <v>1737</v>
      </c>
      <c r="J1403" s="506">
        <v>6.3</v>
      </c>
      <c r="K1403" s="70"/>
      <c r="L1403" s="70"/>
    </row>
    <row r="1404" spans="1:12" ht="17.25" thickBot="1" x14ac:dyDescent="0.3">
      <c r="A1404" s="445"/>
      <c r="B1404" s="445"/>
      <c r="C1404" s="445"/>
      <c r="D1404" s="445"/>
      <c r="E1404" s="445" t="s">
        <v>1738</v>
      </c>
      <c r="F1404" s="506">
        <v>9.6046720000000008</v>
      </c>
      <c r="G1404" s="445"/>
      <c r="H1404" s="606" t="s">
        <v>1739</v>
      </c>
      <c r="I1404" s="606"/>
      <c r="J1404" s="506">
        <v>48.58</v>
      </c>
      <c r="K1404" s="70"/>
      <c r="L1404" s="70"/>
    </row>
    <row r="1405" spans="1:12" ht="17.25" thickTop="1" x14ac:dyDescent="0.25">
      <c r="A1405" s="507"/>
      <c r="B1405" s="507"/>
      <c r="C1405" s="507"/>
      <c r="D1405" s="507"/>
      <c r="E1405" s="507"/>
      <c r="F1405" s="507"/>
      <c r="G1405" s="507"/>
      <c r="H1405" s="507"/>
      <c r="I1405" s="507"/>
      <c r="J1405" s="507"/>
      <c r="K1405" s="507"/>
      <c r="L1405" s="70"/>
    </row>
    <row r="1406" spans="1:12" ht="16.5" x14ac:dyDescent="0.25">
      <c r="A1406" s="419" t="s">
        <v>1473</v>
      </c>
      <c r="B1406" s="421" t="s">
        <v>76</v>
      </c>
      <c r="C1406" s="419" t="s">
        <v>991</v>
      </c>
      <c r="D1406" s="419" t="s">
        <v>191</v>
      </c>
      <c r="E1406" s="603" t="s">
        <v>77</v>
      </c>
      <c r="F1406" s="603"/>
      <c r="G1406" s="420" t="s">
        <v>103</v>
      </c>
      <c r="H1406" s="421" t="s">
        <v>147</v>
      </c>
      <c r="I1406" s="421" t="s">
        <v>1731</v>
      </c>
      <c r="J1406" s="421" t="s">
        <v>1117</v>
      </c>
      <c r="K1406" s="421" t="s">
        <v>104</v>
      </c>
      <c r="L1406" s="70"/>
    </row>
    <row r="1407" spans="1:12" ht="25.5" x14ac:dyDescent="0.25">
      <c r="A1407" s="441" t="s">
        <v>79</v>
      </c>
      <c r="B1407" s="480" t="s">
        <v>1474</v>
      </c>
      <c r="C1407" s="441" t="s">
        <v>993</v>
      </c>
      <c r="D1407" s="441" t="s">
        <v>1475</v>
      </c>
      <c r="E1407" s="604">
        <v>705</v>
      </c>
      <c r="F1407" s="604"/>
      <c r="G1407" s="443" t="s">
        <v>130</v>
      </c>
      <c r="H1407" s="500">
        <v>1</v>
      </c>
      <c r="I1407" s="442"/>
      <c r="J1407" s="442">
        <v>45.49</v>
      </c>
      <c r="K1407" s="442">
        <v>45.49</v>
      </c>
      <c r="L1407" s="70"/>
    </row>
    <row r="1408" spans="1:12" ht="25.5" x14ac:dyDescent="0.25">
      <c r="A1408" s="501" t="s">
        <v>1732</v>
      </c>
      <c r="B1408" s="502" t="s">
        <v>999</v>
      </c>
      <c r="C1408" s="501" t="s">
        <v>993</v>
      </c>
      <c r="D1408" s="501" t="s">
        <v>1000</v>
      </c>
      <c r="E1408" s="602" t="s">
        <v>972</v>
      </c>
      <c r="F1408" s="602"/>
      <c r="G1408" s="503" t="s">
        <v>81</v>
      </c>
      <c r="H1408" s="504">
        <v>0.17</v>
      </c>
      <c r="I1408" s="504"/>
      <c r="J1408" s="505">
        <v>16.04</v>
      </c>
      <c r="K1408" s="505">
        <v>2.72</v>
      </c>
      <c r="L1408" s="70"/>
    </row>
    <row r="1409" spans="1:12" ht="25.5" x14ac:dyDescent="0.25">
      <c r="A1409" s="501" t="s">
        <v>1732</v>
      </c>
      <c r="B1409" s="502" t="s">
        <v>1021</v>
      </c>
      <c r="C1409" s="501" t="s">
        <v>993</v>
      </c>
      <c r="D1409" s="501" t="s">
        <v>1022</v>
      </c>
      <c r="E1409" s="602" t="s">
        <v>972</v>
      </c>
      <c r="F1409" s="602"/>
      <c r="G1409" s="503" t="s">
        <v>81</v>
      </c>
      <c r="H1409" s="504">
        <v>0.17</v>
      </c>
      <c r="I1409" s="504"/>
      <c r="J1409" s="505">
        <v>23.41</v>
      </c>
      <c r="K1409" s="505">
        <v>3.97</v>
      </c>
      <c r="L1409" s="70"/>
    </row>
    <row r="1410" spans="1:12" ht="25.5" x14ac:dyDescent="0.25">
      <c r="A1410" s="501" t="s">
        <v>1732</v>
      </c>
      <c r="B1410" s="502" t="s">
        <v>2339</v>
      </c>
      <c r="C1410" s="501" t="s">
        <v>993</v>
      </c>
      <c r="D1410" s="501" t="s">
        <v>1475</v>
      </c>
      <c r="E1410" s="602" t="s">
        <v>1746</v>
      </c>
      <c r="F1410" s="602"/>
      <c r="G1410" s="503" t="s">
        <v>41</v>
      </c>
      <c r="H1410" s="504">
        <v>1.02</v>
      </c>
      <c r="I1410" s="504"/>
      <c r="J1410" s="505">
        <v>38.04</v>
      </c>
      <c r="K1410" s="505">
        <v>38.799999999999997</v>
      </c>
      <c r="L1410" s="70"/>
    </row>
    <row r="1411" spans="1:12" ht="15.75" customHeight="1" x14ac:dyDescent="0.25">
      <c r="A1411" s="445"/>
      <c r="B1411" s="445"/>
      <c r="C1411" s="445"/>
      <c r="D1411" s="445"/>
      <c r="E1411" s="445" t="s">
        <v>1735</v>
      </c>
      <c r="F1411" s="506">
        <v>6.69</v>
      </c>
      <c r="G1411" s="445" t="s">
        <v>1736</v>
      </c>
      <c r="H1411" s="506">
        <v>0</v>
      </c>
      <c r="I1411" s="445" t="s">
        <v>1737</v>
      </c>
      <c r="J1411" s="506">
        <v>6.69</v>
      </c>
      <c r="K1411" s="70"/>
      <c r="L1411" s="70"/>
    </row>
    <row r="1412" spans="1:12" ht="17.25" thickBot="1" x14ac:dyDescent="0.3">
      <c r="A1412" s="445"/>
      <c r="B1412" s="445"/>
      <c r="C1412" s="445"/>
      <c r="D1412" s="445"/>
      <c r="E1412" s="445" t="s">
        <v>1738</v>
      </c>
      <c r="F1412" s="506">
        <v>11.208736</v>
      </c>
      <c r="G1412" s="445"/>
      <c r="H1412" s="606" t="s">
        <v>1739</v>
      </c>
      <c r="I1412" s="606"/>
      <c r="J1412" s="506">
        <v>56.69</v>
      </c>
      <c r="K1412" s="70"/>
      <c r="L1412" s="70"/>
    </row>
    <row r="1413" spans="1:12" ht="17.25" thickTop="1" x14ac:dyDescent="0.25">
      <c r="A1413" s="507"/>
      <c r="B1413" s="507"/>
      <c r="C1413" s="507"/>
      <c r="D1413" s="507"/>
      <c r="E1413" s="507"/>
      <c r="F1413" s="507"/>
      <c r="G1413" s="507"/>
      <c r="H1413" s="507"/>
      <c r="I1413" s="507"/>
      <c r="J1413" s="507"/>
      <c r="K1413" s="507"/>
      <c r="L1413" s="70"/>
    </row>
    <row r="1414" spans="1:12" ht="16.5" x14ac:dyDescent="0.25">
      <c r="A1414" s="419" t="s">
        <v>1477</v>
      </c>
      <c r="B1414" s="421" t="s">
        <v>76</v>
      </c>
      <c r="C1414" s="419" t="s">
        <v>991</v>
      </c>
      <c r="D1414" s="419" t="s">
        <v>191</v>
      </c>
      <c r="E1414" s="603" t="s">
        <v>77</v>
      </c>
      <c r="F1414" s="603"/>
      <c r="G1414" s="420" t="s">
        <v>103</v>
      </c>
      <c r="H1414" s="421" t="s">
        <v>147</v>
      </c>
      <c r="I1414" s="421" t="s">
        <v>1731</v>
      </c>
      <c r="J1414" s="421" t="s">
        <v>1117</v>
      </c>
      <c r="K1414" s="421" t="s">
        <v>104</v>
      </c>
      <c r="L1414" s="70"/>
    </row>
    <row r="1415" spans="1:12" ht="25.5" x14ac:dyDescent="0.25">
      <c r="A1415" s="441" t="s">
        <v>79</v>
      </c>
      <c r="B1415" s="480" t="s">
        <v>1478</v>
      </c>
      <c r="C1415" s="441" t="s">
        <v>993</v>
      </c>
      <c r="D1415" s="441" t="s">
        <v>1479</v>
      </c>
      <c r="E1415" s="604">
        <v>718</v>
      </c>
      <c r="F1415" s="604"/>
      <c r="G1415" s="443" t="s">
        <v>1141</v>
      </c>
      <c r="H1415" s="500">
        <v>1</v>
      </c>
      <c r="I1415" s="442"/>
      <c r="J1415" s="442">
        <v>256.89999999999998</v>
      </c>
      <c r="K1415" s="442">
        <v>256.89999999999998</v>
      </c>
      <c r="L1415" s="70"/>
    </row>
    <row r="1416" spans="1:12" ht="25.5" x14ac:dyDescent="0.25">
      <c r="A1416" s="501" t="s">
        <v>1732</v>
      </c>
      <c r="B1416" s="502" t="s">
        <v>999</v>
      </c>
      <c r="C1416" s="501" t="s">
        <v>993</v>
      </c>
      <c r="D1416" s="501" t="s">
        <v>1000</v>
      </c>
      <c r="E1416" s="602" t="s">
        <v>972</v>
      </c>
      <c r="F1416" s="602"/>
      <c r="G1416" s="503" t="s">
        <v>81</v>
      </c>
      <c r="H1416" s="504">
        <v>1.5</v>
      </c>
      <c r="I1416" s="504"/>
      <c r="J1416" s="505">
        <v>16.04</v>
      </c>
      <c r="K1416" s="505">
        <v>24.06</v>
      </c>
      <c r="L1416" s="70"/>
    </row>
    <row r="1417" spans="1:12" ht="25.5" x14ac:dyDescent="0.25">
      <c r="A1417" s="501" t="s">
        <v>1732</v>
      </c>
      <c r="B1417" s="502" t="s">
        <v>1021</v>
      </c>
      <c r="C1417" s="501" t="s">
        <v>993</v>
      </c>
      <c r="D1417" s="501" t="s">
        <v>1022</v>
      </c>
      <c r="E1417" s="602" t="s">
        <v>972</v>
      </c>
      <c r="F1417" s="602"/>
      <c r="G1417" s="503" t="s">
        <v>81</v>
      </c>
      <c r="H1417" s="504">
        <v>1.5</v>
      </c>
      <c r="I1417" s="504"/>
      <c r="J1417" s="505">
        <v>23.41</v>
      </c>
      <c r="K1417" s="505">
        <v>35.11</v>
      </c>
      <c r="L1417" s="70"/>
    </row>
    <row r="1418" spans="1:12" ht="25.5" x14ac:dyDescent="0.25">
      <c r="A1418" s="501" t="s">
        <v>1732</v>
      </c>
      <c r="B1418" s="502" t="s">
        <v>2340</v>
      </c>
      <c r="C1418" s="501" t="s">
        <v>993</v>
      </c>
      <c r="D1418" s="501" t="s">
        <v>2341</v>
      </c>
      <c r="E1418" s="602" t="s">
        <v>1746</v>
      </c>
      <c r="F1418" s="602"/>
      <c r="G1418" s="503" t="s">
        <v>49</v>
      </c>
      <c r="H1418" s="504">
        <v>1</v>
      </c>
      <c r="I1418" s="504"/>
      <c r="J1418" s="505">
        <v>197.73</v>
      </c>
      <c r="K1418" s="505">
        <v>197.73</v>
      </c>
      <c r="L1418" s="70"/>
    </row>
    <row r="1419" spans="1:12" ht="15.75" customHeight="1" x14ac:dyDescent="0.25">
      <c r="A1419" s="445"/>
      <c r="B1419" s="445"/>
      <c r="C1419" s="445"/>
      <c r="D1419" s="445"/>
      <c r="E1419" s="445" t="s">
        <v>1735</v>
      </c>
      <c r="F1419" s="506">
        <v>59.17</v>
      </c>
      <c r="G1419" s="445" t="s">
        <v>1736</v>
      </c>
      <c r="H1419" s="506">
        <v>0</v>
      </c>
      <c r="I1419" s="445" t="s">
        <v>1737</v>
      </c>
      <c r="J1419" s="506">
        <v>59.17</v>
      </c>
      <c r="K1419" s="70"/>
      <c r="L1419" s="70"/>
    </row>
    <row r="1420" spans="1:12" ht="17.25" thickBot="1" x14ac:dyDescent="0.3">
      <c r="A1420" s="445"/>
      <c r="B1420" s="445"/>
      <c r="C1420" s="445"/>
      <c r="D1420" s="445"/>
      <c r="E1420" s="445" t="s">
        <v>1738</v>
      </c>
      <c r="F1420" s="506">
        <v>63.300159999999998</v>
      </c>
      <c r="G1420" s="445"/>
      <c r="H1420" s="606" t="s">
        <v>1739</v>
      </c>
      <c r="I1420" s="606"/>
      <c r="J1420" s="506">
        <v>320.2</v>
      </c>
      <c r="K1420" s="70"/>
      <c r="L1420" s="70"/>
    </row>
    <row r="1421" spans="1:12" ht="17.25" thickTop="1" x14ac:dyDescent="0.25">
      <c r="A1421" s="507"/>
      <c r="B1421" s="507"/>
      <c r="C1421" s="507"/>
      <c r="D1421" s="507"/>
      <c r="E1421" s="507"/>
      <c r="F1421" s="507"/>
      <c r="G1421" s="507"/>
      <c r="H1421" s="507"/>
      <c r="I1421" s="507"/>
      <c r="J1421" s="507"/>
      <c r="K1421" s="507"/>
      <c r="L1421" s="70"/>
    </row>
    <row r="1422" spans="1:12" ht="16.5" x14ac:dyDescent="0.25">
      <c r="A1422" s="419" t="s">
        <v>1481</v>
      </c>
      <c r="B1422" s="421" t="s">
        <v>76</v>
      </c>
      <c r="C1422" s="419" t="s">
        <v>991</v>
      </c>
      <c r="D1422" s="419" t="s">
        <v>191</v>
      </c>
      <c r="E1422" s="603" t="s">
        <v>77</v>
      </c>
      <c r="F1422" s="603"/>
      <c r="G1422" s="420" t="s">
        <v>103</v>
      </c>
      <c r="H1422" s="421" t="s">
        <v>147</v>
      </c>
      <c r="I1422" s="421" t="s">
        <v>1731</v>
      </c>
      <c r="J1422" s="421" t="s">
        <v>1117</v>
      </c>
      <c r="K1422" s="421" t="s">
        <v>104</v>
      </c>
      <c r="L1422" s="70"/>
    </row>
    <row r="1423" spans="1:12" ht="25.5" x14ac:dyDescent="0.25">
      <c r="A1423" s="441" t="s">
        <v>79</v>
      </c>
      <c r="B1423" s="480" t="s">
        <v>1482</v>
      </c>
      <c r="C1423" s="441" t="s">
        <v>993</v>
      </c>
      <c r="D1423" s="441" t="s">
        <v>1483</v>
      </c>
      <c r="E1423" s="604">
        <v>823</v>
      </c>
      <c r="F1423" s="604"/>
      <c r="G1423" s="443" t="s">
        <v>41</v>
      </c>
      <c r="H1423" s="500">
        <v>1</v>
      </c>
      <c r="I1423" s="442"/>
      <c r="J1423" s="442">
        <v>138.36000000000001</v>
      </c>
      <c r="K1423" s="442">
        <v>138.36000000000001</v>
      </c>
      <c r="L1423" s="70"/>
    </row>
    <row r="1424" spans="1:12" ht="25.5" x14ac:dyDescent="0.25">
      <c r="A1424" s="501" t="s">
        <v>1732</v>
      </c>
      <c r="B1424" s="502" t="s">
        <v>999</v>
      </c>
      <c r="C1424" s="501" t="s">
        <v>993</v>
      </c>
      <c r="D1424" s="501" t="s">
        <v>1000</v>
      </c>
      <c r="E1424" s="602" t="s">
        <v>972</v>
      </c>
      <c r="F1424" s="602"/>
      <c r="G1424" s="503" t="s">
        <v>81</v>
      </c>
      <c r="H1424" s="504">
        <v>0.83</v>
      </c>
      <c r="I1424" s="504"/>
      <c r="J1424" s="505">
        <v>16.04</v>
      </c>
      <c r="K1424" s="505">
        <v>13.31</v>
      </c>
      <c r="L1424" s="70"/>
    </row>
    <row r="1425" spans="1:12" ht="25.5" x14ac:dyDescent="0.25">
      <c r="A1425" s="501" t="s">
        <v>1732</v>
      </c>
      <c r="B1425" s="502" t="s">
        <v>1011</v>
      </c>
      <c r="C1425" s="501" t="s">
        <v>993</v>
      </c>
      <c r="D1425" s="501" t="s">
        <v>1012</v>
      </c>
      <c r="E1425" s="602" t="s">
        <v>972</v>
      </c>
      <c r="F1425" s="602"/>
      <c r="G1425" s="503" t="s">
        <v>81</v>
      </c>
      <c r="H1425" s="504">
        <v>0.83</v>
      </c>
      <c r="I1425" s="504"/>
      <c r="J1425" s="505">
        <v>23.41</v>
      </c>
      <c r="K1425" s="505">
        <v>19.43</v>
      </c>
      <c r="L1425" s="70"/>
    </row>
    <row r="1426" spans="1:12" ht="25.5" x14ac:dyDescent="0.25">
      <c r="A1426" s="501" t="s">
        <v>1732</v>
      </c>
      <c r="B1426" s="502" t="s">
        <v>2342</v>
      </c>
      <c r="C1426" s="501" t="s">
        <v>993</v>
      </c>
      <c r="D1426" s="501" t="s">
        <v>1483</v>
      </c>
      <c r="E1426" s="602" t="s">
        <v>1746</v>
      </c>
      <c r="F1426" s="602"/>
      <c r="G1426" s="503" t="s">
        <v>41</v>
      </c>
      <c r="H1426" s="504">
        <v>1.01</v>
      </c>
      <c r="I1426" s="504"/>
      <c r="J1426" s="505">
        <v>103.79</v>
      </c>
      <c r="K1426" s="505">
        <v>104.82</v>
      </c>
      <c r="L1426" s="70"/>
    </row>
    <row r="1427" spans="1:12" ht="25.5" x14ac:dyDescent="0.25">
      <c r="A1427" s="501" t="s">
        <v>1732</v>
      </c>
      <c r="B1427" s="502" t="s">
        <v>2020</v>
      </c>
      <c r="C1427" s="501" t="s">
        <v>993</v>
      </c>
      <c r="D1427" s="501" t="s">
        <v>2021</v>
      </c>
      <c r="E1427" s="602" t="s">
        <v>1746</v>
      </c>
      <c r="F1427" s="602"/>
      <c r="G1427" s="503" t="s">
        <v>41</v>
      </c>
      <c r="H1427" s="504">
        <v>2.0074999999999998</v>
      </c>
      <c r="I1427" s="504"/>
      <c r="J1427" s="505">
        <v>0.4</v>
      </c>
      <c r="K1427" s="505">
        <v>0.8</v>
      </c>
      <c r="L1427" s="70"/>
    </row>
    <row r="1428" spans="1:12" ht="15.75" customHeight="1" x14ac:dyDescent="0.25">
      <c r="A1428" s="445"/>
      <c r="B1428" s="445"/>
      <c r="C1428" s="445"/>
      <c r="D1428" s="445"/>
      <c r="E1428" s="445" t="s">
        <v>1735</v>
      </c>
      <c r="F1428" s="506">
        <v>32.74</v>
      </c>
      <c r="G1428" s="445" t="s">
        <v>1736</v>
      </c>
      <c r="H1428" s="506">
        <v>0</v>
      </c>
      <c r="I1428" s="445" t="s">
        <v>1737</v>
      </c>
      <c r="J1428" s="506">
        <v>32.74</v>
      </c>
      <c r="K1428" s="70"/>
      <c r="L1428" s="70"/>
    </row>
    <row r="1429" spans="1:12" ht="17.25" thickBot="1" x14ac:dyDescent="0.3">
      <c r="A1429" s="445"/>
      <c r="B1429" s="445"/>
      <c r="C1429" s="445"/>
      <c r="D1429" s="445"/>
      <c r="E1429" s="445" t="s">
        <v>1738</v>
      </c>
      <c r="F1429" s="506">
        <v>34.091904</v>
      </c>
      <c r="G1429" s="445"/>
      <c r="H1429" s="606" t="s">
        <v>1739</v>
      </c>
      <c r="I1429" s="606"/>
      <c r="J1429" s="506">
        <v>172.45</v>
      </c>
      <c r="K1429" s="70"/>
      <c r="L1429" s="70"/>
    </row>
    <row r="1430" spans="1:12" ht="17.25" thickTop="1" x14ac:dyDescent="0.25">
      <c r="A1430" s="507"/>
      <c r="B1430" s="507"/>
      <c r="C1430" s="507"/>
      <c r="D1430" s="507"/>
      <c r="E1430" s="507"/>
      <c r="F1430" s="507"/>
      <c r="G1430" s="507"/>
      <c r="H1430" s="507"/>
      <c r="I1430" s="507"/>
      <c r="J1430" s="507"/>
      <c r="K1430" s="507"/>
      <c r="L1430" s="70"/>
    </row>
    <row r="1431" spans="1:12" ht="16.5" x14ac:dyDescent="0.25">
      <c r="A1431" s="419" t="s">
        <v>1484</v>
      </c>
      <c r="B1431" s="421" t="s">
        <v>76</v>
      </c>
      <c r="C1431" s="419" t="s">
        <v>991</v>
      </c>
      <c r="D1431" s="419" t="s">
        <v>191</v>
      </c>
      <c r="E1431" s="603" t="s">
        <v>77</v>
      </c>
      <c r="F1431" s="603"/>
      <c r="G1431" s="420" t="s">
        <v>103</v>
      </c>
      <c r="H1431" s="421" t="s">
        <v>147</v>
      </c>
      <c r="I1431" s="421" t="s">
        <v>1731</v>
      </c>
      <c r="J1431" s="421" t="s">
        <v>1117</v>
      </c>
      <c r="K1431" s="421" t="s">
        <v>104</v>
      </c>
      <c r="L1431" s="70"/>
    </row>
    <row r="1432" spans="1:12" ht="25.5" x14ac:dyDescent="0.25">
      <c r="A1432" s="441" t="s">
        <v>79</v>
      </c>
      <c r="B1432" s="480" t="s">
        <v>1485</v>
      </c>
      <c r="C1432" s="441" t="s">
        <v>993</v>
      </c>
      <c r="D1432" s="441" t="s">
        <v>1486</v>
      </c>
      <c r="E1432" s="604">
        <v>703</v>
      </c>
      <c r="F1432" s="604"/>
      <c r="G1432" s="443" t="s">
        <v>1141</v>
      </c>
      <c r="H1432" s="500">
        <v>1</v>
      </c>
      <c r="I1432" s="442"/>
      <c r="J1432" s="442">
        <v>6.85</v>
      </c>
      <c r="K1432" s="442">
        <v>6.85</v>
      </c>
      <c r="L1432" s="70"/>
    </row>
    <row r="1433" spans="1:12" ht="25.5" x14ac:dyDescent="0.25">
      <c r="A1433" s="501" t="s">
        <v>1732</v>
      </c>
      <c r="B1433" s="502" t="s">
        <v>999</v>
      </c>
      <c r="C1433" s="501" t="s">
        <v>993</v>
      </c>
      <c r="D1433" s="501" t="s">
        <v>1000</v>
      </c>
      <c r="E1433" s="602" t="s">
        <v>972</v>
      </c>
      <c r="F1433" s="602"/>
      <c r="G1433" s="503" t="s">
        <v>81</v>
      </c>
      <c r="H1433" s="504">
        <v>0.12</v>
      </c>
      <c r="I1433" s="504"/>
      <c r="J1433" s="505">
        <v>16.04</v>
      </c>
      <c r="K1433" s="505">
        <v>1.92</v>
      </c>
      <c r="L1433" s="70"/>
    </row>
    <row r="1434" spans="1:12" ht="25.5" x14ac:dyDescent="0.25">
      <c r="A1434" s="501" t="s">
        <v>1732</v>
      </c>
      <c r="B1434" s="502" t="s">
        <v>1021</v>
      </c>
      <c r="C1434" s="501" t="s">
        <v>993</v>
      </c>
      <c r="D1434" s="501" t="s">
        <v>1022</v>
      </c>
      <c r="E1434" s="602" t="s">
        <v>972</v>
      </c>
      <c r="F1434" s="602"/>
      <c r="G1434" s="503" t="s">
        <v>81</v>
      </c>
      <c r="H1434" s="504">
        <v>0.12</v>
      </c>
      <c r="I1434" s="504"/>
      <c r="J1434" s="505">
        <v>23.41</v>
      </c>
      <c r="K1434" s="505">
        <v>2.8</v>
      </c>
      <c r="L1434" s="70"/>
    </row>
    <row r="1435" spans="1:12" ht="25.5" x14ac:dyDescent="0.25">
      <c r="A1435" s="501" t="s">
        <v>1732</v>
      </c>
      <c r="B1435" s="502" t="s">
        <v>2343</v>
      </c>
      <c r="C1435" s="501" t="s">
        <v>993</v>
      </c>
      <c r="D1435" s="501" t="s">
        <v>2344</v>
      </c>
      <c r="E1435" s="602" t="s">
        <v>1746</v>
      </c>
      <c r="F1435" s="602"/>
      <c r="G1435" s="503" t="s">
        <v>49</v>
      </c>
      <c r="H1435" s="504">
        <v>1</v>
      </c>
      <c r="I1435" s="504"/>
      <c r="J1435" s="505">
        <v>2.13</v>
      </c>
      <c r="K1435" s="505">
        <v>2.13</v>
      </c>
      <c r="L1435" s="70"/>
    </row>
    <row r="1436" spans="1:12" ht="15.75" customHeight="1" x14ac:dyDescent="0.25">
      <c r="A1436" s="445"/>
      <c r="B1436" s="445"/>
      <c r="C1436" s="445"/>
      <c r="D1436" s="445"/>
      <c r="E1436" s="445" t="s">
        <v>1735</v>
      </c>
      <c r="F1436" s="506">
        <v>4.72</v>
      </c>
      <c r="G1436" s="445" t="s">
        <v>1736</v>
      </c>
      <c r="H1436" s="506">
        <v>0</v>
      </c>
      <c r="I1436" s="445" t="s">
        <v>1737</v>
      </c>
      <c r="J1436" s="506">
        <v>4.72</v>
      </c>
      <c r="K1436" s="70"/>
      <c r="L1436" s="70"/>
    </row>
    <row r="1437" spans="1:12" ht="17.25" thickBot="1" x14ac:dyDescent="0.3">
      <c r="A1437" s="445"/>
      <c r="B1437" s="445"/>
      <c r="C1437" s="445"/>
      <c r="D1437" s="445"/>
      <c r="E1437" s="445" t="s">
        <v>1738</v>
      </c>
      <c r="F1437" s="506">
        <v>1.68784</v>
      </c>
      <c r="G1437" s="445"/>
      <c r="H1437" s="606" t="s">
        <v>1739</v>
      </c>
      <c r="I1437" s="606"/>
      <c r="J1437" s="506">
        <v>8.5299999999999994</v>
      </c>
      <c r="K1437" s="70"/>
      <c r="L1437" s="70"/>
    </row>
    <row r="1438" spans="1:12" ht="17.25" thickTop="1" x14ac:dyDescent="0.25">
      <c r="A1438" s="507"/>
      <c r="B1438" s="507"/>
      <c r="C1438" s="507"/>
      <c r="D1438" s="507"/>
      <c r="E1438" s="507"/>
      <c r="F1438" s="507"/>
      <c r="G1438" s="507"/>
      <c r="H1438" s="507"/>
      <c r="I1438" s="507"/>
      <c r="J1438" s="507"/>
      <c r="K1438" s="507"/>
      <c r="L1438" s="70"/>
    </row>
    <row r="1439" spans="1:12" ht="16.5" x14ac:dyDescent="0.25">
      <c r="A1439" s="419" t="s">
        <v>1487</v>
      </c>
      <c r="B1439" s="421" t="s">
        <v>76</v>
      </c>
      <c r="C1439" s="419" t="s">
        <v>991</v>
      </c>
      <c r="D1439" s="419" t="s">
        <v>191</v>
      </c>
      <c r="E1439" s="603" t="s">
        <v>77</v>
      </c>
      <c r="F1439" s="603"/>
      <c r="G1439" s="420" t="s">
        <v>103</v>
      </c>
      <c r="H1439" s="421" t="s">
        <v>147</v>
      </c>
      <c r="I1439" s="421" t="s">
        <v>1731</v>
      </c>
      <c r="J1439" s="421" t="s">
        <v>1117</v>
      </c>
      <c r="K1439" s="421" t="s">
        <v>104</v>
      </c>
      <c r="L1439" s="70"/>
    </row>
    <row r="1440" spans="1:12" ht="25.5" x14ac:dyDescent="0.25">
      <c r="A1440" s="441" t="s">
        <v>79</v>
      </c>
      <c r="B1440" s="480" t="s">
        <v>1488</v>
      </c>
      <c r="C1440" s="441" t="s">
        <v>993</v>
      </c>
      <c r="D1440" s="441" t="s">
        <v>1489</v>
      </c>
      <c r="E1440" s="604">
        <v>714</v>
      </c>
      <c r="F1440" s="604"/>
      <c r="G1440" s="443" t="s">
        <v>1141</v>
      </c>
      <c r="H1440" s="500">
        <v>1</v>
      </c>
      <c r="I1440" s="442"/>
      <c r="J1440" s="442">
        <v>29.11</v>
      </c>
      <c r="K1440" s="442">
        <v>29.11</v>
      </c>
      <c r="L1440" s="70"/>
    </row>
    <row r="1441" spans="1:12" ht="25.5" x14ac:dyDescent="0.25">
      <c r="A1441" s="501" t="s">
        <v>1732</v>
      </c>
      <c r="B1441" s="502" t="s">
        <v>999</v>
      </c>
      <c r="C1441" s="501" t="s">
        <v>993</v>
      </c>
      <c r="D1441" s="501" t="s">
        <v>1000</v>
      </c>
      <c r="E1441" s="602" t="s">
        <v>972</v>
      </c>
      <c r="F1441" s="602"/>
      <c r="G1441" s="503" t="s">
        <v>81</v>
      </c>
      <c r="H1441" s="504">
        <v>0.35</v>
      </c>
      <c r="I1441" s="504"/>
      <c r="J1441" s="505">
        <v>16.04</v>
      </c>
      <c r="K1441" s="505">
        <v>5.61</v>
      </c>
      <c r="L1441" s="70"/>
    </row>
    <row r="1442" spans="1:12" ht="25.5" x14ac:dyDescent="0.25">
      <c r="A1442" s="501" t="s">
        <v>1732</v>
      </c>
      <c r="B1442" s="502" t="s">
        <v>1021</v>
      </c>
      <c r="C1442" s="501" t="s">
        <v>993</v>
      </c>
      <c r="D1442" s="501" t="s">
        <v>1022</v>
      </c>
      <c r="E1442" s="602" t="s">
        <v>972</v>
      </c>
      <c r="F1442" s="602"/>
      <c r="G1442" s="503" t="s">
        <v>81</v>
      </c>
      <c r="H1442" s="504">
        <v>0.35</v>
      </c>
      <c r="I1442" s="504"/>
      <c r="J1442" s="505">
        <v>23.41</v>
      </c>
      <c r="K1442" s="505">
        <v>8.19</v>
      </c>
      <c r="L1442" s="70"/>
    </row>
    <row r="1443" spans="1:12" ht="25.5" x14ac:dyDescent="0.25">
      <c r="A1443" s="501" t="s">
        <v>1732</v>
      </c>
      <c r="B1443" s="502" t="s">
        <v>2345</v>
      </c>
      <c r="C1443" s="501" t="s">
        <v>993</v>
      </c>
      <c r="D1443" s="501" t="s">
        <v>1489</v>
      </c>
      <c r="E1443" s="602" t="s">
        <v>1746</v>
      </c>
      <c r="F1443" s="602"/>
      <c r="G1443" s="503" t="s">
        <v>49</v>
      </c>
      <c r="H1443" s="504">
        <v>1</v>
      </c>
      <c r="I1443" s="504"/>
      <c r="J1443" s="505">
        <v>15.31</v>
      </c>
      <c r="K1443" s="505">
        <v>15.31</v>
      </c>
      <c r="L1443" s="70"/>
    </row>
    <row r="1444" spans="1:12" ht="15.75" customHeight="1" x14ac:dyDescent="0.25">
      <c r="A1444" s="445"/>
      <c r="B1444" s="445"/>
      <c r="C1444" s="445"/>
      <c r="D1444" s="445"/>
      <c r="E1444" s="445" t="s">
        <v>1735</v>
      </c>
      <c r="F1444" s="506">
        <v>13.8</v>
      </c>
      <c r="G1444" s="445" t="s">
        <v>1736</v>
      </c>
      <c r="H1444" s="506">
        <v>0</v>
      </c>
      <c r="I1444" s="445" t="s">
        <v>1737</v>
      </c>
      <c r="J1444" s="506">
        <v>13.8</v>
      </c>
      <c r="K1444" s="70"/>
      <c r="L1444" s="70"/>
    </row>
    <row r="1445" spans="1:12" ht="17.25" thickBot="1" x14ac:dyDescent="0.3">
      <c r="A1445" s="445"/>
      <c r="B1445" s="445"/>
      <c r="C1445" s="445"/>
      <c r="D1445" s="445"/>
      <c r="E1445" s="445" t="s">
        <v>1738</v>
      </c>
      <c r="F1445" s="506">
        <v>7.1727040000000004</v>
      </c>
      <c r="G1445" s="445"/>
      <c r="H1445" s="606" t="s">
        <v>1739</v>
      </c>
      <c r="I1445" s="606"/>
      <c r="J1445" s="506">
        <v>36.28</v>
      </c>
      <c r="K1445" s="70"/>
      <c r="L1445" s="70"/>
    </row>
    <row r="1446" spans="1:12" ht="17.25" thickTop="1" x14ac:dyDescent="0.25">
      <c r="A1446" s="507"/>
      <c r="B1446" s="507"/>
      <c r="C1446" s="507"/>
      <c r="D1446" s="507"/>
      <c r="E1446" s="507"/>
      <c r="F1446" s="507"/>
      <c r="G1446" s="507"/>
      <c r="H1446" s="507"/>
      <c r="I1446" s="507"/>
      <c r="J1446" s="507"/>
      <c r="K1446" s="507"/>
      <c r="L1446" s="70"/>
    </row>
    <row r="1447" spans="1:12" ht="16.5" x14ac:dyDescent="0.25">
      <c r="A1447" s="419" t="s">
        <v>1490</v>
      </c>
      <c r="B1447" s="421" t="s">
        <v>76</v>
      </c>
      <c r="C1447" s="419" t="s">
        <v>991</v>
      </c>
      <c r="D1447" s="419" t="s">
        <v>191</v>
      </c>
      <c r="E1447" s="603" t="s">
        <v>77</v>
      </c>
      <c r="F1447" s="603"/>
      <c r="G1447" s="420" t="s">
        <v>103</v>
      </c>
      <c r="H1447" s="421" t="s">
        <v>147</v>
      </c>
      <c r="I1447" s="421" t="s">
        <v>1731</v>
      </c>
      <c r="J1447" s="421" t="s">
        <v>1117</v>
      </c>
      <c r="K1447" s="421" t="s">
        <v>104</v>
      </c>
      <c r="L1447" s="70"/>
    </row>
    <row r="1448" spans="1:12" ht="25.5" x14ac:dyDescent="0.25">
      <c r="A1448" s="441" t="s">
        <v>79</v>
      </c>
      <c r="B1448" s="480" t="s">
        <v>1491</v>
      </c>
      <c r="C1448" s="441" t="s">
        <v>993</v>
      </c>
      <c r="D1448" s="441" t="s">
        <v>1492</v>
      </c>
      <c r="E1448" s="604">
        <v>711</v>
      </c>
      <c r="F1448" s="604"/>
      <c r="G1448" s="443" t="s">
        <v>1141</v>
      </c>
      <c r="H1448" s="500">
        <v>1</v>
      </c>
      <c r="I1448" s="442"/>
      <c r="J1448" s="442">
        <v>9.3800000000000008</v>
      </c>
      <c r="K1448" s="442">
        <v>9.3800000000000008</v>
      </c>
      <c r="L1448" s="70"/>
    </row>
    <row r="1449" spans="1:12" ht="25.5" x14ac:dyDescent="0.25">
      <c r="A1449" s="501" t="s">
        <v>1732</v>
      </c>
      <c r="B1449" s="502" t="s">
        <v>999</v>
      </c>
      <c r="C1449" s="501" t="s">
        <v>993</v>
      </c>
      <c r="D1449" s="501" t="s">
        <v>1000</v>
      </c>
      <c r="E1449" s="602" t="s">
        <v>972</v>
      </c>
      <c r="F1449" s="602"/>
      <c r="G1449" s="503" t="s">
        <v>81</v>
      </c>
      <c r="H1449" s="504">
        <v>0.13</v>
      </c>
      <c r="I1449" s="504"/>
      <c r="J1449" s="505">
        <v>16.04</v>
      </c>
      <c r="K1449" s="505">
        <v>2.08</v>
      </c>
      <c r="L1449" s="70"/>
    </row>
    <row r="1450" spans="1:12" ht="25.5" x14ac:dyDescent="0.25">
      <c r="A1450" s="501" t="s">
        <v>1732</v>
      </c>
      <c r="B1450" s="502" t="s">
        <v>1021</v>
      </c>
      <c r="C1450" s="501" t="s">
        <v>993</v>
      </c>
      <c r="D1450" s="501" t="s">
        <v>1022</v>
      </c>
      <c r="E1450" s="602" t="s">
        <v>972</v>
      </c>
      <c r="F1450" s="602"/>
      <c r="G1450" s="503" t="s">
        <v>81</v>
      </c>
      <c r="H1450" s="504">
        <v>0.13</v>
      </c>
      <c r="I1450" s="504"/>
      <c r="J1450" s="505">
        <v>23.41</v>
      </c>
      <c r="K1450" s="505">
        <v>3.04</v>
      </c>
      <c r="L1450" s="70"/>
    </row>
    <row r="1451" spans="1:12" ht="25.5" x14ac:dyDescent="0.25">
      <c r="A1451" s="501" t="s">
        <v>1732</v>
      </c>
      <c r="B1451" s="502" t="s">
        <v>2346</v>
      </c>
      <c r="C1451" s="501" t="s">
        <v>993</v>
      </c>
      <c r="D1451" s="501" t="s">
        <v>1492</v>
      </c>
      <c r="E1451" s="602" t="s">
        <v>1746</v>
      </c>
      <c r="F1451" s="602"/>
      <c r="G1451" s="503" t="s">
        <v>49</v>
      </c>
      <c r="H1451" s="504">
        <v>1</v>
      </c>
      <c r="I1451" s="504"/>
      <c r="J1451" s="505">
        <v>4.26</v>
      </c>
      <c r="K1451" s="505">
        <v>4.26</v>
      </c>
      <c r="L1451" s="70"/>
    </row>
    <row r="1452" spans="1:12" ht="15.75" customHeight="1" x14ac:dyDescent="0.25">
      <c r="A1452" s="445"/>
      <c r="B1452" s="445"/>
      <c r="C1452" s="445"/>
      <c r="D1452" s="445"/>
      <c r="E1452" s="445" t="s">
        <v>1735</v>
      </c>
      <c r="F1452" s="506">
        <v>5.12</v>
      </c>
      <c r="G1452" s="445" t="s">
        <v>1736</v>
      </c>
      <c r="H1452" s="506">
        <v>0</v>
      </c>
      <c r="I1452" s="445" t="s">
        <v>1737</v>
      </c>
      <c r="J1452" s="506">
        <v>5.12</v>
      </c>
      <c r="K1452" s="70"/>
      <c r="L1452" s="70"/>
    </row>
    <row r="1453" spans="1:12" ht="17.25" thickBot="1" x14ac:dyDescent="0.3">
      <c r="A1453" s="445"/>
      <c r="B1453" s="445"/>
      <c r="C1453" s="445"/>
      <c r="D1453" s="445"/>
      <c r="E1453" s="445" t="s">
        <v>1738</v>
      </c>
      <c r="F1453" s="506">
        <v>2.311232</v>
      </c>
      <c r="G1453" s="445"/>
      <c r="H1453" s="606" t="s">
        <v>1739</v>
      </c>
      <c r="I1453" s="606"/>
      <c r="J1453" s="506">
        <v>11.69</v>
      </c>
      <c r="K1453" s="70"/>
      <c r="L1453" s="70"/>
    </row>
    <row r="1454" spans="1:12" ht="17.25" thickTop="1" x14ac:dyDescent="0.25">
      <c r="A1454" s="507"/>
      <c r="B1454" s="507"/>
      <c r="C1454" s="507"/>
      <c r="D1454" s="507"/>
      <c r="E1454" s="507"/>
      <c r="F1454" s="507"/>
      <c r="G1454" s="507"/>
      <c r="H1454" s="507"/>
      <c r="I1454" s="507"/>
      <c r="J1454" s="507"/>
      <c r="K1454" s="507"/>
      <c r="L1454" s="70"/>
    </row>
    <row r="1455" spans="1:12" ht="16.5" x14ac:dyDescent="0.25">
      <c r="A1455" s="419" t="s">
        <v>1493</v>
      </c>
      <c r="B1455" s="421" t="s">
        <v>76</v>
      </c>
      <c r="C1455" s="419" t="s">
        <v>991</v>
      </c>
      <c r="D1455" s="419" t="s">
        <v>191</v>
      </c>
      <c r="E1455" s="603" t="s">
        <v>77</v>
      </c>
      <c r="F1455" s="603"/>
      <c r="G1455" s="420" t="s">
        <v>103</v>
      </c>
      <c r="H1455" s="421" t="s">
        <v>147</v>
      </c>
      <c r="I1455" s="421" t="s">
        <v>1731</v>
      </c>
      <c r="J1455" s="421" t="s">
        <v>1117</v>
      </c>
      <c r="K1455" s="421" t="s">
        <v>104</v>
      </c>
      <c r="L1455" s="70"/>
    </row>
    <row r="1456" spans="1:12" ht="25.5" x14ac:dyDescent="0.25">
      <c r="A1456" s="441" t="s">
        <v>79</v>
      </c>
      <c r="B1456" s="480" t="s">
        <v>1494</v>
      </c>
      <c r="C1456" s="441" t="s">
        <v>993</v>
      </c>
      <c r="D1456" s="441" t="s">
        <v>1495</v>
      </c>
      <c r="E1456" s="604">
        <v>702</v>
      </c>
      <c r="F1456" s="604"/>
      <c r="G1456" s="443" t="s">
        <v>49</v>
      </c>
      <c r="H1456" s="500">
        <v>1</v>
      </c>
      <c r="I1456" s="442"/>
      <c r="J1456" s="442">
        <v>28.4</v>
      </c>
      <c r="K1456" s="442">
        <v>28.4</v>
      </c>
      <c r="L1456" s="70"/>
    </row>
    <row r="1457" spans="1:12" ht="25.5" x14ac:dyDescent="0.25">
      <c r="A1457" s="501" t="s">
        <v>1732</v>
      </c>
      <c r="B1457" s="502" t="s">
        <v>999</v>
      </c>
      <c r="C1457" s="501" t="s">
        <v>993</v>
      </c>
      <c r="D1457" s="501" t="s">
        <v>1000</v>
      </c>
      <c r="E1457" s="602" t="s">
        <v>972</v>
      </c>
      <c r="F1457" s="602"/>
      <c r="G1457" s="503" t="s">
        <v>81</v>
      </c>
      <c r="H1457" s="504">
        <v>0.25</v>
      </c>
      <c r="I1457" s="504"/>
      <c r="J1457" s="505">
        <v>16.04</v>
      </c>
      <c r="K1457" s="505">
        <v>4.01</v>
      </c>
      <c r="L1457" s="70"/>
    </row>
    <row r="1458" spans="1:12" ht="25.5" x14ac:dyDescent="0.25">
      <c r="A1458" s="501" t="s">
        <v>1732</v>
      </c>
      <c r="B1458" s="502" t="s">
        <v>1021</v>
      </c>
      <c r="C1458" s="501" t="s">
        <v>993</v>
      </c>
      <c r="D1458" s="501" t="s">
        <v>1022</v>
      </c>
      <c r="E1458" s="602" t="s">
        <v>972</v>
      </c>
      <c r="F1458" s="602"/>
      <c r="G1458" s="503" t="s">
        <v>81</v>
      </c>
      <c r="H1458" s="504">
        <v>0.25</v>
      </c>
      <c r="I1458" s="504"/>
      <c r="J1458" s="505">
        <v>23.41</v>
      </c>
      <c r="K1458" s="505">
        <v>5.85</v>
      </c>
      <c r="L1458" s="70"/>
    </row>
    <row r="1459" spans="1:12" ht="25.5" x14ac:dyDescent="0.25">
      <c r="A1459" s="501" t="s">
        <v>1732</v>
      </c>
      <c r="B1459" s="502" t="s">
        <v>2347</v>
      </c>
      <c r="C1459" s="501" t="s">
        <v>993</v>
      </c>
      <c r="D1459" s="501" t="s">
        <v>2348</v>
      </c>
      <c r="E1459" s="602" t="s">
        <v>1746</v>
      </c>
      <c r="F1459" s="602"/>
      <c r="G1459" s="503" t="s">
        <v>49</v>
      </c>
      <c r="H1459" s="504">
        <v>1</v>
      </c>
      <c r="I1459" s="504"/>
      <c r="J1459" s="505">
        <v>15.52</v>
      </c>
      <c r="K1459" s="505">
        <v>15.52</v>
      </c>
      <c r="L1459" s="70"/>
    </row>
    <row r="1460" spans="1:12" ht="25.5" x14ac:dyDescent="0.25">
      <c r="A1460" s="501" t="s">
        <v>1732</v>
      </c>
      <c r="B1460" s="502" t="s">
        <v>2349</v>
      </c>
      <c r="C1460" s="501" t="s">
        <v>993</v>
      </c>
      <c r="D1460" s="501" t="s">
        <v>2350</v>
      </c>
      <c r="E1460" s="602" t="s">
        <v>1746</v>
      </c>
      <c r="F1460" s="602"/>
      <c r="G1460" s="503" t="s">
        <v>49</v>
      </c>
      <c r="H1460" s="504">
        <v>0.02</v>
      </c>
      <c r="I1460" s="504"/>
      <c r="J1460" s="505">
        <v>151</v>
      </c>
      <c r="K1460" s="505">
        <v>3.02</v>
      </c>
      <c r="L1460" s="70"/>
    </row>
    <row r="1461" spans="1:12" ht="15.75" customHeight="1" x14ac:dyDescent="0.25">
      <c r="A1461" s="445"/>
      <c r="B1461" s="445"/>
      <c r="C1461" s="445"/>
      <c r="D1461" s="445"/>
      <c r="E1461" s="445" t="s">
        <v>1735</v>
      </c>
      <c r="F1461" s="506">
        <v>9.86</v>
      </c>
      <c r="G1461" s="445" t="s">
        <v>1736</v>
      </c>
      <c r="H1461" s="506">
        <v>0</v>
      </c>
      <c r="I1461" s="445" t="s">
        <v>1737</v>
      </c>
      <c r="J1461" s="506">
        <v>9.86</v>
      </c>
      <c r="K1461" s="70"/>
      <c r="L1461" s="70"/>
    </row>
    <row r="1462" spans="1:12" ht="17.25" thickBot="1" x14ac:dyDescent="0.3">
      <c r="A1462" s="445"/>
      <c r="B1462" s="445"/>
      <c r="C1462" s="445"/>
      <c r="D1462" s="445"/>
      <c r="E1462" s="445" t="s">
        <v>1738</v>
      </c>
      <c r="F1462" s="506">
        <v>6.9977600000000004</v>
      </c>
      <c r="G1462" s="445"/>
      <c r="H1462" s="606" t="s">
        <v>1739</v>
      </c>
      <c r="I1462" s="606"/>
      <c r="J1462" s="506">
        <v>35.39</v>
      </c>
      <c r="K1462" s="70"/>
      <c r="L1462" s="70"/>
    </row>
    <row r="1463" spans="1:12" ht="17.25" thickTop="1" x14ac:dyDescent="0.25">
      <c r="A1463" s="507"/>
      <c r="B1463" s="507"/>
      <c r="C1463" s="507"/>
      <c r="D1463" s="507"/>
      <c r="E1463" s="507"/>
      <c r="F1463" s="507"/>
      <c r="G1463" s="507"/>
      <c r="H1463" s="507"/>
      <c r="I1463" s="507"/>
      <c r="J1463" s="507"/>
      <c r="K1463" s="507"/>
      <c r="L1463" s="70"/>
    </row>
    <row r="1464" spans="1:12" ht="38.25" customHeight="1" x14ac:dyDescent="0.25">
      <c r="A1464" s="419" t="s">
        <v>1496</v>
      </c>
      <c r="B1464" s="421" t="s">
        <v>76</v>
      </c>
      <c r="C1464" s="419" t="s">
        <v>991</v>
      </c>
      <c r="D1464" s="419" t="s">
        <v>191</v>
      </c>
      <c r="E1464" s="603" t="s">
        <v>77</v>
      </c>
      <c r="F1464" s="603"/>
      <c r="G1464" s="420" t="s">
        <v>103</v>
      </c>
      <c r="H1464" s="421" t="s">
        <v>147</v>
      </c>
      <c r="I1464" s="421" t="s">
        <v>1731</v>
      </c>
      <c r="J1464" s="421" t="s">
        <v>1117</v>
      </c>
      <c r="K1464" s="421" t="s">
        <v>104</v>
      </c>
      <c r="L1464" s="70"/>
    </row>
    <row r="1465" spans="1:12" ht="25.5" x14ac:dyDescent="0.25">
      <c r="A1465" s="441" t="s">
        <v>79</v>
      </c>
      <c r="B1465" s="480" t="s">
        <v>1497</v>
      </c>
      <c r="C1465" s="441" t="s">
        <v>1168</v>
      </c>
      <c r="D1465" s="441" t="s">
        <v>470</v>
      </c>
      <c r="E1465" s="604" t="s">
        <v>2351</v>
      </c>
      <c r="F1465" s="604"/>
      <c r="G1465" s="443" t="s">
        <v>38</v>
      </c>
      <c r="H1465" s="500">
        <v>1</v>
      </c>
      <c r="I1465" s="442"/>
      <c r="J1465" s="442">
        <v>43.61</v>
      </c>
      <c r="K1465" s="442">
        <v>43.61</v>
      </c>
      <c r="L1465" s="70"/>
    </row>
    <row r="1466" spans="1:12" ht="25.5" x14ac:dyDescent="0.25">
      <c r="A1466" s="501" t="s">
        <v>1732</v>
      </c>
      <c r="B1466" s="502" t="s">
        <v>2352</v>
      </c>
      <c r="C1466" s="501" t="s">
        <v>1115</v>
      </c>
      <c r="D1466" s="501" t="s">
        <v>2353</v>
      </c>
      <c r="E1466" s="602" t="s">
        <v>1746</v>
      </c>
      <c r="F1466" s="602"/>
      <c r="G1466" s="503" t="s">
        <v>38</v>
      </c>
      <c r="H1466" s="504">
        <v>1</v>
      </c>
      <c r="I1466" s="504"/>
      <c r="J1466" s="505">
        <v>38.79</v>
      </c>
      <c r="K1466" s="505">
        <v>38.79</v>
      </c>
      <c r="L1466" s="70"/>
    </row>
    <row r="1467" spans="1:12" ht="25.5" x14ac:dyDescent="0.25">
      <c r="A1467" s="501" t="s">
        <v>1732</v>
      </c>
      <c r="B1467" s="502" t="s">
        <v>1003</v>
      </c>
      <c r="C1467" s="501" t="s">
        <v>993</v>
      </c>
      <c r="D1467" s="501" t="s">
        <v>1004</v>
      </c>
      <c r="E1467" s="602" t="s">
        <v>972</v>
      </c>
      <c r="F1467" s="602"/>
      <c r="G1467" s="503" t="s">
        <v>81</v>
      </c>
      <c r="H1467" s="504">
        <v>0.1384</v>
      </c>
      <c r="I1467" s="504">
        <v>0</v>
      </c>
      <c r="J1467" s="505">
        <v>23.41</v>
      </c>
      <c r="K1467" s="505">
        <v>3.23</v>
      </c>
      <c r="L1467" s="70"/>
    </row>
    <row r="1468" spans="1:12" ht="25.5" x14ac:dyDescent="0.25">
      <c r="A1468" s="501" t="s">
        <v>1732</v>
      </c>
      <c r="B1468" s="502" t="s">
        <v>992</v>
      </c>
      <c r="C1468" s="501" t="s">
        <v>993</v>
      </c>
      <c r="D1468" s="501" t="s">
        <v>994</v>
      </c>
      <c r="E1468" s="602" t="s">
        <v>972</v>
      </c>
      <c r="F1468" s="602"/>
      <c r="G1468" s="503" t="s">
        <v>81</v>
      </c>
      <c r="H1468" s="504">
        <v>0.10879999999999999</v>
      </c>
      <c r="I1468" s="504">
        <v>0</v>
      </c>
      <c r="J1468" s="505">
        <v>14.62</v>
      </c>
      <c r="K1468" s="505">
        <v>1.59</v>
      </c>
      <c r="L1468" s="70"/>
    </row>
    <row r="1469" spans="1:12" ht="15.75" customHeight="1" x14ac:dyDescent="0.25">
      <c r="A1469" s="445"/>
      <c r="B1469" s="445"/>
      <c r="C1469" s="445"/>
      <c r="D1469" s="445"/>
      <c r="E1469" s="445" t="s">
        <v>1735</v>
      </c>
      <c r="F1469" s="506">
        <v>4.82</v>
      </c>
      <c r="G1469" s="445" t="s">
        <v>1736</v>
      </c>
      <c r="H1469" s="506">
        <v>0</v>
      </c>
      <c r="I1469" s="445" t="s">
        <v>1737</v>
      </c>
      <c r="J1469" s="506">
        <v>4.82</v>
      </c>
      <c r="K1469" s="70"/>
      <c r="L1469" s="70"/>
    </row>
    <row r="1470" spans="1:12" ht="17.25" thickBot="1" x14ac:dyDescent="0.3">
      <c r="A1470" s="445"/>
      <c r="B1470" s="445"/>
      <c r="C1470" s="445"/>
      <c r="D1470" s="445"/>
      <c r="E1470" s="445" t="s">
        <v>1738</v>
      </c>
      <c r="F1470" s="506">
        <v>10.745504</v>
      </c>
      <c r="G1470" s="445"/>
      <c r="H1470" s="606" t="s">
        <v>1739</v>
      </c>
      <c r="I1470" s="606"/>
      <c r="J1470" s="506">
        <v>54.35</v>
      </c>
      <c r="K1470" s="70"/>
      <c r="L1470" s="70"/>
    </row>
    <row r="1471" spans="1:12" ht="17.25" thickTop="1" x14ac:dyDescent="0.25">
      <c r="A1471" s="507"/>
      <c r="B1471" s="507"/>
      <c r="C1471" s="507"/>
      <c r="D1471" s="507"/>
      <c r="E1471" s="507"/>
      <c r="F1471" s="507"/>
      <c r="G1471" s="507"/>
      <c r="H1471" s="507"/>
      <c r="I1471" s="507"/>
      <c r="J1471" s="507"/>
      <c r="K1471" s="507"/>
      <c r="L1471" s="70"/>
    </row>
    <row r="1472" spans="1:12" ht="16.5" x14ac:dyDescent="0.25">
      <c r="A1472" s="419" t="s">
        <v>1498</v>
      </c>
      <c r="B1472" s="421" t="s">
        <v>76</v>
      </c>
      <c r="C1472" s="419" t="s">
        <v>991</v>
      </c>
      <c r="D1472" s="419" t="s">
        <v>191</v>
      </c>
      <c r="E1472" s="603" t="s">
        <v>77</v>
      </c>
      <c r="F1472" s="603"/>
      <c r="G1472" s="420" t="s">
        <v>103</v>
      </c>
      <c r="H1472" s="421" t="s">
        <v>147</v>
      </c>
      <c r="I1472" s="421" t="s">
        <v>1731</v>
      </c>
      <c r="J1472" s="421" t="s">
        <v>1117</v>
      </c>
      <c r="K1472" s="421" t="s">
        <v>104</v>
      </c>
      <c r="L1472" s="70"/>
    </row>
    <row r="1473" spans="1:12" ht="25.5" x14ac:dyDescent="0.25">
      <c r="A1473" s="441" t="s">
        <v>79</v>
      </c>
      <c r="B1473" s="480" t="s">
        <v>1499</v>
      </c>
      <c r="C1473" s="441" t="s">
        <v>993</v>
      </c>
      <c r="D1473" s="441" t="s">
        <v>1500</v>
      </c>
      <c r="E1473" s="604">
        <v>713</v>
      </c>
      <c r="F1473" s="604"/>
      <c r="G1473" s="443" t="s">
        <v>1141</v>
      </c>
      <c r="H1473" s="500">
        <v>1</v>
      </c>
      <c r="I1473" s="442"/>
      <c r="J1473" s="442">
        <v>146.21</v>
      </c>
      <c r="K1473" s="442">
        <v>146.21</v>
      </c>
      <c r="L1473" s="70"/>
    </row>
    <row r="1474" spans="1:12" ht="25.5" x14ac:dyDescent="0.25">
      <c r="A1474" s="501" t="s">
        <v>1732</v>
      </c>
      <c r="B1474" s="502" t="s">
        <v>999</v>
      </c>
      <c r="C1474" s="501" t="s">
        <v>993</v>
      </c>
      <c r="D1474" s="501" t="s">
        <v>1000</v>
      </c>
      <c r="E1474" s="602" t="s">
        <v>972</v>
      </c>
      <c r="F1474" s="602"/>
      <c r="G1474" s="503" t="s">
        <v>81</v>
      </c>
      <c r="H1474" s="504">
        <v>0.4</v>
      </c>
      <c r="I1474" s="504"/>
      <c r="J1474" s="505">
        <v>16.04</v>
      </c>
      <c r="K1474" s="505">
        <v>6.41</v>
      </c>
      <c r="L1474" s="70"/>
    </row>
    <row r="1475" spans="1:12" ht="25.5" x14ac:dyDescent="0.25">
      <c r="A1475" s="501" t="s">
        <v>1732</v>
      </c>
      <c r="B1475" s="502" t="s">
        <v>1021</v>
      </c>
      <c r="C1475" s="501" t="s">
        <v>993</v>
      </c>
      <c r="D1475" s="501" t="s">
        <v>1022</v>
      </c>
      <c r="E1475" s="602" t="s">
        <v>972</v>
      </c>
      <c r="F1475" s="602"/>
      <c r="G1475" s="503" t="s">
        <v>81</v>
      </c>
      <c r="H1475" s="504">
        <v>0.4</v>
      </c>
      <c r="I1475" s="504"/>
      <c r="J1475" s="505">
        <v>23.41</v>
      </c>
      <c r="K1475" s="505">
        <v>9.36</v>
      </c>
      <c r="L1475" s="70"/>
    </row>
    <row r="1476" spans="1:12" ht="25.5" x14ac:dyDescent="0.25">
      <c r="A1476" s="501" t="s">
        <v>1732</v>
      </c>
      <c r="B1476" s="502" t="s">
        <v>2354</v>
      </c>
      <c r="C1476" s="501" t="s">
        <v>993</v>
      </c>
      <c r="D1476" s="501" t="s">
        <v>2355</v>
      </c>
      <c r="E1476" s="602" t="s">
        <v>1746</v>
      </c>
      <c r="F1476" s="602"/>
      <c r="G1476" s="503" t="s">
        <v>49</v>
      </c>
      <c r="H1476" s="504">
        <v>1</v>
      </c>
      <c r="I1476" s="504"/>
      <c r="J1476" s="505">
        <v>130.44</v>
      </c>
      <c r="K1476" s="505">
        <v>130.44</v>
      </c>
      <c r="L1476" s="70"/>
    </row>
    <row r="1477" spans="1:12" ht="15.75" customHeight="1" x14ac:dyDescent="0.25">
      <c r="A1477" s="445"/>
      <c r="B1477" s="445"/>
      <c r="C1477" s="445"/>
      <c r="D1477" s="445"/>
      <c r="E1477" s="445" t="s">
        <v>1735</v>
      </c>
      <c r="F1477" s="506">
        <v>15.77</v>
      </c>
      <c r="G1477" s="445" t="s">
        <v>1736</v>
      </c>
      <c r="H1477" s="506">
        <v>0</v>
      </c>
      <c r="I1477" s="445" t="s">
        <v>1737</v>
      </c>
      <c r="J1477" s="506">
        <v>15.77</v>
      </c>
      <c r="K1477" s="70"/>
      <c r="L1477" s="70"/>
    </row>
    <row r="1478" spans="1:12" ht="17.25" thickBot="1" x14ac:dyDescent="0.3">
      <c r="A1478" s="445"/>
      <c r="B1478" s="445"/>
      <c r="C1478" s="445"/>
      <c r="D1478" s="445"/>
      <c r="E1478" s="445" t="s">
        <v>1738</v>
      </c>
      <c r="F1478" s="506">
        <v>36.026144000000002</v>
      </c>
      <c r="G1478" s="445"/>
      <c r="H1478" s="606" t="s">
        <v>1739</v>
      </c>
      <c r="I1478" s="606"/>
      <c r="J1478" s="506">
        <v>182.23</v>
      </c>
      <c r="K1478" s="70"/>
      <c r="L1478" s="70"/>
    </row>
    <row r="1479" spans="1:12" ht="17.25" thickTop="1" x14ac:dyDescent="0.25">
      <c r="A1479" s="507"/>
      <c r="B1479" s="507"/>
      <c r="C1479" s="507"/>
      <c r="D1479" s="507"/>
      <c r="E1479" s="507"/>
      <c r="F1479" s="507"/>
      <c r="G1479" s="507"/>
      <c r="H1479" s="507"/>
      <c r="I1479" s="507"/>
      <c r="J1479" s="507"/>
      <c r="K1479" s="507"/>
      <c r="L1479" s="70"/>
    </row>
    <row r="1480" spans="1:12" ht="16.5" x14ac:dyDescent="0.25">
      <c r="A1480" s="419" t="s">
        <v>1501</v>
      </c>
      <c r="B1480" s="421" t="s">
        <v>76</v>
      </c>
      <c r="C1480" s="419" t="s">
        <v>991</v>
      </c>
      <c r="D1480" s="419" t="s">
        <v>191</v>
      </c>
      <c r="E1480" s="603" t="s">
        <v>77</v>
      </c>
      <c r="F1480" s="603"/>
      <c r="G1480" s="420" t="s">
        <v>103</v>
      </c>
      <c r="H1480" s="421" t="s">
        <v>147</v>
      </c>
      <c r="I1480" s="421" t="s">
        <v>1731</v>
      </c>
      <c r="J1480" s="421" t="s">
        <v>1117</v>
      </c>
      <c r="K1480" s="421" t="s">
        <v>104</v>
      </c>
      <c r="L1480" s="70"/>
    </row>
    <row r="1481" spans="1:12" ht="25.5" x14ac:dyDescent="0.25">
      <c r="A1481" s="441" t="s">
        <v>79</v>
      </c>
      <c r="B1481" s="480" t="s">
        <v>1502</v>
      </c>
      <c r="C1481" s="441" t="s">
        <v>993</v>
      </c>
      <c r="D1481" s="441" t="s">
        <v>1503</v>
      </c>
      <c r="E1481" s="604">
        <v>725</v>
      </c>
      <c r="F1481" s="604"/>
      <c r="G1481" s="443" t="s">
        <v>1141</v>
      </c>
      <c r="H1481" s="500">
        <v>1</v>
      </c>
      <c r="I1481" s="442"/>
      <c r="J1481" s="442">
        <v>18.48</v>
      </c>
      <c r="K1481" s="442">
        <v>18.48</v>
      </c>
      <c r="L1481" s="70"/>
    </row>
    <row r="1482" spans="1:12" ht="25.5" x14ac:dyDescent="0.25">
      <c r="A1482" s="501" t="s">
        <v>1732</v>
      </c>
      <c r="B1482" s="502" t="s">
        <v>999</v>
      </c>
      <c r="C1482" s="501" t="s">
        <v>993</v>
      </c>
      <c r="D1482" s="501" t="s">
        <v>1000</v>
      </c>
      <c r="E1482" s="602" t="s">
        <v>972</v>
      </c>
      <c r="F1482" s="602"/>
      <c r="G1482" s="503" t="s">
        <v>81</v>
      </c>
      <c r="H1482" s="504">
        <v>0.35</v>
      </c>
      <c r="I1482" s="504"/>
      <c r="J1482" s="505">
        <v>16.04</v>
      </c>
      <c r="K1482" s="505">
        <v>5.61</v>
      </c>
      <c r="L1482" s="70"/>
    </row>
    <row r="1483" spans="1:12" ht="25.5" x14ac:dyDescent="0.25">
      <c r="A1483" s="501" t="s">
        <v>1732</v>
      </c>
      <c r="B1483" s="502" t="s">
        <v>1021</v>
      </c>
      <c r="C1483" s="501" t="s">
        <v>993</v>
      </c>
      <c r="D1483" s="501" t="s">
        <v>1022</v>
      </c>
      <c r="E1483" s="602" t="s">
        <v>972</v>
      </c>
      <c r="F1483" s="602"/>
      <c r="G1483" s="503" t="s">
        <v>81</v>
      </c>
      <c r="H1483" s="504">
        <v>0.35</v>
      </c>
      <c r="I1483" s="504"/>
      <c r="J1483" s="505">
        <v>23.41</v>
      </c>
      <c r="K1483" s="505">
        <v>8.19</v>
      </c>
      <c r="L1483" s="70"/>
    </row>
    <row r="1484" spans="1:12" ht="25.5" x14ac:dyDescent="0.25">
      <c r="A1484" s="501" t="s">
        <v>1732</v>
      </c>
      <c r="B1484" s="502" t="s">
        <v>2356</v>
      </c>
      <c r="C1484" s="501" t="s">
        <v>993</v>
      </c>
      <c r="D1484" s="501" t="s">
        <v>1503</v>
      </c>
      <c r="E1484" s="602" t="s">
        <v>1746</v>
      </c>
      <c r="F1484" s="602"/>
      <c r="G1484" s="503" t="s">
        <v>49</v>
      </c>
      <c r="H1484" s="504">
        <v>1</v>
      </c>
      <c r="I1484" s="504"/>
      <c r="J1484" s="505">
        <v>4.68</v>
      </c>
      <c r="K1484" s="505">
        <v>4.68</v>
      </c>
      <c r="L1484" s="70"/>
    </row>
    <row r="1485" spans="1:12" ht="15.75" customHeight="1" x14ac:dyDescent="0.25">
      <c r="A1485" s="445"/>
      <c r="B1485" s="445"/>
      <c r="C1485" s="445"/>
      <c r="D1485" s="445"/>
      <c r="E1485" s="445" t="s">
        <v>1735</v>
      </c>
      <c r="F1485" s="506">
        <v>13.8</v>
      </c>
      <c r="G1485" s="445" t="s">
        <v>1736</v>
      </c>
      <c r="H1485" s="506">
        <v>0</v>
      </c>
      <c r="I1485" s="445" t="s">
        <v>1737</v>
      </c>
      <c r="J1485" s="506">
        <v>13.8</v>
      </c>
      <c r="K1485" s="70"/>
      <c r="L1485" s="70"/>
    </row>
    <row r="1486" spans="1:12" ht="17.25" thickBot="1" x14ac:dyDescent="0.3">
      <c r="A1486" s="445"/>
      <c r="B1486" s="445"/>
      <c r="C1486" s="445"/>
      <c r="D1486" s="445"/>
      <c r="E1486" s="445" t="s">
        <v>1738</v>
      </c>
      <c r="F1486" s="506">
        <v>4.5534720000000002</v>
      </c>
      <c r="G1486" s="445"/>
      <c r="H1486" s="606" t="s">
        <v>1739</v>
      </c>
      <c r="I1486" s="606"/>
      <c r="J1486" s="506">
        <v>23.03</v>
      </c>
      <c r="K1486" s="70"/>
      <c r="L1486" s="70"/>
    </row>
    <row r="1487" spans="1:12" ht="17.25" thickTop="1" x14ac:dyDescent="0.25">
      <c r="A1487" s="507"/>
      <c r="B1487" s="507"/>
      <c r="C1487" s="507"/>
      <c r="D1487" s="507"/>
      <c r="E1487" s="507"/>
      <c r="F1487" s="507"/>
      <c r="G1487" s="507"/>
      <c r="H1487" s="507"/>
      <c r="I1487" s="507"/>
      <c r="J1487" s="507"/>
      <c r="K1487" s="507"/>
      <c r="L1487" s="70"/>
    </row>
    <row r="1488" spans="1:12" ht="16.5" x14ac:dyDescent="0.25">
      <c r="A1488" s="419" t="s">
        <v>1504</v>
      </c>
      <c r="B1488" s="421" t="s">
        <v>76</v>
      </c>
      <c r="C1488" s="419" t="s">
        <v>991</v>
      </c>
      <c r="D1488" s="419" t="s">
        <v>191</v>
      </c>
      <c r="E1488" s="603" t="s">
        <v>77</v>
      </c>
      <c r="F1488" s="603"/>
      <c r="G1488" s="420" t="s">
        <v>103</v>
      </c>
      <c r="H1488" s="421" t="s">
        <v>147</v>
      </c>
      <c r="I1488" s="421" t="s">
        <v>1731</v>
      </c>
      <c r="J1488" s="421" t="s">
        <v>1117</v>
      </c>
      <c r="K1488" s="421" t="s">
        <v>104</v>
      </c>
      <c r="L1488" s="70"/>
    </row>
    <row r="1489" spans="1:12" ht="25.5" x14ac:dyDescent="0.25">
      <c r="A1489" s="441" t="s">
        <v>79</v>
      </c>
      <c r="B1489" s="480" t="s">
        <v>1505</v>
      </c>
      <c r="C1489" s="441" t="s">
        <v>993</v>
      </c>
      <c r="D1489" s="441" t="s">
        <v>1506</v>
      </c>
      <c r="E1489" s="604">
        <v>725</v>
      </c>
      <c r="F1489" s="604"/>
      <c r="G1489" s="443" t="s">
        <v>1141</v>
      </c>
      <c r="H1489" s="500">
        <v>1</v>
      </c>
      <c r="I1489" s="442"/>
      <c r="J1489" s="442">
        <v>22.42</v>
      </c>
      <c r="K1489" s="442">
        <v>22.42</v>
      </c>
      <c r="L1489" s="70"/>
    </row>
    <row r="1490" spans="1:12" ht="25.5" x14ac:dyDescent="0.25">
      <c r="A1490" s="501" t="s">
        <v>1732</v>
      </c>
      <c r="B1490" s="502" t="s">
        <v>999</v>
      </c>
      <c r="C1490" s="501" t="s">
        <v>993</v>
      </c>
      <c r="D1490" s="501" t="s">
        <v>1000</v>
      </c>
      <c r="E1490" s="602" t="s">
        <v>972</v>
      </c>
      <c r="F1490" s="602"/>
      <c r="G1490" s="503" t="s">
        <v>81</v>
      </c>
      <c r="H1490" s="504">
        <v>0.4</v>
      </c>
      <c r="I1490" s="504"/>
      <c r="J1490" s="505">
        <v>16.04</v>
      </c>
      <c r="K1490" s="505">
        <v>6.41</v>
      </c>
      <c r="L1490" s="70"/>
    </row>
    <row r="1491" spans="1:12" ht="25.5" x14ac:dyDescent="0.25">
      <c r="A1491" s="501" t="s">
        <v>1732</v>
      </c>
      <c r="B1491" s="502" t="s">
        <v>1021</v>
      </c>
      <c r="C1491" s="501" t="s">
        <v>993</v>
      </c>
      <c r="D1491" s="501" t="s">
        <v>1022</v>
      </c>
      <c r="E1491" s="602" t="s">
        <v>972</v>
      </c>
      <c r="F1491" s="602"/>
      <c r="G1491" s="503" t="s">
        <v>81</v>
      </c>
      <c r="H1491" s="504">
        <v>0.4</v>
      </c>
      <c r="I1491" s="504"/>
      <c r="J1491" s="505">
        <v>23.41</v>
      </c>
      <c r="K1491" s="505">
        <v>9.36</v>
      </c>
      <c r="L1491" s="70"/>
    </row>
    <row r="1492" spans="1:12" ht="25.5" x14ac:dyDescent="0.25">
      <c r="A1492" s="501" t="s">
        <v>1732</v>
      </c>
      <c r="B1492" s="502" t="s">
        <v>2357</v>
      </c>
      <c r="C1492" s="501" t="s">
        <v>993</v>
      </c>
      <c r="D1492" s="501" t="s">
        <v>1506</v>
      </c>
      <c r="E1492" s="602" t="s">
        <v>1746</v>
      </c>
      <c r="F1492" s="602"/>
      <c r="G1492" s="503" t="s">
        <v>49</v>
      </c>
      <c r="H1492" s="504">
        <v>1</v>
      </c>
      <c r="I1492" s="504"/>
      <c r="J1492" s="505">
        <v>6.65</v>
      </c>
      <c r="K1492" s="505">
        <v>6.65</v>
      </c>
      <c r="L1492" s="70"/>
    </row>
    <row r="1493" spans="1:12" ht="15.75" customHeight="1" x14ac:dyDescent="0.25">
      <c r="A1493" s="445"/>
      <c r="B1493" s="445"/>
      <c r="C1493" s="445"/>
      <c r="D1493" s="445"/>
      <c r="E1493" s="445" t="s">
        <v>1735</v>
      </c>
      <c r="F1493" s="506">
        <v>15.77</v>
      </c>
      <c r="G1493" s="445" t="s">
        <v>1736</v>
      </c>
      <c r="H1493" s="506">
        <v>0</v>
      </c>
      <c r="I1493" s="445" t="s">
        <v>1737</v>
      </c>
      <c r="J1493" s="506">
        <v>15.77</v>
      </c>
      <c r="K1493" s="70"/>
      <c r="L1493" s="70"/>
    </row>
    <row r="1494" spans="1:12" ht="17.25" thickBot="1" x14ac:dyDescent="0.3">
      <c r="A1494" s="445"/>
      <c r="B1494" s="445"/>
      <c r="C1494" s="445"/>
      <c r="D1494" s="445"/>
      <c r="E1494" s="445" t="s">
        <v>1738</v>
      </c>
      <c r="F1494" s="506">
        <v>5.5242880000000003</v>
      </c>
      <c r="G1494" s="445"/>
      <c r="H1494" s="606" t="s">
        <v>1739</v>
      </c>
      <c r="I1494" s="606"/>
      <c r="J1494" s="506">
        <v>27.94</v>
      </c>
      <c r="K1494" s="70"/>
      <c r="L1494" s="70"/>
    </row>
    <row r="1495" spans="1:12" ht="17.25" thickTop="1" x14ac:dyDescent="0.25">
      <c r="A1495" s="507"/>
      <c r="B1495" s="507"/>
      <c r="C1495" s="507"/>
      <c r="D1495" s="507"/>
      <c r="E1495" s="507"/>
      <c r="F1495" s="507"/>
      <c r="G1495" s="507"/>
      <c r="H1495" s="507"/>
      <c r="I1495" s="507"/>
      <c r="J1495" s="507"/>
      <c r="K1495" s="507"/>
      <c r="L1495" s="70"/>
    </row>
    <row r="1496" spans="1:12" ht="16.5" x14ac:dyDescent="0.25">
      <c r="A1496" s="419" t="s">
        <v>1507</v>
      </c>
      <c r="B1496" s="421" t="s">
        <v>76</v>
      </c>
      <c r="C1496" s="419" t="s">
        <v>991</v>
      </c>
      <c r="D1496" s="419" t="s">
        <v>191</v>
      </c>
      <c r="E1496" s="603" t="s">
        <v>77</v>
      </c>
      <c r="F1496" s="603"/>
      <c r="G1496" s="420" t="s">
        <v>103</v>
      </c>
      <c r="H1496" s="421" t="s">
        <v>147</v>
      </c>
      <c r="I1496" s="421" t="s">
        <v>1731</v>
      </c>
      <c r="J1496" s="421" t="s">
        <v>1117</v>
      </c>
      <c r="K1496" s="421" t="s">
        <v>104</v>
      </c>
      <c r="L1496" s="70"/>
    </row>
    <row r="1497" spans="1:12" ht="25.5" x14ac:dyDescent="0.25">
      <c r="A1497" s="441" t="s">
        <v>79</v>
      </c>
      <c r="B1497" s="480" t="s">
        <v>1508</v>
      </c>
      <c r="C1497" s="441" t="s">
        <v>993</v>
      </c>
      <c r="D1497" s="441" t="s">
        <v>1509</v>
      </c>
      <c r="E1497" s="604">
        <v>710</v>
      </c>
      <c r="F1497" s="604"/>
      <c r="G1497" s="443" t="s">
        <v>1141</v>
      </c>
      <c r="H1497" s="500">
        <v>1</v>
      </c>
      <c r="I1497" s="442"/>
      <c r="J1497" s="442">
        <v>29.57</v>
      </c>
      <c r="K1497" s="442">
        <v>29.57</v>
      </c>
      <c r="L1497" s="70"/>
    </row>
    <row r="1498" spans="1:12" ht="25.5" x14ac:dyDescent="0.25">
      <c r="A1498" s="501" t="s">
        <v>1732</v>
      </c>
      <c r="B1498" s="502" t="s">
        <v>999</v>
      </c>
      <c r="C1498" s="501" t="s">
        <v>993</v>
      </c>
      <c r="D1498" s="501" t="s">
        <v>1000</v>
      </c>
      <c r="E1498" s="602" t="s">
        <v>972</v>
      </c>
      <c r="F1498" s="602"/>
      <c r="G1498" s="503" t="s">
        <v>81</v>
      </c>
      <c r="H1498" s="504">
        <v>0.4</v>
      </c>
      <c r="I1498" s="504"/>
      <c r="J1498" s="505">
        <v>16.04</v>
      </c>
      <c r="K1498" s="505">
        <v>6.41</v>
      </c>
      <c r="L1498" s="70"/>
    </row>
    <row r="1499" spans="1:12" ht="25.5" x14ac:dyDescent="0.25">
      <c r="A1499" s="501" t="s">
        <v>1732</v>
      </c>
      <c r="B1499" s="502" t="s">
        <v>1021</v>
      </c>
      <c r="C1499" s="501" t="s">
        <v>993</v>
      </c>
      <c r="D1499" s="501" t="s">
        <v>1022</v>
      </c>
      <c r="E1499" s="602" t="s">
        <v>972</v>
      </c>
      <c r="F1499" s="602"/>
      <c r="G1499" s="503" t="s">
        <v>81</v>
      </c>
      <c r="H1499" s="504">
        <v>0.4</v>
      </c>
      <c r="I1499" s="504"/>
      <c r="J1499" s="505">
        <v>23.41</v>
      </c>
      <c r="K1499" s="505">
        <v>9.36</v>
      </c>
      <c r="L1499" s="70"/>
    </row>
    <row r="1500" spans="1:12" ht="25.5" x14ac:dyDescent="0.25">
      <c r="A1500" s="501" t="s">
        <v>1732</v>
      </c>
      <c r="B1500" s="502" t="s">
        <v>2358</v>
      </c>
      <c r="C1500" s="501" t="s">
        <v>993</v>
      </c>
      <c r="D1500" s="501" t="s">
        <v>1509</v>
      </c>
      <c r="E1500" s="602" t="s">
        <v>1746</v>
      </c>
      <c r="F1500" s="602"/>
      <c r="G1500" s="503" t="s">
        <v>49</v>
      </c>
      <c r="H1500" s="504">
        <v>1</v>
      </c>
      <c r="I1500" s="504"/>
      <c r="J1500" s="505">
        <v>13.8</v>
      </c>
      <c r="K1500" s="505">
        <v>13.8</v>
      </c>
      <c r="L1500" s="70"/>
    </row>
    <row r="1501" spans="1:12" ht="15.75" customHeight="1" x14ac:dyDescent="0.25">
      <c r="A1501" s="445"/>
      <c r="B1501" s="445"/>
      <c r="C1501" s="445"/>
      <c r="D1501" s="445"/>
      <c r="E1501" s="445" t="s">
        <v>1735</v>
      </c>
      <c r="F1501" s="506">
        <v>15.77</v>
      </c>
      <c r="G1501" s="445" t="s">
        <v>1736</v>
      </c>
      <c r="H1501" s="506">
        <v>0</v>
      </c>
      <c r="I1501" s="445" t="s">
        <v>1737</v>
      </c>
      <c r="J1501" s="506">
        <v>15.77</v>
      </c>
      <c r="K1501" s="70"/>
      <c r="L1501" s="70"/>
    </row>
    <row r="1502" spans="1:12" ht="17.25" thickBot="1" x14ac:dyDescent="0.3">
      <c r="A1502" s="445"/>
      <c r="B1502" s="445"/>
      <c r="C1502" s="445"/>
      <c r="D1502" s="445"/>
      <c r="E1502" s="445" t="s">
        <v>1738</v>
      </c>
      <c r="F1502" s="506">
        <v>7.2860480000000001</v>
      </c>
      <c r="G1502" s="445"/>
      <c r="H1502" s="606" t="s">
        <v>1739</v>
      </c>
      <c r="I1502" s="606"/>
      <c r="J1502" s="506">
        <v>36.85</v>
      </c>
      <c r="K1502" s="70"/>
      <c r="L1502" s="70"/>
    </row>
    <row r="1503" spans="1:12" ht="17.25" thickTop="1" x14ac:dyDescent="0.25">
      <c r="A1503" s="507"/>
      <c r="B1503" s="507"/>
      <c r="C1503" s="507"/>
      <c r="D1503" s="507"/>
      <c r="E1503" s="507"/>
      <c r="F1503" s="507"/>
      <c r="G1503" s="507"/>
      <c r="H1503" s="507"/>
      <c r="I1503" s="507"/>
      <c r="J1503" s="507"/>
      <c r="K1503" s="507"/>
      <c r="L1503" s="70"/>
    </row>
    <row r="1504" spans="1:12" ht="16.5" x14ac:dyDescent="0.25">
      <c r="A1504" s="419" t="s">
        <v>1511</v>
      </c>
      <c r="B1504" s="421" t="s">
        <v>76</v>
      </c>
      <c r="C1504" s="419" t="s">
        <v>991</v>
      </c>
      <c r="D1504" s="419" t="s">
        <v>191</v>
      </c>
      <c r="E1504" s="603" t="s">
        <v>77</v>
      </c>
      <c r="F1504" s="603"/>
      <c r="G1504" s="420" t="s">
        <v>103</v>
      </c>
      <c r="H1504" s="421" t="s">
        <v>147</v>
      </c>
      <c r="I1504" s="421" t="s">
        <v>1731</v>
      </c>
      <c r="J1504" s="421" t="s">
        <v>1117</v>
      </c>
      <c r="K1504" s="421" t="s">
        <v>104</v>
      </c>
      <c r="L1504" s="70"/>
    </row>
    <row r="1505" spans="1:12" ht="38.25" x14ac:dyDescent="0.25">
      <c r="A1505" s="441" t="s">
        <v>79</v>
      </c>
      <c r="B1505" s="480" t="s">
        <v>1512</v>
      </c>
      <c r="C1505" s="441" t="s">
        <v>1168</v>
      </c>
      <c r="D1505" s="441" t="s">
        <v>1513</v>
      </c>
      <c r="E1505" s="604" t="s">
        <v>2359</v>
      </c>
      <c r="F1505" s="604"/>
      <c r="G1505" s="443" t="s">
        <v>49</v>
      </c>
      <c r="H1505" s="500">
        <v>1</v>
      </c>
      <c r="I1505" s="442"/>
      <c r="J1505" s="442">
        <v>41.68</v>
      </c>
      <c r="K1505" s="442">
        <v>41.68</v>
      </c>
      <c r="L1505" s="70"/>
    </row>
    <row r="1506" spans="1:12" ht="16.5" x14ac:dyDescent="0.25">
      <c r="A1506" s="501" t="s">
        <v>1732</v>
      </c>
      <c r="B1506" s="502" t="s">
        <v>2360</v>
      </c>
      <c r="C1506" s="501" t="s">
        <v>1115</v>
      </c>
      <c r="D1506" s="501" t="s">
        <v>2361</v>
      </c>
      <c r="E1506" s="602" t="s">
        <v>1746</v>
      </c>
      <c r="F1506" s="602"/>
      <c r="G1506" s="503" t="s">
        <v>38</v>
      </c>
      <c r="H1506" s="504">
        <v>1</v>
      </c>
      <c r="I1506" s="504">
        <v>0</v>
      </c>
      <c r="J1506" s="505">
        <v>33.78</v>
      </c>
      <c r="K1506" s="505">
        <v>33.78</v>
      </c>
      <c r="L1506" s="70"/>
    </row>
    <row r="1507" spans="1:12" ht="25.5" x14ac:dyDescent="0.25">
      <c r="A1507" s="501" t="s">
        <v>1732</v>
      </c>
      <c r="B1507" s="502" t="s">
        <v>999</v>
      </c>
      <c r="C1507" s="501" t="s">
        <v>993</v>
      </c>
      <c r="D1507" s="501" t="s">
        <v>1000</v>
      </c>
      <c r="E1507" s="602" t="s">
        <v>972</v>
      </c>
      <c r="F1507" s="602"/>
      <c r="G1507" s="503" t="s">
        <v>81</v>
      </c>
      <c r="H1507" s="504">
        <v>0.16</v>
      </c>
      <c r="I1507" s="504">
        <v>0</v>
      </c>
      <c r="J1507" s="505">
        <v>16.04</v>
      </c>
      <c r="K1507" s="505">
        <v>2.56</v>
      </c>
      <c r="L1507" s="70"/>
    </row>
    <row r="1508" spans="1:12" ht="25.5" x14ac:dyDescent="0.25">
      <c r="A1508" s="501" t="s">
        <v>1732</v>
      </c>
      <c r="B1508" s="502" t="s">
        <v>1011</v>
      </c>
      <c r="C1508" s="501" t="s">
        <v>993</v>
      </c>
      <c r="D1508" s="501" t="s">
        <v>1012</v>
      </c>
      <c r="E1508" s="602" t="s">
        <v>972</v>
      </c>
      <c r="F1508" s="602"/>
      <c r="G1508" s="503" t="s">
        <v>81</v>
      </c>
      <c r="H1508" s="504">
        <v>0.16</v>
      </c>
      <c r="I1508" s="504">
        <v>0</v>
      </c>
      <c r="J1508" s="505">
        <v>23.41</v>
      </c>
      <c r="K1508" s="505">
        <v>3.74</v>
      </c>
      <c r="L1508" s="70"/>
    </row>
    <row r="1509" spans="1:12" ht="16.5" x14ac:dyDescent="0.25">
      <c r="A1509" s="501" t="s">
        <v>1732</v>
      </c>
      <c r="B1509" s="502" t="s">
        <v>2362</v>
      </c>
      <c r="C1509" s="501" t="s">
        <v>2108</v>
      </c>
      <c r="D1509" s="501" t="s">
        <v>2363</v>
      </c>
      <c r="E1509" s="602" t="s">
        <v>1746</v>
      </c>
      <c r="F1509" s="602"/>
      <c r="G1509" s="503" t="s">
        <v>49</v>
      </c>
      <c r="H1509" s="504">
        <v>0.01</v>
      </c>
      <c r="I1509" s="504"/>
      <c r="J1509" s="505">
        <v>75</v>
      </c>
      <c r="K1509" s="505">
        <v>0.75</v>
      </c>
      <c r="L1509" s="70"/>
    </row>
    <row r="1510" spans="1:12" ht="16.5" x14ac:dyDescent="0.25">
      <c r="A1510" s="501" t="s">
        <v>1732</v>
      </c>
      <c r="B1510" s="502" t="s">
        <v>2364</v>
      </c>
      <c r="C1510" s="501" t="s">
        <v>2108</v>
      </c>
      <c r="D1510" s="501" t="s">
        <v>2365</v>
      </c>
      <c r="E1510" s="602" t="s">
        <v>1746</v>
      </c>
      <c r="F1510" s="602"/>
      <c r="G1510" s="503" t="s">
        <v>49</v>
      </c>
      <c r="H1510" s="504">
        <v>1</v>
      </c>
      <c r="I1510" s="504"/>
      <c r="J1510" s="505">
        <v>0.85</v>
      </c>
      <c r="K1510" s="505">
        <v>0.85</v>
      </c>
      <c r="L1510" s="70"/>
    </row>
    <row r="1511" spans="1:12" ht="15.75" customHeight="1" x14ac:dyDescent="0.25">
      <c r="A1511" s="445"/>
      <c r="B1511" s="445"/>
      <c r="C1511" s="445"/>
      <c r="D1511" s="445"/>
      <c r="E1511" s="445" t="s">
        <v>1735</v>
      </c>
      <c r="F1511" s="506">
        <v>6.3</v>
      </c>
      <c r="G1511" s="445" t="s">
        <v>1736</v>
      </c>
      <c r="H1511" s="506">
        <v>0</v>
      </c>
      <c r="I1511" s="445" t="s">
        <v>1737</v>
      </c>
      <c r="J1511" s="506">
        <v>6.3</v>
      </c>
      <c r="K1511" s="70"/>
      <c r="L1511" s="70"/>
    </row>
    <row r="1512" spans="1:12" ht="17.25" thickBot="1" x14ac:dyDescent="0.3">
      <c r="A1512" s="445"/>
      <c r="B1512" s="445"/>
      <c r="C1512" s="445"/>
      <c r="D1512" s="445"/>
      <c r="E1512" s="445" t="s">
        <v>1738</v>
      </c>
      <c r="F1512" s="506">
        <v>10.269952</v>
      </c>
      <c r="G1512" s="445"/>
      <c r="H1512" s="606" t="s">
        <v>1739</v>
      </c>
      <c r="I1512" s="606"/>
      <c r="J1512" s="506">
        <v>51.94</v>
      </c>
      <c r="K1512" s="70"/>
      <c r="L1512" s="70"/>
    </row>
    <row r="1513" spans="1:12" ht="17.25" thickTop="1" x14ac:dyDescent="0.25">
      <c r="A1513" s="507"/>
      <c r="B1513" s="507"/>
      <c r="C1513" s="507"/>
      <c r="D1513" s="507"/>
      <c r="E1513" s="507"/>
      <c r="F1513" s="507"/>
      <c r="G1513" s="507"/>
      <c r="H1513" s="507"/>
      <c r="I1513" s="507"/>
      <c r="J1513" s="507"/>
      <c r="K1513" s="507"/>
      <c r="L1513" s="70"/>
    </row>
    <row r="1514" spans="1:12" ht="16.5" x14ac:dyDescent="0.25">
      <c r="A1514" s="419" t="s">
        <v>1514</v>
      </c>
      <c r="B1514" s="421" t="s">
        <v>76</v>
      </c>
      <c r="C1514" s="419" t="s">
        <v>991</v>
      </c>
      <c r="D1514" s="419" t="s">
        <v>191</v>
      </c>
      <c r="E1514" s="603" t="s">
        <v>77</v>
      </c>
      <c r="F1514" s="603"/>
      <c r="G1514" s="420" t="s">
        <v>103</v>
      </c>
      <c r="H1514" s="421" t="s">
        <v>147</v>
      </c>
      <c r="I1514" s="421" t="s">
        <v>1731</v>
      </c>
      <c r="J1514" s="421" t="s">
        <v>1117</v>
      </c>
      <c r="K1514" s="421" t="s">
        <v>104</v>
      </c>
      <c r="L1514" s="70"/>
    </row>
    <row r="1515" spans="1:12" ht="38.25" x14ac:dyDescent="0.25">
      <c r="A1515" s="441" t="s">
        <v>79</v>
      </c>
      <c r="B1515" s="480" t="s">
        <v>1515</v>
      </c>
      <c r="C1515" s="441" t="s">
        <v>1168</v>
      </c>
      <c r="D1515" s="441" t="s">
        <v>487</v>
      </c>
      <c r="E1515" s="604" t="s">
        <v>2359</v>
      </c>
      <c r="F1515" s="604"/>
      <c r="G1515" s="443" t="s">
        <v>49</v>
      </c>
      <c r="H1515" s="500">
        <v>1</v>
      </c>
      <c r="I1515" s="442"/>
      <c r="J1515" s="442">
        <v>129.19999999999999</v>
      </c>
      <c r="K1515" s="442">
        <v>129.19999999999999</v>
      </c>
      <c r="L1515" s="70"/>
    </row>
    <row r="1516" spans="1:12" ht="16.5" x14ac:dyDescent="0.25">
      <c r="A1516" s="501" t="s">
        <v>1732</v>
      </c>
      <c r="B1516" s="502" t="s">
        <v>2366</v>
      </c>
      <c r="C1516" s="501" t="s">
        <v>2108</v>
      </c>
      <c r="D1516" s="501" t="s">
        <v>2367</v>
      </c>
      <c r="E1516" s="602" t="s">
        <v>1746</v>
      </c>
      <c r="F1516" s="602"/>
      <c r="G1516" s="503" t="s">
        <v>49</v>
      </c>
      <c r="H1516" s="504">
        <v>3</v>
      </c>
      <c r="I1516" s="504"/>
      <c r="J1516" s="505">
        <v>1.77</v>
      </c>
      <c r="K1516" s="505">
        <v>5.31</v>
      </c>
      <c r="L1516" s="70"/>
    </row>
    <row r="1517" spans="1:12" ht="16.5" x14ac:dyDescent="0.25">
      <c r="A1517" s="501" t="s">
        <v>1732</v>
      </c>
      <c r="B1517" s="502" t="s">
        <v>2362</v>
      </c>
      <c r="C1517" s="501" t="s">
        <v>2108</v>
      </c>
      <c r="D1517" s="501" t="s">
        <v>2363</v>
      </c>
      <c r="E1517" s="602" t="s">
        <v>1746</v>
      </c>
      <c r="F1517" s="602"/>
      <c r="G1517" s="503" t="s">
        <v>49</v>
      </c>
      <c r="H1517" s="504">
        <v>1.23E-2</v>
      </c>
      <c r="I1517" s="504"/>
      <c r="J1517" s="505">
        <v>75</v>
      </c>
      <c r="K1517" s="505">
        <v>0.92</v>
      </c>
      <c r="L1517" s="70"/>
    </row>
    <row r="1518" spans="1:12" ht="16.5" x14ac:dyDescent="0.25">
      <c r="A1518" s="501" t="s">
        <v>1732</v>
      </c>
      <c r="B1518" s="502" t="s">
        <v>2368</v>
      </c>
      <c r="C1518" s="501" t="s">
        <v>2108</v>
      </c>
      <c r="D1518" s="501" t="s">
        <v>2369</v>
      </c>
      <c r="E1518" s="602" t="s">
        <v>1746</v>
      </c>
      <c r="F1518" s="602"/>
      <c r="G1518" s="503" t="s">
        <v>49</v>
      </c>
      <c r="H1518" s="504">
        <v>1</v>
      </c>
      <c r="I1518" s="504"/>
      <c r="J1518" s="505">
        <v>86.47</v>
      </c>
      <c r="K1518" s="505">
        <v>86.47</v>
      </c>
      <c r="L1518" s="70"/>
    </row>
    <row r="1519" spans="1:12" ht="25.5" x14ac:dyDescent="0.25">
      <c r="A1519" s="501" t="s">
        <v>1732</v>
      </c>
      <c r="B1519" s="502" t="s">
        <v>992</v>
      </c>
      <c r="C1519" s="501" t="s">
        <v>993</v>
      </c>
      <c r="D1519" s="501" t="s">
        <v>994</v>
      </c>
      <c r="E1519" s="602" t="s">
        <v>972</v>
      </c>
      <c r="F1519" s="602"/>
      <c r="G1519" s="503" t="s">
        <v>81</v>
      </c>
      <c r="H1519" s="504">
        <v>0.96</v>
      </c>
      <c r="I1519" s="504">
        <v>0</v>
      </c>
      <c r="J1519" s="505">
        <v>14.62</v>
      </c>
      <c r="K1519" s="505">
        <v>14.03</v>
      </c>
      <c r="L1519" s="70"/>
    </row>
    <row r="1520" spans="1:12" ht="25.5" x14ac:dyDescent="0.25">
      <c r="A1520" s="501" t="s">
        <v>1732</v>
      </c>
      <c r="B1520" s="502" t="s">
        <v>1011</v>
      </c>
      <c r="C1520" s="501" t="s">
        <v>993</v>
      </c>
      <c r="D1520" s="501" t="s">
        <v>1012</v>
      </c>
      <c r="E1520" s="602" t="s">
        <v>972</v>
      </c>
      <c r="F1520" s="602"/>
      <c r="G1520" s="503" t="s">
        <v>81</v>
      </c>
      <c r="H1520" s="504">
        <v>0.96</v>
      </c>
      <c r="I1520" s="504">
        <v>0</v>
      </c>
      <c r="J1520" s="505">
        <v>23.41</v>
      </c>
      <c r="K1520" s="505">
        <v>22.47</v>
      </c>
      <c r="L1520" s="70"/>
    </row>
    <row r="1521" spans="1:12" ht="15.75" customHeight="1" x14ac:dyDescent="0.25">
      <c r="A1521" s="445"/>
      <c r="B1521" s="445"/>
      <c r="C1521" s="445"/>
      <c r="D1521" s="445"/>
      <c r="E1521" s="445" t="s">
        <v>1735</v>
      </c>
      <c r="F1521" s="506">
        <v>36.5</v>
      </c>
      <c r="G1521" s="445" t="s">
        <v>1736</v>
      </c>
      <c r="H1521" s="506">
        <v>0</v>
      </c>
      <c r="I1521" s="445" t="s">
        <v>1737</v>
      </c>
      <c r="J1521" s="506">
        <v>36.5</v>
      </c>
      <c r="K1521" s="70"/>
      <c r="L1521" s="70"/>
    </row>
    <row r="1522" spans="1:12" ht="17.25" thickBot="1" x14ac:dyDescent="0.3">
      <c r="A1522" s="445"/>
      <c r="B1522" s="445"/>
      <c r="C1522" s="445"/>
      <c r="D1522" s="445"/>
      <c r="E1522" s="445" t="s">
        <v>1738</v>
      </c>
      <c r="F1522" s="506">
        <v>31.834879999999998</v>
      </c>
      <c r="G1522" s="445"/>
      <c r="H1522" s="606" t="s">
        <v>1739</v>
      </c>
      <c r="I1522" s="606"/>
      <c r="J1522" s="506">
        <v>161.03</v>
      </c>
      <c r="K1522" s="70"/>
      <c r="L1522" s="70"/>
    </row>
    <row r="1523" spans="1:12" ht="17.25" thickTop="1" x14ac:dyDescent="0.25">
      <c r="A1523" s="507"/>
      <c r="B1523" s="507"/>
      <c r="C1523" s="507"/>
      <c r="D1523" s="507"/>
      <c r="E1523" s="507"/>
      <c r="F1523" s="507"/>
      <c r="G1523" s="507"/>
      <c r="H1523" s="507"/>
      <c r="I1523" s="507"/>
      <c r="J1523" s="507"/>
      <c r="K1523" s="507"/>
      <c r="L1523" s="70"/>
    </row>
    <row r="1524" spans="1:12" ht="16.5" x14ac:dyDescent="0.25">
      <c r="A1524" s="419" t="s">
        <v>1516</v>
      </c>
      <c r="B1524" s="421" t="s">
        <v>76</v>
      </c>
      <c r="C1524" s="419" t="s">
        <v>991</v>
      </c>
      <c r="D1524" s="419" t="s">
        <v>191</v>
      </c>
      <c r="E1524" s="603" t="s">
        <v>77</v>
      </c>
      <c r="F1524" s="603"/>
      <c r="G1524" s="420" t="s">
        <v>103</v>
      </c>
      <c r="H1524" s="421" t="s">
        <v>147</v>
      </c>
      <c r="I1524" s="421" t="s">
        <v>1731</v>
      </c>
      <c r="J1524" s="421" t="s">
        <v>1117</v>
      </c>
      <c r="K1524" s="421" t="s">
        <v>104</v>
      </c>
      <c r="L1524" s="70"/>
    </row>
    <row r="1525" spans="1:12" ht="38.25" x14ac:dyDescent="0.25">
      <c r="A1525" s="441" t="s">
        <v>79</v>
      </c>
      <c r="B1525" s="480" t="s">
        <v>1517</v>
      </c>
      <c r="C1525" s="441" t="s">
        <v>1168</v>
      </c>
      <c r="D1525" s="441" t="s">
        <v>489</v>
      </c>
      <c r="E1525" s="604" t="s">
        <v>2359</v>
      </c>
      <c r="F1525" s="604"/>
      <c r="G1525" s="443" t="s">
        <v>49</v>
      </c>
      <c r="H1525" s="500">
        <v>1</v>
      </c>
      <c r="I1525" s="442"/>
      <c r="J1525" s="442">
        <v>44.93</v>
      </c>
      <c r="K1525" s="442">
        <v>44.93</v>
      </c>
      <c r="L1525" s="70"/>
    </row>
    <row r="1526" spans="1:12" ht="16.5" x14ac:dyDescent="0.25">
      <c r="A1526" s="501" t="s">
        <v>1732</v>
      </c>
      <c r="B1526" s="502" t="s">
        <v>2370</v>
      </c>
      <c r="C1526" s="501" t="s">
        <v>2108</v>
      </c>
      <c r="D1526" s="501" t="s">
        <v>2371</v>
      </c>
      <c r="E1526" s="602" t="s">
        <v>1746</v>
      </c>
      <c r="F1526" s="602"/>
      <c r="G1526" s="503" t="s">
        <v>49</v>
      </c>
      <c r="H1526" s="504">
        <v>1</v>
      </c>
      <c r="I1526" s="504"/>
      <c r="J1526" s="505">
        <v>1.43</v>
      </c>
      <c r="K1526" s="505">
        <v>1.43</v>
      </c>
      <c r="L1526" s="70"/>
    </row>
    <row r="1527" spans="1:12" ht="16.5" x14ac:dyDescent="0.25">
      <c r="A1527" s="501" t="s">
        <v>1732</v>
      </c>
      <c r="B1527" s="502" t="s">
        <v>2362</v>
      </c>
      <c r="C1527" s="501" t="s">
        <v>2108</v>
      </c>
      <c r="D1527" s="501" t="s">
        <v>2363</v>
      </c>
      <c r="E1527" s="602" t="s">
        <v>1746</v>
      </c>
      <c r="F1527" s="602"/>
      <c r="G1527" s="503" t="s">
        <v>49</v>
      </c>
      <c r="H1527" s="504">
        <v>3.5999999999999999E-3</v>
      </c>
      <c r="I1527" s="504"/>
      <c r="J1527" s="505">
        <v>75</v>
      </c>
      <c r="K1527" s="505">
        <v>0.27</v>
      </c>
      <c r="L1527" s="70"/>
    </row>
    <row r="1528" spans="1:12" ht="16.5" x14ac:dyDescent="0.25">
      <c r="A1528" s="501" t="s">
        <v>1732</v>
      </c>
      <c r="B1528" s="502" t="s">
        <v>2372</v>
      </c>
      <c r="C1528" s="501" t="s">
        <v>2108</v>
      </c>
      <c r="D1528" s="501" t="s">
        <v>2373</v>
      </c>
      <c r="E1528" s="602" t="s">
        <v>1746</v>
      </c>
      <c r="F1528" s="602"/>
      <c r="G1528" s="503" t="s">
        <v>49</v>
      </c>
      <c r="H1528" s="504">
        <v>1</v>
      </c>
      <c r="I1528" s="504"/>
      <c r="J1528" s="505">
        <v>34.119999999999997</v>
      </c>
      <c r="K1528" s="505">
        <v>34.119999999999997</v>
      </c>
      <c r="L1528" s="70"/>
    </row>
    <row r="1529" spans="1:12" ht="25.5" x14ac:dyDescent="0.25">
      <c r="A1529" s="501" t="s">
        <v>1732</v>
      </c>
      <c r="B1529" s="502" t="s">
        <v>992</v>
      </c>
      <c r="C1529" s="501" t="s">
        <v>993</v>
      </c>
      <c r="D1529" s="501" t="s">
        <v>994</v>
      </c>
      <c r="E1529" s="602" t="s">
        <v>972</v>
      </c>
      <c r="F1529" s="602"/>
      <c r="G1529" s="503" t="s">
        <v>81</v>
      </c>
      <c r="H1529" s="504">
        <v>0.24</v>
      </c>
      <c r="I1529" s="504">
        <v>0</v>
      </c>
      <c r="J1529" s="505">
        <v>14.62</v>
      </c>
      <c r="K1529" s="505">
        <v>3.5</v>
      </c>
      <c r="L1529" s="70"/>
    </row>
    <row r="1530" spans="1:12" ht="25.5" x14ac:dyDescent="0.25">
      <c r="A1530" s="501" t="s">
        <v>1732</v>
      </c>
      <c r="B1530" s="502" t="s">
        <v>1011</v>
      </c>
      <c r="C1530" s="501" t="s">
        <v>993</v>
      </c>
      <c r="D1530" s="501" t="s">
        <v>1012</v>
      </c>
      <c r="E1530" s="602" t="s">
        <v>972</v>
      </c>
      <c r="F1530" s="602"/>
      <c r="G1530" s="503" t="s">
        <v>81</v>
      </c>
      <c r="H1530" s="504">
        <v>0.24</v>
      </c>
      <c r="I1530" s="504">
        <v>0</v>
      </c>
      <c r="J1530" s="505">
        <v>23.41</v>
      </c>
      <c r="K1530" s="505">
        <v>5.61</v>
      </c>
      <c r="L1530" s="70"/>
    </row>
    <row r="1531" spans="1:12" ht="15.75" customHeight="1" x14ac:dyDescent="0.25">
      <c r="A1531" s="445"/>
      <c r="B1531" s="445"/>
      <c r="C1531" s="445"/>
      <c r="D1531" s="445"/>
      <c r="E1531" s="445" t="s">
        <v>1735</v>
      </c>
      <c r="F1531" s="506">
        <v>9.11</v>
      </c>
      <c r="G1531" s="445" t="s">
        <v>1736</v>
      </c>
      <c r="H1531" s="506">
        <v>0</v>
      </c>
      <c r="I1531" s="445" t="s">
        <v>1737</v>
      </c>
      <c r="J1531" s="506">
        <v>9.11</v>
      </c>
      <c r="K1531" s="70"/>
      <c r="L1531" s="70"/>
    </row>
    <row r="1532" spans="1:12" ht="17.25" thickBot="1" x14ac:dyDescent="0.3">
      <c r="A1532" s="445"/>
      <c r="B1532" s="445"/>
      <c r="C1532" s="445"/>
      <c r="D1532" s="445"/>
      <c r="E1532" s="445" t="s">
        <v>1738</v>
      </c>
      <c r="F1532" s="506">
        <v>11.070752000000001</v>
      </c>
      <c r="G1532" s="445"/>
      <c r="H1532" s="606" t="s">
        <v>1739</v>
      </c>
      <c r="I1532" s="606"/>
      <c r="J1532" s="506">
        <v>56</v>
      </c>
      <c r="K1532" s="70"/>
      <c r="L1532" s="70"/>
    </row>
    <row r="1533" spans="1:12" ht="17.25" thickTop="1" x14ac:dyDescent="0.25">
      <c r="A1533" s="507"/>
      <c r="B1533" s="507"/>
      <c r="C1533" s="507"/>
      <c r="D1533" s="507"/>
      <c r="E1533" s="507"/>
      <c r="F1533" s="507"/>
      <c r="G1533" s="507"/>
      <c r="H1533" s="507"/>
      <c r="I1533" s="507"/>
      <c r="J1533" s="507"/>
      <c r="K1533" s="507"/>
      <c r="L1533" s="70"/>
    </row>
    <row r="1534" spans="1:12" ht="16.5" x14ac:dyDescent="0.25">
      <c r="A1534" s="419" t="s">
        <v>1518</v>
      </c>
      <c r="B1534" s="421" t="s">
        <v>76</v>
      </c>
      <c r="C1534" s="419" t="s">
        <v>991</v>
      </c>
      <c r="D1534" s="419" t="s">
        <v>191</v>
      </c>
      <c r="E1534" s="603" t="s">
        <v>77</v>
      </c>
      <c r="F1534" s="603"/>
      <c r="G1534" s="420" t="s">
        <v>103</v>
      </c>
      <c r="H1534" s="421" t="s">
        <v>147</v>
      </c>
      <c r="I1534" s="421" t="s">
        <v>1731</v>
      </c>
      <c r="J1534" s="421" t="s">
        <v>1117</v>
      </c>
      <c r="K1534" s="421" t="s">
        <v>104</v>
      </c>
      <c r="L1534" s="70"/>
    </row>
    <row r="1535" spans="1:12" ht="38.25" x14ac:dyDescent="0.25">
      <c r="A1535" s="441" t="s">
        <v>79</v>
      </c>
      <c r="B1535" s="480" t="s">
        <v>1519</v>
      </c>
      <c r="C1535" s="441" t="s">
        <v>1168</v>
      </c>
      <c r="D1535" s="441" t="s">
        <v>491</v>
      </c>
      <c r="E1535" s="604" t="s">
        <v>2359</v>
      </c>
      <c r="F1535" s="604"/>
      <c r="G1535" s="443" t="s">
        <v>49</v>
      </c>
      <c r="H1535" s="500">
        <v>1</v>
      </c>
      <c r="I1535" s="442"/>
      <c r="J1535" s="442">
        <v>17.86</v>
      </c>
      <c r="K1535" s="442">
        <v>17.86</v>
      </c>
      <c r="L1535" s="70"/>
    </row>
    <row r="1536" spans="1:12" ht="16.5" x14ac:dyDescent="0.25">
      <c r="A1536" s="501" t="s">
        <v>1732</v>
      </c>
      <c r="B1536" s="502" t="s">
        <v>2364</v>
      </c>
      <c r="C1536" s="501" t="s">
        <v>2108</v>
      </c>
      <c r="D1536" s="501" t="s">
        <v>2365</v>
      </c>
      <c r="E1536" s="602" t="s">
        <v>1746</v>
      </c>
      <c r="F1536" s="602"/>
      <c r="G1536" s="503" t="s">
        <v>49</v>
      </c>
      <c r="H1536" s="504">
        <v>1</v>
      </c>
      <c r="I1536" s="504"/>
      <c r="J1536" s="505">
        <v>0.85</v>
      </c>
      <c r="K1536" s="505">
        <v>0.85</v>
      </c>
      <c r="L1536" s="70"/>
    </row>
    <row r="1537" spans="1:12" ht="16.5" x14ac:dyDescent="0.25">
      <c r="A1537" s="501" t="s">
        <v>1732</v>
      </c>
      <c r="B1537" s="502" t="s">
        <v>2362</v>
      </c>
      <c r="C1537" s="501" t="s">
        <v>2108</v>
      </c>
      <c r="D1537" s="501" t="s">
        <v>2363</v>
      </c>
      <c r="E1537" s="602" t="s">
        <v>1746</v>
      </c>
      <c r="F1537" s="602"/>
      <c r="G1537" s="503" t="s">
        <v>49</v>
      </c>
      <c r="H1537" s="504">
        <v>2E-3</v>
      </c>
      <c r="I1537" s="504"/>
      <c r="J1537" s="505">
        <v>75</v>
      </c>
      <c r="K1537" s="505">
        <v>0.15</v>
      </c>
      <c r="L1537" s="70"/>
    </row>
    <row r="1538" spans="1:12" ht="16.5" x14ac:dyDescent="0.25">
      <c r="A1538" s="501" t="s">
        <v>1732</v>
      </c>
      <c r="B1538" s="502" t="s">
        <v>2374</v>
      </c>
      <c r="C1538" s="501" t="s">
        <v>2108</v>
      </c>
      <c r="D1538" s="501" t="s">
        <v>2375</v>
      </c>
      <c r="E1538" s="602" t="s">
        <v>1746</v>
      </c>
      <c r="F1538" s="602"/>
      <c r="G1538" s="503" t="s">
        <v>49</v>
      </c>
      <c r="H1538" s="504">
        <v>1</v>
      </c>
      <c r="I1538" s="504"/>
      <c r="J1538" s="505">
        <v>10.56</v>
      </c>
      <c r="K1538" s="505">
        <v>10.56</v>
      </c>
      <c r="L1538" s="70"/>
    </row>
    <row r="1539" spans="1:12" ht="25.5" x14ac:dyDescent="0.25">
      <c r="A1539" s="501" t="s">
        <v>1732</v>
      </c>
      <c r="B1539" s="502" t="s">
        <v>999</v>
      </c>
      <c r="C1539" s="501" t="s">
        <v>993</v>
      </c>
      <c r="D1539" s="501" t="s">
        <v>1000</v>
      </c>
      <c r="E1539" s="602" t="s">
        <v>972</v>
      </c>
      <c r="F1539" s="602"/>
      <c r="G1539" s="503" t="s">
        <v>81</v>
      </c>
      <c r="H1539" s="504">
        <v>0.16</v>
      </c>
      <c r="I1539" s="504">
        <v>0</v>
      </c>
      <c r="J1539" s="505">
        <v>16.04</v>
      </c>
      <c r="K1539" s="505">
        <v>2.56</v>
      </c>
      <c r="L1539" s="70"/>
    </row>
    <row r="1540" spans="1:12" ht="25.5" x14ac:dyDescent="0.25">
      <c r="A1540" s="501" t="s">
        <v>1732</v>
      </c>
      <c r="B1540" s="502" t="s">
        <v>1011</v>
      </c>
      <c r="C1540" s="501" t="s">
        <v>993</v>
      </c>
      <c r="D1540" s="501" t="s">
        <v>1012</v>
      </c>
      <c r="E1540" s="602" t="s">
        <v>972</v>
      </c>
      <c r="F1540" s="602"/>
      <c r="G1540" s="503" t="s">
        <v>81</v>
      </c>
      <c r="H1540" s="504">
        <v>0.16</v>
      </c>
      <c r="I1540" s="504">
        <v>0</v>
      </c>
      <c r="J1540" s="505">
        <v>23.41</v>
      </c>
      <c r="K1540" s="505">
        <v>3.74</v>
      </c>
      <c r="L1540" s="70"/>
    </row>
    <row r="1541" spans="1:12" ht="15.75" customHeight="1" x14ac:dyDescent="0.25">
      <c r="A1541" s="445"/>
      <c r="B1541" s="445"/>
      <c r="C1541" s="445"/>
      <c r="D1541" s="445"/>
      <c r="E1541" s="445" t="s">
        <v>1735</v>
      </c>
      <c r="F1541" s="506">
        <v>6.3</v>
      </c>
      <c r="G1541" s="445" t="s">
        <v>1736</v>
      </c>
      <c r="H1541" s="506">
        <v>0</v>
      </c>
      <c r="I1541" s="445" t="s">
        <v>1737</v>
      </c>
      <c r="J1541" s="506">
        <v>6.3</v>
      </c>
      <c r="K1541" s="70"/>
      <c r="L1541" s="70"/>
    </row>
    <row r="1542" spans="1:12" ht="17.25" thickBot="1" x14ac:dyDescent="0.3">
      <c r="A1542" s="445"/>
      <c r="B1542" s="445"/>
      <c r="C1542" s="445"/>
      <c r="D1542" s="445"/>
      <c r="E1542" s="445" t="s">
        <v>1738</v>
      </c>
      <c r="F1542" s="506">
        <v>4.4007040000000002</v>
      </c>
      <c r="G1542" s="445"/>
      <c r="H1542" s="606" t="s">
        <v>1739</v>
      </c>
      <c r="I1542" s="606"/>
      <c r="J1542" s="506">
        <v>22.26</v>
      </c>
      <c r="K1542" s="70"/>
      <c r="L1542" s="70"/>
    </row>
    <row r="1543" spans="1:12" ht="17.25" thickTop="1" x14ac:dyDescent="0.25">
      <c r="A1543" s="507"/>
      <c r="B1543" s="507"/>
      <c r="C1543" s="507"/>
      <c r="D1543" s="507"/>
      <c r="E1543" s="507"/>
      <c r="F1543" s="507"/>
      <c r="G1543" s="507"/>
      <c r="H1543" s="507"/>
      <c r="I1543" s="507"/>
      <c r="J1543" s="507"/>
      <c r="K1543" s="507"/>
      <c r="L1543" s="70"/>
    </row>
    <row r="1544" spans="1:12" ht="16.5" x14ac:dyDescent="0.25">
      <c r="A1544" s="419" t="s">
        <v>1520</v>
      </c>
      <c r="B1544" s="421" t="s">
        <v>76</v>
      </c>
      <c r="C1544" s="419" t="s">
        <v>991</v>
      </c>
      <c r="D1544" s="419" t="s">
        <v>191</v>
      </c>
      <c r="E1544" s="603" t="s">
        <v>77</v>
      </c>
      <c r="F1544" s="603"/>
      <c r="G1544" s="420" t="s">
        <v>103</v>
      </c>
      <c r="H1544" s="421" t="s">
        <v>147</v>
      </c>
      <c r="I1544" s="421" t="s">
        <v>1731</v>
      </c>
      <c r="J1544" s="421" t="s">
        <v>1117</v>
      </c>
      <c r="K1544" s="421" t="s">
        <v>104</v>
      </c>
      <c r="L1544" s="70"/>
    </row>
    <row r="1545" spans="1:12" ht="38.25" x14ac:dyDescent="0.25">
      <c r="A1545" s="441" t="s">
        <v>79</v>
      </c>
      <c r="B1545" s="480" t="s">
        <v>1521</v>
      </c>
      <c r="C1545" s="441" t="s">
        <v>1168</v>
      </c>
      <c r="D1545" s="441" t="s">
        <v>493</v>
      </c>
      <c r="E1545" s="604" t="s">
        <v>2359</v>
      </c>
      <c r="F1545" s="604"/>
      <c r="G1545" s="443" t="s">
        <v>49</v>
      </c>
      <c r="H1545" s="500">
        <v>1</v>
      </c>
      <c r="I1545" s="442"/>
      <c r="J1545" s="442">
        <v>69.78</v>
      </c>
      <c r="K1545" s="442">
        <v>69.78</v>
      </c>
      <c r="L1545" s="70"/>
    </row>
    <row r="1546" spans="1:12" ht="16.5" x14ac:dyDescent="0.25">
      <c r="A1546" s="501" t="s">
        <v>1732</v>
      </c>
      <c r="B1546" s="502" t="s">
        <v>2364</v>
      </c>
      <c r="C1546" s="501" t="s">
        <v>2108</v>
      </c>
      <c r="D1546" s="501" t="s">
        <v>2365</v>
      </c>
      <c r="E1546" s="602" t="s">
        <v>1746</v>
      </c>
      <c r="F1546" s="602"/>
      <c r="G1546" s="503" t="s">
        <v>49</v>
      </c>
      <c r="H1546" s="504">
        <v>1</v>
      </c>
      <c r="I1546" s="504"/>
      <c r="J1546" s="505">
        <v>0.85</v>
      </c>
      <c r="K1546" s="505">
        <v>0.85</v>
      </c>
      <c r="L1546" s="70"/>
    </row>
    <row r="1547" spans="1:12" ht="16.5" x14ac:dyDescent="0.25">
      <c r="A1547" s="501" t="s">
        <v>1732</v>
      </c>
      <c r="B1547" s="502" t="s">
        <v>2370</v>
      </c>
      <c r="C1547" s="501" t="s">
        <v>2108</v>
      </c>
      <c r="D1547" s="501" t="s">
        <v>2371</v>
      </c>
      <c r="E1547" s="602" t="s">
        <v>1746</v>
      </c>
      <c r="F1547" s="602"/>
      <c r="G1547" s="503" t="s">
        <v>49</v>
      </c>
      <c r="H1547" s="504">
        <v>2</v>
      </c>
      <c r="I1547" s="504"/>
      <c r="J1547" s="505">
        <v>1.43</v>
      </c>
      <c r="K1547" s="505">
        <v>2.86</v>
      </c>
      <c r="L1547" s="70"/>
    </row>
    <row r="1548" spans="1:12" ht="16.5" x14ac:dyDescent="0.25">
      <c r="A1548" s="501" t="s">
        <v>1732</v>
      </c>
      <c r="B1548" s="502" t="s">
        <v>2362</v>
      </c>
      <c r="C1548" s="501" t="s">
        <v>2108</v>
      </c>
      <c r="D1548" s="501" t="s">
        <v>2363</v>
      </c>
      <c r="E1548" s="602" t="s">
        <v>1746</v>
      </c>
      <c r="F1548" s="602"/>
      <c r="G1548" s="503" t="s">
        <v>49</v>
      </c>
      <c r="H1548" s="504">
        <v>9.1999999999999998E-3</v>
      </c>
      <c r="I1548" s="504"/>
      <c r="J1548" s="505">
        <v>75</v>
      </c>
      <c r="K1548" s="505">
        <v>0.69</v>
      </c>
      <c r="L1548" s="70"/>
    </row>
    <row r="1549" spans="1:12" ht="16.5" x14ac:dyDescent="0.25">
      <c r="A1549" s="501" t="s">
        <v>1732</v>
      </c>
      <c r="B1549" s="502" t="s">
        <v>2376</v>
      </c>
      <c r="C1549" s="501" t="s">
        <v>2108</v>
      </c>
      <c r="D1549" s="501" t="s">
        <v>2377</v>
      </c>
      <c r="E1549" s="602" t="s">
        <v>1746</v>
      </c>
      <c r="F1549" s="602"/>
      <c r="G1549" s="503" t="s">
        <v>49</v>
      </c>
      <c r="H1549" s="504">
        <v>1</v>
      </c>
      <c r="I1549" s="504"/>
      <c r="J1549" s="505">
        <v>40.14</v>
      </c>
      <c r="K1549" s="505">
        <v>40.14</v>
      </c>
      <c r="L1549" s="70"/>
    </row>
    <row r="1550" spans="1:12" ht="25.5" x14ac:dyDescent="0.25">
      <c r="A1550" s="501" t="s">
        <v>1732</v>
      </c>
      <c r="B1550" s="502" t="s">
        <v>999</v>
      </c>
      <c r="C1550" s="501" t="s">
        <v>993</v>
      </c>
      <c r="D1550" s="501" t="s">
        <v>1000</v>
      </c>
      <c r="E1550" s="602" t="s">
        <v>972</v>
      </c>
      <c r="F1550" s="602"/>
      <c r="G1550" s="503" t="s">
        <v>81</v>
      </c>
      <c r="H1550" s="504">
        <v>0.64</v>
      </c>
      <c r="I1550" s="504">
        <v>0</v>
      </c>
      <c r="J1550" s="505">
        <v>16.04</v>
      </c>
      <c r="K1550" s="505">
        <v>10.26</v>
      </c>
      <c r="L1550" s="70"/>
    </row>
    <row r="1551" spans="1:12" ht="25.5" x14ac:dyDescent="0.25">
      <c r="A1551" s="501" t="s">
        <v>1732</v>
      </c>
      <c r="B1551" s="502" t="s">
        <v>1011</v>
      </c>
      <c r="C1551" s="501" t="s">
        <v>993</v>
      </c>
      <c r="D1551" s="501" t="s">
        <v>1012</v>
      </c>
      <c r="E1551" s="602" t="s">
        <v>972</v>
      </c>
      <c r="F1551" s="602"/>
      <c r="G1551" s="503" t="s">
        <v>81</v>
      </c>
      <c r="H1551" s="504">
        <v>0.64</v>
      </c>
      <c r="I1551" s="504">
        <v>0</v>
      </c>
      <c r="J1551" s="505">
        <v>23.41</v>
      </c>
      <c r="K1551" s="505">
        <v>14.98</v>
      </c>
      <c r="L1551" s="70"/>
    </row>
    <row r="1552" spans="1:12" ht="15.75" customHeight="1" x14ac:dyDescent="0.25">
      <c r="A1552" s="445"/>
      <c r="B1552" s="445"/>
      <c r="C1552" s="445"/>
      <c r="D1552" s="445"/>
      <c r="E1552" s="445" t="s">
        <v>1735</v>
      </c>
      <c r="F1552" s="506">
        <v>25.24</v>
      </c>
      <c r="G1552" s="445" t="s">
        <v>1736</v>
      </c>
      <c r="H1552" s="506">
        <v>0</v>
      </c>
      <c r="I1552" s="445" t="s">
        <v>1737</v>
      </c>
      <c r="J1552" s="506">
        <v>25.24</v>
      </c>
      <c r="K1552" s="70"/>
      <c r="L1552" s="70"/>
    </row>
    <row r="1553" spans="1:12" ht="17.25" thickBot="1" x14ac:dyDescent="0.3">
      <c r="A1553" s="445"/>
      <c r="B1553" s="445"/>
      <c r="C1553" s="445"/>
      <c r="D1553" s="445"/>
      <c r="E1553" s="445" t="s">
        <v>1738</v>
      </c>
      <c r="F1553" s="506">
        <v>17.193791999999998</v>
      </c>
      <c r="G1553" s="445"/>
      <c r="H1553" s="606" t="s">
        <v>1739</v>
      </c>
      <c r="I1553" s="606"/>
      <c r="J1553" s="506">
        <v>86.97</v>
      </c>
      <c r="K1553" s="70"/>
      <c r="L1553" s="70"/>
    </row>
    <row r="1554" spans="1:12" ht="17.25" thickTop="1" x14ac:dyDescent="0.25">
      <c r="A1554" s="507"/>
      <c r="B1554" s="507"/>
      <c r="C1554" s="507"/>
      <c r="D1554" s="507"/>
      <c r="E1554" s="507"/>
      <c r="F1554" s="507"/>
      <c r="G1554" s="507"/>
      <c r="H1554" s="507"/>
      <c r="I1554" s="507"/>
      <c r="J1554" s="507"/>
      <c r="K1554" s="507"/>
      <c r="L1554" s="70"/>
    </row>
    <row r="1555" spans="1:12" ht="16.5" x14ac:dyDescent="0.25">
      <c r="A1555" s="419" t="s">
        <v>1522</v>
      </c>
      <c r="B1555" s="421" t="s">
        <v>76</v>
      </c>
      <c r="C1555" s="419" t="s">
        <v>991</v>
      </c>
      <c r="D1555" s="419" t="s">
        <v>191</v>
      </c>
      <c r="E1555" s="603" t="s">
        <v>77</v>
      </c>
      <c r="F1555" s="603"/>
      <c r="G1555" s="420" t="s">
        <v>103</v>
      </c>
      <c r="H1555" s="421" t="s">
        <v>147</v>
      </c>
      <c r="I1555" s="421" t="s">
        <v>1731</v>
      </c>
      <c r="J1555" s="421" t="s">
        <v>1117</v>
      </c>
      <c r="K1555" s="421" t="s">
        <v>104</v>
      </c>
      <c r="L1555" s="70"/>
    </row>
    <row r="1556" spans="1:12" ht="38.25" x14ac:dyDescent="0.25">
      <c r="A1556" s="441" t="s">
        <v>79</v>
      </c>
      <c r="B1556" s="480" t="s">
        <v>1523</v>
      </c>
      <c r="C1556" s="441" t="s">
        <v>1168</v>
      </c>
      <c r="D1556" s="441" t="s">
        <v>520</v>
      </c>
      <c r="E1556" s="604" t="s">
        <v>2359</v>
      </c>
      <c r="F1556" s="604"/>
      <c r="G1556" s="443" t="s">
        <v>49</v>
      </c>
      <c r="H1556" s="500">
        <v>1</v>
      </c>
      <c r="I1556" s="442"/>
      <c r="J1556" s="442">
        <v>21.86</v>
      </c>
      <c r="K1556" s="442">
        <v>21.86</v>
      </c>
      <c r="L1556" s="70"/>
    </row>
    <row r="1557" spans="1:12" ht="16.5" x14ac:dyDescent="0.25">
      <c r="A1557" s="501" t="s">
        <v>1732</v>
      </c>
      <c r="B1557" s="502" t="s">
        <v>2364</v>
      </c>
      <c r="C1557" s="501" t="s">
        <v>2108</v>
      </c>
      <c r="D1557" s="501" t="s">
        <v>2365</v>
      </c>
      <c r="E1557" s="602" t="s">
        <v>1746</v>
      </c>
      <c r="F1557" s="602"/>
      <c r="G1557" s="503" t="s">
        <v>49</v>
      </c>
      <c r="H1557" s="504">
        <v>1</v>
      </c>
      <c r="I1557" s="504"/>
      <c r="J1557" s="505">
        <v>0.85</v>
      </c>
      <c r="K1557" s="505">
        <v>0.85</v>
      </c>
      <c r="L1557" s="70"/>
    </row>
    <row r="1558" spans="1:12" ht="16.5" x14ac:dyDescent="0.25">
      <c r="A1558" s="501" t="s">
        <v>1732</v>
      </c>
      <c r="B1558" s="502" t="s">
        <v>2362</v>
      </c>
      <c r="C1558" s="501" t="s">
        <v>2108</v>
      </c>
      <c r="D1558" s="501" t="s">
        <v>2363</v>
      </c>
      <c r="E1558" s="602" t="s">
        <v>1746</v>
      </c>
      <c r="F1558" s="602"/>
      <c r="G1558" s="503" t="s">
        <v>49</v>
      </c>
      <c r="H1558" s="504">
        <v>2E-3</v>
      </c>
      <c r="I1558" s="504"/>
      <c r="J1558" s="505">
        <v>75</v>
      </c>
      <c r="K1558" s="505">
        <v>0.15</v>
      </c>
      <c r="L1558" s="70"/>
    </row>
    <row r="1559" spans="1:12" ht="16.5" x14ac:dyDescent="0.25">
      <c r="A1559" s="501" t="s">
        <v>1732</v>
      </c>
      <c r="B1559" s="502" t="s">
        <v>2378</v>
      </c>
      <c r="C1559" s="501" t="s">
        <v>2108</v>
      </c>
      <c r="D1559" s="501" t="s">
        <v>2379</v>
      </c>
      <c r="E1559" s="602" t="s">
        <v>1746</v>
      </c>
      <c r="F1559" s="602"/>
      <c r="G1559" s="503" t="s">
        <v>49</v>
      </c>
      <c r="H1559" s="504">
        <v>1</v>
      </c>
      <c r="I1559" s="504"/>
      <c r="J1559" s="505">
        <v>14.56</v>
      </c>
      <c r="K1559" s="505">
        <v>14.56</v>
      </c>
      <c r="L1559" s="70"/>
    </row>
    <row r="1560" spans="1:12" ht="25.5" x14ac:dyDescent="0.25">
      <c r="A1560" s="501" t="s">
        <v>1732</v>
      </c>
      <c r="B1560" s="502" t="s">
        <v>999</v>
      </c>
      <c r="C1560" s="501" t="s">
        <v>993</v>
      </c>
      <c r="D1560" s="501" t="s">
        <v>1000</v>
      </c>
      <c r="E1560" s="602" t="s">
        <v>972</v>
      </c>
      <c r="F1560" s="602"/>
      <c r="G1560" s="503" t="s">
        <v>81</v>
      </c>
      <c r="H1560" s="504">
        <v>0.16</v>
      </c>
      <c r="I1560" s="504">
        <v>0</v>
      </c>
      <c r="J1560" s="505">
        <v>16.04</v>
      </c>
      <c r="K1560" s="505">
        <v>2.56</v>
      </c>
      <c r="L1560" s="70"/>
    </row>
    <row r="1561" spans="1:12" ht="25.5" x14ac:dyDescent="0.25">
      <c r="A1561" s="501" t="s">
        <v>1732</v>
      </c>
      <c r="B1561" s="502" t="s">
        <v>1011</v>
      </c>
      <c r="C1561" s="501" t="s">
        <v>993</v>
      </c>
      <c r="D1561" s="501" t="s">
        <v>1012</v>
      </c>
      <c r="E1561" s="602" t="s">
        <v>972</v>
      </c>
      <c r="F1561" s="602"/>
      <c r="G1561" s="503" t="s">
        <v>81</v>
      </c>
      <c r="H1561" s="504">
        <v>0.16</v>
      </c>
      <c r="I1561" s="504">
        <v>0</v>
      </c>
      <c r="J1561" s="505">
        <v>23.41</v>
      </c>
      <c r="K1561" s="505">
        <v>3.74</v>
      </c>
      <c r="L1561" s="70"/>
    </row>
    <row r="1562" spans="1:12" ht="15.75" customHeight="1" x14ac:dyDescent="0.25">
      <c r="A1562" s="445"/>
      <c r="B1562" s="445"/>
      <c r="C1562" s="445"/>
      <c r="D1562" s="445"/>
      <c r="E1562" s="445" t="s">
        <v>1735</v>
      </c>
      <c r="F1562" s="506">
        <v>6.3</v>
      </c>
      <c r="G1562" s="445" t="s">
        <v>1736</v>
      </c>
      <c r="H1562" s="506">
        <v>0</v>
      </c>
      <c r="I1562" s="445" t="s">
        <v>1737</v>
      </c>
      <c r="J1562" s="506">
        <v>6.3</v>
      </c>
      <c r="K1562" s="70"/>
      <c r="L1562" s="70"/>
    </row>
    <row r="1563" spans="1:12" ht="17.25" thickBot="1" x14ac:dyDescent="0.3">
      <c r="A1563" s="445"/>
      <c r="B1563" s="445"/>
      <c r="C1563" s="445"/>
      <c r="D1563" s="445"/>
      <c r="E1563" s="445" t="s">
        <v>1738</v>
      </c>
      <c r="F1563" s="506">
        <v>5.386304</v>
      </c>
      <c r="G1563" s="445"/>
      <c r="H1563" s="606" t="s">
        <v>1739</v>
      </c>
      <c r="I1563" s="606"/>
      <c r="J1563" s="506">
        <v>27.24</v>
      </c>
      <c r="K1563" s="70"/>
      <c r="L1563" s="70"/>
    </row>
    <row r="1564" spans="1:12" ht="17.25" thickTop="1" x14ac:dyDescent="0.25">
      <c r="A1564" s="507"/>
      <c r="B1564" s="507"/>
      <c r="C1564" s="507"/>
      <c r="D1564" s="507"/>
      <c r="E1564" s="507"/>
      <c r="F1564" s="507"/>
      <c r="G1564" s="507"/>
      <c r="H1564" s="507"/>
      <c r="I1564" s="507"/>
      <c r="J1564" s="507"/>
      <c r="K1564" s="507"/>
      <c r="L1564" s="70"/>
    </row>
    <row r="1565" spans="1:12" ht="16.5" x14ac:dyDescent="0.25">
      <c r="A1565" s="419" t="s">
        <v>1524</v>
      </c>
      <c r="B1565" s="421" t="s">
        <v>76</v>
      </c>
      <c r="C1565" s="419" t="s">
        <v>991</v>
      </c>
      <c r="D1565" s="419" t="s">
        <v>191</v>
      </c>
      <c r="E1565" s="603" t="s">
        <v>77</v>
      </c>
      <c r="F1565" s="603"/>
      <c r="G1565" s="420" t="s">
        <v>103</v>
      </c>
      <c r="H1565" s="421" t="s">
        <v>147</v>
      </c>
      <c r="I1565" s="421" t="s">
        <v>1731</v>
      </c>
      <c r="J1565" s="421" t="s">
        <v>1117</v>
      </c>
      <c r="K1565" s="421" t="s">
        <v>104</v>
      </c>
      <c r="L1565" s="70"/>
    </row>
    <row r="1566" spans="1:12" ht="38.25" x14ac:dyDescent="0.25">
      <c r="A1566" s="441" t="s">
        <v>79</v>
      </c>
      <c r="B1566" s="480" t="s">
        <v>1525</v>
      </c>
      <c r="C1566" s="441" t="s">
        <v>1168</v>
      </c>
      <c r="D1566" s="441" t="s">
        <v>521</v>
      </c>
      <c r="E1566" s="604" t="s">
        <v>2359</v>
      </c>
      <c r="F1566" s="604"/>
      <c r="G1566" s="443" t="s">
        <v>49</v>
      </c>
      <c r="H1566" s="500">
        <v>1</v>
      </c>
      <c r="I1566" s="442"/>
      <c r="J1566" s="442">
        <v>37.17</v>
      </c>
      <c r="K1566" s="442">
        <v>37.17</v>
      </c>
      <c r="L1566" s="70"/>
    </row>
    <row r="1567" spans="1:12" ht="16.5" x14ac:dyDescent="0.25">
      <c r="A1567" s="501" t="s">
        <v>1732</v>
      </c>
      <c r="B1567" s="502" t="s">
        <v>2364</v>
      </c>
      <c r="C1567" s="501" t="s">
        <v>2108</v>
      </c>
      <c r="D1567" s="501" t="s">
        <v>2365</v>
      </c>
      <c r="E1567" s="602" t="s">
        <v>1746</v>
      </c>
      <c r="F1567" s="602"/>
      <c r="G1567" s="503" t="s">
        <v>49</v>
      </c>
      <c r="H1567" s="504">
        <v>1</v>
      </c>
      <c r="I1567" s="504"/>
      <c r="J1567" s="505">
        <v>0.85</v>
      </c>
      <c r="K1567" s="505">
        <v>0.85</v>
      </c>
      <c r="L1567" s="70"/>
    </row>
    <row r="1568" spans="1:12" ht="16.5" x14ac:dyDescent="0.25">
      <c r="A1568" s="501" t="s">
        <v>1732</v>
      </c>
      <c r="B1568" s="502" t="s">
        <v>2380</v>
      </c>
      <c r="C1568" s="501" t="s">
        <v>2108</v>
      </c>
      <c r="D1568" s="501" t="s">
        <v>2381</v>
      </c>
      <c r="E1568" s="602" t="s">
        <v>1746</v>
      </c>
      <c r="F1568" s="602"/>
      <c r="G1568" s="503" t="s">
        <v>49</v>
      </c>
      <c r="H1568" s="504">
        <v>1</v>
      </c>
      <c r="I1568" s="504"/>
      <c r="J1568" s="505">
        <v>12.66</v>
      </c>
      <c r="K1568" s="505">
        <v>12.66</v>
      </c>
      <c r="L1568" s="70"/>
    </row>
    <row r="1569" spans="1:12" ht="25.5" x14ac:dyDescent="0.25">
      <c r="A1569" s="501" t="s">
        <v>1732</v>
      </c>
      <c r="B1569" s="502" t="s">
        <v>999</v>
      </c>
      <c r="C1569" s="501" t="s">
        <v>993</v>
      </c>
      <c r="D1569" s="501" t="s">
        <v>1000</v>
      </c>
      <c r="E1569" s="602" t="s">
        <v>972</v>
      </c>
      <c r="F1569" s="602"/>
      <c r="G1569" s="503" t="s">
        <v>81</v>
      </c>
      <c r="H1569" s="504">
        <v>0.6</v>
      </c>
      <c r="I1569" s="504">
        <v>0</v>
      </c>
      <c r="J1569" s="505">
        <v>16.04</v>
      </c>
      <c r="K1569" s="505">
        <v>9.6199999999999992</v>
      </c>
      <c r="L1569" s="70"/>
    </row>
    <row r="1570" spans="1:12" ht="25.5" x14ac:dyDescent="0.25">
      <c r="A1570" s="501" t="s">
        <v>1732</v>
      </c>
      <c r="B1570" s="502" t="s">
        <v>1011</v>
      </c>
      <c r="C1570" s="501" t="s">
        <v>993</v>
      </c>
      <c r="D1570" s="501" t="s">
        <v>1012</v>
      </c>
      <c r="E1570" s="602" t="s">
        <v>972</v>
      </c>
      <c r="F1570" s="602"/>
      <c r="G1570" s="503" t="s">
        <v>81</v>
      </c>
      <c r="H1570" s="504">
        <v>0.6</v>
      </c>
      <c r="I1570" s="504">
        <v>0</v>
      </c>
      <c r="J1570" s="505">
        <v>23.41</v>
      </c>
      <c r="K1570" s="505">
        <v>14.04</v>
      </c>
      <c r="L1570" s="70"/>
    </row>
    <row r="1571" spans="1:12" ht="15.75" customHeight="1" x14ac:dyDescent="0.25">
      <c r="A1571" s="445"/>
      <c r="B1571" s="445"/>
      <c r="C1571" s="445"/>
      <c r="D1571" s="445"/>
      <c r="E1571" s="445" t="s">
        <v>1735</v>
      </c>
      <c r="F1571" s="506">
        <v>23.66</v>
      </c>
      <c r="G1571" s="445" t="s">
        <v>1736</v>
      </c>
      <c r="H1571" s="506">
        <v>0</v>
      </c>
      <c r="I1571" s="445" t="s">
        <v>1737</v>
      </c>
      <c r="J1571" s="506">
        <v>23.66</v>
      </c>
      <c r="K1571" s="70"/>
      <c r="L1571" s="70"/>
    </row>
    <row r="1572" spans="1:12" ht="17.25" thickBot="1" x14ac:dyDescent="0.3">
      <c r="A1572" s="445"/>
      <c r="B1572" s="445"/>
      <c r="C1572" s="445"/>
      <c r="D1572" s="445"/>
      <c r="E1572" s="445" t="s">
        <v>1738</v>
      </c>
      <c r="F1572" s="506">
        <v>9.1586879999999997</v>
      </c>
      <c r="G1572" s="445"/>
      <c r="H1572" s="606" t="s">
        <v>1739</v>
      </c>
      <c r="I1572" s="606"/>
      <c r="J1572" s="506">
        <v>46.32</v>
      </c>
      <c r="K1572" s="70"/>
      <c r="L1572" s="70"/>
    </row>
    <row r="1573" spans="1:12" ht="17.25" thickTop="1" x14ac:dyDescent="0.25">
      <c r="A1573" s="507"/>
      <c r="B1573" s="507"/>
      <c r="C1573" s="507"/>
      <c r="D1573" s="507"/>
      <c r="E1573" s="507"/>
      <c r="F1573" s="507"/>
      <c r="G1573" s="507"/>
      <c r="H1573" s="507"/>
      <c r="I1573" s="507"/>
      <c r="J1573" s="507"/>
      <c r="K1573" s="507"/>
      <c r="L1573" s="70"/>
    </row>
    <row r="1574" spans="1:12" ht="16.5" x14ac:dyDescent="0.25">
      <c r="A1574" s="419" t="s">
        <v>1526</v>
      </c>
      <c r="B1574" s="421" t="s">
        <v>76</v>
      </c>
      <c r="C1574" s="419" t="s">
        <v>991</v>
      </c>
      <c r="D1574" s="419" t="s">
        <v>191</v>
      </c>
      <c r="E1574" s="603" t="s">
        <v>77</v>
      </c>
      <c r="F1574" s="603"/>
      <c r="G1574" s="420" t="s">
        <v>103</v>
      </c>
      <c r="H1574" s="421" t="s">
        <v>147</v>
      </c>
      <c r="I1574" s="421" t="s">
        <v>1731</v>
      </c>
      <c r="J1574" s="421" t="s">
        <v>1117</v>
      </c>
      <c r="K1574" s="421" t="s">
        <v>104</v>
      </c>
      <c r="L1574" s="70"/>
    </row>
    <row r="1575" spans="1:12" ht="38.25" x14ac:dyDescent="0.25">
      <c r="A1575" s="441" t="s">
        <v>79</v>
      </c>
      <c r="B1575" s="480" t="s">
        <v>1527</v>
      </c>
      <c r="C1575" s="441" t="s">
        <v>1168</v>
      </c>
      <c r="D1575" s="441" t="s">
        <v>522</v>
      </c>
      <c r="E1575" s="604" t="s">
        <v>2359</v>
      </c>
      <c r="F1575" s="604"/>
      <c r="G1575" s="443" t="s">
        <v>49</v>
      </c>
      <c r="H1575" s="500">
        <v>1</v>
      </c>
      <c r="I1575" s="442"/>
      <c r="J1575" s="442">
        <v>45.05</v>
      </c>
      <c r="K1575" s="442">
        <v>45.05</v>
      </c>
      <c r="L1575" s="70"/>
    </row>
    <row r="1576" spans="1:12" ht="16.5" x14ac:dyDescent="0.25">
      <c r="A1576" s="501" t="s">
        <v>1732</v>
      </c>
      <c r="B1576" s="502" t="s">
        <v>2364</v>
      </c>
      <c r="C1576" s="501" t="s">
        <v>2108</v>
      </c>
      <c r="D1576" s="501" t="s">
        <v>2365</v>
      </c>
      <c r="E1576" s="602" t="s">
        <v>1746</v>
      </c>
      <c r="F1576" s="602"/>
      <c r="G1576" s="503" t="s">
        <v>49</v>
      </c>
      <c r="H1576" s="504">
        <v>3</v>
      </c>
      <c r="I1576" s="504"/>
      <c r="J1576" s="505">
        <v>0.85</v>
      </c>
      <c r="K1576" s="505">
        <v>2.5499999999999998</v>
      </c>
      <c r="L1576" s="70"/>
    </row>
    <row r="1577" spans="1:12" ht="16.5" x14ac:dyDescent="0.25">
      <c r="A1577" s="501" t="s">
        <v>1732</v>
      </c>
      <c r="B1577" s="502" t="s">
        <v>2362</v>
      </c>
      <c r="C1577" s="501" t="s">
        <v>2108</v>
      </c>
      <c r="D1577" s="501" t="s">
        <v>2363</v>
      </c>
      <c r="E1577" s="602" t="s">
        <v>1746</v>
      </c>
      <c r="F1577" s="602"/>
      <c r="G1577" s="503" t="s">
        <v>49</v>
      </c>
      <c r="H1577" s="504">
        <v>6.0000000000000001E-3</v>
      </c>
      <c r="I1577" s="504"/>
      <c r="J1577" s="505">
        <v>75</v>
      </c>
      <c r="K1577" s="505">
        <v>0.45</v>
      </c>
      <c r="L1577" s="70"/>
    </row>
    <row r="1578" spans="1:12" ht="16.5" x14ac:dyDescent="0.25">
      <c r="A1578" s="501" t="s">
        <v>1732</v>
      </c>
      <c r="B1578" s="502" t="s">
        <v>2382</v>
      </c>
      <c r="C1578" s="501" t="s">
        <v>2108</v>
      </c>
      <c r="D1578" s="501" t="s">
        <v>2383</v>
      </c>
      <c r="E1578" s="602" t="s">
        <v>1746</v>
      </c>
      <c r="F1578" s="602"/>
      <c r="G1578" s="503" t="s">
        <v>49</v>
      </c>
      <c r="H1578" s="504">
        <v>1</v>
      </c>
      <c r="I1578" s="504"/>
      <c r="J1578" s="505">
        <v>23.13</v>
      </c>
      <c r="K1578" s="505">
        <v>23.13</v>
      </c>
      <c r="L1578" s="70"/>
    </row>
    <row r="1579" spans="1:12" ht="25.5" x14ac:dyDescent="0.25">
      <c r="A1579" s="501" t="s">
        <v>1732</v>
      </c>
      <c r="B1579" s="502" t="s">
        <v>999</v>
      </c>
      <c r="C1579" s="501" t="s">
        <v>993</v>
      </c>
      <c r="D1579" s="501" t="s">
        <v>1000</v>
      </c>
      <c r="E1579" s="602" t="s">
        <v>972</v>
      </c>
      <c r="F1579" s="602"/>
      <c r="G1579" s="503" t="s">
        <v>81</v>
      </c>
      <c r="H1579" s="504">
        <v>0.48</v>
      </c>
      <c r="I1579" s="504">
        <v>0</v>
      </c>
      <c r="J1579" s="505">
        <v>16.04</v>
      </c>
      <c r="K1579" s="505">
        <v>7.69</v>
      </c>
      <c r="L1579" s="70"/>
    </row>
    <row r="1580" spans="1:12" ht="25.5" x14ac:dyDescent="0.25">
      <c r="A1580" s="501" t="s">
        <v>1732</v>
      </c>
      <c r="B1580" s="502" t="s">
        <v>1011</v>
      </c>
      <c r="C1580" s="501" t="s">
        <v>993</v>
      </c>
      <c r="D1580" s="501" t="s">
        <v>1012</v>
      </c>
      <c r="E1580" s="602" t="s">
        <v>972</v>
      </c>
      <c r="F1580" s="602"/>
      <c r="G1580" s="503" t="s">
        <v>81</v>
      </c>
      <c r="H1580" s="504">
        <v>0.48</v>
      </c>
      <c r="I1580" s="504">
        <v>0</v>
      </c>
      <c r="J1580" s="505">
        <v>23.41</v>
      </c>
      <c r="K1580" s="505">
        <v>11.23</v>
      </c>
      <c r="L1580" s="70"/>
    </row>
    <row r="1581" spans="1:12" ht="15.75" customHeight="1" x14ac:dyDescent="0.25">
      <c r="A1581" s="445"/>
      <c r="B1581" s="445"/>
      <c r="C1581" s="445"/>
      <c r="D1581" s="445"/>
      <c r="E1581" s="445" t="s">
        <v>1735</v>
      </c>
      <c r="F1581" s="506">
        <v>18.920000000000002</v>
      </c>
      <c r="G1581" s="445" t="s">
        <v>1736</v>
      </c>
      <c r="H1581" s="506">
        <v>0</v>
      </c>
      <c r="I1581" s="445" t="s">
        <v>1737</v>
      </c>
      <c r="J1581" s="506">
        <v>18.920000000000002</v>
      </c>
      <c r="K1581" s="70"/>
      <c r="L1581" s="70"/>
    </row>
    <row r="1582" spans="1:12" ht="17.25" thickBot="1" x14ac:dyDescent="0.3">
      <c r="A1582" s="445"/>
      <c r="B1582" s="445"/>
      <c r="C1582" s="445"/>
      <c r="D1582" s="445"/>
      <c r="E1582" s="445" t="s">
        <v>1738</v>
      </c>
      <c r="F1582" s="506">
        <v>11.10032</v>
      </c>
      <c r="G1582" s="445"/>
      <c r="H1582" s="606" t="s">
        <v>1739</v>
      </c>
      <c r="I1582" s="606"/>
      <c r="J1582" s="506">
        <v>56.15</v>
      </c>
      <c r="K1582" s="70"/>
      <c r="L1582" s="70"/>
    </row>
    <row r="1583" spans="1:12" ht="17.25" thickTop="1" x14ac:dyDescent="0.25">
      <c r="A1583" s="507"/>
      <c r="B1583" s="507"/>
      <c r="C1583" s="507"/>
      <c r="D1583" s="507"/>
      <c r="E1583" s="507"/>
      <c r="F1583" s="507"/>
      <c r="G1583" s="507"/>
      <c r="H1583" s="507"/>
      <c r="I1583" s="507"/>
      <c r="J1583" s="507"/>
      <c r="K1583" s="507"/>
      <c r="L1583" s="70"/>
    </row>
    <row r="1584" spans="1:12" ht="16.5" x14ac:dyDescent="0.25">
      <c r="A1584" s="419" t="s">
        <v>1528</v>
      </c>
      <c r="B1584" s="421" t="s">
        <v>76</v>
      </c>
      <c r="C1584" s="419" t="s">
        <v>991</v>
      </c>
      <c r="D1584" s="419" t="s">
        <v>191</v>
      </c>
      <c r="E1584" s="603" t="s">
        <v>77</v>
      </c>
      <c r="F1584" s="603"/>
      <c r="G1584" s="420" t="s">
        <v>103</v>
      </c>
      <c r="H1584" s="421" t="s">
        <v>147</v>
      </c>
      <c r="I1584" s="421" t="s">
        <v>1731</v>
      </c>
      <c r="J1584" s="421" t="s">
        <v>1117</v>
      </c>
      <c r="K1584" s="421" t="s">
        <v>104</v>
      </c>
      <c r="L1584" s="70"/>
    </row>
    <row r="1585" spans="1:12" ht="38.25" x14ac:dyDescent="0.25">
      <c r="A1585" s="441" t="s">
        <v>79</v>
      </c>
      <c r="B1585" s="480" t="s">
        <v>1529</v>
      </c>
      <c r="C1585" s="441" t="s">
        <v>1168</v>
      </c>
      <c r="D1585" s="441" t="s">
        <v>523</v>
      </c>
      <c r="E1585" s="604" t="s">
        <v>2359</v>
      </c>
      <c r="F1585" s="604"/>
      <c r="G1585" s="443" t="s">
        <v>49</v>
      </c>
      <c r="H1585" s="500">
        <v>1</v>
      </c>
      <c r="I1585" s="442"/>
      <c r="J1585" s="442">
        <v>133.29</v>
      </c>
      <c r="K1585" s="442">
        <v>133.29</v>
      </c>
      <c r="L1585" s="70"/>
    </row>
    <row r="1586" spans="1:12" ht="16.5" x14ac:dyDescent="0.25">
      <c r="A1586" s="501" t="s">
        <v>1732</v>
      </c>
      <c r="B1586" s="502" t="s">
        <v>2364</v>
      </c>
      <c r="C1586" s="501" t="s">
        <v>2108</v>
      </c>
      <c r="D1586" s="501" t="s">
        <v>2365</v>
      </c>
      <c r="E1586" s="602" t="s">
        <v>1746</v>
      </c>
      <c r="F1586" s="602"/>
      <c r="G1586" s="503" t="s">
        <v>49</v>
      </c>
      <c r="H1586" s="504">
        <v>1</v>
      </c>
      <c r="I1586" s="504"/>
      <c r="J1586" s="505">
        <v>0.85</v>
      </c>
      <c r="K1586" s="505">
        <v>0.85</v>
      </c>
      <c r="L1586" s="70"/>
    </row>
    <row r="1587" spans="1:12" ht="16.5" x14ac:dyDescent="0.25">
      <c r="A1587" s="501" t="s">
        <v>1732</v>
      </c>
      <c r="B1587" s="502" t="s">
        <v>2366</v>
      </c>
      <c r="C1587" s="501" t="s">
        <v>2108</v>
      </c>
      <c r="D1587" s="501" t="s">
        <v>2367</v>
      </c>
      <c r="E1587" s="602" t="s">
        <v>1746</v>
      </c>
      <c r="F1587" s="602"/>
      <c r="G1587" s="503" t="s">
        <v>49</v>
      </c>
      <c r="H1587" s="504">
        <v>2</v>
      </c>
      <c r="I1587" s="504"/>
      <c r="J1587" s="505">
        <v>1.77</v>
      </c>
      <c r="K1587" s="505">
        <v>3.54</v>
      </c>
      <c r="L1587" s="70"/>
    </row>
    <row r="1588" spans="1:12" ht="16.5" x14ac:dyDescent="0.25">
      <c r="A1588" s="501" t="s">
        <v>1732</v>
      </c>
      <c r="B1588" s="502" t="s">
        <v>2362</v>
      </c>
      <c r="C1588" s="501" t="s">
        <v>2108</v>
      </c>
      <c r="D1588" s="501" t="s">
        <v>2363</v>
      </c>
      <c r="E1588" s="602" t="s">
        <v>1746</v>
      </c>
      <c r="F1588" s="602"/>
      <c r="G1588" s="503" t="s">
        <v>49</v>
      </c>
      <c r="H1588" s="504">
        <v>1.0200000000000001E-2</v>
      </c>
      <c r="I1588" s="504"/>
      <c r="J1588" s="505">
        <v>75</v>
      </c>
      <c r="K1588" s="505">
        <v>0.76</v>
      </c>
      <c r="L1588" s="70"/>
    </row>
    <row r="1589" spans="1:12" ht="16.5" x14ac:dyDescent="0.25">
      <c r="A1589" s="501" t="s">
        <v>1732</v>
      </c>
      <c r="B1589" s="502" t="s">
        <v>2384</v>
      </c>
      <c r="C1589" s="501" t="s">
        <v>2108</v>
      </c>
      <c r="D1589" s="501" t="s">
        <v>2385</v>
      </c>
      <c r="E1589" s="602" t="s">
        <v>1746</v>
      </c>
      <c r="F1589" s="602"/>
      <c r="G1589" s="503" t="s">
        <v>49</v>
      </c>
      <c r="H1589" s="504">
        <v>1</v>
      </c>
      <c r="I1589" s="504"/>
      <c r="J1589" s="505">
        <v>96.59</v>
      </c>
      <c r="K1589" s="505">
        <v>96.59</v>
      </c>
      <c r="L1589" s="70"/>
    </row>
    <row r="1590" spans="1:12" ht="25.5" x14ac:dyDescent="0.25">
      <c r="A1590" s="501" t="s">
        <v>1732</v>
      </c>
      <c r="B1590" s="502" t="s">
        <v>999</v>
      </c>
      <c r="C1590" s="501" t="s">
        <v>993</v>
      </c>
      <c r="D1590" s="501" t="s">
        <v>1000</v>
      </c>
      <c r="E1590" s="602" t="s">
        <v>972</v>
      </c>
      <c r="F1590" s="602"/>
      <c r="G1590" s="503" t="s">
        <v>81</v>
      </c>
      <c r="H1590" s="504">
        <v>0.8</v>
      </c>
      <c r="I1590" s="504">
        <v>0</v>
      </c>
      <c r="J1590" s="505">
        <v>16.04</v>
      </c>
      <c r="K1590" s="505">
        <v>12.83</v>
      </c>
      <c r="L1590" s="70"/>
    </row>
    <row r="1591" spans="1:12" ht="25.5" x14ac:dyDescent="0.25">
      <c r="A1591" s="501" t="s">
        <v>1732</v>
      </c>
      <c r="B1591" s="502" t="s">
        <v>1011</v>
      </c>
      <c r="C1591" s="501" t="s">
        <v>993</v>
      </c>
      <c r="D1591" s="501" t="s">
        <v>1012</v>
      </c>
      <c r="E1591" s="602" t="s">
        <v>972</v>
      </c>
      <c r="F1591" s="602"/>
      <c r="G1591" s="503" t="s">
        <v>81</v>
      </c>
      <c r="H1591" s="504">
        <v>0.8</v>
      </c>
      <c r="I1591" s="504">
        <v>0</v>
      </c>
      <c r="J1591" s="505">
        <v>23.41</v>
      </c>
      <c r="K1591" s="505">
        <v>18.72</v>
      </c>
      <c r="L1591" s="70"/>
    </row>
    <row r="1592" spans="1:12" ht="15.75" customHeight="1" x14ac:dyDescent="0.25">
      <c r="A1592" s="445"/>
      <c r="B1592" s="445"/>
      <c r="C1592" s="445"/>
      <c r="D1592" s="445"/>
      <c r="E1592" s="445" t="s">
        <v>1735</v>
      </c>
      <c r="F1592" s="506">
        <v>31.55</v>
      </c>
      <c r="G1592" s="445" t="s">
        <v>1736</v>
      </c>
      <c r="H1592" s="506">
        <v>0</v>
      </c>
      <c r="I1592" s="445" t="s">
        <v>1737</v>
      </c>
      <c r="J1592" s="506">
        <v>31.55</v>
      </c>
      <c r="K1592" s="70"/>
      <c r="L1592" s="70"/>
    </row>
    <row r="1593" spans="1:12" ht="17.25" thickBot="1" x14ac:dyDescent="0.3">
      <c r="A1593" s="445"/>
      <c r="B1593" s="445"/>
      <c r="C1593" s="445"/>
      <c r="D1593" s="445"/>
      <c r="E1593" s="445" t="s">
        <v>1738</v>
      </c>
      <c r="F1593" s="506">
        <v>32.842655999999998</v>
      </c>
      <c r="G1593" s="445"/>
      <c r="H1593" s="606" t="s">
        <v>1739</v>
      </c>
      <c r="I1593" s="606"/>
      <c r="J1593" s="506">
        <v>166.13</v>
      </c>
      <c r="K1593" s="70"/>
      <c r="L1593" s="70"/>
    </row>
    <row r="1594" spans="1:12" ht="17.25" thickTop="1" x14ac:dyDescent="0.25">
      <c r="A1594" s="507"/>
      <c r="B1594" s="507"/>
      <c r="C1594" s="507"/>
      <c r="D1594" s="507"/>
      <c r="E1594" s="507"/>
      <c r="F1594" s="507"/>
      <c r="G1594" s="507"/>
      <c r="H1594" s="507"/>
      <c r="I1594" s="507"/>
      <c r="J1594" s="507"/>
      <c r="K1594" s="507"/>
      <c r="L1594" s="70"/>
    </row>
    <row r="1595" spans="1:12" ht="16.5" x14ac:dyDescent="0.25">
      <c r="A1595" s="419" t="s">
        <v>1530</v>
      </c>
      <c r="B1595" s="421" t="s">
        <v>76</v>
      </c>
      <c r="C1595" s="419" t="s">
        <v>991</v>
      </c>
      <c r="D1595" s="419" t="s">
        <v>191</v>
      </c>
      <c r="E1595" s="603" t="s">
        <v>77</v>
      </c>
      <c r="F1595" s="603"/>
      <c r="G1595" s="420" t="s">
        <v>103</v>
      </c>
      <c r="H1595" s="421" t="s">
        <v>147</v>
      </c>
      <c r="I1595" s="421" t="s">
        <v>1731</v>
      </c>
      <c r="J1595" s="421" t="s">
        <v>1117</v>
      </c>
      <c r="K1595" s="421" t="s">
        <v>104</v>
      </c>
      <c r="L1595" s="70"/>
    </row>
    <row r="1596" spans="1:12" ht="38.25" x14ac:dyDescent="0.25">
      <c r="A1596" s="441" t="s">
        <v>79</v>
      </c>
      <c r="B1596" s="480" t="s">
        <v>1531</v>
      </c>
      <c r="C1596" s="441" t="s">
        <v>1168</v>
      </c>
      <c r="D1596" s="441" t="s">
        <v>524</v>
      </c>
      <c r="E1596" s="604" t="s">
        <v>2359</v>
      </c>
      <c r="F1596" s="604"/>
      <c r="G1596" s="443" t="s">
        <v>49</v>
      </c>
      <c r="H1596" s="500">
        <v>1</v>
      </c>
      <c r="I1596" s="442"/>
      <c r="J1596" s="442">
        <v>72.48</v>
      </c>
      <c r="K1596" s="442">
        <v>72.48</v>
      </c>
      <c r="L1596" s="70"/>
    </row>
    <row r="1597" spans="1:12" ht="16.5" x14ac:dyDescent="0.25">
      <c r="A1597" s="501" t="s">
        <v>1732</v>
      </c>
      <c r="B1597" s="502" t="s">
        <v>2366</v>
      </c>
      <c r="C1597" s="501" t="s">
        <v>2108</v>
      </c>
      <c r="D1597" s="501" t="s">
        <v>2367</v>
      </c>
      <c r="E1597" s="602" t="s">
        <v>1746</v>
      </c>
      <c r="F1597" s="602"/>
      <c r="G1597" s="503" t="s">
        <v>49</v>
      </c>
      <c r="H1597" s="504">
        <v>1</v>
      </c>
      <c r="I1597" s="504"/>
      <c r="J1597" s="505">
        <v>1.77</v>
      </c>
      <c r="K1597" s="505">
        <v>1.77</v>
      </c>
      <c r="L1597" s="70"/>
    </row>
    <row r="1598" spans="1:12" ht="16.5" x14ac:dyDescent="0.25">
      <c r="A1598" s="501" t="s">
        <v>1732</v>
      </c>
      <c r="B1598" s="502" t="s">
        <v>2386</v>
      </c>
      <c r="C1598" s="501" t="s">
        <v>2108</v>
      </c>
      <c r="D1598" s="501" t="s">
        <v>2387</v>
      </c>
      <c r="E1598" s="602" t="s">
        <v>1746</v>
      </c>
      <c r="F1598" s="602"/>
      <c r="G1598" s="503" t="s">
        <v>49</v>
      </c>
      <c r="H1598" s="504">
        <v>1</v>
      </c>
      <c r="I1598" s="504"/>
      <c r="J1598" s="505">
        <v>47.05</v>
      </c>
      <c r="K1598" s="505">
        <v>47.05</v>
      </c>
      <c r="L1598" s="70"/>
    </row>
    <row r="1599" spans="1:12" ht="25.5" x14ac:dyDescent="0.25">
      <c r="A1599" s="501" t="s">
        <v>1732</v>
      </c>
      <c r="B1599" s="502" t="s">
        <v>999</v>
      </c>
      <c r="C1599" s="501" t="s">
        <v>993</v>
      </c>
      <c r="D1599" s="501" t="s">
        <v>1000</v>
      </c>
      <c r="E1599" s="602" t="s">
        <v>972</v>
      </c>
      <c r="F1599" s="602"/>
      <c r="G1599" s="503" t="s">
        <v>81</v>
      </c>
      <c r="H1599" s="504">
        <v>0.6</v>
      </c>
      <c r="I1599" s="504">
        <v>0</v>
      </c>
      <c r="J1599" s="505">
        <v>16.04</v>
      </c>
      <c r="K1599" s="505">
        <v>9.6199999999999992</v>
      </c>
      <c r="L1599" s="70"/>
    </row>
    <row r="1600" spans="1:12" ht="25.5" x14ac:dyDescent="0.25">
      <c r="A1600" s="501" t="s">
        <v>1732</v>
      </c>
      <c r="B1600" s="502" t="s">
        <v>1011</v>
      </c>
      <c r="C1600" s="501" t="s">
        <v>993</v>
      </c>
      <c r="D1600" s="501" t="s">
        <v>1012</v>
      </c>
      <c r="E1600" s="602" t="s">
        <v>972</v>
      </c>
      <c r="F1600" s="602"/>
      <c r="G1600" s="503" t="s">
        <v>81</v>
      </c>
      <c r="H1600" s="504">
        <v>0.6</v>
      </c>
      <c r="I1600" s="504">
        <v>0</v>
      </c>
      <c r="J1600" s="505">
        <v>23.41</v>
      </c>
      <c r="K1600" s="505">
        <v>14.04</v>
      </c>
      <c r="L1600" s="70"/>
    </row>
    <row r="1601" spans="1:12" ht="15.75" customHeight="1" x14ac:dyDescent="0.25">
      <c r="A1601" s="445"/>
      <c r="B1601" s="445"/>
      <c r="C1601" s="445"/>
      <c r="D1601" s="445"/>
      <c r="E1601" s="445" t="s">
        <v>1735</v>
      </c>
      <c r="F1601" s="506">
        <v>23.66</v>
      </c>
      <c r="G1601" s="445" t="s">
        <v>1736</v>
      </c>
      <c r="H1601" s="506">
        <v>0</v>
      </c>
      <c r="I1601" s="445" t="s">
        <v>1737</v>
      </c>
      <c r="J1601" s="506">
        <v>23.66</v>
      </c>
      <c r="K1601" s="70"/>
      <c r="L1601" s="70"/>
    </row>
    <row r="1602" spans="1:12" ht="17.25" thickBot="1" x14ac:dyDescent="0.3">
      <c r="A1602" s="445"/>
      <c r="B1602" s="445"/>
      <c r="C1602" s="445"/>
      <c r="D1602" s="445"/>
      <c r="E1602" s="445" t="s">
        <v>1738</v>
      </c>
      <c r="F1602" s="506">
        <v>17.859072000000001</v>
      </c>
      <c r="G1602" s="445"/>
      <c r="H1602" s="606" t="s">
        <v>1739</v>
      </c>
      <c r="I1602" s="606"/>
      <c r="J1602" s="506">
        <v>90.33</v>
      </c>
      <c r="K1602" s="70"/>
      <c r="L1602" s="70"/>
    </row>
    <row r="1603" spans="1:12" ht="17.25" thickTop="1" x14ac:dyDescent="0.25">
      <c r="A1603" s="507"/>
      <c r="B1603" s="507"/>
      <c r="C1603" s="507"/>
      <c r="D1603" s="507"/>
      <c r="E1603" s="507"/>
      <c r="F1603" s="507"/>
      <c r="G1603" s="507"/>
      <c r="H1603" s="507"/>
      <c r="I1603" s="507"/>
      <c r="J1603" s="507"/>
      <c r="K1603" s="507"/>
      <c r="L1603" s="70"/>
    </row>
    <row r="1604" spans="1:12" ht="16.5" x14ac:dyDescent="0.25">
      <c r="A1604" s="419" t="s">
        <v>1532</v>
      </c>
      <c r="B1604" s="421" t="s">
        <v>76</v>
      </c>
      <c r="C1604" s="419" t="s">
        <v>991</v>
      </c>
      <c r="D1604" s="419" t="s">
        <v>191</v>
      </c>
      <c r="E1604" s="603" t="s">
        <v>77</v>
      </c>
      <c r="F1604" s="603"/>
      <c r="G1604" s="420" t="s">
        <v>103</v>
      </c>
      <c r="H1604" s="421" t="s">
        <v>147</v>
      </c>
      <c r="I1604" s="421" t="s">
        <v>1731</v>
      </c>
      <c r="J1604" s="421" t="s">
        <v>1117</v>
      </c>
      <c r="K1604" s="421" t="s">
        <v>104</v>
      </c>
      <c r="L1604" s="70"/>
    </row>
    <row r="1605" spans="1:12" ht="25.5" x14ac:dyDescent="0.25">
      <c r="A1605" s="441" t="s">
        <v>79</v>
      </c>
      <c r="B1605" s="480" t="s">
        <v>1533</v>
      </c>
      <c r="C1605" s="441" t="s">
        <v>1168</v>
      </c>
      <c r="D1605" s="441" t="s">
        <v>525</v>
      </c>
      <c r="E1605" s="604" t="s">
        <v>2359</v>
      </c>
      <c r="F1605" s="604"/>
      <c r="G1605" s="443" t="s">
        <v>49</v>
      </c>
      <c r="H1605" s="500">
        <v>1</v>
      </c>
      <c r="I1605" s="442"/>
      <c r="J1605" s="442">
        <v>44.75</v>
      </c>
      <c r="K1605" s="442">
        <v>44.75</v>
      </c>
      <c r="L1605" s="70"/>
    </row>
    <row r="1606" spans="1:12" ht="16.5" x14ac:dyDescent="0.25">
      <c r="A1606" s="501" t="s">
        <v>1732</v>
      </c>
      <c r="B1606" s="502" t="s">
        <v>2366</v>
      </c>
      <c r="C1606" s="501" t="s">
        <v>2108</v>
      </c>
      <c r="D1606" s="501" t="s">
        <v>2367</v>
      </c>
      <c r="E1606" s="602" t="s">
        <v>1746</v>
      </c>
      <c r="F1606" s="602"/>
      <c r="G1606" s="503" t="s">
        <v>49</v>
      </c>
      <c r="H1606" s="504">
        <v>1</v>
      </c>
      <c r="I1606" s="504"/>
      <c r="J1606" s="505">
        <v>1.77</v>
      </c>
      <c r="K1606" s="505">
        <v>1.77</v>
      </c>
      <c r="L1606" s="70"/>
    </row>
    <row r="1607" spans="1:12" ht="16.5" x14ac:dyDescent="0.25">
      <c r="A1607" s="501" t="s">
        <v>1732</v>
      </c>
      <c r="B1607" s="502" t="s">
        <v>2388</v>
      </c>
      <c r="C1607" s="501" t="s">
        <v>2108</v>
      </c>
      <c r="D1607" s="501" t="s">
        <v>2389</v>
      </c>
      <c r="E1607" s="602" t="s">
        <v>1746</v>
      </c>
      <c r="F1607" s="602"/>
      <c r="G1607" s="503" t="s">
        <v>49</v>
      </c>
      <c r="H1607" s="504">
        <v>1</v>
      </c>
      <c r="I1607" s="504"/>
      <c r="J1607" s="505">
        <v>30.06</v>
      </c>
      <c r="K1607" s="505">
        <v>30.06</v>
      </c>
      <c r="L1607" s="70"/>
    </row>
    <row r="1608" spans="1:12" ht="16.5" x14ac:dyDescent="0.25">
      <c r="A1608" s="501" t="s">
        <v>1732</v>
      </c>
      <c r="B1608" s="502" t="s">
        <v>2362</v>
      </c>
      <c r="C1608" s="501" t="s">
        <v>2108</v>
      </c>
      <c r="D1608" s="501" t="s">
        <v>2363</v>
      </c>
      <c r="E1608" s="602" t="s">
        <v>1746</v>
      </c>
      <c r="F1608" s="602"/>
      <c r="G1608" s="503" t="s">
        <v>49</v>
      </c>
      <c r="H1608" s="504">
        <v>4.1000000000000003E-3</v>
      </c>
      <c r="I1608" s="504"/>
      <c r="J1608" s="505">
        <v>75</v>
      </c>
      <c r="K1608" s="505">
        <v>0.3</v>
      </c>
      <c r="L1608" s="70"/>
    </row>
    <row r="1609" spans="1:12" ht="25.5" x14ac:dyDescent="0.25">
      <c r="A1609" s="501" t="s">
        <v>1732</v>
      </c>
      <c r="B1609" s="502" t="s">
        <v>1011</v>
      </c>
      <c r="C1609" s="501" t="s">
        <v>993</v>
      </c>
      <c r="D1609" s="501" t="s">
        <v>1012</v>
      </c>
      <c r="E1609" s="602" t="s">
        <v>972</v>
      </c>
      <c r="F1609" s="602"/>
      <c r="G1609" s="503" t="s">
        <v>81</v>
      </c>
      <c r="H1609" s="504">
        <v>0.32</v>
      </c>
      <c r="I1609" s="504">
        <v>0</v>
      </c>
      <c r="J1609" s="505">
        <v>23.41</v>
      </c>
      <c r="K1609" s="505">
        <v>7.49</v>
      </c>
      <c r="L1609" s="70"/>
    </row>
    <row r="1610" spans="1:12" ht="25.5" x14ac:dyDescent="0.25">
      <c r="A1610" s="501" t="s">
        <v>1732</v>
      </c>
      <c r="B1610" s="502" t="s">
        <v>999</v>
      </c>
      <c r="C1610" s="501" t="s">
        <v>993</v>
      </c>
      <c r="D1610" s="501" t="s">
        <v>1000</v>
      </c>
      <c r="E1610" s="602" t="s">
        <v>972</v>
      </c>
      <c r="F1610" s="602"/>
      <c r="G1610" s="503" t="s">
        <v>81</v>
      </c>
      <c r="H1610" s="504">
        <v>0.32</v>
      </c>
      <c r="I1610" s="504">
        <v>0</v>
      </c>
      <c r="J1610" s="505">
        <v>16.04</v>
      </c>
      <c r="K1610" s="505">
        <v>5.13</v>
      </c>
      <c r="L1610" s="70"/>
    </row>
    <row r="1611" spans="1:12" ht="15.75" customHeight="1" x14ac:dyDescent="0.25">
      <c r="A1611" s="445"/>
      <c r="B1611" s="445"/>
      <c r="C1611" s="445"/>
      <c r="D1611" s="445"/>
      <c r="E1611" s="445" t="s">
        <v>1735</v>
      </c>
      <c r="F1611" s="506">
        <v>12.62</v>
      </c>
      <c r="G1611" s="445" t="s">
        <v>1736</v>
      </c>
      <c r="H1611" s="506">
        <v>0</v>
      </c>
      <c r="I1611" s="445" t="s">
        <v>1737</v>
      </c>
      <c r="J1611" s="506">
        <v>12.62</v>
      </c>
      <c r="K1611" s="70"/>
      <c r="L1611" s="70"/>
    </row>
    <row r="1612" spans="1:12" ht="17.25" thickBot="1" x14ac:dyDescent="0.3">
      <c r="A1612" s="445"/>
      <c r="B1612" s="445"/>
      <c r="C1612" s="445"/>
      <c r="D1612" s="445"/>
      <c r="E1612" s="445" t="s">
        <v>1738</v>
      </c>
      <c r="F1612" s="506">
        <v>11.026400000000001</v>
      </c>
      <c r="G1612" s="445"/>
      <c r="H1612" s="606" t="s">
        <v>1739</v>
      </c>
      <c r="I1612" s="606"/>
      <c r="J1612" s="506">
        <v>55.77</v>
      </c>
      <c r="K1612" s="70"/>
      <c r="L1612" s="70"/>
    </row>
    <row r="1613" spans="1:12" ht="17.25" thickTop="1" x14ac:dyDescent="0.25">
      <c r="A1613" s="507"/>
      <c r="B1613" s="507"/>
      <c r="C1613" s="507"/>
      <c r="D1613" s="507"/>
      <c r="E1613" s="507"/>
      <c r="F1613" s="507"/>
      <c r="G1613" s="507"/>
      <c r="H1613" s="507"/>
      <c r="I1613" s="507"/>
      <c r="J1613" s="507"/>
      <c r="K1613" s="507"/>
      <c r="L1613" s="70"/>
    </row>
    <row r="1614" spans="1:12" ht="16.5" x14ac:dyDescent="0.25">
      <c r="A1614" s="419" t="s">
        <v>1534</v>
      </c>
      <c r="B1614" s="421" t="s">
        <v>76</v>
      </c>
      <c r="C1614" s="419" t="s">
        <v>991</v>
      </c>
      <c r="D1614" s="419" t="s">
        <v>191</v>
      </c>
      <c r="E1614" s="603" t="s">
        <v>77</v>
      </c>
      <c r="F1614" s="603"/>
      <c r="G1614" s="420" t="s">
        <v>103</v>
      </c>
      <c r="H1614" s="421" t="s">
        <v>147</v>
      </c>
      <c r="I1614" s="421" t="s">
        <v>1731</v>
      </c>
      <c r="J1614" s="421" t="s">
        <v>1117</v>
      </c>
      <c r="K1614" s="421" t="s">
        <v>104</v>
      </c>
      <c r="L1614" s="70"/>
    </row>
    <row r="1615" spans="1:12" ht="38.25" x14ac:dyDescent="0.25">
      <c r="A1615" s="441" t="s">
        <v>79</v>
      </c>
      <c r="B1615" s="480" t="s">
        <v>1535</v>
      </c>
      <c r="C1615" s="441" t="s">
        <v>1168</v>
      </c>
      <c r="D1615" s="441" t="s">
        <v>526</v>
      </c>
      <c r="E1615" s="604" t="s">
        <v>2359</v>
      </c>
      <c r="F1615" s="604"/>
      <c r="G1615" s="443" t="s">
        <v>49</v>
      </c>
      <c r="H1615" s="500">
        <v>1</v>
      </c>
      <c r="I1615" s="442"/>
      <c r="J1615" s="442">
        <v>113.24</v>
      </c>
      <c r="K1615" s="442">
        <v>113.24</v>
      </c>
      <c r="L1615" s="70"/>
    </row>
    <row r="1616" spans="1:12" ht="16.5" x14ac:dyDescent="0.25">
      <c r="A1616" s="501" t="s">
        <v>1732</v>
      </c>
      <c r="B1616" s="502" t="s">
        <v>2366</v>
      </c>
      <c r="C1616" s="501" t="s">
        <v>2108</v>
      </c>
      <c r="D1616" s="501" t="s">
        <v>2367</v>
      </c>
      <c r="E1616" s="602" t="s">
        <v>1746</v>
      </c>
      <c r="F1616" s="602"/>
      <c r="G1616" s="503" t="s">
        <v>49</v>
      </c>
      <c r="H1616" s="504">
        <v>1</v>
      </c>
      <c r="I1616" s="504"/>
      <c r="J1616" s="505">
        <v>1.77</v>
      </c>
      <c r="K1616" s="505">
        <v>1.77</v>
      </c>
      <c r="L1616" s="70"/>
    </row>
    <row r="1617" spans="1:12" ht="16.5" x14ac:dyDescent="0.25">
      <c r="A1617" s="501" t="s">
        <v>1732</v>
      </c>
      <c r="B1617" s="502" t="s">
        <v>2390</v>
      </c>
      <c r="C1617" s="501" t="s">
        <v>2108</v>
      </c>
      <c r="D1617" s="501" t="s">
        <v>2391</v>
      </c>
      <c r="E1617" s="602" t="s">
        <v>1746</v>
      </c>
      <c r="F1617" s="602"/>
      <c r="G1617" s="503" t="s">
        <v>49</v>
      </c>
      <c r="H1617" s="504">
        <v>1</v>
      </c>
      <c r="I1617" s="504"/>
      <c r="J1617" s="505">
        <v>98.55</v>
      </c>
      <c r="K1617" s="505">
        <v>98.55</v>
      </c>
      <c r="L1617" s="70"/>
    </row>
    <row r="1618" spans="1:12" ht="16.5" x14ac:dyDescent="0.25">
      <c r="A1618" s="501" t="s">
        <v>1732</v>
      </c>
      <c r="B1618" s="502" t="s">
        <v>2362</v>
      </c>
      <c r="C1618" s="501" t="s">
        <v>2108</v>
      </c>
      <c r="D1618" s="501" t="s">
        <v>2363</v>
      </c>
      <c r="E1618" s="602" t="s">
        <v>1746</v>
      </c>
      <c r="F1618" s="602"/>
      <c r="G1618" s="503" t="s">
        <v>49</v>
      </c>
      <c r="H1618" s="504">
        <v>4.1000000000000003E-3</v>
      </c>
      <c r="I1618" s="504"/>
      <c r="J1618" s="505">
        <v>75</v>
      </c>
      <c r="K1618" s="505">
        <v>0.3</v>
      </c>
      <c r="L1618" s="70"/>
    </row>
    <row r="1619" spans="1:12" ht="25.5" x14ac:dyDescent="0.25">
      <c r="A1619" s="501" t="s">
        <v>1732</v>
      </c>
      <c r="B1619" s="502" t="s">
        <v>999</v>
      </c>
      <c r="C1619" s="501" t="s">
        <v>993</v>
      </c>
      <c r="D1619" s="501" t="s">
        <v>1000</v>
      </c>
      <c r="E1619" s="602" t="s">
        <v>972</v>
      </c>
      <c r="F1619" s="602"/>
      <c r="G1619" s="503" t="s">
        <v>81</v>
      </c>
      <c r="H1619" s="504">
        <v>0.32</v>
      </c>
      <c r="I1619" s="504">
        <v>0</v>
      </c>
      <c r="J1619" s="505">
        <v>16.04</v>
      </c>
      <c r="K1619" s="505">
        <v>5.13</v>
      </c>
      <c r="L1619" s="70"/>
    </row>
    <row r="1620" spans="1:12" ht="25.5" x14ac:dyDescent="0.25">
      <c r="A1620" s="501" t="s">
        <v>1732</v>
      </c>
      <c r="B1620" s="502" t="s">
        <v>1011</v>
      </c>
      <c r="C1620" s="501" t="s">
        <v>993</v>
      </c>
      <c r="D1620" s="501" t="s">
        <v>1012</v>
      </c>
      <c r="E1620" s="602" t="s">
        <v>972</v>
      </c>
      <c r="F1620" s="602"/>
      <c r="G1620" s="503" t="s">
        <v>81</v>
      </c>
      <c r="H1620" s="504">
        <v>0.32</v>
      </c>
      <c r="I1620" s="504">
        <v>0</v>
      </c>
      <c r="J1620" s="505">
        <v>23.41</v>
      </c>
      <c r="K1620" s="505">
        <v>7.49</v>
      </c>
      <c r="L1620" s="70"/>
    </row>
    <row r="1621" spans="1:12" ht="15.75" customHeight="1" x14ac:dyDescent="0.25">
      <c r="A1621" s="445"/>
      <c r="B1621" s="445"/>
      <c r="C1621" s="445"/>
      <c r="D1621" s="445"/>
      <c r="E1621" s="445" t="s">
        <v>1735</v>
      </c>
      <c r="F1621" s="506">
        <v>12.62</v>
      </c>
      <c r="G1621" s="445" t="s">
        <v>1736</v>
      </c>
      <c r="H1621" s="506">
        <v>0</v>
      </c>
      <c r="I1621" s="445" t="s">
        <v>1737</v>
      </c>
      <c r="J1621" s="506">
        <v>12.62</v>
      </c>
      <c r="K1621" s="70"/>
      <c r="L1621" s="70"/>
    </row>
    <row r="1622" spans="1:12" ht="17.25" thickBot="1" x14ac:dyDescent="0.3">
      <c r="A1622" s="445"/>
      <c r="B1622" s="445"/>
      <c r="C1622" s="445"/>
      <c r="D1622" s="445"/>
      <c r="E1622" s="445" t="s">
        <v>1738</v>
      </c>
      <c r="F1622" s="506">
        <v>27.902335999999998</v>
      </c>
      <c r="G1622" s="445"/>
      <c r="H1622" s="606" t="s">
        <v>1739</v>
      </c>
      <c r="I1622" s="606"/>
      <c r="J1622" s="506">
        <v>141.13999999999999</v>
      </c>
      <c r="K1622" s="70"/>
      <c r="L1622" s="70"/>
    </row>
    <row r="1623" spans="1:12" ht="17.25" thickTop="1" x14ac:dyDescent="0.25">
      <c r="A1623" s="507"/>
      <c r="B1623" s="507"/>
      <c r="C1623" s="507"/>
      <c r="D1623" s="507"/>
      <c r="E1623" s="507"/>
      <c r="F1623" s="507"/>
      <c r="G1623" s="507"/>
      <c r="H1623" s="507"/>
      <c r="I1623" s="507"/>
      <c r="J1623" s="507"/>
      <c r="K1623" s="507"/>
      <c r="L1623" s="70"/>
    </row>
    <row r="1624" spans="1:12" ht="16.5" x14ac:dyDescent="0.25">
      <c r="A1624" s="419" t="s">
        <v>1536</v>
      </c>
      <c r="B1624" s="421" t="s">
        <v>76</v>
      </c>
      <c r="C1624" s="419" t="s">
        <v>991</v>
      </c>
      <c r="D1624" s="419" t="s">
        <v>191</v>
      </c>
      <c r="E1624" s="603" t="s">
        <v>77</v>
      </c>
      <c r="F1624" s="603"/>
      <c r="G1624" s="420" t="s">
        <v>103</v>
      </c>
      <c r="H1624" s="421" t="s">
        <v>147</v>
      </c>
      <c r="I1624" s="421" t="s">
        <v>1731</v>
      </c>
      <c r="J1624" s="421" t="s">
        <v>1117</v>
      </c>
      <c r="K1624" s="421" t="s">
        <v>104</v>
      </c>
      <c r="L1624" s="70"/>
    </row>
    <row r="1625" spans="1:12" ht="38.25" x14ac:dyDescent="0.25">
      <c r="A1625" s="441" t="s">
        <v>79</v>
      </c>
      <c r="B1625" s="480" t="s">
        <v>1537</v>
      </c>
      <c r="C1625" s="441" t="s">
        <v>1168</v>
      </c>
      <c r="D1625" s="441" t="s">
        <v>527</v>
      </c>
      <c r="E1625" s="604" t="s">
        <v>2359</v>
      </c>
      <c r="F1625" s="604"/>
      <c r="G1625" s="443" t="s">
        <v>49</v>
      </c>
      <c r="H1625" s="500">
        <v>1</v>
      </c>
      <c r="I1625" s="442"/>
      <c r="J1625" s="442">
        <v>31.01</v>
      </c>
      <c r="K1625" s="442">
        <v>31.01</v>
      </c>
      <c r="L1625" s="70"/>
    </row>
    <row r="1626" spans="1:12" ht="16.5" x14ac:dyDescent="0.25">
      <c r="A1626" s="501" t="s">
        <v>1732</v>
      </c>
      <c r="B1626" s="502" t="s">
        <v>2364</v>
      </c>
      <c r="C1626" s="501" t="s">
        <v>2108</v>
      </c>
      <c r="D1626" s="501" t="s">
        <v>2365</v>
      </c>
      <c r="E1626" s="602" t="s">
        <v>1746</v>
      </c>
      <c r="F1626" s="602"/>
      <c r="G1626" s="503" t="s">
        <v>49</v>
      </c>
      <c r="H1626" s="504">
        <v>1</v>
      </c>
      <c r="I1626" s="504"/>
      <c r="J1626" s="505">
        <v>0.85</v>
      </c>
      <c r="K1626" s="505">
        <v>0.85</v>
      </c>
      <c r="L1626" s="70"/>
    </row>
    <row r="1627" spans="1:12" ht="16.5" x14ac:dyDescent="0.25">
      <c r="A1627" s="501" t="s">
        <v>1732</v>
      </c>
      <c r="B1627" s="502" t="s">
        <v>2392</v>
      </c>
      <c r="C1627" s="501" t="s">
        <v>2108</v>
      </c>
      <c r="D1627" s="501" t="s">
        <v>2393</v>
      </c>
      <c r="E1627" s="602" t="s">
        <v>1746</v>
      </c>
      <c r="F1627" s="602"/>
      <c r="G1627" s="503" t="s">
        <v>49</v>
      </c>
      <c r="H1627" s="504">
        <v>1</v>
      </c>
      <c r="I1627" s="504"/>
      <c r="J1627" s="505">
        <v>23.71</v>
      </c>
      <c r="K1627" s="505">
        <v>23.71</v>
      </c>
      <c r="L1627" s="70"/>
    </row>
    <row r="1628" spans="1:12" ht="16.5" x14ac:dyDescent="0.25">
      <c r="A1628" s="501" t="s">
        <v>1732</v>
      </c>
      <c r="B1628" s="502" t="s">
        <v>2362</v>
      </c>
      <c r="C1628" s="501" t="s">
        <v>2108</v>
      </c>
      <c r="D1628" s="501" t="s">
        <v>2363</v>
      </c>
      <c r="E1628" s="602" t="s">
        <v>1746</v>
      </c>
      <c r="F1628" s="602"/>
      <c r="G1628" s="503" t="s">
        <v>49</v>
      </c>
      <c r="H1628" s="504">
        <v>2E-3</v>
      </c>
      <c r="I1628" s="504"/>
      <c r="J1628" s="505">
        <v>75</v>
      </c>
      <c r="K1628" s="505">
        <v>0.15</v>
      </c>
      <c r="L1628" s="70"/>
    </row>
    <row r="1629" spans="1:12" ht="25.5" x14ac:dyDescent="0.25">
      <c r="A1629" s="501" t="s">
        <v>1732</v>
      </c>
      <c r="B1629" s="502" t="s">
        <v>999</v>
      </c>
      <c r="C1629" s="501" t="s">
        <v>993</v>
      </c>
      <c r="D1629" s="501" t="s">
        <v>1000</v>
      </c>
      <c r="E1629" s="602" t="s">
        <v>972</v>
      </c>
      <c r="F1629" s="602"/>
      <c r="G1629" s="503" t="s">
        <v>81</v>
      </c>
      <c r="H1629" s="504">
        <v>0.16</v>
      </c>
      <c r="I1629" s="504">
        <v>0</v>
      </c>
      <c r="J1629" s="505">
        <v>16.04</v>
      </c>
      <c r="K1629" s="505">
        <v>2.56</v>
      </c>
      <c r="L1629" s="70"/>
    </row>
    <row r="1630" spans="1:12" ht="25.5" x14ac:dyDescent="0.25">
      <c r="A1630" s="501" t="s">
        <v>1732</v>
      </c>
      <c r="B1630" s="502" t="s">
        <v>1011</v>
      </c>
      <c r="C1630" s="501" t="s">
        <v>993</v>
      </c>
      <c r="D1630" s="501" t="s">
        <v>1012</v>
      </c>
      <c r="E1630" s="602" t="s">
        <v>972</v>
      </c>
      <c r="F1630" s="602"/>
      <c r="G1630" s="503" t="s">
        <v>81</v>
      </c>
      <c r="H1630" s="504">
        <v>0.16</v>
      </c>
      <c r="I1630" s="504">
        <v>0</v>
      </c>
      <c r="J1630" s="505">
        <v>23.41</v>
      </c>
      <c r="K1630" s="505">
        <v>3.74</v>
      </c>
      <c r="L1630" s="70"/>
    </row>
    <row r="1631" spans="1:12" ht="15.75" customHeight="1" x14ac:dyDescent="0.25">
      <c r="A1631" s="445"/>
      <c r="B1631" s="445"/>
      <c r="C1631" s="445"/>
      <c r="D1631" s="445"/>
      <c r="E1631" s="445" t="s">
        <v>1735</v>
      </c>
      <c r="F1631" s="506">
        <v>6.3</v>
      </c>
      <c r="G1631" s="445" t="s">
        <v>1736</v>
      </c>
      <c r="H1631" s="506">
        <v>0</v>
      </c>
      <c r="I1631" s="445" t="s">
        <v>1737</v>
      </c>
      <c r="J1631" s="506">
        <v>6.3</v>
      </c>
      <c r="K1631" s="70"/>
      <c r="L1631" s="70"/>
    </row>
    <row r="1632" spans="1:12" ht="17.25" thickBot="1" x14ac:dyDescent="0.3">
      <c r="A1632" s="445"/>
      <c r="B1632" s="445"/>
      <c r="C1632" s="445"/>
      <c r="D1632" s="445"/>
      <c r="E1632" s="445" t="s">
        <v>1738</v>
      </c>
      <c r="F1632" s="506">
        <v>7.6408639999999997</v>
      </c>
      <c r="G1632" s="445"/>
      <c r="H1632" s="606" t="s">
        <v>1739</v>
      </c>
      <c r="I1632" s="606"/>
      <c r="J1632" s="506">
        <v>38.65</v>
      </c>
      <c r="K1632" s="70"/>
      <c r="L1632" s="70"/>
    </row>
    <row r="1633" spans="1:12" ht="17.25" thickTop="1" x14ac:dyDescent="0.25">
      <c r="A1633" s="507"/>
      <c r="B1633" s="507"/>
      <c r="C1633" s="507"/>
      <c r="D1633" s="507"/>
      <c r="E1633" s="507"/>
      <c r="F1633" s="507"/>
      <c r="G1633" s="507"/>
      <c r="H1633" s="507"/>
      <c r="I1633" s="507"/>
      <c r="J1633" s="507"/>
      <c r="K1633" s="507"/>
      <c r="L1633" s="70"/>
    </row>
    <row r="1634" spans="1:12" ht="16.5" x14ac:dyDescent="0.25">
      <c r="A1634" s="419" t="s">
        <v>1538</v>
      </c>
      <c r="B1634" s="421" t="s">
        <v>76</v>
      </c>
      <c r="C1634" s="419" t="s">
        <v>991</v>
      </c>
      <c r="D1634" s="419" t="s">
        <v>191</v>
      </c>
      <c r="E1634" s="603" t="s">
        <v>77</v>
      </c>
      <c r="F1634" s="603"/>
      <c r="G1634" s="420" t="s">
        <v>103</v>
      </c>
      <c r="H1634" s="421" t="s">
        <v>147</v>
      </c>
      <c r="I1634" s="421" t="s">
        <v>1731</v>
      </c>
      <c r="J1634" s="421" t="s">
        <v>1117</v>
      </c>
      <c r="K1634" s="421" t="s">
        <v>104</v>
      </c>
      <c r="L1634" s="70"/>
    </row>
    <row r="1635" spans="1:12" ht="38.25" x14ac:dyDescent="0.25">
      <c r="A1635" s="441" t="s">
        <v>79</v>
      </c>
      <c r="B1635" s="480" t="s">
        <v>1539</v>
      </c>
      <c r="C1635" s="441" t="s">
        <v>1168</v>
      </c>
      <c r="D1635" s="441" t="s">
        <v>528</v>
      </c>
      <c r="E1635" s="604" t="s">
        <v>2359</v>
      </c>
      <c r="F1635" s="604"/>
      <c r="G1635" s="443" t="s">
        <v>49</v>
      </c>
      <c r="H1635" s="500">
        <v>1</v>
      </c>
      <c r="I1635" s="442"/>
      <c r="J1635" s="442">
        <v>47.6</v>
      </c>
      <c r="K1635" s="442">
        <v>47.6</v>
      </c>
      <c r="L1635" s="70"/>
    </row>
    <row r="1636" spans="1:12" ht="16.5" x14ac:dyDescent="0.25">
      <c r="A1636" s="501" t="s">
        <v>1732</v>
      </c>
      <c r="B1636" s="502" t="s">
        <v>2370</v>
      </c>
      <c r="C1636" s="501" t="s">
        <v>2108</v>
      </c>
      <c r="D1636" s="501" t="s">
        <v>2371</v>
      </c>
      <c r="E1636" s="602" t="s">
        <v>1746</v>
      </c>
      <c r="F1636" s="602"/>
      <c r="G1636" s="503" t="s">
        <v>49</v>
      </c>
      <c r="H1636" s="504">
        <v>1</v>
      </c>
      <c r="I1636" s="504"/>
      <c r="J1636" s="505">
        <v>1.43</v>
      </c>
      <c r="K1636" s="505">
        <v>1.43</v>
      </c>
      <c r="L1636" s="70"/>
    </row>
    <row r="1637" spans="1:12" ht="16.5" x14ac:dyDescent="0.25">
      <c r="A1637" s="501" t="s">
        <v>1732</v>
      </c>
      <c r="B1637" s="502" t="s">
        <v>2394</v>
      </c>
      <c r="C1637" s="501" t="s">
        <v>2108</v>
      </c>
      <c r="D1637" s="501" t="s">
        <v>2395</v>
      </c>
      <c r="E1637" s="602" t="s">
        <v>1746</v>
      </c>
      <c r="F1637" s="602"/>
      <c r="G1637" s="503" t="s">
        <v>49</v>
      </c>
      <c r="H1637" s="504">
        <v>1</v>
      </c>
      <c r="I1637" s="504"/>
      <c r="J1637" s="505">
        <v>22.51</v>
      </c>
      <c r="K1637" s="505">
        <v>22.51</v>
      </c>
      <c r="L1637" s="70"/>
    </row>
    <row r="1638" spans="1:12" ht="25.5" x14ac:dyDescent="0.25">
      <c r="A1638" s="501" t="s">
        <v>1732</v>
      </c>
      <c r="B1638" s="502" t="s">
        <v>999</v>
      </c>
      <c r="C1638" s="501" t="s">
        <v>993</v>
      </c>
      <c r="D1638" s="501" t="s">
        <v>1000</v>
      </c>
      <c r="E1638" s="602" t="s">
        <v>972</v>
      </c>
      <c r="F1638" s="602"/>
      <c r="G1638" s="503" t="s">
        <v>81</v>
      </c>
      <c r="H1638" s="504">
        <v>0.6</v>
      </c>
      <c r="I1638" s="504">
        <v>0</v>
      </c>
      <c r="J1638" s="505">
        <v>16.04</v>
      </c>
      <c r="K1638" s="505">
        <v>9.6199999999999992</v>
      </c>
      <c r="L1638" s="70"/>
    </row>
    <row r="1639" spans="1:12" ht="25.5" x14ac:dyDescent="0.25">
      <c r="A1639" s="501" t="s">
        <v>1732</v>
      </c>
      <c r="B1639" s="502" t="s">
        <v>1011</v>
      </c>
      <c r="C1639" s="501" t="s">
        <v>993</v>
      </c>
      <c r="D1639" s="501" t="s">
        <v>1012</v>
      </c>
      <c r="E1639" s="602" t="s">
        <v>972</v>
      </c>
      <c r="F1639" s="602"/>
      <c r="G1639" s="503" t="s">
        <v>81</v>
      </c>
      <c r="H1639" s="504">
        <v>0.6</v>
      </c>
      <c r="I1639" s="504">
        <v>0</v>
      </c>
      <c r="J1639" s="505">
        <v>23.41</v>
      </c>
      <c r="K1639" s="505">
        <v>14.04</v>
      </c>
      <c r="L1639" s="70"/>
    </row>
    <row r="1640" spans="1:12" ht="15.75" customHeight="1" x14ac:dyDescent="0.25">
      <c r="A1640" s="445"/>
      <c r="B1640" s="445"/>
      <c r="C1640" s="445"/>
      <c r="D1640" s="445"/>
      <c r="E1640" s="445" t="s">
        <v>1735</v>
      </c>
      <c r="F1640" s="506">
        <v>23.66</v>
      </c>
      <c r="G1640" s="445" t="s">
        <v>1736</v>
      </c>
      <c r="H1640" s="506">
        <v>0</v>
      </c>
      <c r="I1640" s="445" t="s">
        <v>1737</v>
      </c>
      <c r="J1640" s="506">
        <v>23.66</v>
      </c>
      <c r="K1640" s="70"/>
      <c r="L1640" s="70"/>
    </row>
    <row r="1641" spans="1:12" ht="17.25" thickBot="1" x14ac:dyDescent="0.3">
      <c r="A1641" s="445"/>
      <c r="B1641" s="445"/>
      <c r="C1641" s="445"/>
      <c r="D1641" s="445"/>
      <c r="E1641" s="445" t="s">
        <v>1738</v>
      </c>
      <c r="F1641" s="506">
        <v>11.72864</v>
      </c>
      <c r="G1641" s="445"/>
      <c r="H1641" s="606" t="s">
        <v>1739</v>
      </c>
      <c r="I1641" s="606"/>
      <c r="J1641" s="506">
        <v>59.32</v>
      </c>
      <c r="K1641" s="70"/>
      <c r="L1641" s="70"/>
    </row>
    <row r="1642" spans="1:12" ht="17.25" thickTop="1" x14ac:dyDescent="0.25">
      <c r="A1642" s="507"/>
      <c r="B1642" s="507"/>
      <c r="C1642" s="507"/>
      <c r="D1642" s="507"/>
      <c r="E1642" s="507"/>
      <c r="F1642" s="507"/>
      <c r="G1642" s="507"/>
      <c r="H1642" s="507"/>
      <c r="I1642" s="507"/>
      <c r="J1642" s="507"/>
      <c r="K1642" s="507"/>
      <c r="L1642" s="70"/>
    </row>
    <row r="1643" spans="1:12" ht="16.5" x14ac:dyDescent="0.25">
      <c r="A1643" s="419" t="s">
        <v>1540</v>
      </c>
      <c r="B1643" s="421" t="s">
        <v>76</v>
      </c>
      <c r="C1643" s="419" t="s">
        <v>991</v>
      </c>
      <c r="D1643" s="419" t="s">
        <v>191</v>
      </c>
      <c r="E1643" s="603" t="s">
        <v>77</v>
      </c>
      <c r="F1643" s="603"/>
      <c r="G1643" s="420" t="s">
        <v>103</v>
      </c>
      <c r="H1643" s="421" t="s">
        <v>147</v>
      </c>
      <c r="I1643" s="421" t="s">
        <v>1731</v>
      </c>
      <c r="J1643" s="421" t="s">
        <v>1117</v>
      </c>
      <c r="K1643" s="421" t="s">
        <v>104</v>
      </c>
      <c r="L1643" s="70"/>
    </row>
    <row r="1644" spans="1:12" ht="38.25" x14ac:dyDescent="0.25">
      <c r="A1644" s="441" t="s">
        <v>79</v>
      </c>
      <c r="B1644" s="480" t="s">
        <v>1541</v>
      </c>
      <c r="C1644" s="441" t="s">
        <v>1168</v>
      </c>
      <c r="D1644" s="441" t="s">
        <v>529</v>
      </c>
      <c r="E1644" s="604" t="s">
        <v>2359</v>
      </c>
      <c r="F1644" s="604"/>
      <c r="G1644" s="443" t="s">
        <v>49</v>
      </c>
      <c r="H1644" s="500">
        <v>1</v>
      </c>
      <c r="I1644" s="442"/>
      <c r="J1644" s="442">
        <v>91.73</v>
      </c>
      <c r="K1644" s="442">
        <v>91.73</v>
      </c>
      <c r="L1644" s="70"/>
    </row>
    <row r="1645" spans="1:12" ht="16.5" x14ac:dyDescent="0.25">
      <c r="A1645" s="501" t="s">
        <v>1732</v>
      </c>
      <c r="B1645" s="502" t="s">
        <v>2370</v>
      </c>
      <c r="C1645" s="501" t="s">
        <v>2108</v>
      </c>
      <c r="D1645" s="501" t="s">
        <v>2371</v>
      </c>
      <c r="E1645" s="602" t="s">
        <v>1746</v>
      </c>
      <c r="F1645" s="602"/>
      <c r="G1645" s="503" t="s">
        <v>49</v>
      </c>
      <c r="H1645" s="504">
        <v>3</v>
      </c>
      <c r="I1645" s="504"/>
      <c r="J1645" s="505">
        <v>1.43</v>
      </c>
      <c r="K1645" s="505">
        <v>4.29</v>
      </c>
      <c r="L1645" s="70"/>
    </row>
    <row r="1646" spans="1:12" ht="16.5" x14ac:dyDescent="0.25">
      <c r="A1646" s="501" t="s">
        <v>1732</v>
      </c>
      <c r="B1646" s="502" t="s">
        <v>2362</v>
      </c>
      <c r="C1646" s="501" t="s">
        <v>2108</v>
      </c>
      <c r="D1646" s="501" t="s">
        <v>2363</v>
      </c>
      <c r="E1646" s="602" t="s">
        <v>1746</v>
      </c>
      <c r="F1646" s="602"/>
      <c r="G1646" s="503" t="s">
        <v>49</v>
      </c>
      <c r="H1646" s="504">
        <v>1.0800000000000001E-2</v>
      </c>
      <c r="I1646" s="504"/>
      <c r="J1646" s="505">
        <v>75</v>
      </c>
      <c r="K1646" s="505">
        <v>0.81</v>
      </c>
      <c r="L1646" s="70"/>
    </row>
    <row r="1647" spans="1:12" ht="16.5" x14ac:dyDescent="0.25">
      <c r="A1647" s="501" t="s">
        <v>1732</v>
      </c>
      <c r="B1647" s="502" t="s">
        <v>2396</v>
      </c>
      <c r="C1647" s="501" t="s">
        <v>2108</v>
      </c>
      <c r="D1647" s="501" t="s">
        <v>2397</v>
      </c>
      <c r="E1647" s="602" t="s">
        <v>1746</v>
      </c>
      <c r="F1647" s="602"/>
      <c r="G1647" s="503" t="s">
        <v>49</v>
      </c>
      <c r="H1647" s="504">
        <v>1</v>
      </c>
      <c r="I1647" s="504"/>
      <c r="J1647" s="505">
        <v>58.24</v>
      </c>
      <c r="K1647" s="505">
        <v>58.24</v>
      </c>
      <c r="L1647" s="70"/>
    </row>
    <row r="1648" spans="1:12" ht="25.5" x14ac:dyDescent="0.25">
      <c r="A1648" s="501" t="s">
        <v>1732</v>
      </c>
      <c r="B1648" s="502" t="s">
        <v>999</v>
      </c>
      <c r="C1648" s="501" t="s">
        <v>993</v>
      </c>
      <c r="D1648" s="501" t="s">
        <v>1000</v>
      </c>
      <c r="E1648" s="602" t="s">
        <v>972</v>
      </c>
      <c r="F1648" s="602"/>
      <c r="G1648" s="503" t="s">
        <v>81</v>
      </c>
      <c r="H1648" s="504">
        <v>0.72</v>
      </c>
      <c r="I1648" s="504">
        <v>0</v>
      </c>
      <c r="J1648" s="505">
        <v>16.04</v>
      </c>
      <c r="K1648" s="505">
        <v>11.54</v>
      </c>
      <c r="L1648" s="70"/>
    </row>
    <row r="1649" spans="1:12" ht="25.5" x14ac:dyDescent="0.25">
      <c r="A1649" s="501" t="s">
        <v>1732</v>
      </c>
      <c r="B1649" s="502" t="s">
        <v>1011</v>
      </c>
      <c r="C1649" s="501" t="s">
        <v>993</v>
      </c>
      <c r="D1649" s="501" t="s">
        <v>1012</v>
      </c>
      <c r="E1649" s="602" t="s">
        <v>972</v>
      </c>
      <c r="F1649" s="602"/>
      <c r="G1649" s="503" t="s">
        <v>81</v>
      </c>
      <c r="H1649" s="504">
        <v>0.72</v>
      </c>
      <c r="I1649" s="504">
        <v>0</v>
      </c>
      <c r="J1649" s="505">
        <v>23.41</v>
      </c>
      <c r="K1649" s="505">
        <v>16.850000000000001</v>
      </c>
      <c r="L1649" s="70"/>
    </row>
    <row r="1650" spans="1:12" ht="15.75" customHeight="1" x14ac:dyDescent="0.25">
      <c r="A1650" s="445"/>
      <c r="B1650" s="445"/>
      <c r="C1650" s="445"/>
      <c r="D1650" s="445"/>
      <c r="E1650" s="445" t="s">
        <v>1735</v>
      </c>
      <c r="F1650" s="506">
        <v>28.39</v>
      </c>
      <c r="G1650" s="445" t="s">
        <v>1736</v>
      </c>
      <c r="H1650" s="506">
        <v>0</v>
      </c>
      <c r="I1650" s="445" t="s">
        <v>1737</v>
      </c>
      <c r="J1650" s="506">
        <v>28.39</v>
      </c>
      <c r="K1650" s="70"/>
      <c r="L1650" s="70"/>
    </row>
    <row r="1651" spans="1:12" ht="17.25" thickBot="1" x14ac:dyDescent="0.3">
      <c r="A1651" s="445"/>
      <c r="B1651" s="445"/>
      <c r="C1651" s="445"/>
      <c r="D1651" s="445"/>
      <c r="E1651" s="445" t="s">
        <v>1738</v>
      </c>
      <c r="F1651" s="506">
        <v>22.602271999999999</v>
      </c>
      <c r="G1651" s="445"/>
      <c r="H1651" s="606" t="s">
        <v>1739</v>
      </c>
      <c r="I1651" s="606"/>
      <c r="J1651" s="506">
        <v>114.33</v>
      </c>
      <c r="K1651" s="70"/>
      <c r="L1651" s="70"/>
    </row>
    <row r="1652" spans="1:12" ht="17.25" thickTop="1" x14ac:dyDescent="0.25">
      <c r="A1652" s="507"/>
      <c r="B1652" s="507"/>
      <c r="C1652" s="507"/>
      <c r="D1652" s="507"/>
      <c r="E1652" s="507"/>
      <c r="F1652" s="507"/>
      <c r="G1652" s="507"/>
      <c r="H1652" s="507"/>
      <c r="I1652" s="507"/>
      <c r="J1652" s="507"/>
      <c r="K1652" s="507"/>
      <c r="L1652" s="70"/>
    </row>
    <row r="1653" spans="1:12" ht="16.5" x14ac:dyDescent="0.25">
      <c r="A1653" s="419" t="s">
        <v>1542</v>
      </c>
      <c r="B1653" s="421" t="s">
        <v>76</v>
      </c>
      <c r="C1653" s="419" t="s">
        <v>991</v>
      </c>
      <c r="D1653" s="419" t="s">
        <v>191</v>
      </c>
      <c r="E1653" s="603" t="s">
        <v>77</v>
      </c>
      <c r="F1653" s="603"/>
      <c r="G1653" s="420" t="s">
        <v>103</v>
      </c>
      <c r="H1653" s="421" t="s">
        <v>147</v>
      </c>
      <c r="I1653" s="421" t="s">
        <v>1731</v>
      </c>
      <c r="J1653" s="421" t="s">
        <v>1117</v>
      </c>
      <c r="K1653" s="421" t="s">
        <v>104</v>
      </c>
      <c r="L1653" s="70"/>
    </row>
    <row r="1654" spans="1:12" ht="25.5" x14ac:dyDescent="0.25">
      <c r="A1654" s="441" t="s">
        <v>79</v>
      </c>
      <c r="B1654" s="480" t="s">
        <v>1543</v>
      </c>
      <c r="C1654" s="441" t="s">
        <v>1168</v>
      </c>
      <c r="D1654" s="441" t="s">
        <v>530</v>
      </c>
      <c r="E1654" s="604" t="s">
        <v>2359</v>
      </c>
      <c r="F1654" s="604"/>
      <c r="G1654" s="443" t="s">
        <v>49</v>
      </c>
      <c r="H1654" s="500">
        <v>1</v>
      </c>
      <c r="I1654" s="442"/>
      <c r="J1654" s="442">
        <v>18.68</v>
      </c>
      <c r="K1654" s="442">
        <v>18.68</v>
      </c>
      <c r="L1654" s="70"/>
    </row>
    <row r="1655" spans="1:12" ht="16.5" x14ac:dyDescent="0.25">
      <c r="A1655" s="501" t="s">
        <v>1732</v>
      </c>
      <c r="B1655" s="502" t="s">
        <v>2364</v>
      </c>
      <c r="C1655" s="501" t="s">
        <v>2108</v>
      </c>
      <c r="D1655" s="501" t="s">
        <v>2365</v>
      </c>
      <c r="E1655" s="602" t="s">
        <v>1746</v>
      </c>
      <c r="F1655" s="602"/>
      <c r="G1655" s="503" t="s">
        <v>49</v>
      </c>
      <c r="H1655" s="504">
        <v>1</v>
      </c>
      <c r="I1655" s="504"/>
      <c r="J1655" s="505">
        <v>0.85</v>
      </c>
      <c r="K1655" s="505">
        <v>0.85</v>
      </c>
      <c r="L1655" s="70"/>
    </row>
    <row r="1656" spans="1:12" ht="16.5" x14ac:dyDescent="0.25">
      <c r="A1656" s="501" t="s">
        <v>1732</v>
      </c>
      <c r="B1656" s="502" t="s">
        <v>2398</v>
      </c>
      <c r="C1656" s="501" t="s">
        <v>2108</v>
      </c>
      <c r="D1656" s="501" t="s">
        <v>2399</v>
      </c>
      <c r="E1656" s="602" t="s">
        <v>1746</v>
      </c>
      <c r="F1656" s="602"/>
      <c r="G1656" s="503" t="s">
        <v>49</v>
      </c>
      <c r="H1656" s="504">
        <v>1</v>
      </c>
      <c r="I1656" s="504"/>
      <c r="J1656" s="505">
        <v>11.38</v>
      </c>
      <c r="K1656" s="505">
        <v>11.38</v>
      </c>
      <c r="L1656" s="70"/>
    </row>
    <row r="1657" spans="1:12" ht="16.5" x14ac:dyDescent="0.25">
      <c r="A1657" s="501" t="s">
        <v>1732</v>
      </c>
      <c r="B1657" s="502" t="s">
        <v>2362</v>
      </c>
      <c r="C1657" s="501" t="s">
        <v>2108</v>
      </c>
      <c r="D1657" s="501" t="s">
        <v>2363</v>
      </c>
      <c r="E1657" s="602" t="s">
        <v>1746</v>
      </c>
      <c r="F1657" s="602"/>
      <c r="G1657" s="503" t="s">
        <v>49</v>
      </c>
      <c r="H1657" s="504">
        <v>2E-3</v>
      </c>
      <c r="I1657" s="504"/>
      <c r="J1657" s="505">
        <v>75</v>
      </c>
      <c r="K1657" s="505">
        <v>0.15</v>
      </c>
      <c r="L1657" s="70"/>
    </row>
    <row r="1658" spans="1:12" ht="25.5" x14ac:dyDescent="0.25">
      <c r="A1658" s="501" t="s">
        <v>1732</v>
      </c>
      <c r="B1658" s="502" t="s">
        <v>999</v>
      </c>
      <c r="C1658" s="501" t="s">
        <v>993</v>
      </c>
      <c r="D1658" s="501" t="s">
        <v>1000</v>
      </c>
      <c r="E1658" s="602" t="s">
        <v>972</v>
      </c>
      <c r="F1658" s="602"/>
      <c r="G1658" s="503" t="s">
        <v>81</v>
      </c>
      <c r="H1658" s="504">
        <v>0.16</v>
      </c>
      <c r="I1658" s="504">
        <v>0</v>
      </c>
      <c r="J1658" s="505">
        <v>16.04</v>
      </c>
      <c r="K1658" s="505">
        <v>2.56</v>
      </c>
      <c r="L1658" s="70"/>
    </row>
    <row r="1659" spans="1:12" ht="25.5" x14ac:dyDescent="0.25">
      <c r="A1659" s="501" t="s">
        <v>1732</v>
      </c>
      <c r="B1659" s="502" t="s">
        <v>1011</v>
      </c>
      <c r="C1659" s="501" t="s">
        <v>993</v>
      </c>
      <c r="D1659" s="501" t="s">
        <v>1012</v>
      </c>
      <c r="E1659" s="602" t="s">
        <v>972</v>
      </c>
      <c r="F1659" s="602"/>
      <c r="G1659" s="503" t="s">
        <v>81</v>
      </c>
      <c r="H1659" s="504">
        <v>0.16</v>
      </c>
      <c r="I1659" s="504">
        <v>0</v>
      </c>
      <c r="J1659" s="505">
        <v>23.41</v>
      </c>
      <c r="K1659" s="505">
        <v>3.74</v>
      </c>
      <c r="L1659" s="70"/>
    </row>
    <row r="1660" spans="1:12" ht="15.75" customHeight="1" x14ac:dyDescent="0.25">
      <c r="A1660" s="445"/>
      <c r="B1660" s="445"/>
      <c r="C1660" s="445"/>
      <c r="D1660" s="445"/>
      <c r="E1660" s="445" t="s">
        <v>1735</v>
      </c>
      <c r="F1660" s="506">
        <v>6.3</v>
      </c>
      <c r="G1660" s="445" t="s">
        <v>1736</v>
      </c>
      <c r="H1660" s="506">
        <v>0</v>
      </c>
      <c r="I1660" s="445" t="s">
        <v>1737</v>
      </c>
      <c r="J1660" s="506">
        <v>6.3</v>
      </c>
      <c r="K1660" s="70"/>
      <c r="L1660" s="70"/>
    </row>
    <row r="1661" spans="1:12" ht="17.25" thickBot="1" x14ac:dyDescent="0.3">
      <c r="A1661" s="445"/>
      <c r="B1661" s="445"/>
      <c r="C1661" s="445"/>
      <c r="D1661" s="445"/>
      <c r="E1661" s="445" t="s">
        <v>1738</v>
      </c>
      <c r="F1661" s="506">
        <v>4.6027519999999997</v>
      </c>
      <c r="G1661" s="445"/>
      <c r="H1661" s="606" t="s">
        <v>1739</v>
      </c>
      <c r="I1661" s="606"/>
      <c r="J1661" s="506">
        <v>23.28</v>
      </c>
      <c r="K1661" s="70"/>
      <c r="L1661" s="70"/>
    </row>
    <row r="1662" spans="1:12" ht="17.25" thickTop="1" x14ac:dyDescent="0.25">
      <c r="A1662" s="507"/>
      <c r="B1662" s="507"/>
      <c r="C1662" s="507"/>
      <c r="D1662" s="507"/>
      <c r="E1662" s="507"/>
      <c r="F1662" s="507"/>
      <c r="G1662" s="507"/>
      <c r="H1662" s="507"/>
      <c r="I1662" s="507"/>
      <c r="J1662" s="507"/>
      <c r="K1662" s="507"/>
      <c r="L1662" s="70"/>
    </row>
    <row r="1663" spans="1:12" ht="16.5" x14ac:dyDescent="0.25">
      <c r="A1663" s="419" t="s">
        <v>1544</v>
      </c>
      <c r="B1663" s="421" t="s">
        <v>76</v>
      </c>
      <c r="C1663" s="419" t="s">
        <v>991</v>
      </c>
      <c r="D1663" s="419" t="s">
        <v>191</v>
      </c>
      <c r="E1663" s="603" t="s">
        <v>77</v>
      </c>
      <c r="F1663" s="603"/>
      <c r="G1663" s="420" t="s">
        <v>103</v>
      </c>
      <c r="H1663" s="421" t="s">
        <v>147</v>
      </c>
      <c r="I1663" s="421" t="s">
        <v>1731</v>
      </c>
      <c r="J1663" s="421" t="s">
        <v>1117</v>
      </c>
      <c r="K1663" s="421" t="s">
        <v>104</v>
      </c>
      <c r="L1663" s="70"/>
    </row>
    <row r="1664" spans="1:12" ht="25.5" x14ac:dyDescent="0.25">
      <c r="A1664" s="441" t="s">
        <v>79</v>
      </c>
      <c r="B1664" s="480" t="s">
        <v>1545</v>
      </c>
      <c r="C1664" s="441" t="s">
        <v>1168</v>
      </c>
      <c r="D1664" s="441" t="s">
        <v>531</v>
      </c>
      <c r="E1664" s="604" t="s">
        <v>2359</v>
      </c>
      <c r="F1664" s="604"/>
      <c r="G1664" s="443" t="s">
        <v>49</v>
      </c>
      <c r="H1664" s="500">
        <v>1</v>
      </c>
      <c r="I1664" s="442"/>
      <c r="J1664" s="442">
        <v>30.64</v>
      </c>
      <c r="K1664" s="442">
        <v>30.64</v>
      </c>
      <c r="L1664" s="70"/>
    </row>
    <row r="1665" spans="1:12" ht="16.5" x14ac:dyDescent="0.25">
      <c r="A1665" s="501" t="s">
        <v>1732</v>
      </c>
      <c r="B1665" s="502" t="s">
        <v>2370</v>
      </c>
      <c r="C1665" s="501" t="s">
        <v>2108</v>
      </c>
      <c r="D1665" s="501" t="s">
        <v>2371</v>
      </c>
      <c r="E1665" s="602" t="s">
        <v>1746</v>
      </c>
      <c r="F1665" s="602"/>
      <c r="G1665" s="503" t="s">
        <v>49</v>
      </c>
      <c r="H1665" s="504">
        <v>1</v>
      </c>
      <c r="I1665" s="504"/>
      <c r="J1665" s="505">
        <v>1.43</v>
      </c>
      <c r="K1665" s="505">
        <v>1.43</v>
      </c>
      <c r="L1665" s="70"/>
    </row>
    <row r="1666" spans="1:12" ht="16.5" x14ac:dyDescent="0.25">
      <c r="A1666" s="501" t="s">
        <v>1732</v>
      </c>
      <c r="B1666" s="502" t="s">
        <v>2400</v>
      </c>
      <c r="C1666" s="501" t="s">
        <v>2108</v>
      </c>
      <c r="D1666" s="501" t="s">
        <v>2401</v>
      </c>
      <c r="E1666" s="602" t="s">
        <v>1746</v>
      </c>
      <c r="F1666" s="602"/>
      <c r="G1666" s="503" t="s">
        <v>49</v>
      </c>
      <c r="H1666" s="504">
        <v>1</v>
      </c>
      <c r="I1666" s="504"/>
      <c r="J1666" s="505">
        <v>19.489999999999998</v>
      </c>
      <c r="K1666" s="505">
        <v>19.489999999999998</v>
      </c>
      <c r="L1666" s="70"/>
    </row>
    <row r="1667" spans="1:12" ht="16.5" x14ac:dyDescent="0.25">
      <c r="A1667" s="501" t="s">
        <v>1732</v>
      </c>
      <c r="B1667" s="502" t="s">
        <v>2362</v>
      </c>
      <c r="C1667" s="501" t="s">
        <v>2108</v>
      </c>
      <c r="D1667" s="501" t="s">
        <v>2363</v>
      </c>
      <c r="E1667" s="602" t="s">
        <v>1746</v>
      </c>
      <c r="F1667" s="602"/>
      <c r="G1667" s="503" t="s">
        <v>49</v>
      </c>
      <c r="H1667" s="504">
        <v>3.5999999999999999E-3</v>
      </c>
      <c r="I1667" s="504"/>
      <c r="J1667" s="505">
        <v>75</v>
      </c>
      <c r="K1667" s="505">
        <v>0.27</v>
      </c>
      <c r="L1667" s="70"/>
    </row>
    <row r="1668" spans="1:12" ht="25.5" x14ac:dyDescent="0.25">
      <c r="A1668" s="501" t="s">
        <v>1732</v>
      </c>
      <c r="B1668" s="502" t="s">
        <v>999</v>
      </c>
      <c r="C1668" s="501" t="s">
        <v>993</v>
      </c>
      <c r="D1668" s="501" t="s">
        <v>1000</v>
      </c>
      <c r="E1668" s="602" t="s">
        <v>972</v>
      </c>
      <c r="F1668" s="602"/>
      <c r="G1668" s="503" t="s">
        <v>81</v>
      </c>
      <c r="H1668" s="504">
        <v>0.24</v>
      </c>
      <c r="I1668" s="504">
        <v>0</v>
      </c>
      <c r="J1668" s="505">
        <v>16.04</v>
      </c>
      <c r="K1668" s="505">
        <v>3.84</v>
      </c>
      <c r="L1668" s="70"/>
    </row>
    <row r="1669" spans="1:12" ht="25.5" x14ac:dyDescent="0.25">
      <c r="A1669" s="501" t="s">
        <v>1732</v>
      </c>
      <c r="B1669" s="502" t="s">
        <v>1011</v>
      </c>
      <c r="C1669" s="501" t="s">
        <v>993</v>
      </c>
      <c r="D1669" s="501" t="s">
        <v>1012</v>
      </c>
      <c r="E1669" s="602" t="s">
        <v>972</v>
      </c>
      <c r="F1669" s="602"/>
      <c r="G1669" s="503" t="s">
        <v>81</v>
      </c>
      <c r="H1669" s="504">
        <v>0.24</v>
      </c>
      <c r="I1669" s="504">
        <v>0</v>
      </c>
      <c r="J1669" s="505">
        <v>23.41</v>
      </c>
      <c r="K1669" s="505">
        <v>5.61</v>
      </c>
      <c r="L1669" s="70"/>
    </row>
    <row r="1670" spans="1:12" ht="15.75" customHeight="1" x14ac:dyDescent="0.25">
      <c r="A1670" s="445"/>
      <c r="B1670" s="445"/>
      <c r="C1670" s="445"/>
      <c r="D1670" s="445"/>
      <c r="E1670" s="445" t="s">
        <v>1735</v>
      </c>
      <c r="F1670" s="506">
        <v>9.4499999999999993</v>
      </c>
      <c r="G1670" s="445" t="s">
        <v>1736</v>
      </c>
      <c r="H1670" s="506">
        <v>0</v>
      </c>
      <c r="I1670" s="445" t="s">
        <v>1737</v>
      </c>
      <c r="J1670" s="506">
        <v>9.4499999999999993</v>
      </c>
      <c r="K1670" s="70"/>
      <c r="L1670" s="70"/>
    </row>
    <row r="1671" spans="1:12" ht="17.25" thickBot="1" x14ac:dyDescent="0.3">
      <c r="A1671" s="445"/>
      <c r="B1671" s="445"/>
      <c r="C1671" s="445"/>
      <c r="D1671" s="445"/>
      <c r="E1671" s="445" t="s">
        <v>1738</v>
      </c>
      <c r="F1671" s="506">
        <v>7.549696</v>
      </c>
      <c r="G1671" s="445"/>
      <c r="H1671" s="606" t="s">
        <v>1739</v>
      </c>
      <c r="I1671" s="606"/>
      <c r="J1671" s="506">
        <v>38.18</v>
      </c>
      <c r="K1671" s="70"/>
      <c r="L1671" s="70"/>
    </row>
    <row r="1672" spans="1:12" ht="17.25" thickTop="1" x14ac:dyDescent="0.25">
      <c r="A1672" s="507"/>
      <c r="B1672" s="507"/>
      <c r="C1672" s="507"/>
      <c r="D1672" s="507"/>
      <c r="E1672" s="507"/>
      <c r="F1672" s="507"/>
      <c r="G1672" s="507"/>
      <c r="H1672" s="507"/>
      <c r="I1672" s="507"/>
      <c r="J1672" s="507"/>
      <c r="K1672" s="507"/>
      <c r="L1672" s="70"/>
    </row>
    <row r="1673" spans="1:12" ht="16.5" x14ac:dyDescent="0.25">
      <c r="A1673" s="419" t="s">
        <v>1546</v>
      </c>
      <c r="B1673" s="421" t="s">
        <v>76</v>
      </c>
      <c r="C1673" s="419" t="s">
        <v>991</v>
      </c>
      <c r="D1673" s="419" t="s">
        <v>191</v>
      </c>
      <c r="E1673" s="603" t="s">
        <v>77</v>
      </c>
      <c r="F1673" s="603"/>
      <c r="G1673" s="420" t="s">
        <v>103</v>
      </c>
      <c r="H1673" s="421" t="s">
        <v>147</v>
      </c>
      <c r="I1673" s="421" t="s">
        <v>1731</v>
      </c>
      <c r="J1673" s="421" t="s">
        <v>1117</v>
      </c>
      <c r="K1673" s="421" t="s">
        <v>104</v>
      </c>
      <c r="L1673" s="70"/>
    </row>
    <row r="1674" spans="1:12" ht="38.25" x14ac:dyDescent="0.25">
      <c r="A1674" s="441" t="s">
        <v>79</v>
      </c>
      <c r="B1674" s="480" t="s">
        <v>1547</v>
      </c>
      <c r="C1674" s="441" t="s">
        <v>1168</v>
      </c>
      <c r="D1674" s="441" t="s">
        <v>532</v>
      </c>
      <c r="E1674" s="604" t="s">
        <v>2402</v>
      </c>
      <c r="F1674" s="604"/>
      <c r="G1674" s="443" t="s">
        <v>38</v>
      </c>
      <c r="H1674" s="500">
        <v>1</v>
      </c>
      <c r="I1674" s="442"/>
      <c r="J1674" s="442">
        <v>21.28</v>
      </c>
      <c r="K1674" s="442">
        <v>21.28</v>
      </c>
      <c r="L1674" s="70"/>
    </row>
    <row r="1675" spans="1:12" ht="25.5" x14ac:dyDescent="0.25">
      <c r="A1675" s="501" t="s">
        <v>1732</v>
      </c>
      <c r="B1675" s="502" t="s">
        <v>2403</v>
      </c>
      <c r="C1675" s="501" t="s">
        <v>1115</v>
      </c>
      <c r="D1675" s="501" t="s">
        <v>2404</v>
      </c>
      <c r="E1675" s="602" t="s">
        <v>1746</v>
      </c>
      <c r="F1675" s="602"/>
      <c r="G1675" s="503" t="s">
        <v>38</v>
      </c>
      <c r="H1675" s="504">
        <v>4.1999999999999997E-3</v>
      </c>
      <c r="I1675" s="504"/>
      <c r="J1675" s="505">
        <v>25.4</v>
      </c>
      <c r="K1675" s="505">
        <v>0.1</v>
      </c>
      <c r="L1675" s="70"/>
    </row>
    <row r="1676" spans="1:12" ht="16.5" x14ac:dyDescent="0.25">
      <c r="A1676" s="501" t="s">
        <v>1732</v>
      </c>
      <c r="B1676" s="502" t="s">
        <v>2405</v>
      </c>
      <c r="C1676" s="501" t="s">
        <v>1115</v>
      </c>
      <c r="D1676" s="501" t="s">
        <v>2406</v>
      </c>
      <c r="E1676" s="602" t="s">
        <v>1746</v>
      </c>
      <c r="F1676" s="602"/>
      <c r="G1676" s="503" t="s">
        <v>130</v>
      </c>
      <c r="H1676" s="504">
        <v>1.0249999999999999</v>
      </c>
      <c r="I1676" s="504"/>
      <c r="J1676" s="505">
        <v>18.68</v>
      </c>
      <c r="K1676" s="505">
        <v>19.14</v>
      </c>
      <c r="L1676" s="70"/>
    </row>
    <row r="1677" spans="1:12" ht="25.5" x14ac:dyDescent="0.25">
      <c r="A1677" s="501" t="s">
        <v>1732</v>
      </c>
      <c r="B1677" s="502" t="s">
        <v>1011</v>
      </c>
      <c r="C1677" s="501" t="s">
        <v>993</v>
      </c>
      <c r="D1677" s="501" t="s">
        <v>1012</v>
      </c>
      <c r="E1677" s="602" t="s">
        <v>972</v>
      </c>
      <c r="F1677" s="602"/>
      <c r="G1677" s="503" t="s">
        <v>81</v>
      </c>
      <c r="H1677" s="504">
        <v>5.1900000000000002E-2</v>
      </c>
      <c r="I1677" s="504">
        <v>0</v>
      </c>
      <c r="J1677" s="505">
        <v>23.41</v>
      </c>
      <c r="K1677" s="505">
        <v>1.21</v>
      </c>
      <c r="L1677" s="70"/>
    </row>
    <row r="1678" spans="1:12" ht="25.5" x14ac:dyDescent="0.25">
      <c r="A1678" s="501" t="s">
        <v>1732</v>
      </c>
      <c r="B1678" s="502" t="s">
        <v>999</v>
      </c>
      <c r="C1678" s="501" t="s">
        <v>993</v>
      </c>
      <c r="D1678" s="501" t="s">
        <v>1000</v>
      </c>
      <c r="E1678" s="602" t="s">
        <v>972</v>
      </c>
      <c r="F1678" s="602"/>
      <c r="G1678" s="503" t="s">
        <v>81</v>
      </c>
      <c r="H1678" s="504">
        <v>5.1900000000000002E-2</v>
      </c>
      <c r="I1678" s="504">
        <v>0</v>
      </c>
      <c r="J1678" s="505">
        <v>16.04</v>
      </c>
      <c r="K1678" s="505">
        <v>0.83</v>
      </c>
      <c r="L1678" s="70"/>
    </row>
    <row r="1679" spans="1:12" ht="15.75" customHeight="1" x14ac:dyDescent="0.25">
      <c r="A1679" s="445"/>
      <c r="B1679" s="445"/>
      <c r="C1679" s="445"/>
      <c r="D1679" s="445"/>
      <c r="E1679" s="445" t="s">
        <v>1735</v>
      </c>
      <c r="F1679" s="506">
        <v>2.04</v>
      </c>
      <c r="G1679" s="445" t="s">
        <v>1736</v>
      </c>
      <c r="H1679" s="506">
        <v>0</v>
      </c>
      <c r="I1679" s="445" t="s">
        <v>1737</v>
      </c>
      <c r="J1679" s="506">
        <v>2.04</v>
      </c>
      <c r="K1679" s="70"/>
      <c r="L1679" s="70"/>
    </row>
    <row r="1680" spans="1:12" ht="17.25" thickBot="1" x14ac:dyDescent="0.3">
      <c r="A1680" s="445"/>
      <c r="B1680" s="445"/>
      <c r="C1680" s="445"/>
      <c r="D1680" s="445"/>
      <c r="E1680" s="445" t="s">
        <v>1738</v>
      </c>
      <c r="F1680" s="506">
        <v>5.2433920000000001</v>
      </c>
      <c r="G1680" s="445"/>
      <c r="H1680" s="606" t="s">
        <v>1739</v>
      </c>
      <c r="I1680" s="606"/>
      <c r="J1680" s="506">
        <v>26.52</v>
      </c>
      <c r="K1680" s="70"/>
      <c r="L1680" s="70"/>
    </row>
    <row r="1681" spans="1:12" ht="17.25" thickTop="1" x14ac:dyDescent="0.25">
      <c r="A1681" s="507"/>
      <c r="B1681" s="507"/>
      <c r="C1681" s="507"/>
      <c r="D1681" s="507"/>
      <c r="E1681" s="507"/>
      <c r="F1681" s="507"/>
      <c r="G1681" s="507"/>
      <c r="H1681" s="507"/>
      <c r="I1681" s="507"/>
      <c r="J1681" s="507"/>
      <c r="K1681" s="507"/>
      <c r="L1681" s="70"/>
    </row>
    <row r="1682" spans="1:12" ht="16.5" x14ac:dyDescent="0.25">
      <c r="A1682" s="419" t="s">
        <v>1548</v>
      </c>
      <c r="B1682" s="421" t="s">
        <v>76</v>
      </c>
      <c r="C1682" s="419" t="s">
        <v>991</v>
      </c>
      <c r="D1682" s="419" t="s">
        <v>191</v>
      </c>
      <c r="E1682" s="603" t="s">
        <v>77</v>
      </c>
      <c r="F1682" s="603"/>
      <c r="G1682" s="420" t="s">
        <v>103</v>
      </c>
      <c r="H1682" s="421" t="s">
        <v>147</v>
      </c>
      <c r="I1682" s="421" t="s">
        <v>1731</v>
      </c>
      <c r="J1682" s="421" t="s">
        <v>1117</v>
      </c>
      <c r="K1682" s="421" t="s">
        <v>104</v>
      </c>
      <c r="L1682" s="70"/>
    </row>
    <row r="1683" spans="1:12" ht="38.25" x14ac:dyDescent="0.25">
      <c r="A1683" s="441" t="s">
        <v>79</v>
      </c>
      <c r="B1683" s="480" t="s">
        <v>1549</v>
      </c>
      <c r="C1683" s="441" t="s">
        <v>1168</v>
      </c>
      <c r="D1683" s="441" t="s">
        <v>533</v>
      </c>
      <c r="E1683" s="604" t="s">
        <v>2402</v>
      </c>
      <c r="F1683" s="604"/>
      <c r="G1683" s="443" t="s">
        <v>38</v>
      </c>
      <c r="H1683" s="500">
        <v>1</v>
      </c>
      <c r="I1683" s="442"/>
      <c r="J1683" s="442">
        <v>40.19</v>
      </c>
      <c r="K1683" s="442">
        <v>40.19</v>
      </c>
      <c r="L1683" s="70"/>
    </row>
    <row r="1684" spans="1:12" ht="25.5" x14ac:dyDescent="0.25">
      <c r="A1684" s="501" t="s">
        <v>1732</v>
      </c>
      <c r="B1684" s="502" t="s">
        <v>2403</v>
      </c>
      <c r="C1684" s="501" t="s">
        <v>1115</v>
      </c>
      <c r="D1684" s="501" t="s">
        <v>2404</v>
      </c>
      <c r="E1684" s="602" t="s">
        <v>1746</v>
      </c>
      <c r="F1684" s="602"/>
      <c r="G1684" s="503" t="s">
        <v>38</v>
      </c>
      <c r="H1684" s="504">
        <v>7.3000000000000001E-3</v>
      </c>
      <c r="I1684" s="504"/>
      <c r="J1684" s="505">
        <v>25.4</v>
      </c>
      <c r="K1684" s="505">
        <v>0.18</v>
      </c>
      <c r="L1684" s="70"/>
    </row>
    <row r="1685" spans="1:12" ht="16.5" x14ac:dyDescent="0.25">
      <c r="A1685" s="501" t="s">
        <v>1732</v>
      </c>
      <c r="B1685" s="502" t="s">
        <v>2407</v>
      </c>
      <c r="C1685" s="501" t="s">
        <v>1115</v>
      </c>
      <c r="D1685" s="501" t="s">
        <v>2408</v>
      </c>
      <c r="E1685" s="602" t="s">
        <v>1746</v>
      </c>
      <c r="F1685" s="602"/>
      <c r="G1685" s="503" t="s">
        <v>130</v>
      </c>
      <c r="H1685" s="504">
        <v>1.0249999999999999</v>
      </c>
      <c r="I1685" s="504"/>
      <c r="J1685" s="505">
        <v>36.69</v>
      </c>
      <c r="K1685" s="505">
        <v>37.6</v>
      </c>
      <c r="L1685" s="70"/>
    </row>
    <row r="1686" spans="1:12" ht="25.5" x14ac:dyDescent="0.25">
      <c r="A1686" s="501" t="s">
        <v>1732</v>
      </c>
      <c r="B1686" s="502" t="s">
        <v>999</v>
      </c>
      <c r="C1686" s="501" t="s">
        <v>993</v>
      </c>
      <c r="D1686" s="501" t="s">
        <v>1000</v>
      </c>
      <c r="E1686" s="602" t="s">
        <v>972</v>
      </c>
      <c r="F1686" s="602"/>
      <c r="G1686" s="503" t="s">
        <v>81</v>
      </c>
      <c r="H1686" s="504">
        <v>6.13E-2</v>
      </c>
      <c r="I1686" s="504">
        <v>0</v>
      </c>
      <c r="J1686" s="505">
        <v>16.04</v>
      </c>
      <c r="K1686" s="505">
        <v>0.98</v>
      </c>
      <c r="L1686" s="70"/>
    </row>
    <row r="1687" spans="1:12" ht="25.5" x14ac:dyDescent="0.25">
      <c r="A1687" s="501" t="s">
        <v>1732</v>
      </c>
      <c r="B1687" s="502" t="s">
        <v>1011</v>
      </c>
      <c r="C1687" s="501" t="s">
        <v>993</v>
      </c>
      <c r="D1687" s="501" t="s">
        <v>1012</v>
      </c>
      <c r="E1687" s="602" t="s">
        <v>972</v>
      </c>
      <c r="F1687" s="602"/>
      <c r="G1687" s="503" t="s">
        <v>81</v>
      </c>
      <c r="H1687" s="504">
        <v>6.13E-2</v>
      </c>
      <c r="I1687" s="504">
        <v>0</v>
      </c>
      <c r="J1687" s="505">
        <v>23.41</v>
      </c>
      <c r="K1687" s="505">
        <v>1.43</v>
      </c>
      <c r="L1687" s="70"/>
    </row>
    <row r="1688" spans="1:12" ht="15.75" customHeight="1" x14ac:dyDescent="0.25">
      <c r="A1688" s="445"/>
      <c r="B1688" s="445"/>
      <c r="C1688" s="445"/>
      <c r="D1688" s="445"/>
      <c r="E1688" s="445" t="s">
        <v>1735</v>
      </c>
      <c r="F1688" s="506">
        <v>2.41</v>
      </c>
      <c r="G1688" s="445" t="s">
        <v>1736</v>
      </c>
      <c r="H1688" s="506">
        <v>0</v>
      </c>
      <c r="I1688" s="445" t="s">
        <v>1737</v>
      </c>
      <c r="J1688" s="506">
        <v>2.41</v>
      </c>
      <c r="K1688" s="70"/>
      <c r="L1688" s="70"/>
    </row>
    <row r="1689" spans="1:12" ht="17.25" thickBot="1" x14ac:dyDescent="0.3">
      <c r="A1689" s="445"/>
      <c r="B1689" s="445"/>
      <c r="C1689" s="445"/>
      <c r="D1689" s="445"/>
      <c r="E1689" s="445" t="s">
        <v>1738</v>
      </c>
      <c r="F1689" s="506">
        <v>9.9028159999999996</v>
      </c>
      <c r="G1689" s="445"/>
      <c r="H1689" s="606" t="s">
        <v>1739</v>
      </c>
      <c r="I1689" s="606"/>
      <c r="J1689" s="506">
        <v>50.09</v>
      </c>
      <c r="K1689" s="70"/>
      <c r="L1689" s="70"/>
    </row>
    <row r="1690" spans="1:12" ht="17.25" thickTop="1" x14ac:dyDescent="0.25">
      <c r="A1690" s="507"/>
      <c r="B1690" s="507"/>
      <c r="C1690" s="507"/>
      <c r="D1690" s="507"/>
      <c r="E1690" s="507"/>
      <c r="F1690" s="507"/>
      <c r="G1690" s="507"/>
      <c r="H1690" s="507"/>
      <c r="I1690" s="507"/>
      <c r="J1690" s="507"/>
      <c r="K1690" s="507"/>
      <c r="L1690" s="70"/>
    </row>
    <row r="1691" spans="1:12" ht="16.5" x14ac:dyDescent="0.25">
      <c r="A1691" s="419" t="s">
        <v>1550</v>
      </c>
      <c r="B1691" s="421" t="s">
        <v>76</v>
      </c>
      <c r="C1691" s="419" t="s">
        <v>991</v>
      </c>
      <c r="D1691" s="419" t="s">
        <v>191</v>
      </c>
      <c r="E1691" s="603" t="s">
        <v>77</v>
      </c>
      <c r="F1691" s="603"/>
      <c r="G1691" s="420" t="s">
        <v>103</v>
      </c>
      <c r="H1691" s="421" t="s">
        <v>147</v>
      </c>
      <c r="I1691" s="421" t="s">
        <v>1731</v>
      </c>
      <c r="J1691" s="421" t="s">
        <v>1117</v>
      </c>
      <c r="K1691" s="421" t="s">
        <v>104</v>
      </c>
      <c r="L1691" s="70"/>
    </row>
    <row r="1692" spans="1:12" ht="38.25" x14ac:dyDescent="0.25">
      <c r="A1692" s="441" t="s">
        <v>79</v>
      </c>
      <c r="B1692" s="480" t="s">
        <v>1551</v>
      </c>
      <c r="C1692" s="441" t="s">
        <v>1168</v>
      </c>
      <c r="D1692" s="441" t="s">
        <v>534</v>
      </c>
      <c r="E1692" s="604" t="s">
        <v>2402</v>
      </c>
      <c r="F1692" s="604"/>
      <c r="G1692" s="443" t="s">
        <v>38</v>
      </c>
      <c r="H1692" s="500">
        <v>1</v>
      </c>
      <c r="I1692" s="442"/>
      <c r="J1692" s="442">
        <v>65.84</v>
      </c>
      <c r="K1692" s="442">
        <v>65.84</v>
      </c>
      <c r="L1692" s="70"/>
    </row>
    <row r="1693" spans="1:12" ht="16.5" x14ac:dyDescent="0.25">
      <c r="A1693" s="501" t="s">
        <v>1732</v>
      </c>
      <c r="B1693" s="502" t="s">
        <v>2409</v>
      </c>
      <c r="C1693" s="501" t="s">
        <v>1115</v>
      </c>
      <c r="D1693" s="501" t="s">
        <v>2410</v>
      </c>
      <c r="E1693" s="602" t="s">
        <v>1746</v>
      </c>
      <c r="F1693" s="602"/>
      <c r="G1693" s="503" t="s">
        <v>130</v>
      </c>
      <c r="H1693" s="504">
        <v>1.0249999999999999</v>
      </c>
      <c r="I1693" s="504"/>
      <c r="J1693" s="505">
        <v>61.3</v>
      </c>
      <c r="K1693" s="505">
        <v>62.83</v>
      </c>
      <c r="L1693" s="70"/>
    </row>
    <row r="1694" spans="1:12" ht="25.5" x14ac:dyDescent="0.25">
      <c r="A1694" s="501" t="s">
        <v>1732</v>
      </c>
      <c r="B1694" s="502" t="s">
        <v>999</v>
      </c>
      <c r="C1694" s="501" t="s">
        <v>993</v>
      </c>
      <c r="D1694" s="501" t="s">
        <v>1000</v>
      </c>
      <c r="E1694" s="602" t="s">
        <v>972</v>
      </c>
      <c r="F1694" s="602"/>
      <c r="G1694" s="503" t="s">
        <v>81</v>
      </c>
      <c r="H1694" s="504">
        <v>7.0699999999999999E-2</v>
      </c>
      <c r="I1694" s="504">
        <v>0</v>
      </c>
      <c r="J1694" s="505">
        <v>16.04</v>
      </c>
      <c r="K1694" s="505">
        <v>1.1299999999999999</v>
      </c>
      <c r="L1694" s="70"/>
    </row>
    <row r="1695" spans="1:12" ht="25.5" x14ac:dyDescent="0.25">
      <c r="A1695" s="501" t="s">
        <v>1732</v>
      </c>
      <c r="B1695" s="502" t="s">
        <v>1011</v>
      </c>
      <c r="C1695" s="501" t="s">
        <v>993</v>
      </c>
      <c r="D1695" s="501" t="s">
        <v>1012</v>
      </c>
      <c r="E1695" s="602" t="s">
        <v>972</v>
      </c>
      <c r="F1695" s="602"/>
      <c r="G1695" s="503" t="s">
        <v>81</v>
      </c>
      <c r="H1695" s="504">
        <v>7.0699999999999999E-2</v>
      </c>
      <c r="I1695" s="504">
        <v>0</v>
      </c>
      <c r="J1695" s="505">
        <v>23.41</v>
      </c>
      <c r="K1695" s="505">
        <v>1.65</v>
      </c>
      <c r="L1695" s="70"/>
    </row>
    <row r="1696" spans="1:12" ht="25.5" x14ac:dyDescent="0.25">
      <c r="A1696" s="501" t="s">
        <v>1732</v>
      </c>
      <c r="B1696" s="502" t="s">
        <v>2403</v>
      </c>
      <c r="C1696" s="501" t="s">
        <v>1115</v>
      </c>
      <c r="D1696" s="501" t="s">
        <v>2404</v>
      </c>
      <c r="E1696" s="602" t="s">
        <v>1746</v>
      </c>
      <c r="F1696" s="602"/>
      <c r="G1696" s="503" t="s">
        <v>38</v>
      </c>
      <c r="H1696" s="504">
        <v>9.4000000000000004E-3</v>
      </c>
      <c r="I1696" s="504">
        <v>0</v>
      </c>
      <c r="J1696" s="505">
        <v>25.4</v>
      </c>
      <c r="K1696" s="505">
        <v>0.23</v>
      </c>
      <c r="L1696" s="70"/>
    </row>
    <row r="1697" spans="1:12" ht="15.75" customHeight="1" x14ac:dyDescent="0.25">
      <c r="A1697" s="445"/>
      <c r="B1697" s="445"/>
      <c r="C1697" s="445"/>
      <c r="D1697" s="445"/>
      <c r="E1697" s="445" t="s">
        <v>1735</v>
      </c>
      <c r="F1697" s="506">
        <v>2.78</v>
      </c>
      <c r="G1697" s="445" t="s">
        <v>1736</v>
      </c>
      <c r="H1697" s="506">
        <v>0</v>
      </c>
      <c r="I1697" s="445" t="s">
        <v>1737</v>
      </c>
      <c r="J1697" s="506">
        <v>2.78</v>
      </c>
      <c r="K1697" s="70"/>
      <c r="L1697" s="70"/>
    </row>
    <row r="1698" spans="1:12" ht="17.25" thickBot="1" x14ac:dyDescent="0.3">
      <c r="A1698" s="445"/>
      <c r="B1698" s="445"/>
      <c r="C1698" s="445"/>
      <c r="D1698" s="445"/>
      <c r="E1698" s="445" t="s">
        <v>1738</v>
      </c>
      <c r="F1698" s="506">
        <v>16.222975999999999</v>
      </c>
      <c r="G1698" s="445"/>
      <c r="H1698" s="606" t="s">
        <v>1739</v>
      </c>
      <c r="I1698" s="606"/>
      <c r="J1698" s="506">
        <v>82.06</v>
      </c>
      <c r="K1698" s="70"/>
      <c r="L1698" s="70"/>
    </row>
    <row r="1699" spans="1:12" ht="17.25" thickTop="1" x14ac:dyDescent="0.25">
      <c r="A1699" s="507"/>
      <c r="B1699" s="507"/>
      <c r="C1699" s="507"/>
      <c r="D1699" s="507"/>
      <c r="E1699" s="507"/>
      <c r="F1699" s="507"/>
      <c r="G1699" s="507"/>
      <c r="H1699" s="507"/>
      <c r="I1699" s="507"/>
      <c r="J1699" s="507"/>
      <c r="K1699" s="507"/>
      <c r="L1699" s="70"/>
    </row>
    <row r="1700" spans="1:12" ht="16.5" x14ac:dyDescent="0.25">
      <c r="A1700" s="419" t="s">
        <v>1552</v>
      </c>
      <c r="B1700" s="421" t="s">
        <v>76</v>
      </c>
      <c r="C1700" s="419" t="s">
        <v>991</v>
      </c>
      <c r="D1700" s="419" t="s">
        <v>191</v>
      </c>
      <c r="E1700" s="603" t="s">
        <v>77</v>
      </c>
      <c r="F1700" s="603"/>
      <c r="G1700" s="420" t="s">
        <v>103</v>
      </c>
      <c r="H1700" s="421" t="s">
        <v>147</v>
      </c>
      <c r="I1700" s="421" t="s">
        <v>1731</v>
      </c>
      <c r="J1700" s="421" t="s">
        <v>1117</v>
      </c>
      <c r="K1700" s="421" t="s">
        <v>104</v>
      </c>
      <c r="L1700" s="70"/>
    </row>
    <row r="1701" spans="1:12" ht="38.25" x14ac:dyDescent="0.25">
      <c r="A1701" s="441" t="s">
        <v>79</v>
      </c>
      <c r="B1701" s="480" t="s">
        <v>1553</v>
      </c>
      <c r="C1701" s="441" t="s">
        <v>1168</v>
      </c>
      <c r="D1701" s="441" t="s">
        <v>535</v>
      </c>
      <c r="E1701" s="604" t="s">
        <v>2359</v>
      </c>
      <c r="F1701" s="604"/>
      <c r="G1701" s="443" t="s">
        <v>49</v>
      </c>
      <c r="H1701" s="500">
        <v>1</v>
      </c>
      <c r="I1701" s="442"/>
      <c r="J1701" s="442">
        <v>45.27</v>
      </c>
      <c r="K1701" s="442">
        <v>45.27</v>
      </c>
      <c r="L1701" s="70"/>
    </row>
    <row r="1702" spans="1:12" ht="16.5" x14ac:dyDescent="0.25">
      <c r="A1702" s="501" t="s">
        <v>1732</v>
      </c>
      <c r="B1702" s="502" t="s">
        <v>2370</v>
      </c>
      <c r="C1702" s="501" t="s">
        <v>2108</v>
      </c>
      <c r="D1702" s="501" t="s">
        <v>2371</v>
      </c>
      <c r="E1702" s="602" t="s">
        <v>1746</v>
      </c>
      <c r="F1702" s="602"/>
      <c r="G1702" s="503" t="s">
        <v>49</v>
      </c>
      <c r="H1702" s="504">
        <v>1</v>
      </c>
      <c r="I1702" s="504"/>
      <c r="J1702" s="505">
        <v>1.43</v>
      </c>
      <c r="K1702" s="505">
        <v>1.43</v>
      </c>
      <c r="L1702" s="70"/>
    </row>
    <row r="1703" spans="1:12" ht="16.5" x14ac:dyDescent="0.25">
      <c r="A1703" s="501" t="s">
        <v>1732</v>
      </c>
      <c r="B1703" s="502" t="s">
        <v>2362</v>
      </c>
      <c r="C1703" s="501" t="s">
        <v>2108</v>
      </c>
      <c r="D1703" s="501" t="s">
        <v>2363</v>
      </c>
      <c r="E1703" s="602" t="s">
        <v>1746</v>
      </c>
      <c r="F1703" s="602"/>
      <c r="G1703" s="503" t="s">
        <v>49</v>
      </c>
      <c r="H1703" s="504">
        <v>3.5999999999999999E-3</v>
      </c>
      <c r="I1703" s="504"/>
      <c r="J1703" s="505">
        <v>75</v>
      </c>
      <c r="K1703" s="505">
        <v>0.27</v>
      </c>
      <c r="L1703" s="70"/>
    </row>
    <row r="1704" spans="1:12" ht="16.5" x14ac:dyDescent="0.25">
      <c r="A1704" s="501" t="s">
        <v>1732</v>
      </c>
      <c r="B1704" s="502" t="s">
        <v>2372</v>
      </c>
      <c r="C1704" s="501" t="s">
        <v>2108</v>
      </c>
      <c r="D1704" s="501" t="s">
        <v>2373</v>
      </c>
      <c r="E1704" s="602" t="s">
        <v>1746</v>
      </c>
      <c r="F1704" s="602"/>
      <c r="G1704" s="503" t="s">
        <v>49</v>
      </c>
      <c r="H1704" s="504">
        <v>1</v>
      </c>
      <c r="I1704" s="504"/>
      <c r="J1704" s="505">
        <v>34.119999999999997</v>
      </c>
      <c r="K1704" s="505">
        <v>34.119999999999997</v>
      </c>
      <c r="L1704" s="70"/>
    </row>
    <row r="1705" spans="1:12" ht="25.5" x14ac:dyDescent="0.25">
      <c r="A1705" s="501" t="s">
        <v>1732</v>
      </c>
      <c r="B1705" s="502" t="s">
        <v>999</v>
      </c>
      <c r="C1705" s="501" t="s">
        <v>993</v>
      </c>
      <c r="D1705" s="501" t="s">
        <v>1000</v>
      </c>
      <c r="E1705" s="602" t="s">
        <v>972</v>
      </c>
      <c r="F1705" s="602"/>
      <c r="G1705" s="503" t="s">
        <v>81</v>
      </c>
      <c r="H1705" s="504">
        <v>0.24</v>
      </c>
      <c r="I1705" s="504">
        <v>0</v>
      </c>
      <c r="J1705" s="505">
        <v>16.04</v>
      </c>
      <c r="K1705" s="505">
        <v>3.84</v>
      </c>
      <c r="L1705" s="70"/>
    </row>
    <row r="1706" spans="1:12" ht="25.5" x14ac:dyDescent="0.25">
      <c r="A1706" s="501" t="s">
        <v>1732</v>
      </c>
      <c r="B1706" s="502" t="s">
        <v>1011</v>
      </c>
      <c r="C1706" s="501" t="s">
        <v>993</v>
      </c>
      <c r="D1706" s="501" t="s">
        <v>1012</v>
      </c>
      <c r="E1706" s="602" t="s">
        <v>972</v>
      </c>
      <c r="F1706" s="602"/>
      <c r="G1706" s="503" t="s">
        <v>81</v>
      </c>
      <c r="H1706" s="504">
        <v>0.24</v>
      </c>
      <c r="I1706" s="504">
        <v>0</v>
      </c>
      <c r="J1706" s="505">
        <v>23.41</v>
      </c>
      <c r="K1706" s="505">
        <v>5.61</v>
      </c>
      <c r="L1706" s="70"/>
    </row>
    <row r="1707" spans="1:12" ht="15.75" customHeight="1" x14ac:dyDescent="0.25">
      <c r="A1707" s="445"/>
      <c r="B1707" s="445"/>
      <c r="C1707" s="445"/>
      <c r="D1707" s="445"/>
      <c r="E1707" s="445" t="s">
        <v>1735</v>
      </c>
      <c r="F1707" s="506">
        <v>9.4499999999999993</v>
      </c>
      <c r="G1707" s="445" t="s">
        <v>1736</v>
      </c>
      <c r="H1707" s="506">
        <v>0</v>
      </c>
      <c r="I1707" s="445" t="s">
        <v>1737</v>
      </c>
      <c r="J1707" s="506">
        <v>9.4499999999999993</v>
      </c>
      <c r="K1707" s="70"/>
      <c r="L1707" s="70"/>
    </row>
    <row r="1708" spans="1:12" ht="17.25" thickBot="1" x14ac:dyDescent="0.3">
      <c r="A1708" s="445"/>
      <c r="B1708" s="445"/>
      <c r="C1708" s="445"/>
      <c r="D1708" s="445"/>
      <c r="E1708" s="445" t="s">
        <v>1738</v>
      </c>
      <c r="F1708" s="506">
        <v>11.154528000000001</v>
      </c>
      <c r="G1708" s="445"/>
      <c r="H1708" s="606" t="s">
        <v>1739</v>
      </c>
      <c r="I1708" s="606"/>
      <c r="J1708" s="506">
        <v>56.42</v>
      </c>
      <c r="K1708" s="70"/>
      <c r="L1708" s="70"/>
    </row>
    <row r="1709" spans="1:12" ht="17.25" thickTop="1" x14ac:dyDescent="0.25">
      <c r="A1709" s="507"/>
      <c r="B1709" s="507"/>
      <c r="C1709" s="507"/>
      <c r="D1709" s="507"/>
      <c r="E1709" s="507"/>
      <c r="F1709" s="507"/>
      <c r="G1709" s="507"/>
      <c r="H1709" s="507"/>
      <c r="I1709" s="507"/>
      <c r="J1709" s="507"/>
      <c r="K1709" s="507"/>
      <c r="L1709" s="70"/>
    </row>
    <row r="1710" spans="1:12" ht="16.5" x14ac:dyDescent="0.25">
      <c r="A1710" s="419" t="s">
        <v>1554</v>
      </c>
      <c r="B1710" s="421" t="s">
        <v>76</v>
      </c>
      <c r="C1710" s="419" t="s">
        <v>991</v>
      </c>
      <c r="D1710" s="419" t="s">
        <v>191</v>
      </c>
      <c r="E1710" s="603" t="s">
        <v>77</v>
      </c>
      <c r="F1710" s="603"/>
      <c r="G1710" s="420" t="s">
        <v>103</v>
      </c>
      <c r="H1710" s="421" t="s">
        <v>147</v>
      </c>
      <c r="I1710" s="421" t="s">
        <v>1731</v>
      </c>
      <c r="J1710" s="421" t="s">
        <v>1117</v>
      </c>
      <c r="K1710" s="421" t="s">
        <v>104</v>
      </c>
      <c r="L1710" s="70"/>
    </row>
    <row r="1711" spans="1:12" ht="25.5" x14ac:dyDescent="0.25">
      <c r="A1711" s="441" t="s">
        <v>79</v>
      </c>
      <c r="B1711" s="480" t="s">
        <v>1555</v>
      </c>
      <c r="C1711" s="441" t="s">
        <v>1168</v>
      </c>
      <c r="D1711" s="441" t="s">
        <v>536</v>
      </c>
      <c r="E1711" s="604" t="s">
        <v>2359</v>
      </c>
      <c r="F1711" s="604"/>
      <c r="G1711" s="443" t="s">
        <v>49</v>
      </c>
      <c r="H1711" s="500">
        <v>1</v>
      </c>
      <c r="I1711" s="442"/>
      <c r="J1711" s="442">
        <v>23.36</v>
      </c>
      <c r="K1711" s="442">
        <v>23.36</v>
      </c>
      <c r="L1711" s="70"/>
    </row>
    <row r="1712" spans="1:12" ht="16.5" x14ac:dyDescent="0.25">
      <c r="A1712" s="501" t="s">
        <v>1732</v>
      </c>
      <c r="B1712" s="502" t="s">
        <v>2364</v>
      </c>
      <c r="C1712" s="501" t="s">
        <v>2108</v>
      </c>
      <c r="D1712" s="501" t="s">
        <v>2365</v>
      </c>
      <c r="E1712" s="602" t="s">
        <v>1746</v>
      </c>
      <c r="F1712" s="602"/>
      <c r="G1712" s="503" t="s">
        <v>49</v>
      </c>
      <c r="H1712" s="504">
        <v>1</v>
      </c>
      <c r="I1712" s="504"/>
      <c r="J1712" s="505">
        <v>0.85</v>
      </c>
      <c r="K1712" s="505">
        <v>0.85</v>
      </c>
      <c r="L1712" s="70"/>
    </row>
    <row r="1713" spans="1:12" ht="16.5" x14ac:dyDescent="0.25">
      <c r="A1713" s="501" t="s">
        <v>1732</v>
      </c>
      <c r="B1713" s="502" t="s">
        <v>2411</v>
      </c>
      <c r="C1713" s="501" t="s">
        <v>2108</v>
      </c>
      <c r="D1713" s="501" t="s">
        <v>2412</v>
      </c>
      <c r="E1713" s="602" t="s">
        <v>1746</v>
      </c>
      <c r="F1713" s="602"/>
      <c r="G1713" s="503" t="s">
        <v>49</v>
      </c>
      <c r="H1713" s="504">
        <v>1</v>
      </c>
      <c r="I1713" s="504"/>
      <c r="J1713" s="505">
        <v>16.059999999999999</v>
      </c>
      <c r="K1713" s="505">
        <v>16.059999999999999</v>
      </c>
      <c r="L1713" s="70"/>
    </row>
    <row r="1714" spans="1:12" ht="16.5" x14ac:dyDescent="0.25">
      <c r="A1714" s="501" t="s">
        <v>1732</v>
      </c>
      <c r="B1714" s="502" t="s">
        <v>2362</v>
      </c>
      <c r="C1714" s="501" t="s">
        <v>2108</v>
      </c>
      <c r="D1714" s="501" t="s">
        <v>2363</v>
      </c>
      <c r="E1714" s="602" t="s">
        <v>1746</v>
      </c>
      <c r="F1714" s="602"/>
      <c r="G1714" s="503" t="s">
        <v>49</v>
      </c>
      <c r="H1714" s="504">
        <v>2E-3</v>
      </c>
      <c r="I1714" s="504"/>
      <c r="J1714" s="505">
        <v>75</v>
      </c>
      <c r="K1714" s="505">
        <v>0.15</v>
      </c>
      <c r="L1714" s="70"/>
    </row>
    <row r="1715" spans="1:12" ht="25.5" x14ac:dyDescent="0.25">
      <c r="A1715" s="501" t="s">
        <v>1732</v>
      </c>
      <c r="B1715" s="502" t="s">
        <v>1011</v>
      </c>
      <c r="C1715" s="501" t="s">
        <v>993</v>
      </c>
      <c r="D1715" s="501" t="s">
        <v>1012</v>
      </c>
      <c r="E1715" s="602" t="s">
        <v>972</v>
      </c>
      <c r="F1715" s="602"/>
      <c r="G1715" s="503" t="s">
        <v>81</v>
      </c>
      <c r="H1715" s="504">
        <v>0.16</v>
      </c>
      <c r="I1715" s="504">
        <v>0</v>
      </c>
      <c r="J1715" s="505">
        <v>23.41</v>
      </c>
      <c r="K1715" s="505">
        <v>3.74</v>
      </c>
      <c r="L1715" s="70"/>
    </row>
    <row r="1716" spans="1:12" ht="25.5" x14ac:dyDescent="0.25">
      <c r="A1716" s="501" t="s">
        <v>1732</v>
      </c>
      <c r="B1716" s="502" t="s">
        <v>999</v>
      </c>
      <c r="C1716" s="501" t="s">
        <v>993</v>
      </c>
      <c r="D1716" s="501" t="s">
        <v>1000</v>
      </c>
      <c r="E1716" s="602" t="s">
        <v>972</v>
      </c>
      <c r="F1716" s="602"/>
      <c r="G1716" s="503" t="s">
        <v>81</v>
      </c>
      <c r="H1716" s="504">
        <v>0.16</v>
      </c>
      <c r="I1716" s="504">
        <v>0</v>
      </c>
      <c r="J1716" s="505">
        <v>16.04</v>
      </c>
      <c r="K1716" s="505">
        <v>2.56</v>
      </c>
      <c r="L1716" s="70"/>
    </row>
    <row r="1717" spans="1:12" ht="15.75" customHeight="1" x14ac:dyDescent="0.25">
      <c r="A1717" s="445"/>
      <c r="B1717" s="445"/>
      <c r="C1717" s="445"/>
      <c r="D1717" s="445"/>
      <c r="E1717" s="445" t="s">
        <v>1735</v>
      </c>
      <c r="F1717" s="506">
        <v>6.3</v>
      </c>
      <c r="G1717" s="445" t="s">
        <v>1736</v>
      </c>
      <c r="H1717" s="506">
        <v>0</v>
      </c>
      <c r="I1717" s="445" t="s">
        <v>1737</v>
      </c>
      <c r="J1717" s="506">
        <v>6.3</v>
      </c>
      <c r="K1717" s="70"/>
      <c r="L1717" s="70"/>
    </row>
    <row r="1718" spans="1:12" ht="17.25" thickBot="1" x14ac:dyDescent="0.3">
      <c r="A1718" s="445"/>
      <c r="B1718" s="445"/>
      <c r="C1718" s="445"/>
      <c r="D1718" s="445"/>
      <c r="E1718" s="445" t="s">
        <v>1738</v>
      </c>
      <c r="F1718" s="506">
        <v>5.7559040000000001</v>
      </c>
      <c r="G1718" s="445"/>
      <c r="H1718" s="606" t="s">
        <v>1739</v>
      </c>
      <c r="I1718" s="606"/>
      <c r="J1718" s="506">
        <v>29.11</v>
      </c>
      <c r="K1718" s="70"/>
      <c r="L1718" s="70"/>
    </row>
    <row r="1719" spans="1:12" ht="17.25" thickTop="1" x14ac:dyDescent="0.25">
      <c r="A1719" s="507"/>
      <c r="B1719" s="507"/>
      <c r="C1719" s="507"/>
      <c r="D1719" s="507"/>
      <c r="E1719" s="507"/>
      <c r="F1719" s="507"/>
      <c r="G1719" s="507"/>
      <c r="H1719" s="507"/>
      <c r="I1719" s="507"/>
      <c r="J1719" s="507"/>
      <c r="K1719" s="507"/>
      <c r="L1719" s="70"/>
    </row>
    <row r="1720" spans="1:12" ht="16.5" x14ac:dyDescent="0.25">
      <c r="A1720" s="419" t="s">
        <v>1556</v>
      </c>
      <c r="B1720" s="421" t="s">
        <v>76</v>
      </c>
      <c r="C1720" s="419" t="s">
        <v>991</v>
      </c>
      <c r="D1720" s="419" t="s">
        <v>191</v>
      </c>
      <c r="E1720" s="603" t="s">
        <v>77</v>
      </c>
      <c r="F1720" s="603"/>
      <c r="G1720" s="420" t="s">
        <v>103</v>
      </c>
      <c r="H1720" s="421" t="s">
        <v>147</v>
      </c>
      <c r="I1720" s="421" t="s">
        <v>1731</v>
      </c>
      <c r="J1720" s="421" t="s">
        <v>1117</v>
      </c>
      <c r="K1720" s="421" t="s">
        <v>104</v>
      </c>
      <c r="L1720" s="70"/>
    </row>
    <row r="1721" spans="1:12" ht="25.5" x14ac:dyDescent="0.25">
      <c r="A1721" s="441" t="s">
        <v>79</v>
      </c>
      <c r="B1721" s="480" t="s">
        <v>1557</v>
      </c>
      <c r="C1721" s="441" t="s">
        <v>1168</v>
      </c>
      <c r="D1721" s="441" t="s">
        <v>537</v>
      </c>
      <c r="E1721" s="604">
        <v>213</v>
      </c>
      <c r="F1721" s="604"/>
      <c r="G1721" s="443" t="s">
        <v>49</v>
      </c>
      <c r="H1721" s="500">
        <v>1</v>
      </c>
      <c r="I1721" s="442"/>
      <c r="J1721" s="442">
        <v>167.99</v>
      </c>
      <c r="K1721" s="442">
        <v>167.99</v>
      </c>
      <c r="L1721" s="70"/>
    </row>
    <row r="1722" spans="1:12" ht="16.5" x14ac:dyDescent="0.25">
      <c r="A1722" s="501" t="s">
        <v>1732</v>
      </c>
      <c r="B1722" s="502" t="s">
        <v>2413</v>
      </c>
      <c r="C1722" s="501" t="s">
        <v>575</v>
      </c>
      <c r="D1722" s="501" t="s">
        <v>2414</v>
      </c>
      <c r="E1722" s="602" t="s">
        <v>1746</v>
      </c>
      <c r="F1722" s="602"/>
      <c r="G1722" s="503" t="s">
        <v>49</v>
      </c>
      <c r="H1722" s="504">
        <v>1</v>
      </c>
      <c r="I1722" s="504"/>
      <c r="J1722" s="505">
        <v>2.66</v>
      </c>
      <c r="K1722" s="505">
        <v>2.66</v>
      </c>
      <c r="L1722" s="70"/>
    </row>
    <row r="1723" spans="1:12" ht="16.5" x14ac:dyDescent="0.25">
      <c r="A1723" s="501" t="s">
        <v>1732</v>
      </c>
      <c r="B1723" s="502" t="s">
        <v>2415</v>
      </c>
      <c r="C1723" s="501" t="s">
        <v>575</v>
      </c>
      <c r="D1723" s="501" t="s">
        <v>2416</v>
      </c>
      <c r="E1723" s="602" t="s">
        <v>1746</v>
      </c>
      <c r="F1723" s="602"/>
      <c r="G1723" s="503" t="s">
        <v>49</v>
      </c>
      <c r="H1723" s="504">
        <v>1</v>
      </c>
      <c r="I1723" s="504"/>
      <c r="J1723" s="505">
        <v>159.03</v>
      </c>
      <c r="K1723" s="505">
        <v>159.03</v>
      </c>
      <c r="L1723" s="70"/>
    </row>
    <row r="1724" spans="1:12" ht="25.5" x14ac:dyDescent="0.25">
      <c r="A1724" s="501" t="s">
        <v>1732</v>
      </c>
      <c r="B1724" s="502" t="s">
        <v>1011</v>
      </c>
      <c r="C1724" s="501" t="s">
        <v>993</v>
      </c>
      <c r="D1724" s="501" t="s">
        <v>1012</v>
      </c>
      <c r="E1724" s="602" t="s">
        <v>972</v>
      </c>
      <c r="F1724" s="602"/>
      <c r="G1724" s="503" t="s">
        <v>81</v>
      </c>
      <c r="H1724" s="504">
        <v>0.16</v>
      </c>
      <c r="I1724" s="504">
        <v>0</v>
      </c>
      <c r="J1724" s="505">
        <v>23.41</v>
      </c>
      <c r="K1724" s="505">
        <v>3.74</v>
      </c>
      <c r="L1724" s="70"/>
    </row>
    <row r="1725" spans="1:12" ht="25.5" x14ac:dyDescent="0.25">
      <c r="A1725" s="501" t="s">
        <v>1732</v>
      </c>
      <c r="B1725" s="502" t="s">
        <v>999</v>
      </c>
      <c r="C1725" s="501" t="s">
        <v>993</v>
      </c>
      <c r="D1725" s="501" t="s">
        <v>1000</v>
      </c>
      <c r="E1725" s="602" t="s">
        <v>972</v>
      </c>
      <c r="F1725" s="602"/>
      <c r="G1725" s="503" t="s">
        <v>81</v>
      </c>
      <c r="H1725" s="504">
        <v>0.16</v>
      </c>
      <c r="I1725" s="504">
        <v>0</v>
      </c>
      <c r="J1725" s="505">
        <v>16.04</v>
      </c>
      <c r="K1725" s="505">
        <v>2.56</v>
      </c>
      <c r="L1725" s="70"/>
    </row>
    <row r="1726" spans="1:12" ht="15.75" customHeight="1" x14ac:dyDescent="0.25">
      <c r="A1726" s="445"/>
      <c r="B1726" s="445"/>
      <c r="C1726" s="445"/>
      <c r="D1726" s="445"/>
      <c r="E1726" s="445" t="s">
        <v>1735</v>
      </c>
      <c r="F1726" s="506">
        <v>6.3</v>
      </c>
      <c r="G1726" s="445" t="s">
        <v>1736</v>
      </c>
      <c r="H1726" s="506">
        <v>0</v>
      </c>
      <c r="I1726" s="445" t="s">
        <v>1737</v>
      </c>
      <c r="J1726" s="506">
        <v>6.3</v>
      </c>
      <c r="K1726" s="70"/>
      <c r="L1726" s="70"/>
    </row>
    <row r="1727" spans="1:12" ht="17.25" thickBot="1" x14ac:dyDescent="0.3">
      <c r="A1727" s="445"/>
      <c r="B1727" s="445"/>
      <c r="C1727" s="445"/>
      <c r="D1727" s="445"/>
      <c r="E1727" s="445" t="s">
        <v>1738</v>
      </c>
      <c r="F1727" s="506">
        <v>41.392735999999999</v>
      </c>
      <c r="G1727" s="445"/>
      <c r="H1727" s="606" t="s">
        <v>1739</v>
      </c>
      <c r="I1727" s="606"/>
      <c r="J1727" s="506">
        <v>209.38</v>
      </c>
      <c r="K1727" s="70"/>
      <c r="L1727" s="70"/>
    </row>
    <row r="1728" spans="1:12" ht="17.25" thickTop="1" x14ac:dyDescent="0.25">
      <c r="A1728" s="507"/>
      <c r="B1728" s="507"/>
      <c r="C1728" s="507"/>
      <c r="D1728" s="507"/>
      <c r="E1728" s="507"/>
      <c r="F1728" s="507"/>
      <c r="G1728" s="507"/>
      <c r="H1728" s="507"/>
      <c r="I1728" s="507"/>
      <c r="J1728" s="507"/>
      <c r="K1728" s="507"/>
      <c r="L1728" s="70"/>
    </row>
    <row r="1729" spans="1:12" ht="16.5" x14ac:dyDescent="0.25">
      <c r="A1729" s="419" t="s">
        <v>1558</v>
      </c>
      <c r="B1729" s="421" t="s">
        <v>76</v>
      </c>
      <c r="C1729" s="419" t="s">
        <v>991</v>
      </c>
      <c r="D1729" s="419" t="s">
        <v>191</v>
      </c>
      <c r="E1729" s="603" t="s">
        <v>77</v>
      </c>
      <c r="F1729" s="603"/>
      <c r="G1729" s="420" t="s">
        <v>103</v>
      </c>
      <c r="H1729" s="421" t="s">
        <v>147</v>
      </c>
      <c r="I1729" s="421" t="s">
        <v>1731</v>
      </c>
      <c r="J1729" s="421" t="s">
        <v>1117</v>
      </c>
      <c r="K1729" s="421" t="s">
        <v>104</v>
      </c>
      <c r="L1729" s="70"/>
    </row>
    <row r="1730" spans="1:12" ht="38.25" x14ac:dyDescent="0.25">
      <c r="A1730" s="441" t="s">
        <v>79</v>
      </c>
      <c r="B1730" s="480" t="s">
        <v>1559</v>
      </c>
      <c r="C1730" s="441" t="s">
        <v>1168</v>
      </c>
      <c r="D1730" s="441" t="s">
        <v>539</v>
      </c>
      <c r="E1730" s="604" t="s">
        <v>2359</v>
      </c>
      <c r="F1730" s="604"/>
      <c r="G1730" s="443" t="s">
        <v>49</v>
      </c>
      <c r="H1730" s="500">
        <v>1</v>
      </c>
      <c r="I1730" s="442"/>
      <c r="J1730" s="442">
        <v>570.97</v>
      </c>
      <c r="K1730" s="442">
        <v>570.97</v>
      </c>
      <c r="L1730" s="70"/>
    </row>
    <row r="1731" spans="1:12" ht="16.5" x14ac:dyDescent="0.25">
      <c r="A1731" s="501" t="s">
        <v>1732</v>
      </c>
      <c r="B1731" s="502" t="s">
        <v>2417</v>
      </c>
      <c r="C1731" s="501" t="s">
        <v>2108</v>
      </c>
      <c r="D1731" s="501" t="s">
        <v>2418</v>
      </c>
      <c r="E1731" s="602" t="s">
        <v>1746</v>
      </c>
      <c r="F1731" s="602"/>
      <c r="G1731" s="503" t="s">
        <v>1222</v>
      </c>
      <c r="H1731" s="504">
        <v>1.2</v>
      </c>
      <c r="I1731" s="504"/>
      <c r="J1731" s="505">
        <v>20</v>
      </c>
      <c r="K1731" s="505">
        <v>24</v>
      </c>
      <c r="L1731" s="70"/>
    </row>
    <row r="1732" spans="1:12" ht="16.5" x14ac:dyDescent="0.25">
      <c r="A1732" s="501" t="s">
        <v>1732</v>
      </c>
      <c r="B1732" s="502" t="s">
        <v>2419</v>
      </c>
      <c r="C1732" s="501" t="s">
        <v>2108</v>
      </c>
      <c r="D1732" s="501" t="s">
        <v>2420</v>
      </c>
      <c r="E1732" s="602" t="s">
        <v>1746</v>
      </c>
      <c r="F1732" s="602"/>
      <c r="G1732" s="503" t="s">
        <v>49</v>
      </c>
      <c r="H1732" s="504">
        <v>4</v>
      </c>
      <c r="I1732" s="504"/>
      <c r="J1732" s="505">
        <v>3.41</v>
      </c>
      <c r="K1732" s="505">
        <v>13.64</v>
      </c>
      <c r="L1732" s="70"/>
    </row>
    <row r="1733" spans="1:12" ht="25.5" x14ac:dyDescent="0.25">
      <c r="A1733" s="501" t="s">
        <v>1732</v>
      </c>
      <c r="B1733" s="502" t="s">
        <v>999</v>
      </c>
      <c r="C1733" s="501" t="s">
        <v>993</v>
      </c>
      <c r="D1733" s="501" t="s">
        <v>1000</v>
      </c>
      <c r="E1733" s="602" t="s">
        <v>972</v>
      </c>
      <c r="F1733" s="602"/>
      <c r="G1733" s="503" t="s">
        <v>81</v>
      </c>
      <c r="H1733" s="504">
        <v>2.1</v>
      </c>
      <c r="I1733" s="504">
        <v>0</v>
      </c>
      <c r="J1733" s="505">
        <v>16.04</v>
      </c>
      <c r="K1733" s="505">
        <v>33.68</v>
      </c>
      <c r="L1733" s="70"/>
    </row>
    <row r="1734" spans="1:12" ht="25.5" x14ac:dyDescent="0.25">
      <c r="A1734" s="501" t="s">
        <v>1732</v>
      </c>
      <c r="B1734" s="502" t="s">
        <v>1011</v>
      </c>
      <c r="C1734" s="501" t="s">
        <v>993</v>
      </c>
      <c r="D1734" s="501" t="s">
        <v>1012</v>
      </c>
      <c r="E1734" s="602" t="s">
        <v>972</v>
      </c>
      <c r="F1734" s="602"/>
      <c r="G1734" s="503" t="s">
        <v>81</v>
      </c>
      <c r="H1734" s="504">
        <v>1.1000000000000001</v>
      </c>
      <c r="I1734" s="504">
        <v>0</v>
      </c>
      <c r="J1734" s="505">
        <v>23.41</v>
      </c>
      <c r="K1734" s="505">
        <v>25.75</v>
      </c>
      <c r="L1734" s="70"/>
    </row>
    <row r="1735" spans="1:12" ht="25.5" x14ac:dyDescent="0.25">
      <c r="A1735" s="501" t="s">
        <v>1732</v>
      </c>
      <c r="B1735" s="502" t="s">
        <v>2421</v>
      </c>
      <c r="C1735" s="501" t="s">
        <v>575</v>
      </c>
      <c r="D1735" s="501" t="s">
        <v>2422</v>
      </c>
      <c r="E1735" s="602" t="s">
        <v>1746</v>
      </c>
      <c r="F1735" s="602"/>
      <c r="G1735" s="503" t="s">
        <v>49</v>
      </c>
      <c r="H1735" s="504">
        <v>1</v>
      </c>
      <c r="I1735" s="504">
        <v>0</v>
      </c>
      <c r="J1735" s="505">
        <v>473.9</v>
      </c>
      <c r="K1735" s="505">
        <v>473.9</v>
      </c>
      <c r="L1735" s="70"/>
    </row>
    <row r="1736" spans="1:12" ht="15.75" customHeight="1" x14ac:dyDescent="0.25">
      <c r="A1736" s="445"/>
      <c r="B1736" s="445"/>
      <c r="C1736" s="445"/>
      <c r="D1736" s="445"/>
      <c r="E1736" s="445" t="s">
        <v>1735</v>
      </c>
      <c r="F1736" s="506">
        <v>59.43</v>
      </c>
      <c r="G1736" s="445" t="s">
        <v>1736</v>
      </c>
      <c r="H1736" s="506">
        <v>0</v>
      </c>
      <c r="I1736" s="445" t="s">
        <v>1737</v>
      </c>
      <c r="J1736" s="506">
        <v>59.43</v>
      </c>
      <c r="K1736" s="70"/>
      <c r="L1736" s="70"/>
    </row>
    <row r="1737" spans="1:12" ht="17.25" thickBot="1" x14ac:dyDescent="0.3">
      <c r="A1737" s="445"/>
      <c r="B1737" s="445"/>
      <c r="C1737" s="445"/>
      <c r="D1737" s="445"/>
      <c r="E1737" s="445" t="s">
        <v>1738</v>
      </c>
      <c r="F1737" s="506">
        <v>140.68700799999999</v>
      </c>
      <c r="G1737" s="445"/>
      <c r="H1737" s="606" t="s">
        <v>1739</v>
      </c>
      <c r="I1737" s="606"/>
      <c r="J1737" s="506">
        <v>711.65</v>
      </c>
      <c r="K1737" s="70"/>
      <c r="L1737" s="70"/>
    </row>
    <row r="1738" spans="1:12" ht="17.25" thickTop="1" x14ac:dyDescent="0.25">
      <c r="A1738" s="507"/>
      <c r="B1738" s="507"/>
      <c r="C1738" s="507"/>
      <c r="D1738" s="507"/>
      <c r="E1738" s="507"/>
      <c r="F1738" s="507"/>
      <c r="G1738" s="507"/>
      <c r="H1738" s="507"/>
      <c r="I1738" s="507"/>
      <c r="J1738" s="507"/>
      <c r="K1738" s="507"/>
      <c r="L1738" s="70"/>
    </row>
    <row r="1739" spans="1:12" ht="16.5" x14ac:dyDescent="0.25">
      <c r="A1739" s="419" t="s">
        <v>1560</v>
      </c>
      <c r="B1739" s="421" t="s">
        <v>76</v>
      </c>
      <c r="C1739" s="419" t="s">
        <v>991</v>
      </c>
      <c r="D1739" s="419" t="s">
        <v>191</v>
      </c>
      <c r="E1739" s="603" t="s">
        <v>77</v>
      </c>
      <c r="F1739" s="603"/>
      <c r="G1739" s="420" t="s">
        <v>103</v>
      </c>
      <c r="H1739" s="421" t="s">
        <v>147</v>
      </c>
      <c r="I1739" s="421" t="s">
        <v>1731</v>
      </c>
      <c r="J1739" s="421" t="s">
        <v>1117</v>
      </c>
      <c r="K1739" s="421" t="s">
        <v>104</v>
      </c>
      <c r="L1739" s="70"/>
    </row>
    <row r="1740" spans="1:12" ht="51" x14ac:dyDescent="0.25">
      <c r="A1740" s="441" t="s">
        <v>79</v>
      </c>
      <c r="B1740" s="480" t="s">
        <v>1561</v>
      </c>
      <c r="C1740" s="441" t="s">
        <v>1168</v>
      </c>
      <c r="D1740" s="441" t="s">
        <v>541</v>
      </c>
      <c r="E1740" s="604" t="s">
        <v>2402</v>
      </c>
      <c r="F1740" s="604"/>
      <c r="G1740" s="443" t="s">
        <v>130</v>
      </c>
      <c r="H1740" s="500">
        <v>1</v>
      </c>
      <c r="I1740" s="442"/>
      <c r="J1740" s="442">
        <v>46.5</v>
      </c>
      <c r="K1740" s="442">
        <v>46.5</v>
      </c>
      <c r="L1740" s="70"/>
    </row>
    <row r="1741" spans="1:12" ht="16.5" x14ac:dyDescent="0.25">
      <c r="A1741" s="501" t="s">
        <v>1732</v>
      </c>
      <c r="B1741" s="502" t="s">
        <v>2423</v>
      </c>
      <c r="C1741" s="501" t="s">
        <v>1115</v>
      </c>
      <c r="D1741" s="501" t="s">
        <v>2424</v>
      </c>
      <c r="E1741" s="602" t="s">
        <v>1746</v>
      </c>
      <c r="F1741" s="602"/>
      <c r="G1741" s="503" t="s">
        <v>130</v>
      </c>
      <c r="H1741" s="504">
        <v>1.0249999999999999</v>
      </c>
      <c r="I1741" s="504"/>
      <c r="J1741" s="505">
        <v>42.64</v>
      </c>
      <c r="K1741" s="505">
        <v>43.7</v>
      </c>
      <c r="L1741" s="70"/>
    </row>
    <row r="1742" spans="1:12" ht="25.5" x14ac:dyDescent="0.25">
      <c r="A1742" s="501" t="s">
        <v>1732</v>
      </c>
      <c r="B1742" s="502" t="s">
        <v>2403</v>
      </c>
      <c r="C1742" s="501" t="s">
        <v>1115</v>
      </c>
      <c r="D1742" s="501" t="s">
        <v>2404</v>
      </c>
      <c r="E1742" s="602" t="s">
        <v>1746</v>
      </c>
      <c r="F1742" s="602"/>
      <c r="G1742" s="503" t="s">
        <v>38</v>
      </c>
      <c r="H1742" s="504">
        <v>9.4000000000000004E-3</v>
      </c>
      <c r="I1742" s="504"/>
      <c r="J1742" s="505">
        <v>25.4</v>
      </c>
      <c r="K1742" s="505">
        <v>0.23</v>
      </c>
      <c r="L1742" s="70"/>
    </row>
    <row r="1743" spans="1:12" ht="25.5" x14ac:dyDescent="0.25">
      <c r="A1743" s="501" t="s">
        <v>1732</v>
      </c>
      <c r="B1743" s="502" t="s">
        <v>999</v>
      </c>
      <c r="C1743" s="501" t="s">
        <v>993</v>
      </c>
      <c r="D1743" s="501" t="s">
        <v>1000</v>
      </c>
      <c r="E1743" s="602" t="s">
        <v>972</v>
      </c>
      <c r="F1743" s="602"/>
      <c r="G1743" s="503" t="s">
        <v>81</v>
      </c>
      <c r="H1743" s="504">
        <v>6.54E-2</v>
      </c>
      <c r="I1743" s="504">
        <v>0</v>
      </c>
      <c r="J1743" s="505">
        <v>16.04</v>
      </c>
      <c r="K1743" s="505">
        <v>1.04</v>
      </c>
      <c r="L1743" s="70"/>
    </row>
    <row r="1744" spans="1:12" ht="25.5" x14ac:dyDescent="0.25">
      <c r="A1744" s="501" t="s">
        <v>1732</v>
      </c>
      <c r="B1744" s="502" t="s">
        <v>1011</v>
      </c>
      <c r="C1744" s="501" t="s">
        <v>993</v>
      </c>
      <c r="D1744" s="501" t="s">
        <v>1012</v>
      </c>
      <c r="E1744" s="602" t="s">
        <v>972</v>
      </c>
      <c r="F1744" s="602"/>
      <c r="G1744" s="503" t="s">
        <v>81</v>
      </c>
      <c r="H1744" s="504">
        <v>6.54E-2</v>
      </c>
      <c r="I1744" s="504">
        <v>0</v>
      </c>
      <c r="J1744" s="505">
        <v>23.41</v>
      </c>
      <c r="K1744" s="505">
        <v>1.53</v>
      </c>
      <c r="L1744" s="70"/>
    </row>
    <row r="1745" spans="1:12" ht="15.75" customHeight="1" x14ac:dyDescent="0.25">
      <c r="A1745" s="445"/>
      <c r="B1745" s="445"/>
      <c r="C1745" s="445"/>
      <c r="D1745" s="445"/>
      <c r="E1745" s="445" t="s">
        <v>1735</v>
      </c>
      <c r="F1745" s="506">
        <v>2.57</v>
      </c>
      <c r="G1745" s="445" t="s">
        <v>1736</v>
      </c>
      <c r="H1745" s="506">
        <v>0</v>
      </c>
      <c r="I1745" s="445" t="s">
        <v>1737</v>
      </c>
      <c r="J1745" s="506">
        <v>2.57</v>
      </c>
      <c r="K1745" s="70"/>
      <c r="L1745" s="70"/>
    </row>
    <row r="1746" spans="1:12" ht="17.25" thickBot="1" x14ac:dyDescent="0.3">
      <c r="A1746" s="445"/>
      <c r="B1746" s="445"/>
      <c r="C1746" s="445"/>
      <c r="D1746" s="445"/>
      <c r="E1746" s="445" t="s">
        <v>1738</v>
      </c>
      <c r="F1746" s="506">
        <v>11.457599999999999</v>
      </c>
      <c r="G1746" s="445"/>
      <c r="H1746" s="606" t="s">
        <v>1739</v>
      </c>
      <c r="I1746" s="606"/>
      <c r="J1746" s="506">
        <v>57.95</v>
      </c>
      <c r="K1746" s="70"/>
      <c r="L1746" s="70"/>
    </row>
    <row r="1747" spans="1:12" ht="17.25" thickTop="1" x14ac:dyDescent="0.25">
      <c r="A1747" s="507"/>
      <c r="B1747" s="507"/>
      <c r="C1747" s="507"/>
      <c r="D1747" s="507"/>
      <c r="E1747" s="507"/>
      <c r="F1747" s="507"/>
      <c r="G1747" s="507"/>
      <c r="H1747" s="507"/>
      <c r="I1747" s="507"/>
      <c r="J1747" s="507"/>
      <c r="K1747" s="507"/>
      <c r="L1747" s="70"/>
    </row>
    <row r="1748" spans="1:12" ht="16.5" x14ac:dyDescent="0.25">
      <c r="A1748" s="419" t="s">
        <v>1562</v>
      </c>
      <c r="B1748" s="421" t="s">
        <v>76</v>
      </c>
      <c r="C1748" s="419" t="s">
        <v>991</v>
      </c>
      <c r="D1748" s="419" t="s">
        <v>191</v>
      </c>
      <c r="E1748" s="603" t="s">
        <v>77</v>
      </c>
      <c r="F1748" s="603"/>
      <c r="G1748" s="420" t="s">
        <v>103</v>
      </c>
      <c r="H1748" s="421" t="s">
        <v>147</v>
      </c>
      <c r="I1748" s="421" t="s">
        <v>1731</v>
      </c>
      <c r="J1748" s="421" t="s">
        <v>1117</v>
      </c>
      <c r="K1748" s="421" t="s">
        <v>104</v>
      </c>
      <c r="L1748" s="70"/>
    </row>
    <row r="1749" spans="1:12" ht="51" x14ac:dyDescent="0.25">
      <c r="A1749" s="441" t="s">
        <v>79</v>
      </c>
      <c r="B1749" s="480" t="s">
        <v>1563</v>
      </c>
      <c r="C1749" s="441" t="s">
        <v>1168</v>
      </c>
      <c r="D1749" s="441" t="s">
        <v>542</v>
      </c>
      <c r="E1749" s="604" t="s">
        <v>2359</v>
      </c>
      <c r="F1749" s="604"/>
      <c r="G1749" s="443" t="s">
        <v>49</v>
      </c>
      <c r="H1749" s="500">
        <v>1</v>
      </c>
      <c r="I1749" s="442"/>
      <c r="J1749" s="442">
        <v>382.9</v>
      </c>
      <c r="K1749" s="442">
        <v>382.9</v>
      </c>
      <c r="L1749" s="70"/>
    </row>
    <row r="1750" spans="1:12" ht="16.5" x14ac:dyDescent="0.25">
      <c r="A1750" s="501" t="s">
        <v>1732</v>
      </c>
      <c r="B1750" s="502" t="s">
        <v>2425</v>
      </c>
      <c r="C1750" s="501" t="s">
        <v>2108</v>
      </c>
      <c r="D1750" s="501" t="s">
        <v>2426</v>
      </c>
      <c r="E1750" s="602" t="s">
        <v>1746</v>
      </c>
      <c r="F1750" s="602"/>
      <c r="G1750" s="503" t="s">
        <v>49</v>
      </c>
      <c r="H1750" s="504">
        <v>1</v>
      </c>
      <c r="I1750" s="504"/>
      <c r="J1750" s="505">
        <v>352.49</v>
      </c>
      <c r="K1750" s="505">
        <v>352.49</v>
      </c>
      <c r="L1750" s="70"/>
    </row>
    <row r="1751" spans="1:12" ht="25.5" x14ac:dyDescent="0.25">
      <c r="A1751" s="501" t="s">
        <v>1732</v>
      </c>
      <c r="B1751" s="502" t="s">
        <v>992</v>
      </c>
      <c r="C1751" s="501" t="s">
        <v>993</v>
      </c>
      <c r="D1751" s="501" t="s">
        <v>994</v>
      </c>
      <c r="E1751" s="602" t="s">
        <v>972</v>
      </c>
      <c r="F1751" s="602"/>
      <c r="G1751" s="503" t="s">
        <v>81</v>
      </c>
      <c r="H1751" s="504">
        <v>0.8</v>
      </c>
      <c r="I1751" s="504">
        <v>0</v>
      </c>
      <c r="J1751" s="505">
        <v>14.62</v>
      </c>
      <c r="K1751" s="505">
        <v>11.69</v>
      </c>
      <c r="L1751" s="70"/>
    </row>
    <row r="1752" spans="1:12" ht="25.5" x14ac:dyDescent="0.25">
      <c r="A1752" s="501" t="s">
        <v>1732</v>
      </c>
      <c r="B1752" s="502" t="s">
        <v>1011</v>
      </c>
      <c r="C1752" s="501" t="s">
        <v>993</v>
      </c>
      <c r="D1752" s="501" t="s">
        <v>1012</v>
      </c>
      <c r="E1752" s="602" t="s">
        <v>972</v>
      </c>
      <c r="F1752" s="602"/>
      <c r="G1752" s="503" t="s">
        <v>81</v>
      </c>
      <c r="H1752" s="504">
        <v>0.8</v>
      </c>
      <c r="I1752" s="504">
        <v>0</v>
      </c>
      <c r="J1752" s="505">
        <v>23.41</v>
      </c>
      <c r="K1752" s="505">
        <v>18.72</v>
      </c>
      <c r="L1752" s="70"/>
    </row>
    <row r="1753" spans="1:12" ht="15.75" customHeight="1" x14ac:dyDescent="0.25">
      <c r="A1753" s="445"/>
      <c r="B1753" s="445"/>
      <c r="C1753" s="445"/>
      <c r="D1753" s="445"/>
      <c r="E1753" s="445" t="s">
        <v>1735</v>
      </c>
      <c r="F1753" s="506">
        <v>30.41</v>
      </c>
      <c r="G1753" s="445" t="s">
        <v>1736</v>
      </c>
      <c r="H1753" s="506">
        <v>0</v>
      </c>
      <c r="I1753" s="445" t="s">
        <v>1737</v>
      </c>
      <c r="J1753" s="506">
        <v>30.41</v>
      </c>
      <c r="K1753" s="70"/>
      <c r="L1753" s="70"/>
    </row>
    <row r="1754" spans="1:12" ht="17.25" thickBot="1" x14ac:dyDescent="0.3">
      <c r="A1754" s="445"/>
      <c r="B1754" s="445"/>
      <c r="C1754" s="445"/>
      <c r="D1754" s="445"/>
      <c r="E1754" s="445" t="s">
        <v>1738</v>
      </c>
      <c r="F1754" s="506">
        <v>94.346559999999997</v>
      </c>
      <c r="G1754" s="445"/>
      <c r="H1754" s="606" t="s">
        <v>1739</v>
      </c>
      <c r="I1754" s="606"/>
      <c r="J1754" s="506">
        <v>477.24</v>
      </c>
      <c r="K1754" s="70"/>
      <c r="L1754" s="70"/>
    </row>
    <row r="1755" spans="1:12" ht="17.25" thickTop="1" x14ac:dyDescent="0.25">
      <c r="A1755" s="507"/>
      <c r="B1755" s="507"/>
      <c r="C1755" s="507"/>
      <c r="D1755" s="507"/>
      <c r="E1755" s="507"/>
      <c r="F1755" s="507"/>
      <c r="G1755" s="507"/>
      <c r="H1755" s="507"/>
      <c r="I1755" s="507"/>
      <c r="J1755" s="507"/>
      <c r="K1755" s="507"/>
      <c r="L1755" s="70"/>
    </row>
    <row r="1756" spans="1:12" ht="16.5" x14ac:dyDescent="0.25">
      <c r="A1756" s="419" t="s">
        <v>1564</v>
      </c>
      <c r="B1756" s="421" t="s">
        <v>76</v>
      </c>
      <c r="C1756" s="419" t="s">
        <v>991</v>
      </c>
      <c r="D1756" s="419" t="s">
        <v>191</v>
      </c>
      <c r="E1756" s="603" t="s">
        <v>77</v>
      </c>
      <c r="F1756" s="603"/>
      <c r="G1756" s="420" t="s">
        <v>103</v>
      </c>
      <c r="H1756" s="421" t="s">
        <v>147</v>
      </c>
      <c r="I1756" s="421" t="s">
        <v>1731</v>
      </c>
      <c r="J1756" s="421" t="s">
        <v>1117</v>
      </c>
      <c r="K1756" s="421" t="s">
        <v>104</v>
      </c>
      <c r="L1756" s="70"/>
    </row>
    <row r="1757" spans="1:12" ht="25.5" x14ac:dyDescent="0.25">
      <c r="A1757" s="441" t="s">
        <v>79</v>
      </c>
      <c r="B1757" s="480" t="s">
        <v>1565</v>
      </c>
      <c r="C1757" s="441" t="s">
        <v>1168</v>
      </c>
      <c r="D1757" s="441" t="s">
        <v>1566</v>
      </c>
      <c r="E1757" s="604" t="s">
        <v>2359</v>
      </c>
      <c r="F1757" s="604"/>
      <c r="G1757" s="443" t="s">
        <v>41</v>
      </c>
      <c r="H1757" s="500">
        <v>1</v>
      </c>
      <c r="I1757" s="442"/>
      <c r="J1757" s="442">
        <v>837.57</v>
      </c>
      <c r="K1757" s="442">
        <v>837.57</v>
      </c>
      <c r="L1757" s="70"/>
    </row>
    <row r="1758" spans="1:12" ht="25.5" x14ac:dyDescent="0.25">
      <c r="A1758" s="501" t="s">
        <v>1732</v>
      </c>
      <c r="B1758" s="502" t="s">
        <v>2427</v>
      </c>
      <c r="C1758" s="501" t="s">
        <v>2108</v>
      </c>
      <c r="D1758" s="501" t="s">
        <v>2428</v>
      </c>
      <c r="E1758" s="602" t="s">
        <v>1746</v>
      </c>
      <c r="F1758" s="602"/>
      <c r="G1758" s="503" t="s">
        <v>41</v>
      </c>
      <c r="H1758" s="504">
        <v>1</v>
      </c>
      <c r="I1758" s="504"/>
      <c r="J1758" s="505">
        <v>833.63</v>
      </c>
      <c r="K1758" s="505">
        <v>833.63</v>
      </c>
      <c r="L1758" s="70"/>
    </row>
    <row r="1759" spans="1:12" ht="25.5" x14ac:dyDescent="0.25">
      <c r="A1759" s="501" t="s">
        <v>1732</v>
      </c>
      <c r="B1759" s="502" t="s">
        <v>999</v>
      </c>
      <c r="C1759" s="501" t="s">
        <v>993</v>
      </c>
      <c r="D1759" s="501" t="s">
        <v>1000</v>
      </c>
      <c r="E1759" s="602" t="s">
        <v>972</v>
      </c>
      <c r="F1759" s="602"/>
      <c r="G1759" s="503" t="s">
        <v>81</v>
      </c>
      <c r="H1759" s="504">
        <v>0.1</v>
      </c>
      <c r="I1759" s="504">
        <v>0</v>
      </c>
      <c r="J1759" s="505">
        <v>16.04</v>
      </c>
      <c r="K1759" s="505">
        <v>1.6</v>
      </c>
      <c r="L1759" s="70"/>
    </row>
    <row r="1760" spans="1:12" ht="25.5" x14ac:dyDescent="0.25">
      <c r="A1760" s="501" t="s">
        <v>1732</v>
      </c>
      <c r="B1760" s="502" t="s">
        <v>1011</v>
      </c>
      <c r="C1760" s="501" t="s">
        <v>993</v>
      </c>
      <c r="D1760" s="501" t="s">
        <v>1012</v>
      </c>
      <c r="E1760" s="602" t="s">
        <v>972</v>
      </c>
      <c r="F1760" s="602"/>
      <c r="G1760" s="503" t="s">
        <v>81</v>
      </c>
      <c r="H1760" s="504">
        <v>0.1</v>
      </c>
      <c r="I1760" s="504">
        <v>0</v>
      </c>
      <c r="J1760" s="505">
        <v>23.41</v>
      </c>
      <c r="K1760" s="505">
        <v>2.34</v>
      </c>
      <c r="L1760" s="70"/>
    </row>
    <row r="1761" spans="1:12" ht="15.75" customHeight="1" x14ac:dyDescent="0.25">
      <c r="A1761" s="445"/>
      <c r="B1761" s="445"/>
      <c r="C1761" s="445"/>
      <c r="D1761" s="445"/>
      <c r="E1761" s="445" t="s">
        <v>1735</v>
      </c>
      <c r="F1761" s="506">
        <v>3.94</v>
      </c>
      <c r="G1761" s="445" t="s">
        <v>1736</v>
      </c>
      <c r="H1761" s="506">
        <v>0</v>
      </c>
      <c r="I1761" s="445" t="s">
        <v>1737</v>
      </c>
      <c r="J1761" s="506">
        <v>3.94</v>
      </c>
      <c r="K1761" s="70"/>
      <c r="L1761" s="70"/>
    </row>
    <row r="1762" spans="1:12" ht="17.25" thickBot="1" x14ac:dyDescent="0.3">
      <c r="A1762" s="445"/>
      <c r="B1762" s="445"/>
      <c r="C1762" s="445"/>
      <c r="D1762" s="445"/>
      <c r="E1762" s="445" t="s">
        <v>1738</v>
      </c>
      <c r="F1762" s="506">
        <v>206.37724800000001</v>
      </c>
      <c r="G1762" s="445"/>
      <c r="H1762" s="606" t="s">
        <v>1739</v>
      </c>
      <c r="I1762" s="606"/>
      <c r="J1762" s="506">
        <v>1043.94</v>
      </c>
      <c r="K1762" s="70"/>
      <c r="L1762" s="70"/>
    </row>
    <row r="1763" spans="1:12" ht="17.25" thickTop="1" x14ac:dyDescent="0.25">
      <c r="A1763" s="507"/>
      <c r="B1763" s="507"/>
      <c r="C1763" s="507"/>
      <c r="D1763" s="507"/>
      <c r="E1763" s="507"/>
      <c r="F1763" s="507"/>
      <c r="G1763" s="507"/>
      <c r="H1763" s="507"/>
      <c r="I1763" s="507"/>
      <c r="J1763" s="507"/>
      <c r="K1763" s="507"/>
      <c r="L1763" s="70"/>
    </row>
    <row r="1764" spans="1:12" ht="16.5" x14ac:dyDescent="0.25">
      <c r="A1764" s="419" t="s">
        <v>1567</v>
      </c>
      <c r="B1764" s="421" t="s">
        <v>76</v>
      </c>
      <c r="C1764" s="419" t="s">
        <v>991</v>
      </c>
      <c r="D1764" s="419" t="s">
        <v>191</v>
      </c>
      <c r="E1764" s="603" t="s">
        <v>77</v>
      </c>
      <c r="F1764" s="603"/>
      <c r="G1764" s="420" t="s">
        <v>103</v>
      </c>
      <c r="H1764" s="421" t="s">
        <v>147</v>
      </c>
      <c r="I1764" s="421" t="s">
        <v>1731</v>
      </c>
      <c r="J1764" s="421" t="s">
        <v>1117</v>
      </c>
      <c r="K1764" s="421" t="s">
        <v>104</v>
      </c>
      <c r="L1764" s="70"/>
    </row>
    <row r="1765" spans="1:12" ht="51" x14ac:dyDescent="0.25">
      <c r="A1765" s="441" t="s">
        <v>79</v>
      </c>
      <c r="B1765" s="480" t="s">
        <v>1568</v>
      </c>
      <c r="C1765" s="441" t="s">
        <v>1168</v>
      </c>
      <c r="D1765" s="441" t="s">
        <v>544</v>
      </c>
      <c r="E1765" s="604" t="s">
        <v>2359</v>
      </c>
      <c r="F1765" s="604"/>
      <c r="G1765" s="443" t="s">
        <v>49</v>
      </c>
      <c r="H1765" s="500">
        <v>1</v>
      </c>
      <c r="I1765" s="442"/>
      <c r="J1765" s="442">
        <v>1274.6600000000001</v>
      </c>
      <c r="K1765" s="442">
        <v>1274.6600000000001</v>
      </c>
      <c r="L1765" s="70"/>
    </row>
    <row r="1766" spans="1:12" ht="16.5" x14ac:dyDescent="0.25">
      <c r="A1766" s="501" t="s">
        <v>1732</v>
      </c>
      <c r="B1766" s="502" t="s">
        <v>2429</v>
      </c>
      <c r="C1766" s="501" t="s">
        <v>2108</v>
      </c>
      <c r="D1766" s="501" t="s">
        <v>2430</v>
      </c>
      <c r="E1766" s="602" t="s">
        <v>1746</v>
      </c>
      <c r="F1766" s="602"/>
      <c r="G1766" s="503" t="s">
        <v>49</v>
      </c>
      <c r="H1766" s="504">
        <v>2</v>
      </c>
      <c r="I1766" s="504"/>
      <c r="J1766" s="505">
        <v>4.7</v>
      </c>
      <c r="K1766" s="505">
        <v>9.4</v>
      </c>
      <c r="L1766" s="70"/>
    </row>
    <row r="1767" spans="1:12" ht="25.5" x14ac:dyDescent="0.25">
      <c r="A1767" s="501" t="s">
        <v>1732</v>
      </c>
      <c r="B1767" s="502" t="s">
        <v>2431</v>
      </c>
      <c r="C1767" s="501" t="s">
        <v>2108</v>
      </c>
      <c r="D1767" s="501" t="s">
        <v>2432</v>
      </c>
      <c r="E1767" s="602" t="s">
        <v>1746</v>
      </c>
      <c r="F1767" s="602"/>
      <c r="G1767" s="503" t="s">
        <v>49</v>
      </c>
      <c r="H1767" s="504">
        <v>16</v>
      </c>
      <c r="I1767" s="504"/>
      <c r="J1767" s="505">
        <v>6.21</v>
      </c>
      <c r="K1767" s="505">
        <v>99.36</v>
      </c>
      <c r="L1767" s="70"/>
    </row>
    <row r="1768" spans="1:12" ht="16.5" x14ac:dyDescent="0.25">
      <c r="A1768" s="501" t="s">
        <v>1732</v>
      </c>
      <c r="B1768" s="502" t="s">
        <v>2433</v>
      </c>
      <c r="C1768" s="501" t="s">
        <v>2108</v>
      </c>
      <c r="D1768" s="501" t="s">
        <v>2434</v>
      </c>
      <c r="E1768" s="602" t="s">
        <v>1746</v>
      </c>
      <c r="F1768" s="602"/>
      <c r="G1768" s="503" t="s">
        <v>49</v>
      </c>
      <c r="H1768" s="504">
        <v>1</v>
      </c>
      <c r="I1768" s="504"/>
      <c r="J1768" s="505">
        <v>1083.54</v>
      </c>
      <c r="K1768" s="505">
        <v>1083.54</v>
      </c>
      <c r="L1768" s="70"/>
    </row>
    <row r="1769" spans="1:12" ht="25.5" x14ac:dyDescent="0.25">
      <c r="A1769" s="501" t="s">
        <v>1732</v>
      </c>
      <c r="B1769" s="502" t="s">
        <v>999</v>
      </c>
      <c r="C1769" s="501" t="s">
        <v>993</v>
      </c>
      <c r="D1769" s="501" t="s">
        <v>1000</v>
      </c>
      <c r="E1769" s="602" t="s">
        <v>972</v>
      </c>
      <c r="F1769" s="602"/>
      <c r="G1769" s="503" t="s">
        <v>81</v>
      </c>
      <c r="H1769" s="504">
        <v>2.8</v>
      </c>
      <c r="I1769" s="504">
        <v>0</v>
      </c>
      <c r="J1769" s="505">
        <v>16.04</v>
      </c>
      <c r="K1769" s="505">
        <v>44.91</v>
      </c>
      <c r="L1769" s="70"/>
    </row>
    <row r="1770" spans="1:12" ht="25.5" x14ac:dyDescent="0.25">
      <c r="A1770" s="501" t="s">
        <v>1732</v>
      </c>
      <c r="B1770" s="502" t="s">
        <v>1011</v>
      </c>
      <c r="C1770" s="501" t="s">
        <v>993</v>
      </c>
      <c r="D1770" s="501" t="s">
        <v>1012</v>
      </c>
      <c r="E1770" s="602" t="s">
        <v>972</v>
      </c>
      <c r="F1770" s="602"/>
      <c r="G1770" s="503" t="s">
        <v>81</v>
      </c>
      <c r="H1770" s="504">
        <v>1.6</v>
      </c>
      <c r="I1770" s="504">
        <v>0</v>
      </c>
      <c r="J1770" s="505">
        <v>23.41</v>
      </c>
      <c r="K1770" s="505">
        <v>37.450000000000003</v>
      </c>
      <c r="L1770" s="70"/>
    </row>
    <row r="1771" spans="1:12" ht="15.75" customHeight="1" x14ac:dyDescent="0.25">
      <c r="A1771" s="445"/>
      <c r="B1771" s="445"/>
      <c r="C1771" s="445"/>
      <c r="D1771" s="445"/>
      <c r="E1771" s="445" t="s">
        <v>1735</v>
      </c>
      <c r="F1771" s="506">
        <v>82.36</v>
      </c>
      <c r="G1771" s="445" t="s">
        <v>1736</v>
      </c>
      <c r="H1771" s="506">
        <v>0</v>
      </c>
      <c r="I1771" s="445" t="s">
        <v>1737</v>
      </c>
      <c r="J1771" s="506">
        <v>82.36</v>
      </c>
      <c r="K1771" s="70"/>
      <c r="L1771" s="70"/>
    </row>
    <row r="1772" spans="1:12" ht="17.25" thickBot="1" x14ac:dyDescent="0.3">
      <c r="A1772" s="445"/>
      <c r="B1772" s="445"/>
      <c r="C1772" s="445"/>
      <c r="D1772" s="445"/>
      <c r="E1772" s="445" t="s">
        <v>1738</v>
      </c>
      <c r="F1772" s="506">
        <v>314.07622400000002</v>
      </c>
      <c r="G1772" s="445"/>
      <c r="H1772" s="606" t="s">
        <v>1739</v>
      </c>
      <c r="I1772" s="606"/>
      <c r="J1772" s="506">
        <v>1588.73</v>
      </c>
      <c r="K1772" s="70"/>
      <c r="L1772" s="70"/>
    </row>
    <row r="1773" spans="1:12" ht="17.25" thickTop="1" x14ac:dyDescent="0.25">
      <c r="A1773" s="507"/>
      <c r="B1773" s="507"/>
      <c r="C1773" s="507"/>
      <c r="D1773" s="507"/>
      <c r="E1773" s="507"/>
      <c r="F1773" s="507"/>
      <c r="G1773" s="507"/>
      <c r="H1773" s="507"/>
      <c r="I1773" s="507"/>
      <c r="J1773" s="507"/>
      <c r="K1773" s="507"/>
      <c r="L1773" s="70"/>
    </row>
    <row r="1774" spans="1:12" ht="16.5" x14ac:dyDescent="0.25">
      <c r="A1774" s="419" t="s">
        <v>1569</v>
      </c>
      <c r="B1774" s="421" t="s">
        <v>76</v>
      </c>
      <c r="C1774" s="419" t="s">
        <v>991</v>
      </c>
      <c r="D1774" s="419" t="s">
        <v>191</v>
      </c>
      <c r="E1774" s="603" t="s">
        <v>77</v>
      </c>
      <c r="F1774" s="603"/>
      <c r="G1774" s="420" t="s">
        <v>103</v>
      </c>
      <c r="H1774" s="421" t="s">
        <v>147</v>
      </c>
      <c r="I1774" s="421" t="s">
        <v>1731</v>
      </c>
      <c r="J1774" s="421" t="s">
        <v>1117</v>
      </c>
      <c r="K1774" s="421" t="s">
        <v>104</v>
      </c>
      <c r="L1774" s="70"/>
    </row>
    <row r="1775" spans="1:12" ht="51" x14ac:dyDescent="0.25">
      <c r="A1775" s="441" t="s">
        <v>79</v>
      </c>
      <c r="B1775" s="480" t="s">
        <v>1570</v>
      </c>
      <c r="C1775" s="441" t="s">
        <v>1168</v>
      </c>
      <c r="D1775" s="441" t="s">
        <v>545</v>
      </c>
      <c r="E1775" s="604" t="s">
        <v>2435</v>
      </c>
      <c r="F1775" s="604"/>
      <c r="G1775" s="443" t="s">
        <v>49</v>
      </c>
      <c r="H1775" s="500">
        <v>1</v>
      </c>
      <c r="I1775" s="442"/>
      <c r="J1775" s="442">
        <v>8329.83</v>
      </c>
      <c r="K1775" s="442">
        <v>8329.83</v>
      </c>
      <c r="L1775" s="70"/>
    </row>
    <row r="1776" spans="1:12" ht="16.5" x14ac:dyDescent="0.25">
      <c r="A1776" s="501" t="s">
        <v>1732</v>
      </c>
      <c r="B1776" s="502" t="s">
        <v>2436</v>
      </c>
      <c r="C1776" s="501" t="s">
        <v>2108</v>
      </c>
      <c r="D1776" s="501" t="s">
        <v>2437</v>
      </c>
      <c r="E1776" s="602" t="s">
        <v>1746</v>
      </c>
      <c r="F1776" s="602"/>
      <c r="G1776" s="503" t="s">
        <v>1222</v>
      </c>
      <c r="H1776" s="504">
        <v>3.5</v>
      </c>
      <c r="I1776" s="504"/>
      <c r="J1776" s="505">
        <v>35.200000000000003</v>
      </c>
      <c r="K1776" s="505">
        <v>123.2</v>
      </c>
      <c r="L1776" s="70"/>
    </row>
    <row r="1777" spans="1:12" ht="16.5" x14ac:dyDescent="0.25">
      <c r="A1777" s="501" t="s">
        <v>1732</v>
      </c>
      <c r="B1777" s="502" t="s">
        <v>2417</v>
      </c>
      <c r="C1777" s="501" t="s">
        <v>2108</v>
      </c>
      <c r="D1777" s="501" t="s">
        <v>2418</v>
      </c>
      <c r="E1777" s="602" t="s">
        <v>1746</v>
      </c>
      <c r="F1777" s="602"/>
      <c r="G1777" s="503" t="s">
        <v>1222</v>
      </c>
      <c r="H1777" s="504">
        <v>2</v>
      </c>
      <c r="I1777" s="504"/>
      <c r="J1777" s="505">
        <v>20</v>
      </c>
      <c r="K1777" s="505">
        <v>40</v>
      </c>
      <c r="L1777" s="70"/>
    </row>
    <row r="1778" spans="1:12" ht="16.5" x14ac:dyDescent="0.25">
      <c r="A1778" s="501" t="s">
        <v>1732</v>
      </c>
      <c r="B1778" s="502" t="s">
        <v>2438</v>
      </c>
      <c r="C1778" s="501" t="s">
        <v>2108</v>
      </c>
      <c r="D1778" s="501" t="s">
        <v>2439</v>
      </c>
      <c r="E1778" s="602" t="s">
        <v>1746</v>
      </c>
      <c r="F1778" s="602"/>
      <c r="G1778" s="503" t="s">
        <v>49</v>
      </c>
      <c r="H1778" s="504">
        <v>1</v>
      </c>
      <c r="I1778" s="504"/>
      <c r="J1778" s="505">
        <v>1350.07</v>
      </c>
      <c r="K1778" s="505">
        <v>1350.07</v>
      </c>
      <c r="L1778" s="70"/>
    </row>
    <row r="1779" spans="1:12" ht="16.5" x14ac:dyDescent="0.25">
      <c r="A1779" s="501" t="s">
        <v>1732</v>
      </c>
      <c r="B1779" s="502" t="s">
        <v>2440</v>
      </c>
      <c r="C1779" s="501" t="s">
        <v>2108</v>
      </c>
      <c r="D1779" s="501" t="s">
        <v>2441</v>
      </c>
      <c r="E1779" s="602" t="s">
        <v>1746</v>
      </c>
      <c r="F1779" s="602"/>
      <c r="G1779" s="503" t="s">
        <v>1222</v>
      </c>
      <c r="H1779" s="504">
        <v>0.2</v>
      </c>
      <c r="I1779" s="504"/>
      <c r="J1779" s="505">
        <v>11</v>
      </c>
      <c r="K1779" s="505">
        <v>2.2000000000000002</v>
      </c>
      <c r="L1779" s="70"/>
    </row>
    <row r="1780" spans="1:12" ht="16.5" x14ac:dyDescent="0.25">
      <c r="A1780" s="501" t="s">
        <v>1732</v>
      </c>
      <c r="B1780" s="502" t="s">
        <v>2442</v>
      </c>
      <c r="C1780" s="501" t="s">
        <v>2108</v>
      </c>
      <c r="D1780" s="501" t="s">
        <v>2443</v>
      </c>
      <c r="E1780" s="602" t="s">
        <v>1746</v>
      </c>
      <c r="F1780" s="602"/>
      <c r="G1780" s="503" t="s">
        <v>49</v>
      </c>
      <c r="H1780" s="504">
        <v>1</v>
      </c>
      <c r="I1780" s="504"/>
      <c r="J1780" s="505">
        <v>6493.42</v>
      </c>
      <c r="K1780" s="505">
        <v>6493.42</v>
      </c>
      <c r="L1780" s="70"/>
    </row>
    <row r="1781" spans="1:12" ht="25.5" x14ac:dyDescent="0.25">
      <c r="A1781" s="501" t="s">
        <v>1732</v>
      </c>
      <c r="B1781" s="502" t="s">
        <v>999</v>
      </c>
      <c r="C1781" s="501" t="s">
        <v>993</v>
      </c>
      <c r="D1781" s="501" t="s">
        <v>1000</v>
      </c>
      <c r="E1781" s="602" t="s">
        <v>972</v>
      </c>
      <c r="F1781" s="602"/>
      <c r="G1781" s="503" t="s">
        <v>81</v>
      </c>
      <c r="H1781" s="504">
        <v>4</v>
      </c>
      <c r="I1781" s="504">
        <v>0</v>
      </c>
      <c r="J1781" s="505">
        <v>16.04</v>
      </c>
      <c r="K1781" s="505">
        <v>64.16</v>
      </c>
      <c r="L1781" s="70"/>
    </row>
    <row r="1782" spans="1:12" ht="25.5" x14ac:dyDescent="0.25">
      <c r="A1782" s="501" t="s">
        <v>1732</v>
      </c>
      <c r="B1782" s="502" t="s">
        <v>1011</v>
      </c>
      <c r="C1782" s="501" t="s">
        <v>993</v>
      </c>
      <c r="D1782" s="501" t="s">
        <v>1012</v>
      </c>
      <c r="E1782" s="602" t="s">
        <v>972</v>
      </c>
      <c r="F1782" s="602"/>
      <c r="G1782" s="503" t="s">
        <v>81</v>
      </c>
      <c r="H1782" s="504">
        <v>4</v>
      </c>
      <c r="I1782" s="504">
        <v>0</v>
      </c>
      <c r="J1782" s="505">
        <v>23.41</v>
      </c>
      <c r="K1782" s="505">
        <v>93.64</v>
      </c>
      <c r="L1782" s="70"/>
    </row>
    <row r="1783" spans="1:12" ht="25.5" x14ac:dyDescent="0.25">
      <c r="A1783" s="501" t="s">
        <v>1732</v>
      </c>
      <c r="B1783" s="502" t="s">
        <v>2431</v>
      </c>
      <c r="C1783" s="501" t="s">
        <v>2108</v>
      </c>
      <c r="D1783" s="501" t="s">
        <v>2432</v>
      </c>
      <c r="E1783" s="602" t="s">
        <v>1746</v>
      </c>
      <c r="F1783" s="602"/>
      <c r="G1783" s="503" t="s">
        <v>49</v>
      </c>
      <c r="H1783" s="504">
        <v>24</v>
      </c>
      <c r="I1783" s="504">
        <v>0</v>
      </c>
      <c r="J1783" s="505">
        <v>6.21</v>
      </c>
      <c r="K1783" s="505">
        <v>149.04</v>
      </c>
      <c r="L1783" s="70"/>
    </row>
    <row r="1784" spans="1:12" ht="16.5" x14ac:dyDescent="0.25">
      <c r="A1784" s="501" t="s">
        <v>1732</v>
      </c>
      <c r="B1784" s="502" t="s">
        <v>2429</v>
      </c>
      <c r="C1784" s="501" t="s">
        <v>2108</v>
      </c>
      <c r="D1784" s="501" t="s">
        <v>2430</v>
      </c>
      <c r="E1784" s="602" t="s">
        <v>1746</v>
      </c>
      <c r="F1784" s="602"/>
      <c r="G1784" s="503" t="s">
        <v>49</v>
      </c>
      <c r="H1784" s="504">
        <v>3</v>
      </c>
      <c r="I1784" s="504">
        <v>0</v>
      </c>
      <c r="J1784" s="505">
        <v>4.7</v>
      </c>
      <c r="K1784" s="505">
        <v>14.1</v>
      </c>
      <c r="L1784" s="70"/>
    </row>
    <row r="1785" spans="1:12" ht="15.75" customHeight="1" x14ac:dyDescent="0.25">
      <c r="A1785" s="445"/>
      <c r="B1785" s="445"/>
      <c r="C1785" s="445"/>
      <c r="D1785" s="445"/>
      <c r="E1785" s="445" t="s">
        <v>1735</v>
      </c>
      <c r="F1785" s="506">
        <v>157.80000000000001</v>
      </c>
      <c r="G1785" s="445" t="s">
        <v>1736</v>
      </c>
      <c r="H1785" s="506">
        <v>0</v>
      </c>
      <c r="I1785" s="445" t="s">
        <v>1737</v>
      </c>
      <c r="J1785" s="506">
        <v>157.80000000000001</v>
      </c>
      <c r="K1785" s="70"/>
      <c r="L1785" s="70"/>
    </row>
    <row r="1786" spans="1:12" ht="17.25" thickBot="1" x14ac:dyDescent="0.3">
      <c r="A1786" s="445"/>
      <c r="B1786" s="445"/>
      <c r="C1786" s="445"/>
      <c r="D1786" s="445"/>
      <c r="E1786" s="445" t="s">
        <v>1738</v>
      </c>
      <c r="F1786" s="506">
        <v>2052.470112</v>
      </c>
      <c r="G1786" s="445"/>
      <c r="H1786" s="606" t="s">
        <v>1739</v>
      </c>
      <c r="I1786" s="606"/>
      <c r="J1786" s="506">
        <v>10382.299999999999</v>
      </c>
      <c r="K1786" s="70"/>
      <c r="L1786" s="70"/>
    </row>
    <row r="1787" spans="1:12" ht="17.25" thickTop="1" x14ac:dyDescent="0.25">
      <c r="A1787" s="507"/>
      <c r="B1787" s="507"/>
      <c r="C1787" s="507"/>
      <c r="D1787" s="507"/>
      <c r="E1787" s="507"/>
      <c r="F1787" s="507"/>
      <c r="G1787" s="507"/>
      <c r="H1787" s="507"/>
      <c r="I1787" s="507"/>
      <c r="J1787" s="507"/>
      <c r="K1787" s="507"/>
      <c r="L1787" s="70"/>
    </row>
    <row r="1788" spans="1:12" ht="16.5" x14ac:dyDescent="0.25">
      <c r="A1788" s="419" t="s">
        <v>1571</v>
      </c>
      <c r="B1788" s="421" t="s">
        <v>76</v>
      </c>
      <c r="C1788" s="419" t="s">
        <v>991</v>
      </c>
      <c r="D1788" s="419" t="s">
        <v>191</v>
      </c>
      <c r="E1788" s="603" t="s">
        <v>77</v>
      </c>
      <c r="F1788" s="603"/>
      <c r="G1788" s="420" t="s">
        <v>103</v>
      </c>
      <c r="H1788" s="421" t="s">
        <v>147</v>
      </c>
      <c r="I1788" s="421" t="s">
        <v>1731</v>
      </c>
      <c r="J1788" s="421" t="s">
        <v>1117</v>
      </c>
      <c r="K1788" s="421" t="s">
        <v>104</v>
      </c>
      <c r="L1788" s="70"/>
    </row>
    <row r="1789" spans="1:12" ht="51" x14ac:dyDescent="0.25">
      <c r="A1789" s="441" t="s">
        <v>79</v>
      </c>
      <c r="B1789" s="480" t="s">
        <v>1572</v>
      </c>
      <c r="C1789" s="441" t="s">
        <v>1168</v>
      </c>
      <c r="D1789" s="441" t="s">
        <v>546</v>
      </c>
      <c r="E1789" s="604" t="s">
        <v>2359</v>
      </c>
      <c r="F1789" s="604"/>
      <c r="G1789" s="443" t="s">
        <v>49</v>
      </c>
      <c r="H1789" s="500">
        <v>1</v>
      </c>
      <c r="I1789" s="442"/>
      <c r="J1789" s="442">
        <v>747.45</v>
      </c>
      <c r="K1789" s="442">
        <v>747.45</v>
      </c>
      <c r="L1789" s="70"/>
    </row>
    <row r="1790" spans="1:12" ht="16.5" x14ac:dyDescent="0.25">
      <c r="A1790" s="501" t="s">
        <v>1732</v>
      </c>
      <c r="B1790" s="502" t="s">
        <v>2444</v>
      </c>
      <c r="C1790" s="501" t="s">
        <v>2108</v>
      </c>
      <c r="D1790" s="501" t="s">
        <v>2445</v>
      </c>
      <c r="E1790" s="602" t="s">
        <v>1746</v>
      </c>
      <c r="F1790" s="602"/>
      <c r="G1790" s="503" t="s">
        <v>49</v>
      </c>
      <c r="H1790" s="504">
        <v>1</v>
      </c>
      <c r="I1790" s="504"/>
      <c r="J1790" s="505">
        <v>692.23</v>
      </c>
      <c r="K1790" s="505">
        <v>692.23</v>
      </c>
      <c r="L1790" s="70"/>
    </row>
    <row r="1791" spans="1:12" ht="25.5" x14ac:dyDescent="0.25">
      <c r="A1791" s="501" t="s">
        <v>1732</v>
      </c>
      <c r="B1791" s="502" t="s">
        <v>999</v>
      </c>
      <c r="C1791" s="501" t="s">
        <v>993</v>
      </c>
      <c r="D1791" s="501" t="s">
        <v>1000</v>
      </c>
      <c r="E1791" s="602" t="s">
        <v>972</v>
      </c>
      <c r="F1791" s="602"/>
      <c r="G1791" s="503" t="s">
        <v>81</v>
      </c>
      <c r="H1791" s="504">
        <v>1.4</v>
      </c>
      <c r="I1791" s="504">
        <v>0</v>
      </c>
      <c r="J1791" s="505">
        <v>16.04</v>
      </c>
      <c r="K1791" s="505">
        <v>22.45</v>
      </c>
      <c r="L1791" s="70"/>
    </row>
    <row r="1792" spans="1:12" ht="25.5" x14ac:dyDescent="0.25">
      <c r="A1792" s="501" t="s">
        <v>1732</v>
      </c>
      <c r="B1792" s="502" t="s">
        <v>1011</v>
      </c>
      <c r="C1792" s="501" t="s">
        <v>993</v>
      </c>
      <c r="D1792" s="501" t="s">
        <v>1012</v>
      </c>
      <c r="E1792" s="602" t="s">
        <v>972</v>
      </c>
      <c r="F1792" s="602"/>
      <c r="G1792" s="503" t="s">
        <v>81</v>
      </c>
      <c r="H1792" s="504">
        <v>1.4</v>
      </c>
      <c r="I1792" s="504">
        <v>0</v>
      </c>
      <c r="J1792" s="505">
        <v>23.41</v>
      </c>
      <c r="K1792" s="505">
        <v>32.770000000000003</v>
      </c>
      <c r="L1792" s="70"/>
    </row>
    <row r="1793" spans="1:12" ht="15.75" customHeight="1" x14ac:dyDescent="0.25">
      <c r="A1793" s="445"/>
      <c r="B1793" s="445"/>
      <c r="C1793" s="445"/>
      <c r="D1793" s="445"/>
      <c r="E1793" s="445" t="s">
        <v>1735</v>
      </c>
      <c r="F1793" s="506">
        <v>55.22</v>
      </c>
      <c r="G1793" s="445" t="s">
        <v>1736</v>
      </c>
      <c r="H1793" s="506">
        <v>0</v>
      </c>
      <c r="I1793" s="445" t="s">
        <v>1737</v>
      </c>
      <c r="J1793" s="506">
        <v>55.22</v>
      </c>
      <c r="K1793" s="70"/>
      <c r="L1793" s="70"/>
    </row>
    <row r="1794" spans="1:12" ht="17.25" thickBot="1" x14ac:dyDescent="0.3">
      <c r="A1794" s="445"/>
      <c r="B1794" s="445"/>
      <c r="C1794" s="445"/>
      <c r="D1794" s="445"/>
      <c r="E1794" s="445" t="s">
        <v>1738</v>
      </c>
      <c r="F1794" s="506">
        <v>184.17168000000001</v>
      </c>
      <c r="G1794" s="445"/>
      <c r="H1794" s="606" t="s">
        <v>1739</v>
      </c>
      <c r="I1794" s="606"/>
      <c r="J1794" s="506">
        <v>931.62</v>
      </c>
      <c r="K1794" s="70"/>
      <c r="L1794" s="70"/>
    </row>
    <row r="1795" spans="1:12" ht="17.25" thickTop="1" x14ac:dyDescent="0.25">
      <c r="A1795" s="507"/>
      <c r="B1795" s="507"/>
      <c r="C1795" s="507"/>
      <c r="D1795" s="507"/>
      <c r="E1795" s="507"/>
      <c r="F1795" s="507"/>
      <c r="G1795" s="507"/>
      <c r="H1795" s="507"/>
      <c r="I1795" s="507"/>
      <c r="J1795" s="507"/>
      <c r="K1795" s="507"/>
      <c r="L1795" s="70"/>
    </row>
    <row r="1796" spans="1:12" ht="16.5" x14ac:dyDescent="0.25">
      <c r="A1796" s="419" t="s">
        <v>1573</v>
      </c>
      <c r="B1796" s="421" t="s">
        <v>76</v>
      </c>
      <c r="C1796" s="419" t="s">
        <v>991</v>
      </c>
      <c r="D1796" s="419" t="s">
        <v>191</v>
      </c>
      <c r="E1796" s="603" t="s">
        <v>77</v>
      </c>
      <c r="F1796" s="603"/>
      <c r="G1796" s="420" t="s">
        <v>103</v>
      </c>
      <c r="H1796" s="421" t="s">
        <v>147</v>
      </c>
      <c r="I1796" s="421" t="s">
        <v>1731</v>
      </c>
      <c r="J1796" s="421" t="s">
        <v>1117</v>
      </c>
      <c r="K1796" s="421" t="s">
        <v>104</v>
      </c>
      <c r="L1796" s="70"/>
    </row>
    <row r="1797" spans="1:12" ht="25.5" x14ac:dyDescent="0.25">
      <c r="A1797" s="441" t="s">
        <v>79</v>
      </c>
      <c r="B1797" s="480" t="s">
        <v>1574</v>
      </c>
      <c r="C1797" s="441" t="s">
        <v>1168</v>
      </c>
      <c r="D1797" s="441" t="s">
        <v>548</v>
      </c>
      <c r="E1797" s="604">
        <v>323</v>
      </c>
      <c r="F1797" s="604"/>
      <c r="G1797" s="443" t="s">
        <v>49</v>
      </c>
      <c r="H1797" s="500">
        <v>1</v>
      </c>
      <c r="I1797" s="442"/>
      <c r="J1797" s="442">
        <v>1961.32</v>
      </c>
      <c r="K1797" s="442">
        <v>1961.32</v>
      </c>
      <c r="L1797" s="70"/>
    </row>
    <row r="1798" spans="1:12" ht="16.5" x14ac:dyDescent="0.25">
      <c r="A1798" s="501" t="s">
        <v>1732</v>
      </c>
      <c r="B1798" s="502" t="s">
        <v>1880</v>
      </c>
      <c r="C1798" s="501" t="s">
        <v>575</v>
      </c>
      <c r="D1798" s="501" t="s">
        <v>2446</v>
      </c>
      <c r="E1798" s="602" t="s">
        <v>922</v>
      </c>
      <c r="F1798" s="602"/>
      <c r="G1798" s="503" t="s">
        <v>80</v>
      </c>
      <c r="H1798" s="504">
        <v>0.186</v>
      </c>
      <c r="I1798" s="504"/>
      <c r="J1798" s="505">
        <v>21.08</v>
      </c>
      <c r="K1798" s="505">
        <v>3.92</v>
      </c>
      <c r="L1798" s="70"/>
    </row>
    <row r="1799" spans="1:12" ht="25.5" x14ac:dyDescent="0.25">
      <c r="A1799" s="501" t="s">
        <v>1732</v>
      </c>
      <c r="B1799" s="502" t="s">
        <v>1011</v>
      </c>
      <c r="C1799" s="501" t="s">
        <v>993</v>
      </c>
      <c r="D1799" s="501" t="s">
        <v>1012</v>
      </c>
      <c r="E1799" s="602" t="s">
        <v>972</v>
      </c>
      <c r="F1799" s="602"/>
      <c r="G1799" s="503" t="s">
        <v>81</v>
      </c>
      <c r="H1799" s="504">
        <v>1</v>
      </c>
      <c r="I1799" s="504">
        <v>0</v>
      </c>
      <c r="J1799" s="505">
        <v>23.41</v>
      </c>
      <c r="K1799" s="505">
        <v>23.41</v>
      </c>
      <c r="L1799" s="70"/>
    </row>
    <row r="1800" spans="1:12" ht="25.5" x14ac:dyDescent="0.25">
      <c r="A1800" s="501" t="s">
        <v>1732</v>
      </c>
      <c r="B1800" s="502" t="s">
        <v>999</v>
      </c>
      <c r="C1800" s="501" t="s">
        <v>993</v>
      </c>
      <c r="D1800" s="501" t="s">
        <v>1000</v>
      </c>
      <c r="E1800" s="602" t="s">
        <v>972</v>
      </c>
      <c r="F1800" s="602"/>
      <c r="G1800" s="503" t="s">
        <v>81</v>
      </c>
      <c r="H1800" s="504">
        <v>3</v>
      </c>
      <c r="I1800" s="504">
        <v>0</v>
      </c>
      <c r="J1800" s="505">
        <v>16.04</v>
      </c>
      <c r="K1800" s="505">
        <v>48.12</v>
      </c>
      <c r="L1800" s="70"/>
    </row>
    <row r="1801" spans="1:12" ht="16.5" x14ac:dyDescent="0.25">
      <c r="A1801" s="501" t="s">
        <v>1732</v>
      </c>
      <c r="B1801" s="502" t="s">
        <v>2447</v>
      </c>
      <c r="C1801" s="501" t="s">
        <v>2448</v>
      </c>
      <c r="D1801" s="501" t="s">
        <v>2449</v>
      </c>
      <c r="E1801" s="602" t="s">
        <v>1746</v>
      </c>
      <c r="F1801" s="602"/>
      <c r="G1801" s="503" t="s">
        <v>38</v>
      </c>
      <c r="H1801" s="504">
        <v>1</v>
      </c>
      <c r="I1801" s="504">
        <v>0</v>
      </c>
      <c r="J1801" s="505">
        <v>1885.87</v>
      </c>
      <c r="K1801" s="505">
        <v>1885.87</v>
      </c>
      <c r="L1801" s="70"/>
    </row>
    <row r="1802" spans="1:12" ht="15.75" customHeight="1" x14ac:dyDescent="0.25">
      <c r="A1802" s="445"/>
      <c r="B1802" s="445"/>
      <c r="C1802" s="445"/>
      <c r="D1802" s="445"/>
      <c r="E1802" s="445" t="s">
        <v>1735</v>
      </c>
      <c r="F1802" s="506">
        <v>71.53</v>
      </c>
      <c r="G1802" s="445" t="s">
        <v>1736</v>
      </c>
      <c r="H1802" s="506">
        <v>0</v>
      </c>
      <c r="I1802" s="445" t="s">
        <v>1737</v>
      </c>
      <c r="J1802" s="506">
        <v>71.53</v>
      </c>
      <c r="K1802" s="70"/>
      <c r="L1802" s="70"/>
    </row>
    <row r="1803" spans="1:12" ht="17.25" thickBot="1" x14ac:dyDescent="0.3">
      <c r="A1803" s="445"/>
      <c r="B1803" s="445"/>
      <c r="C1803" s="445"/>
      <c r="D1803" s="445"/>
      <c r="E1803" s="445" t="s">
        <v>1738</v>
      </c>
      <c r="F1803" s="506">
        <v>483.269248</v>
      </c>
      <c r="G1803" s="445"/>
      <c r="H1803" s="606" t="s">
        <v>1739</v>
      </c>
      <c r="I1803" s="606"/>
      <c r="J1803" s="506">
        <v>2444.58</v>
      </c>
      <c r="K1803" s="70"/>
      <c r="L1803" s="70"/>
    </row>
    <row r="1804" spans="1:12" ht="17.25" thickTop="1" x14ac:dyDescent="0.25">
      <c r="A1804" s="507"/>
      <c r="B1804" s="507"/>
      <c r="C1804" s="507"/>
      <c r="D1804" s="507"/>
      <c r="E1804" s="507"/>
      <c r="F1804" s="507"/>
      <c r="G1804" s="507"/>
      <c r="H1804" s="507"/>
      <c r="I1804" s="507"/>
      <c r="J1804" s="507"/>
      <c r="K1804" s="507"/>
      <c r="L1804" s="70"/>
    </row>
    <row r="1805" spans="1:12" ht="16.5" x14ac:dyDescent="0.25">
      <c r="A1805" s="419" t="s">
        <v>1575</v>
      </c>
      <c r="B1805" s="421" t="s">
        <v>76</v>
      </c>
      <c r="C1805" s="419" t="s">
        <v>991</v>
      </c>
      <c r="D1805" s="419" t="s">
        <v>191</v>
      </c>
      <c r="E1805" s="603" t="s">
        <v>77</v>
      </c>
      <c r="F1805" s="603"/>
      <c r="G1805" s="420" t="s">
        <v>103</v>
      </c>
      <c r="H1805" s="421" t="s">
        <v>147</v>
      </c>
      <c r="I1805" s="421" t="s">
        <v>1731</v>
      </c>
      <c r="J1805" s="421" t="s">
        <v>1117</v>
      </c>
      <c r="K1805" s="421" t="s">
        <v>104</v>
      </c>
      <c r="L1805" s="70"/>
    </row>
    <row r="1806" spans="1:12" ht="16.5" x14ac:dyDescent="0.25">
      <c r="A1806" s="441" t="s">
        <v>79</v>
      </c>
      <c r="B1806" s="480" t="s">
        <v>1576</v>
      </c>
      <c r="C1806" s="441" t="s">
        <v>1168</v>
      </c>
      <c r="D1806" s="441" t="s">
        <v>572</v>
      </c>
      <c r="E1806" s="604">
        <v>809</v>
      </c>
      <c r="F1806" s="604"/>
      <c r="G1806" s="443" t="s">
        <v>1141</v>
      </c>
      <c r="H1806" s="500">
        <v>1</v>
      </c>
      <c r="I1806" s="442"/>
      <c r="J1806" s="442">
        <v>416.3</v>
      </c>
      <c r="K1806" s="442">
        <v>416.3</v>
      </c>
      <c r="L1806" s="70"/>
    </row>
    <row r="1807" spans="1:12" ht="25.5" x14ac:dyDescent="0.25">
      <c r="A1807" s="501" t="s">
        <v>1732</v>
      </c>
      <c r="B1807" s="502" t="s">
        <v>999</v>
      </c>
      <c r="C1807" s="501" t="s">
        <v>993</v>
      </c>
      <c r="D1807" s="501" t="s">
        <v>1000</v>
      </c>
      <c r="E1807" s="602" t="s">
        <v>972</v>
      </c>
      <c r="F1807" s="602"/>
      <c r="G1807" s="503" t="s">
        <v>81</v>
      </c>
      <c r="H1807" s="504">
        <v>0.54</v>
      </c>
      <c r="I1807" s="504"/>
      <c r="J1807" s="505">
        <v>16.04</v>
      </c>
      <c r="K1807" s="505">
        <v>8.66</v>
      </c>
      <c r="L1807" s="70"/>
    </row>
    <row r="1808" spans="1:12" ht="25.5" x14ac:dyDescent="0.25">
      <c r="A1808" s="501" t="s">
        <v>1732</v>
      </c>
      <c r="B1808" s="502" t="s">
        <v>1011</v>
      </c>
      <c r="C1808" s="501" t="s">
        <v>993</v>
      </c>
      <c r="D1808" s="501" t="s">
        <v>1012</v>
      </c>
      <c r="E1808" s="602" t="s">
        <v>972</v>
      </c>
      <c r="F1808" s="602"/>
      <c r="G1808" s="503" t="s">
        <v>81</v>
      </c>
      <c r="H1808" s="504">
        <v>0.54</v>
      </c>
      <c r="I1808" s="504"/>
      <c r="J1808" s="505">
        <v>23.41</v>
      </c>
      <c r="K1808" s="505">
        <v>12.64</v>
      </c>
      <c r="L1808" s="70"/>
    </row>
    <row r="1809" spans="1:12" ht="16.5" x14ac:dyDescent="0.25">
      <c r="A1809" s="501" t="s">
        <v>1732</v>
      </c>
      <c r="B1809" s="502" t="s">
        <v>2450</v>
      </c>
      <c r="C1809" s="501" t="s">
        <v>2448</v>
      </c>
      <c r="D1809" s="501" t="s">
        <v>2451</v>
      </c>
      <c r="E1809" s="602" t="s">
        <v>972</v>
      </c>
      <c r="F1809" s="602"/>
      <c r="G1809" s="503" t="s">
        <v>38</v>
      </c>
      <c r="H1809" s="504">
        <v>1</v>
      </c>
      <c r="I1809" s="504">
        <v>0</v>
      </c>
      <c r="J1809" s="505">
        <v>395</v>
      </c>
      <c r="K1809" s="505">
        <v>395</v>
      </c>
      <c r="L1809" s="70"/>
    </row>
    <row r="1810" spans="1:12" ht="15.75" customHeight="1" x14ac:dyDescent="0.25">
      <c r="A1810" s="445"/>
      <c r="B1810" s="445"/>
      <c r="C1810" s="445"/>
      <c r="D1810" s="445"/>
      <c r="E1810" s="445" t="s">
        <v>1735</v>
      </c>
      <c r="F1810" s="506">
        <v>416.3</v>
      </c>
      <c r="G1810" s="445" t="s">
        <v>1736</v>
      </c>
      <c r="H1810" s="506">
        <v>0</v>
      </c>
      <c r="I1810" s="445" t="s">
        <v>1737</v>
      </c>
      <c r="J1810" s="506">
        <v>416.3</v>
      </c>
      <c r="K1810" s="70"/>
      <c r="L1810" s="70"/>
    </row>
    <row r="1811" spans="1:12" ht="17.25" thickBot="1" x14ac:dyDescent="0.3">
      <c r="A1811" s="445"/>
      <c r="B1811" s="445"/>
      <c r="C1811" s="445"/>
      <c r="D1811" s="445"/>
      <c r="E1811" s="445" t="s">
        <v>1738</v>
      </c>
      <c r="F1811" s="506">
        <v>102.57632</v>
      </c>
      <c r="G1811" s="445"/>
      <c r="H1811" s="606" t="s">
        <v>1739</v>
      </c>
      <c r="I1811" s="606"/>
      <c r="J1811" s="506">
        <v>518.87</v>
      </c>
      <c r="K1811" s="70"/>
      <c r="L1811" s="70"/>
    </row>
    <row r="1812" spans="1:12" ht="17.25" thickTop="1" x14ac:dyDescent="0.25">
      <c r="A1812" s="507"/>
      <c r="B1812" s="507"/>
      <c r="C1812" s="507"/>
      <c r="D1812" s="507"/>
      <c r="E1812" s="507"/>
      <c r="F1812" s="507"/>
      <c r="G1812" s="507"/>
      <c r="H1812" s="507"/>
      <c r="I1812" s="507"/>
      <c r="J1812" s="507"/>
      <c r="K1812" s="507"/>
      <c r="L1812" s="70"/>
    </row>
    <row r="1813" spans="1:12" ht="16.5" x14ac:dyDescent="0.25">
      <c r="A1813" s="419" t="s">
        <v>1577</v>
      </c>
      <c r="B1813" s="421" t="s">
        <v>76</v>
      </c>
      <c r="C1813" s="419" t="s">
        <v>991</v>
      </c>
      <c r="D1813" s="419" t="s">
        <v>191</v>
      </c>
      <c r="E1813" s="603" t="s">
        <v>77</v>
      </c>
      <c r="F1813" s="603"/>
      <c r="G1813" s="420" t="s">
        <v>103</v>
      </c>
      <c r="H1813" s="421" t="s">
        <v>147</v>
      </c>
      <c r="I1813" s="421" t="s">
        <v>1731</v>
      </c>
      <c r="J1813" s="421" t="s">
        <v>1117</v>
      </c>
      <c r="K1813" s="421" t="s">
        <v>104</v>
      </c>
      <c r="L1813" s="70"/>
    </row>
    <row r="1814" spans="1:12" ht="51" x14ac:dyDescent="0.25">
      <c r="A1814" s="441" t="s">
        <v>79</v>
      </c>
      <c r="B1814" s="480" t="s">
        <v>1578</v>
      </c>
      <c r="C1814" s="441" t="s">
        <v>1168</v>
      </c>
      <c r="D1814" s="441" t="s">
        <v>573</v>
      </c>
      <c r="E1814" s="604" t="s">
        <v>2359</v>
      </c>
      <c r="F1814" s="604"/>
      <c r="G1814" s="443" t="s">
        <v>49</v>
      </c>
      <c r="H1814" s="500">
        <v>1</v>
      </c>
      <c r="I1814" s="442"/>
      <c r="J1814" s="442">
        <v>501.92</v>
      </c>
      <c r="K1814" s="442">
        <v>501.92</v>
      </c>
      <c r="L1814" s="70"/>
    </row>
    <row r="1815" spans="1:12" ht="16.5" x14ac:dyDescent="0.25">
      <c r="A1815" s="501" t="s">
        <v>1732</v>
      </c>
      <c r="B1815" s="502" t="s">
        <v>2452</v>
      </c>
      <c r="C1815" s="501" t="s">
        <v>2108</v>
      </c>
      <c r="D1815" s="501" t="s">
        <v>2453</v>
      </c>
      <c r="E1815" s="602" t="s">
        <v>1746</v>
      </c>
      <c r="F1815" s="602"/>
      <c r="G1815" s="503" t="s">
        <v>49</v>
      </c>
      <c r="H1815" s="504">
        <v>1</v>
      </c>
      <c r="I1815" s="504"/>
      <c r="J1815" s="505">
        <v>462.47</v>
      </c>
      <c r="K1815" s="505">
        <v>462.47</v>
      </c>
      <c r="L1815" s="70"/>
    </row>
    <row r="1816" spans="1:12" ht="25.5" x14ac:dyDescent="0.25">
      <c r="A1816" s="501" t="s">
        <v>1732</v>
      </c>
      <c r="B1816" s="502" t="s">
        <v>999</v>
      </c>
      <c r="C1816" s="501" t="s">
        <v>993</v>
      </c>
      <c r="D1816" s="501" t="s">
        <v>1000</v>
      </c>
      <c r="E1816" s="602" t="s">
        <v>972</v>
      </c>
      <c r="F1816" s="602"/>
      <c r="G1816" s="503" t="s">
        <v>81</v>
      </c>
      <c r="H1816" s="504">
        <v>1</v>
      </c>
      <c r="I1816" s="504">
        <v>0</v>
      </c>
      <c r="J1816" s="505">
        <v>16.04</v>
      </c>
      <c r="K1816" s="505">
        <v>16.04</v>
      </c>
      <c r="L1816" s="70"/>
    </row>
    <row r="1817" spans="1:12" ht="25.5" x14ac:dyDescent="0.25">
      <c r="A1817" s="501" t="s">
        <v>1732</v>
      </c>
      <c r="B1817" s="502" t="s">
        <v>1011</v>
      </c>
      <c r="C1817" s="501" t="s">
        <v>993</v>
      </c>
      <c r="D1817" s="501" t="s">
        <v>1012</v>
      </c>
      <c r="E1817" s="602" t="s">
        <v>972</v>
      </c>
      <c r="F1817" s="602"/>
      <c r="G1817" s="503" t="s">
        <v>81</v>
      </c>
      <c r="H1817" s="504">
        <v>1</v>
      </c>
      <c r="I1817" s="504">
        <v>0</v>
      </c>
      <c r="J1817" s="505">
        <v>23.41</v>
      </c>
      <c r="K1817" s="505">
        <v>23.41</v>
      </c>
      <c r="L1817" s="70"/>
    </row>
    <row r="1818" spans="1:12" ht="15.75" customHeight="1" x14ac:dyDescent="0.25">
      <c r="A1818" s="445"/>
      <c r="B1818" s="445"/>
      <c r="C1818" s="445"/>
      <c r="D1818" s="445"/>
      <c r="E1818" s="445" t="s">
        <v>1735</v>
      </c>
      <c r="F1818" s="506">
        <v>39.450000000000003</v>
      </c>
      <c r="G1818" s="445" t="s">
        <v>1736</v>
      </c>
      <c r="H1818" s="506">
        <v>0</v>
      </c>
      <c r="I1818" s="445" t="s">
        <v>1737</v>
      </c>
      <c r="J1818" s="506">
        <v>39.450000000000003</v>
      </c>
      <c r="K1818" s="70"/>
      <c r="L1818" s="70"/>
    </row>
    <row r="1819" spans="1:12" ht="17.25" thickBot="1" x14ac:dyDescent="0.3">
      <c r="A1819" s="445"/>
      <c r="B1819" s="445"/>
      <c r="C1819" s="445"/>
      <c r="D1819" s="445"/>
      <c r="E1819" s="445" t="s">
        <v>1738</v>
      </c>
      <c r="F1819" s="506">
        <v>123.67308800000001</v>
      </c>
      <c r="G1819" s="445"/>
      <c r="H1819" s="606" t="s">
        <v>1739</v>
      </c>
      <c r="I1819" s="606"/>
      <c r="J1819" s="506">
        <v>625.59</v>
      </c>
      <c r="K1819" s="70"/>
      <c r="L1819" s="70"/>
    </row>
    <row r="1820" spans="1:12" ht="17.25" thickTop="1" x14ac:dyDescent="0.25">
      <c r="A1820" s="507"/>
      <c r="B1820" s="507"/>
      <c r="C1820" s="507"/>
      <c r="D1820" s="507"/>
      <c r="E1820" s="507"/>
      <c r="F1820" s="507"/>
      <c r="G1820" s="507"/>
      <c r="H1820" s="507"/>
      <c r="I1820" s="507"/>
      <c r="J1820" s="507"/>
      <c r="K1820" s="507"/>
      <c r="L1820" s="70"/>
    </row>
    <row r="1821" spans="1:12" ht="16.5" x14ac:dyDescent="0.25">
      <c r="A1821" s="419" t="s">
        <v>1579</v>
      </c>
      <c r="B1821" s="421" t="s">
        <v>76</v>
      </c>
      <c r="C1821" s="419" t="s">
        <v>991</v>
      </c>
      <c r="D1821" s="419" t="s">
        <v>191</v>
      </c>
      <c r="E1821" s="603" t="s">
        <v>77</v>
      </c>
      <c r="F1821" s="603"/>
      <c r="G1821" s="420" t="s">
        <v>103</v>
      </c>
      <c r="H1821" s="421" t="s">
        <v>147</v>
      </c>
      <c r="I1821" s="421" t="s">
        <v>1731</v>
      </c>
      <c r="J1821" s="421" t="s">
        <v>1117</v>
      </c>
      <c r="K1821" s="421" t="s">
        <v>104</v>
      </c>
      <c r="L1821" s="70"/>
    </row>
    <row r="1822" spans="1:12" ht="51" x14ac:dyDescent="0.25">
      <c r="A1822" s="441" t="s">
        <v>79</v>
      </c>
      <c r="B1822" s="480" t="s">
        <v>1580</v>
      </c>
      <c r="C1822" s="441" t="s">
        <v>1168</v>
      </c>
      <c r="D1822" s="441" t="s">
        <v>574</v>
      </c>
      <c r="E1822" s="604" t="s">
        <v>2359</v>
      </c>
      <c r="F1822" s="604"/>
      <c r="G1822" s="443" t="s">
        <v>49</v>
      </c>
      <c r="H1822" s="500">
        <v>1</v>
      </c>
      <c r="I1822" s="442"/>
      <c r="J1822" s="442">
        <v>431.59</v>
      </c>
      <c r="K1822" s="442">
        <v>431.59</v>
      </c>
      <c r="L1822" s="70"/>
    </row>
    <row r="1823" spans="1:12" ht="16.5" x14ac:dyDescent="0.25">
      <c r="A1823" s="501" t="s">
        <v>1732</v>
      </c>
      <c r="B1823" s="502" t="s">
        <v>2454</v>
      </c>
      <c r="C1823" s="501" t="s">
        <v>2108</v>
      </c>
      <c r="D1823" s="501" t="s">
        <v>2455</v>
      </c>
      <c r="E1823" s="602" t="s">
        <v>1746</v>
      </c>
      <c r="F1823" s="602"/>
      <c r="G1823" s="503" t="s">
        <v>49</v>
      </c>
      <c r="H1823" s="504">
        <v>1</v>
      </c>
      <c r="I1823" s="504"/>
      <c r="J1823" s="505">
        <v>419.03</v>
      </c>
      <c r="K1823" s="505">
        <v>419.03</v>
      </c>
      <c r="L1823" s="70"/>
    </row>
    <row r="1824" spans="1:12" ht="25.5" x14ac:dyDescent="0.25">
      <c r="A1824" s="501" t="s">
        <v>1732</v>
      </c>
      <c r="B1824" s="502" t="s">
        <v>999</v>
      </c>
      <c r="C1824" s="501" t="s">
        <v>993</v>
      </c>
      <c r="D1824" s="501" t="s">
        <v>1000</v>
      </c>
      <c r="E1824" s="602" t="s">
        <v>972</v>
      </c>
      <c r="F1824" s="602"/>
      <c r="G1824" s="503" t="s">
        <v>81</v>
      </c>
      <c r="H1824" s="504">
        <v>0.2</v>
      </c>
      <c r="I1824" s="504">
        <v>0</v>
      </c>
      <c r="J1824" s="505">
        <v>16.04</v>
      </c>
      <c r="K1824" s="505">
        <v>3.2</v>
      </c>
      <c r="L1824" s="70"/>
    </row>
    <row r="1825" spans="1:12" ht="25.5" x14ac:dyDescent="0.25">
      <c r="A1825" s="501" t="s">
        <v>1732</v>
      </c>
      <c r="B1825" s="502" t="s">
        <v>1011</v>
      </c>
      <c r="C1825" s="501" t="s">
        <v>993</v>
      </c>
      <c r="D1825" s="501" t="s">
        <v>1012</v>
      </c>
      <c r="E1825" s="602" t="s">
        <v>972</v>
      </c>
      <c r="F1825" s="602"/>
      <c r="G1825" s="503" t="s">
        <v>81</v>
      </c>
      <c r="H1825" s="504">
        <v>0.4</v>
      </c>
      <c r="I1825" s="504">
        <v>0</v>
      </c>
      <c r="J1825" s="505">
        <v>23.41</v>
      </c>
      <c r="K1825" s="505">
        <v>9.36</v>
      </c>
      <c r="L1825" s="70"/>
    </row>
    <row r="1826" spans="1:12" ht="15.75" customHeight="1" x14ac:dyDescent="0.25">
      <c r="A1826" s="445"/>
      <c r="B1826" s="445"/>
      <c r="C1826" s="445"/>
      <c r="D1826" s="445"/>
      <c r="E1826" s="445" t="s">
        <v>1735</v>
      </c>
      <c r="F1826" s="506">
        <v>12.56</v>
      </c>
      <c r="G1826" s="445" t="s">
        <v>1736</v>
      </c>
      <c r="H1826" s="506">
        <v>0</v>
      </c>
      <c r="I1826" s="445" t="s">
        <v>1737</v>
      </c>
      <c r="J1826" s="506">
        <v>12.56</v>
      </c>
      <c r="K1826" s="70"/>
      <c r="L1826" s="70"/>
    </row>
    <row r="1827" spans="1:12" ht="17.25" thickBot="1" x14ac:dyDescent="0.3">
      <c r="A1827" s="445"/>
      <c r="B1827" s="445"/>
      <c r="C1827" s="445"/>
      <c r="D1827" s="445"/>
      <c r="E1827" s="445" t="s">
        <v>1738</v>
      </c>
      <c r="F1827" s="506">
        <v>106.34377600000001</v>
      </c>
      <c r="G1827" s="445"/>
      <c r="H1827" s="606" t="s">
        <v>1739</v>
      </c>
      <c r="I1827" s="606"/>
      <c r="J1827" s="506">
        <v>537.92999999999995</v>
      </c>
      <c r="K1827" s="70"/>
      <c r="L1827" s="70"/>
    </row>
    <row r="1828" spans="1:12" ht="17.25" thickTop="1" x14ac:dyDescent="0.25">
      <c r="A1828" s="507"/>
      <c r="B1828" s="507"/>
      <c r="C1828" s="507"/>
      <c r="D1828" s="507"/>
      <c r="E1828" s="507"/>
      <c r="F1828" s="507"/>
      <c r="G1828" s="507"/>
      <c r="H1828" s="507"/>
      <c r="I1828" s="507"/>
      <c r="J1828" s="507"/>
      <c r="K1828" s="507"/>
      <c r="L1828" s="70"/>
    </row>
    <row r="1829" spans="1:12" ht="25.5" customHeight="1" x14ac:dyDescent="0.25">
      <c r="A1829" s="419" t="s">
        <v>1581</v>
      </c>
      <c r="B1829" s="421" t="s">
        <v>76</v>
      </c>
      <c r="C1829" s="419" t="s">
        <v>991</v>
      </c>
      <c r="D1829" s="419" t="s">
        <v>191</v>
      </c>
      <c r="E1829" s="603" t="s">
        <v>77</v>
      </c>
      <c r="F1829" s="603"/>
      <c r="G1829" s="420" t="s">
        <v>103</v>
      </c>
      <c r="H1829" s="421" t="s">
        <v>147</v>
      </c>
      <c r="I1829" s="421" t="s">
        <v>1731</v>
      </c>
      <c r="J1829" s="421" t="s">
        <v>1117</v>
      </c>
      <c r="K1829" s="421" t="s">
        <v>104</v>
      </c>
      <c r="L1829" s="70"/>
    </row>
    <row r="1830" spans="1:12" ht="16.5" customHeight="1" x14ac:dyDescent="0.25">
      <c r="A1830" s="441" t="s">
        <v>79</v>
      </c>
      <c r="B1830" s="480" t="s">
        <v>1582</v>
      </c>
      <c r="C1830" s="441" t="s">
        <v>575</v>
      </c>
      <c r="D1830" s="441" t="s">
        <v>576</v>
      </c>
      <c r="E1830" s="604" t="s">
        <v>2456</v>
      </c>
      <c r="F1830" s="604"/>
      <c r="G1830" s="443" t="s">
        <v>49</v>
      </c>
      <c r="H1830" s="500">
        <v>1</v>
      </c>
      <c r="I1830" s="442"/>
      <c r="J1830" s="442">
        <v>14.04</v>
      </c>
      <c r="K1830" s="442">
        <v>14.04</v>
      </c>
      <c r="L1830" s="70"/>
    </row>
    <row r="1831" spans="1:12" ht="16.5" x14ac:dyDescent="0.25">
      <c r="A1831" s="501" t="s">
        <v>1732</v>
      </c>
      <c r="B1831" s="502" t="s">
        <v>2457</v>
      </c>
      <c r="C1831" s="501" t="s">
        <v>575</v>
      </c>
      <c r="D1831" s="501" t="s">
        <v>2458</v>
      </c>
      <c r="E1831" s="602" t="s">
        <v>1746</v>
      </c>
      <c r="F1831" s="602"/>
      <c r="G1831" s="503" t="s">
        <v>49</v>
      </c>
      <c r="H1831" s="504">
        <v>1</v>
      </c>
      <c r="I1831" s="504"/>
      <c r="J1831" s="505">
        <v>14.04</v>
      </c>
      <c r="K1831" s="505">
        <v>14.04</v>
      </c>
      <c r="L1831" s="70"/>
    </row>
    <row r="1832" spans="1:12" ht="15.75" customHeight="1" x14ac:dyDescent="0.25">
      <c r="A1832" s="445"/>
      <c r="B1832" s="445"/>
      <c r="C1832" s="445"/>
      <c r="D1832" s="445"/>
      <c r="E1832" s="445" t="s">
        <v>1735</v>
      </c>
      <c r="F1832" s="506">
        <v>0</v>
      </c>
      <c r="G1832" s="445" t="s">
        <v>1736</v>
      </c>
      <c r="H1832" s="506">
        <v>0</v>
      </c>
      <c r="I1832" s="445" t="s">
        <v>1737</v>
      </c>
      <c r="J1832" s="506">
        <v>0</v>
      </c>
      <c r="K1832" s="70"/>
      <c r="L1832" s="70"/>
    </row>
    <row r="1833" spans="1:12" ht="17.25" thickBot="1" x14ac:dyDescent="0.3">
      <c r="A1833" s="445"/>
      <c r="B1833" s="445"/>
      <c r="C1833" s="445"/>
      <c r="D1833" s="445"/>
      <c r="E1833" s="445" t="s">
        <v>1738</v>
      </c>
      <c r="F1833" s="506">
        <v>3.4594559999999999</v>
      </c>
      <c r="G1833" s="445"/>
      <c r="H1833" s="606" t="s">
        <v>1739</v>
      </c>
      <c r="I1833" s="606"/>
      <c r="J1833" s="506">
        <v>17.489999999999998</v>
      </c>
      <c r="K1833" s="70"/>
      <c r="L1833" s="70"/>
    </row>
    <row r="1834" spans="1:12" ht="17.25" thickTop="1" x14ac:dyDescent="0.25">
      <c r="A1834" s="507"/>
      <c r="B1834" s="507"/>
      <c r="C1834" s="507"/>
      <c r="D1834" s="507"/>
      <c r="E1834" s="507"/>
      <c r="F1834" s="507"/>
      <c r="G1834" s="507"/>
      <c r="H1834" s="507"/>
      <c r="I1834" s="507"/>
      <c r="J1834" s="507"/>
      <c r="K1834" s="507"/>
      <c r="L1834" s="70"/>
    </row>
    <row r="1835" spans="1:12" ht="16.5" x14ac:dyDescent="0.25">
      <c r="A1835" s="419" t="s">
        <v>1583</v>
      </c>
      <c r="B1835" s="421" t="s">
        <v>76</v>
      </c>
      <c r="C1835" s="419" t="s">
        <v>991</v>
      </c>
      <c r="D1835" s="419" t="s">
        <v>191</v>
      </c>
      <c r="E1835" s="603" t="s">
        <v>77</v>
      </c>
      <c r="F1835" s="603"/>
      <c r="G1835" s="420" t="s">
        <v>103</v>
      </c>
      <c r="H1835" s="421" t="s">
        <v>147</v>
      </c>
      <c r="I1835" s="421" t="s">
        <v>1731</v>
      </c>
      <c r="J1835" s="421" t="s">
        <v>1117</v>
      </c>
      <c r="K1835" s="421" t="s">
        <v>104</v>
      </c>
      <c r="L1835" s="70"/>
    </row>
    <row r="1836" spans="1:12" ht="16.5" x14ac:dyDescent="0.25">
      <c r="A1836" s="441" t="s">
        <v>79</v>
      </c>
      <c r="B1836" s="480" t="s">
        <v>1584</v>
      </c>
      <c r="C1836" s="441" t="s">
        <v>1168</v>
      </c>
      <c r="D1836" s="441" t="s">
        <v>577</v>
      </c>
      <c r="E1836" s="604">
        <v>224</v>
      </c>
      <c r="F1836" s="604"/>
      <c r="G1836" s="443" t="s">
        <v>49</v>
      </c>
      <c r="H1836" s="500">
        <v>1</v>
      </c>
      <c r="I1836" s="442"/>
      <c r="J1836" s="442">
        <v>9.15</v>
      </c>
      <c r="K1836" s="442">
        <v>9.15</v>
      </c>
      <c r="L1836" s="70"/>
    </row>
    <row r="1837" spans="1:12" ht="16.5" x14ac:dyDescent="0.25">
      <c r="A1837" s="501" t="s">
        <v>1732</v>
      </c>
      <c r="B1837" s="502" t="s">
        <v>2459</v>
      </c>
      <c r="C1837" s="501" t="s">
        <v>575</v>
      </c>
      <c r="D1837" s="501" t="s">
        <v>2460</v>
      </c>
      <c r="E1837" s="602" t="s">
        <v>1746</v>
      </c>
      <c r="F1837" s="602"/>
      <c r="G1837" s="503" t="s">
        <v>49</v>
      </c>
      <c r="H1837" s="504">
        <v>1</v>
      </c>
      <c r="I1837" s="504">
        <v>0</v>
      </c>
      <c r="J1837" s="505">
        <v>9.15</v>
      </c>
      <c r="K1837" s="505">
        <v>9.15</v>
      </c>
      <c r="L1837" s="70"/>
    </row>
    <row r="1838" spans="1:12" ht="15.75" customHeight="1" x14ac:dyDescent="0.25">
      <c r="A1838" s="445"/>
      <c r="B1838" s="445"/>
      <c r="C1838" s="445"/>
      <c r="D1838" s="445"/>
      <c r="E1838" s="445" t="s">
        <v>1735</v>
      </c>
      <c r="F1838" s="506">
        <v>0</v>
      </c>
      <c r="G1838" s="445" t="s">
        <v>1736</v>
      </c>
      <c r="H1838" s="506">
        <v>0</v>
      </c>
      <c r="I1838" s="445" t="s">
        <v>1737</v>
      </c>
      <c r="J1838" s="506">
        <v>0</v>
      </c>
      <c r="K1838" s="70"/>
      <c r="L1838" s="70"/>
    </row>
    <row r="1839" spans="1:12" ht="17.25" thickBot="1" x14ac:dyDescent="0.3">
      <c r="A1839" s="445"/>
      <c r="B1839" s="445"/>
      <c r="C1839" s="445"/>
      <c r="D1839" s="445"/>
      <c r="E1839" s="445" t="s">
        <v>1738</v>
      </c>
      <c r="F1839" s="506">
        <v>2.2545600000000001</v>
      </c>
      <c r="G1839" s="445"/>
      <c r="H1839" s="606" t="s">
        <v>1739</v>
      </c>
      <c r="I1839" s="606"/>
      <c r="J1839" s="506">
        <v>11.4</v>
      </c>
      <c r="K1839" s="70"/>
      <c r="L1839" s="70"/>
    </row>
    <row r="1840" spans="1:12" ht="17.25" thickTop="1" x14ac:dyDescent="0.25">
      <c r="A1840" s="507"/>
      <c r="B1840" s="507"/>
      <c r="C1840" s="507"/>
      <c r="D1840" s="507"/>
      <c r="E1840" s="507"/>
      <c r="F1840" s="507"/>
      <c r="G1840" s="507"/>
      <c r="H1840" s="507"/>
      <c r="I1840" s="507"/>
      <c r="J1840" s="507"/>
      <c r="K1840" s="507"/>
      <c r="L1840" s="70"/>
    </row>
    <row r="1841" spans="1:12" ht="16.5" x14ac:dyDescent="0.25">
      <c r="A1841" s="419" t="s">
        <v>1585</v>
      </c>
      <c r="B1841" s="421" t="s">
        <v>76</v>
      </c>
      <c r="C1841" s="419" t="s">
        <v>991</v>
      </c>
      <c r="D1841" s="419" t="s">
        <v>191</v>
      </c>
      <c r="E1841" s="603" t="s">
        <v>77</v>
      </c>
      <c r="F1841" s="603"/>
      <c r="G1841" s="420" t="s">
        <v>103</v>
      </c>
      <c r="H1841" s="421" t="s">
        <v>147</v>
      </c>
      <c r="I1841" s="421" t="s">
        <v>1731</v>
      </c>
      <c r="J1841" s="421" t="s">
        <v>1117</v>
      </c>
      <c r="K1841" s="421" t="s">
        <v>104</v>
      </c>
      <c r="L1841" s="70"/>
    </row>
    <row r="1842" spans="1:12" ht="25.5" x14ac:dyDescent="0.25">
      <c r="A1842" s="441" t="s">
        <v>79</v>
      </c>
      <c r="B1842" s="480" t="s">
        <v>1586</v>
      </c>
      <c r="C1842" s="441" t="s">
        <v>1168</v>
      </c>
      <c r="D1842" s="441" t="s">
        <v>594</v>
      </c>
      <c r="E1842" s="604">
        <v>45.03</v>
      </c>
      <c r="F1842" s="604"/>
      <c r="G1842" s="443" t="s">
        <v>38</v>
      </c>
      <c r="H1842" s="500">
        <v>1</v>
      </c>
      <c r="I1842" s="442"/>
      <c r="J1842" s="442">
        <v>3052</v>
      </c>
      <c r="K1842" s="442">
        <v>3052</v>
      </c>
      <c r="L1842" s="70"/>
    </row>
    <row r="1843" spans="1:12" ht="25.5" x14ac:dyDescent="0.25">
      <c r="A1843" s="501" t="s">
        <v>1732</v>
      </c>
      <c r="B1843" s="502" t="s">
        <v>2461</v>
      </c>
      <c r="C1843" s="501" t="s">
        <v>2462</v>
      </c>
      <c r="D1843" s="501" t="s">
        <v>2463</v>
      </c>
      <c r="E1843" s="602" t="s">
        <v>1746</v>
      </c>
      <c r="F1843" s="602"/>
      <c r="G1843" s="503" t="s">
        <v>38</v>
      </c>
      <c r="H1843" s="504">
        <v>1</v>
      </c>
      <c r="I1843" s="504"/>
      <c r="J1843" s="505">
        <v>3022.42</v>
      </c>
      <c r="K1843" s="505">
        <v>3022.42</v>
      </c>
      <c r="L1843" s="70"/>
    </row>
    <row r="1844" spans="1:12" ht="25.5" x14ac:dyDescent="0.25">
      <c r="A1844" s="501" t="s">
        <v>1732</v>
      </c>
      <c r="B1844" s="502" t="s">
        <v>999</v>
      </c>
      <c r="C1844" s="501" t="s">
        <v>993</v>
      </c>
      <c r="D1844" s="501" t="s">
        <v>1000</v>
      </c>
      <c r="E1844" s="602" t="s">
        <v>972</v>
      </c>
      <c r="F1844" s="602"/>
      <c r="G1844" s="503" t="s">
        <v>81</v>
      </c>
      <c r="H1844" s="504">
        <v>0.75</v>
      </c>
      <c r="I1844" s="504">
        <v>0</v>
      </c>
      <c r="J1844" s="505">
        <v>16.04</v>
      </c>
      <c r="K1844" s="505">
        <v>12.03</v>
      </c>
      <c r="L1844" s="70"/>
    </row>
    <row r="1845" spans="1:12" ht="25.5" x14ac:dyDescent="0.25">
      <c r="A1845" s="501" t="s">
        <v>1732</v>
      </c>
      <c r="B1845" s="502" t="s">
        <v>1011</v>
      </c>
      <c r="C1845" s="501" t="s">
        <v>993</v>
      </c>
      <c r="D1845" s="501" t="s">
        <v>1012</v>
      </c>
      <c r="E1845" s="602" t="s">
        <v>972</v>
      </c>
      <c r="F1845" s="602"/>
      <c r="G1845" s="503" t="s">
        <v>81</v>
      </c>
      <c r="H1845" s="504">
        <v>0.75</v>
      </c>
      <c r="I1845" s="504">
        <v>0</v>
      </c>
      <c r="J1845" s="505">
        <v>23.41</v>
      </c>
      <c r="K1845" s="505">
        <v>17.55</v>
      </c>
      <c r="L1845" s="70"/>
    </row>
    <row r="1846" spans="1:12" ht="15.75" customHeight="1" x14ac:dyDescent="0.25">
      <c r="A1846" s="445"/>
      <c r="B1846" s="445"/>
      <c r="C1846" s="445"/>
      <c r="D1846" s="445"/>
      <c r="E1846" s="445" t="s">
        <v>1735</v>
      </c>
      <c r="F1846" s="506">
        <v>29.58</v>
      </c>
      <c r="G1846" s="445" t="s">
        <v>1736</v>
      </c>
      <c r="H1846" s="506">
        <v>0</v>
      </c>
      <c r="I1846" s="445" t="s">
        <v>1737</v>
      </c>
      <c r="J1846" s="506">
        <v>29.58</v>
      </c>
      <c r="K1846" s="70"/>
      <c r="L1846" s="70"/>
    </row>
    <row r="1847" spans="1:12" ht="17.25" thickBot="1" x14ac:dyDescent="0.3">
      <c r="A1847" s="445"/>
      <c r="B1847" s="445"/>
      <c r="C1847" s="445"/>
      <c r="D1847" s="445"/>
      <c r="E1847" s="445" t="s">
        <v>1738</v>
      </c>
      <c r="F1847" s="506">
        <v>752.01279999999997</v>
      </c>
      <c r="G1847" s="445"/>
      <c r="H1847" s="606" t="s">
        <v>1739</v>
      </c>
      <c r="I1847" s="606"/>
      <c r="J1847" s="506">
        <v>3804.01</v>
      </c>
      <c r="K1847" s="70"/>
      <c r="L1847" s="70"/>
    </row>
    <row r="1848" spans="1:12" ht="17.25" thickTop="1" x14ac:dyDescent="0.25">
      <c r="A1848" s="507"/>
      <c r="B1848" s="507"/>
      <c r="C1848" s="507"/>
      <c r="D1848" s="507"/>
      <c r="E1848" s="507"/>
      <c r="F1848" s="507"/>
      <c r="G1848" s="507"/>
      <c r="H1848" s="507"/>
      <c r="I1848" s="507"/>
      <c r="J1848" s="507"/>
      <c r="K1848" s="507"/>
      <c r="L1848" s="70"/>
    </row>
    <row r="1849" spans="1:12" ht="16.5" x14ac:dyDescent="0.25">
      <c r="A1849" s="419" t="s">
        <v>1587</v>
      </c>
      <c r="B1849" s="421" t="s">
        <v>76</v>
      </c>
      <c r="C1849" s="419" t="s">
        <v>991</v>
      </c>
      <c r="D1849" s="419" t="s">
        <v>191</v>
      </c>
      <c r="E1849" s="603" t="s">
        <v>77</v>
      </c>
      <c r="F1849" s="603"/>
      <c r="G1849" s="420" t="s">
        <v>103</v>
      </c>
      <c r="H1849" s="421" t="s">
        <v>147</v>
      </c>
      <c r="I1849" s="421" t="s">
        <v>1731</v>
      </c>
      <c r="J1849" s="421" t="s">
        <v>1117</v>
      </c>
      <c r="K1849" s="421" t="s">
        <v>104</v>
      </c>
      <c r="L1849" s="70"/>
    </row>
    <row r="1850" spans="1:12" ht="51" x14ac:dyDescent="0.25">
      <c r="A1850" s="441" t="s">
        <v>79</v>
      </c>
      <c r="B1850" s="480" t="s">
        <v>1588</v>
      </c>
      <c r="C1850" s="441" t="s">
        <v>1168</v>
      </c>
      <c r="D1850" s="441" t="s">
        <v>1589</v>
      </c>
      <c r="E1850" s="604" t="s">
        <v>2359</v>
      </c>
      <c r="F1850" s="604"/>
      <c r="G1850" s="443" t="s">
        <v>49</v>
      </c>
      <c r="H1850" s="500">
        <v>1</v>
      </c>
      <c r="I1850" s="442"/>
      <c r="J1850" s="442">
        <v>1296.5899999999999</v>
      </c>
      <c r="K1850" s="442">
        <v>1296.5899999999999</v>
      </c>
      <c r="L1850" s="70"/>
    </row>
    <row r="1851" spans="1:12" ht="16.5" x14ac:dyDescent="0.25">
      <c r="A1851" s="501" t="s">
        <v>1732</v>
      </c>
      <c r="B1851" s="502" t="s">
        <v>2417</v>
      </c>
      <c r="C1851" s="501" t="s">
        <v>2108</v>
      </c>
      <c r="D1851" s="501" t="s">
        <v>2418</v>
      </c>
      <c r="E1851" s="602" t="s">
        <v>1746</v>
      </c>
      <c r="F1851" s="602"/>
      <c r="G1851" s="503" t="s">
        <v>1222</v>
      </c>
      <c r="H1851" s="504">
        <v>3.1</v>
      </c>
      <c r="I1851" s="504"/>
      <c r="J1851" s="505">
        <v>20</v>
      </c>
      <c r="K1851" s="505">
        <v>62</v>
      </c>
      <c r="L1851" s="70"/>
    </row>
    <row r="1852" spans="1:12" ht="25.5" x14ac:dyDescent="0.25">
      <c r="A1852" s="501" t="s">
        <v>1732</v>
      </c>
      <c r="B1852" s="502" t="s">
        <v>999</v>
      </c>
      <c r="C1852" s="501" t="s">
        <v>993</v>
      </c>
      <c r="D1852" s="501" t="s">
        <v>1000</v>
      </c>
      <c r="E1852" s="602" t="s">
        <v>972</v>
      </c>
      <c r="F1852" s="602"/>
      <c r="G1852" s="503" t="s">
        <v>81</v>
      </c>
      <c r="H1852" s="504">
        <v>2.8</v>
      </c>
      <c r="I1852" s="504">
        <v>0</v>
      </c>
      <c r="J1852" s="505">
        <v>16.04</v>
      </c>
      <c r="K1852" s="505">
        <v>44.91</v>
      </c>
      <c r="L1852" s="70"/>
    </row>
    <row r="1853" spans="1:12" ht="25.5" x14ac:dyDescent="0.25">
      <c r="A1853" s="501" t="s">
        <v>1732</v>
      </c>
      <c r="B1853" s="502" t="s">
        <v>1011</v>
      </c>
      <c r="C1853" s="501" t="s">
        <v>993</v>
      </c>
      <c r="D1853" s="501" t="s">
        <v>1012</v>
      </c>
      <c r="E1853" s="602" t="s">
        <v>972</v>
      </c>
      <c r="F1853" s="602"/>
      <c r="G1853" s="503" t="s">
        <v>81</v>
      </c>
      <c r="H1853" s="504">
        <v>1.6</v>
      </c>
      <c r="I1853" s="504">
        <v>0</v>
      </c>
      <c r="J1853" s="505">
        <v>23.41</v>
      </c>
      <c r="K1853" s="505">
        <v>37.450000000000003</v>
      </c>
      <c r="L1853" s="70"/>
    </row>
    <row r="1854" spans="1:12" ht="16.5" x14ac:dyDescent="0.25">
      <c r="A1854" s="501" t="s">
        <v>1732</v>
      </c>
      <c r="B1854" s="502" t="s">
        <v>2433</v>
      </c>
      <c r="C1854" s="501" t="s">
        <v>2108</v>
      </c>
      <c r="D1854" s="501" t="s">
        <v>2434</v>
      </c>
      <c r="E1854" s="602" t="s">
        <v>1746</v>
      </c>
      <c r="F1854" s="602"/>
      <c r="G1854" s="503" t="s">
        <v>49</v>
      </c>
      <c r="H1854" s="504">
        <v>1</v>
      </c>
      <c r="I1854" s="504">
        <v>0</v>
      </c>
      <c r="J1854" s="505">
        <v>1083.54</v>
      </c>
      <c r="K1854" s="505">
        <v>1083.54</v>
      </c>
      <c r="L1854" s="70"/>
    </row>
    <row r="1855" spans="1:12" ht="25.5" x14ac:dyDescent="0.25">
      <c r="A1855" s="501" t="s">
        <v>1732</v>
      </c>
      <c r="B1855" s="502" t="s">
        <v>2464</v>
      </c>
      <c r="C1855" s="501" t="s">
        <v>2108</v>
      </c>
      <c r="D1855" s="501" t="s">
        <v>2465</v>
      </c>
      <c r="E1855" s="602" t="s">
        <v>1746</v>
      </c>
      <c r="F1855" s="602"/>
      <c r="G1855" s="503" t="s">
        <v>49</v>
      </c>
      <c r="H1855" s="504">
        <v>1</v>
      </c>
      <c r="I1855" s="504">
        <v>0</v>
      </c>
      <c r="J1855" s="505">
        <v>68.69</v>
      </c>
      <c r="K1855" s="505">
        <v>68.69</v>
      </c>
      <c r="L1855" s="70"/>
    </row>
    <row r="1856" spans="1:12" ht="15.75" customHeight="1" x14ac:dyDescent="0.25">
      <c r="A1856" s="445"/>
      <c r="B1856" s="445"/>
      <c r="C1856" s="445"/>
      <c r="D1856" s="445"/>
      <c r="E1856" s="445" t="s">
        <v>1735</v>
      </c>
      <c r="F1856" s="506">
        <v>82.36</v>
      </c>
      <c r="G1856" s="445" t="s">
        <v>1736</v>
      </c>
      <c r="H1856" s="506">
        <v>0</v>
      </c>
      <c r="I1856" s="445" t="s">
        <v>1737</v>
      </c>
      <c r="J1856" s="506">
        <v>82.36</v>
      </c>
      <c r="K1856" s="70"/>
      <c r="L1856" s="70"/>
    </row>
    <row r="1857" spans="1:12" ht="17.25" thickBot="1" x14ac:dyDescent="0.3">
      <c r="A1857" s="445"/>
      <c r="B1857" s="445"/>
      <c r="C1857" s="445"/>
      <c r="D1857" s="445"/>
      <c r="E1857" s="445" t="s">
        <v>1738</v>
      </c>
      <c r="F1857" s="506">
        <v>319.47977600000002</v>
      </c>
      <c r="G1857" s="445"/>
      <c r="H1857" s="606" t="s">
        <v>1739</v>
      </c>
      <c r="I1857" s="606"/>
      <c r="J1857" s="506">
        <v>1616.06</v>
      </c>
      <c r="K1857" s="70"/>
      <c r="L1857" s="70"/>
    </row>
    <row r="1858" spans="1:12" ht="17.25" thickTop="1" x14ac:dyDescent="0.25">
      <c r="A1858" s="507"/>
      <c r="B1858" s="507"/>
      <c r="C1858" s="507"/>
      <c r="D1858" s="507"/>
      <c r="E1858" s="507"/>
      <c r="F1858" s="507"/>
      <c r="G1858" s="507"/>
      <c r="H1858" s="507"/>
      <c r="I1858" s="507"/>
      <c r="J1858" s="507"/>
      <c r="K1858" s="507"/>
      <c r="L1858" s="70"/>
    </row>
    <row r="1859" spans="1:12" ht="16.5" x14ac:dyDescent="0.25">
      <c r="A1859" s="419" t="s">
        <v>1590</v>
      </c>
      <c r="B1859" s="421" t="s">
        <v>76</v>
      </c>
      <c r="C1859" s="419" t="s">
        <v>991</v>
      </c>
      <c r="D1859" s="419" t="s">
        <v>191</v>
      </c>
      <c r="E1859" s="603" t="s">
        <v>77</v>
      </c>
      <c r="F1859" s="603"/>
      <c r="G1859" s="420" t="s">
        <v>103</v>
      </c>
      <c r="H1859" s="421" t="s">
        <v>147</v>
      </c>
      <c r="I1859" s="421" t="s">
        <v>1731</v>
      </c>
      <c r="J1859" s="421" t="s">
        <v>1117</v>
      </c>
      <c r="K1859" s="421" t="s">
        <v>104</v>
      </c>
      <c r="L1859" s="70"/>
    </row>
    <row r="1860" spans="1:12" ht="63.75" x14ac:dyDescent="0.25">
      <c r="A1860" s="441" t="s">
        <v>79</v>
      </c>
      <c r="B1860" s="480" t="s">
        <v>1591</v>
      </c>
      <c r="C1860" s="441" t="s">
        <v>1168</v>
      </c>
      <c r="D1860" s="441" t="s">
        <v>596</v>
      </c>
      <c r="E1860" s="604" t="s">
        <v>2359</v>
      </c>
      <c r="F1860" s="604"/>
      <c r="G1860" s="443" t="s">
        <v>49</v>
      </c>
      <c r="H1860" s="500">
        <v>1</v>
      </c>
      <c r="I1860" s="442"/>
      <c r="J1860" s="442">
        <v>815.81</v>
      </c>
      <c r="K1860" s="442">
        <v>815.81</v>
      </c>
      <c r="L1860" s="70"/>
    </row>
    <row r="1861" spans="1:12" ht="16.5" x14ac:dyDescent="0.25">
      <c r="A1861" s="501" t="s">
        <v>1732</v>
      </c>
      <c r="B1861" s="502" t="s">
        <v>2429</v>
      </c>
      <c r="C1861" s="501" t="s">
        <v>2108</v>
      </c>
      <c r="D1861" s="501" t="s">
        <v>2430</v>
      </c>
      <c r="E1861" s="602" t="s">
        <v>1746</v>
      </c>
      <c r="F1861" s="602"/>
      <c r="G1861" s="503" t="s">
        <v>49</v>
      </c>
      <c r="H1861" s="504">
        <v>1</v>
      </c>
      <c r="I1861" s="504"/>
      <c r="J1861" s="505">
        <v>4.7</v>
      </c>
      <c r="K1861" s="505">
        <v>4.7</v>
      </c>
      <c r="L1861" s="70"/>
    </row>
    <row r="1862" spans="1:12" ht="16.5" x14ac:dyDescent="0.25">
      <c r="A1862" s="501" t="s">
        <v>1732</v>
      </c>
      <c r="B1862" s="502" t="s">
        <v>2466</v>
      </c>
      <c r="C1862" s="501" t="s">
        <v>2108</v>
      </c>
      <c r="D1862" s="501" t="s">
        <v>2467</v>
      </c>
      <c r="E1862" s="602" t="s">
        <v>1746</v>
      </c>
      <c r="F1862" s="602"/>
      <c r="G1862" s="503" t="s">
        <v>49</v>
      </c>
      <c r="H1862" s="504">
        <v>1</v>
      </c>
      <c r="I1862" s="504"/>
      <c r="J1862" s="505">
        <v>723.18</v>
      </c>
      <c r="K1862" s="505">
        <v>723.18</v>
      </c>
      <c r="L1862" s="70"/>
    </row>
    <row r="1863" spans="1:12" ht="25.5" x14ac:dyDescent="0.25">
      <c r="A1863" s="501" t="s">
        <v>1732</v>
      </c>
      <c r="B1863" s="502" t="s">
        <v>2431</v>
      </c>
      <c r="C1863" s="501" t="s">
        <v>2108</v>
      </c>
      <c r="D1863" s="501" t="s">
        <v>2432</v>
      </c>
      <c r="E1863" s="602" t="s">
        <v>1746</v>
      </c>
      <c r="F1863" s="602"/>
      <c r="G1863" s="503" t="s">
        <v>49</v>
      </c>
      <c r="H1863" s="504">
        <v>8</v>
      </c>
      <c r="I1863" s="504"/>
      <c r="J1863" s="505">
        <v>6.21</v>
      </c>
      <c r="K1863" s="505">
        <v>49.68</v>
      </c>
      <c r="L1863" s="70"/>
    </row>
    <row r="1864" spans="1:12" ht="25.5" x14ac:dyDescent="0.25">
      <c r="A1864" s="501" t="s">
        <v>1732</v>
      </c>
      <c r="B1864" s="502" t="s">
        <v>999</v>
      </c>
      <c r="C1864" s="501" t="s">
        <v>993</v>
      </c>
      <c r="D1864" s="501" t="s">
        <v>1000</v>
      </c>
      <c r="E1864" s="602" t="s">
        <v>972</v>
      </c>
      <c r="F1864" s="602"/>
      <c r="G1864" s="503" t="s">
        <v>81</v>
      </c>
      <c r="H1864" s="504">
        <v>0.97</v>
      </c>
      <c r="I1864" s="504">
        <v>0</v>
      </c>
      <c r="J1864" s="505">
        <v>16.04</v>
      </c>
      <c r="K1864" s="505">
        <v>15.55</v>
      </c>
      <c r="L1864" s="70"/>
    </row>
    <row r="1865" spans="1:12" ht="25.5" x14ac:dyDescent="0.25">
      <c r="A1865" s="501" t="s">
        <v>1732</v>
      </c>
      <c r="B1865" s="502" t="s">
        <v>1011</v>
      </c>
      <c r="C1865" s="501" t="s">
        <v>993</v>
      </c>
      <c r="D1865" s="501" t="s">
        <v>1012</v>
      </c>
      <c r="E1865" s="602" t="s">
        <v>972</v>
      </c>
      <c r="F1865" s="602"/>
      <c r="G1865" s="503" t="s">
        <v>81</v>
      </c>
      <c r="H1865" s="504">
        <v>0.97</v>
      </c>
      <c r="I1865" s="504">
        <v>0</v>
      </c>
      <c r="J1865" s="505">
        <v>23.41</v>
      </c>
      <c r="K1865" s="505">
        <v>22.7</v>
      </c>
      <c r="L1865" s="70"/>
    </row>
    <row r="1866" spans="1:12" ht="15.75" customHeight="1" x14ac:dyDescent="0.25">
      <c r="A1866" s="445"/>
      <c r="B1866" s="445"/>
      <c r="C1866" s="445"/>
      <c r="D1866" s="445"/>
      <c r="E1866" s="445" t="s">
        <v>1735</v>
      </c>
      <c r="F1866" s="506">
        <v>38.25</v>
      </c>
      <c r="G1866" s="445" t="s">
        <v>1736</v>
      </c>
      <c r="H1866" s="506">
        <v>0</v>
      </c>
      <c r="I1866" s="445" t="s">
        <v>1737</v>
      </c>
      <c r="J1866" s="506">
        <v>38.25</v>
      </c>
      <c r="K1866" s="70"/>
      <c r="L1866" s="70"/>
    </row>
    <row r="1867" spans="1:12" ht="17.25" thickBot="1" x14ac:dyDescent="0.3">
      <c r="A1867" s="445"/>
      <c r="B1867" s="445"/>
      <c r="C1867" s="445"/>
      <c r="D1867" s="445"/>
      <c r="E1867" s="445" t="s">
        <v>1738</v>
      </c>
      <c r="F1867" s="506">
        <v>201.01558399999999</v>
      </c>
      <c r="G1867" s="445"/>
      <c r="H1867" s="606" t="s">
        <v>1739</v>
      </c>
      <c r="I1867" s="606"/>
      <c r="J1867" s="506">
        <v>1016.82</v>
      </c>
      <c r="K1867" s="70"/>
      <c r="L1867" s="70"/>
    </row>
    <row r="1868" spans="1:12" ht="17.25" thickTop="1" x14ac:dyDescent="0.25">
      <c r="A1868" s="507"/>
      <c r="B1868" s="507"/>
      <c r="C1868" s="507"/>
      <c r="D1868" s="507"/>
      <c r="E1868" s="507"/>
      <c r="F1868" s="507"/>
      <c r="G1868" s="507"/>
      <c r="H1868" s="507"/>
      <c r="I1868" s="507"/>
      <c r="J1868" s="507"/>
      <c r="K1868" s="507"/>
      <c r="L1868" s="70"/>
    </row>
    <row r="1869" spans="1:12" ht="16.5" x14ac:dyDescent="0.25">
      <c r="A1869" s="419" t="s">
        <v>1592</v>
      </c>
      <c r="B1869" s="421" t="s">
        <v>76</v>
      </c>
      <c r="C1869" s="419" t="s">
        <v>991</v>
      </c>
      <c r="D1869" s="419" t="s">
        <v>191</v>
      </c>
      <c r="E1869" s="603" t="s">
        <v>77</v>
      </c>
      <c r="F1869" s="603"/>
      <c r="G1869" s="420" t="s">
        <v>103</v>
      </c>
      <c r="H1869" s="421" t="s">
        <v>147</v>
      </c>
      <c r="I1869" s="421" t="s">
        <v>1731</v>
      </c>
      <c r="J1869" s="421" t="s">
        <v>1117</v>
      </c>
      <c r="K1869" s="421" t="s">
        <v>104</v>
      </c>
      <c r="L1869" s="70"/>
    </row>
    <row r="1870" spans="1:12" ht="51" x14ac:dyDescent="0.25">
      <c r="A1870" s="441" t="s">
        <v>79</v>
      </c>
      <c r="B1870" s="480" t="s">
        <v>1593</v>
      </c>
      <c r="C1870" s="441" t="s">
        <v>1168</v>
      </c>
      <c r="D1870" s="441" t="s">
        <v>598</v>
      </c>
      <c r="E1870" s="604" t="s">
        <v>2359</v>
      </c>
      <c r="F1870" s="604"/>
      <c r="G1870" s="443" t="s">
        <v>49</v>
      </c>
      <c r="H1870" s="500">
        <v>1</v>
      </c>
      <c r="I1870" s="442"/>
      <c r="J1870" s="442">
        <v>720.28</v>
      </c>
      <c r="K1870" s="442">
        <v>720.28</v>
      </c>
      <c r="L1870" s="70"/>
    </row>
    <row r="1871" spans="1:12" ht="16.5" x14ac:dyDescent="0.25">
      <c r="A1871" s="501" t="s">
        <v>1732</v>
      </c>
      <c r="B1871" s="502" t="s">
        <v>2429</v>
      </c>
      <c r="C1871" s="501" t="s">
        <v>2108</v>
      </c>
      <c r="D1871" s="501" t="s">
        <v>2430</v>
      </c>
      <c r="E1871" s="602" t="s">
        <v>1746</v>
      </c>
      <c r="F1871" s="602"/>
      <c r="G1871" s="503" t="s">
        <v>49</v>
      </c>
      <c r="H1871" s="504">
        <v>2</v>
      </c>
      <c r="I1871" s="504"/>
      <c r="J1871" s="505">
        <v>4.7</v>
      </c>
      <c r="K1871" s="505">
        <v>9.4</v>
      </c>
      <c r="L1871" s="70"/>
    </row>
    <row r="1872" spans="1:12" ht="25.5" x14ac:dyDescent="0.25">
      <c r="A1872" s="501" t="s">
        <v>1732</v>
      </c>
      <c r="B1872" s="502" t="s">
        <v>2431</v>
      </c>
      <c r="C1872" s="501" t="s">
        <v>2108</v>
      </c>
      <c r="D1872" s="501" t="s">
        <v>2432</v>
      </c>
      <c r="E1872" s="602" t="s">
        <v>1746</v>
      </c>
      <c r="F1872" s="602"/>
      <c r="G1872" s="503" t="s">
        <v>49</v>
      </c>
      <c r="H1872" s="504">
        <v>16</v>
      </c>
      <c r="I1872" s="504"/>
      <c r="J1872" s="505">
        <v>6.21</v>
      </c>
      <c r="K1872" s="505">
        <v>99.36</v>
      </c>
      <c r="L1872" s="70"/>
    </row>
    <row r="1873" spans="1:12" ht="16.5" x14ac:dyDescent="0.25">
      <c r="A1873" s="501" t="s">
        <v>1732</v>
      </c>
      <c r="B1873" s="502" t="s">
        <v>2468</v>
      </c>
      <c r="C1873" s="501" t="s">
        <v>2108</v>
      </c>
      <c r="D1873" s="501" t="s">
        <v>2469</v>
      </c>
      <c r="E1873" s="602" t="s">
        <v>1746</v>
      </c>
      <c r="F1873" s="602"/>
      <c r="G1873" s="503" t="s">
        <v>49</v>
      </c>
      <c r="H1873" s="504">
        <v>1</v>
      </c>
      <c r="I1873" s="504"/>
      <c r="J1873" s="505">
        <v>535</v>
      </c>
      <c r="K1873" s="505">
        <v>535</v>
      </c>
      <c r="L1873" s="70"/>
    </row>
    <row r="1874" spans="1:12" ht="25.5" x14ac:dyDescent="0.25">
      <c r="A1874" s="501" t="s">
        <v>1732</v>
      </c>
      <c r="B1874" s="502" t="s">
        <v>999</v>
      </c>
      <c r="C1874" s="501" t="s">
        <v>993</v>
      </c>
      <c r="D1874" s="501" t="s">
        <v>1000</v>
      </c>
      <c r="E1874" s="602" t="s">
        <v>972</v>
      </c>
      <c r="F1874" s="602"/>
      <c r="G1874" s="503" t="s">
        <v>81</v>
      </c>
      <c r="H1874" s="504">
        <v>1.94</v>
      </c>
      <c r="I1874" s="504">
        <v>0</v>
      </c>
      <c r="J1874" s="505">
        <v>16.04</v>
      </c>
      <c r="K1874" s="505">
        <v>31.11</v>
      </c>
      <c r="L1874" s="70"/>
    </row>
    <row r="1875" spans="1:12" ht="25.5" x14ac:dyDescent="0.25">
      <c r="A1875" s="501" t="s">
        <v>1732</v>
      </c>
      <c r="B1875" s="502" t="s">
        <v>1011</v>
      </c>
      <c r="C1875" s="501" t="s">
        <v>993</v>
      </c>
      <c r="D1875" s="501" t="s">
        <v>1012</v>
      </c>
      <c r="E1875" s="602" t="s">
        <v>972</v>
      </c>
      <c r="F1875" s="602"/>
      <c r="G1875" s="503" t="s">
        <v>81</v>
      </c>
      <c r="H1875" s="504">
        <v>1.94</v>
      </c>
      <c r="I1875" s="504">
        <v>0</v>
      </c>
      <c r="J1875" s="505">
        <v>23.41</v>
      </c>
      <c r="K1875" s="505">
        <v>45.41</v>
      </c>
      <c r="L1875" s="70"/>
    </row>
    <row r="1876" spans="1:12" ht="15.75" customHeight="1" x14ac:dyDescent="0.25">
      <c r="A1876" s="445"/>
      <c r="B1876" s="445"/>
      <c r="C1876" s="445"/>
      <c r="D1876" s="445"/>
      <c r="E1876" s="445" t="s">
        <v>1735</v>
      </c>
      <c r="F1876" s="506">
        <v>76.52</v>
      </c>
      <c r="G1876" s="445" t="s">
        <v>1736</v>
      </c>
      <c r="H1876" s="506">
        <v>0</v>
      </c>
      <c r="I1876" s="445" t="s">
        <v>1737</v>
      </c>
      <c r="J1876" s="506">
        <v>76.52</v>
      </c>
      <c r="K1876" s="70"/>
      <c r="L1876" s="70"/>
    </row>
    <row r="1877" spans="1:12" ht="17.25" thickBot="1" x14ac:dyDescent="0.3">
      <c r="A1877" s="445"/>
      <c r="B1877" s="445"/>
      <c r="C1877" s="445"/>
      <c r="D1877" s="445"/>
      <c r="E1877" s="445" t="s">
        <v>1738</v>
      </c>
      <c r="F1877" s="506">
        <v>177.476992</v>
      </c>
      <c r="G1877" s="445"/>
      <c r="H1877" s="606" t="s">
        <v>1739</v>
      </c>
      <c r="I1877" s="606"/>
      <c r="J1877" s="506">
        <v>897.75</v>
      </c>
      <c r="K1877" s="70"/>
      <c r="L1877" s="70"/>
    </row>
    <row r="1878" spans="1:12" ht="17.25" thickTop="1" x14ac:dyDescent="0.25">
      <c r="A1878" s="507"/>
      <c r="B1878" s="507"/>
      <c r="C1878" s="507"/>
      <c r="D1878" s="507"/>
      <c r="E1878" s="507"/>
      <c r="F1878" s="507"/>
      <c r="G1878" s="507"/>
      <c r="H1878" s="507"/>
      <c r="I1878" s="507"/>
      <c r="J1878" s="507"/>
      <c r="K1878" s="507"/>
      <c r="L1878" s="70"/>
    </row>
    <row r="1879" spans="1:12" ht="16.5" x14ac:dyDescent="0.25">
      <c r="A1879" s="419" t="s">
        <v>1594</v>
      </c>
      <c r="B1879" s="421" t="s">
        <v>76</v>
      </c>
      <c r="C1879" s="419" t="s">
        <v>991</v>
      </c>
      <c r="D1879" s="419" t="s">
        <v>191</v>
      </c>
      <c r="E1879" s="603" t="s">
        <v>77</v>
      </c>
      <c r="F1879" s="603"/>
      <c r="G1879" s="420" t="s">
        <v>103</v>
      </c>
      <c r="H1879" s="421" t="s">
        <v>147</v>
      </c>
      <c r="I1879" s="421" t="s">
        <v>1731</v>
      </c>
      <c r="J1879" s="421" t="s">
        <v>1117</v>
      </c>
      <c r="K1879" s="421" t="s">
        <v>104</v>
      </c>
      <c r="L1879" s="70"/>
    </row>
    <row r="1880" spans="1:12" ht="25.5" x14ac:dyDescent="0.25">
      <c r="A1880" s="441" t="s">
        <v>79</v>
      </c>
      <c r="B1880" s="480" t="s">
        <v>1595</v>
      </c>
      <c r="C1880" s="441" t="s">
        <v>1168</v>
      </c>
      <c r="D1880" s="441" t="s">
        <v>599</v>
      </c>
      <c r="E1880" s="604">
        <v>221</v>
      </c>
      <c r="F1880" s="604"/>
      <c r="G1880" s="443" t="s">
        <v>49</v>
      </c>
      <c r="H1880" s="500">
        <v>1</v>
      </c>
      <c r="I1880" s="442"/>
      <c r="J1880" s="442">
        <v>599.49</v>
      </c>
      <c r="K1880" s="442">
        <v>599.49</v>
      </c>
      <c r="L1880" s="70"/>
    </row>
    <row r="1881" spans="1:12" ht="16.5" x14ac:dyDescent="0.25">
      <c r="A1881" s="501" t="s">
        <v>1732</v>
      </c>
      <c r="B1881" s="502" t="s">
        <v>2470</v>
      </c>
      <c r="C1881" s="501" t="s">
        <v>575</v>
      </c>
      <c r="D1881" s="501" t="s">
        <v>2471</v>
      </c>
      <c r="E1881" s="602" t="s">
        <v>1746</v>
      </c>
      <c r="F1881" s="602"/>
      <c r="G1881" s="503" t="s">
        <v>49</v>
      </c>
      <c r="H1881" s="504">
        <v>1</v>
      </c>
      <c r="I1881" s="504"/>
      <c r="J1881" s="505">
        <v>595.88</v>
      </c>
      <c r="K1881" s="505">
        <v>595.88</v>
      </c>
      <c r="L1881" s="70"/>
    </row>
    <row r="1882" spans="1:12" ht="25.5" x14ac:dyDescent="0.25">
      <c r="A1882" s="501" t="s">
        <v>1732</v>
      </c>
      <c r="B1882" s="502" t="s">
        <v>999</v>
      </c>
      <c r="C1882" s="501" t="s">
        <v>993</v>
      </c>
      <c r="D1882" s="501" t="s">
        <v>1000</v>
      </c>
      <c r="E1882" s="602" t="s">
        <v>972</v>
      </c>
      <c r="F1882" s="602"/>
      <c r="G1882" s="503" t="s">
        <v>81</v>
      </c>
      <c r="H1882" s="504">
        <v>0.1104</v>
      </c>
      <c r="I1882" s="504">
        <v>0</v>
      </c>
      <c r="J1882" s="505">
        <v>16.04</v>
      </c>
      <c r="K1882" s="505">
        <v>1.77</v>
      </c>
      <c r="L1882" s="70"/>
    </row>
    <row r="1883" spans="1:12" ht="25.5" x14ac:dyDescent="0.25">
      <c r="A1883" s="501" t="s">
        <v>1732</v>
      </c>
      <c r="B1883" s="502" t="s">
        <v>1011</v>
      </c>
      <c r="C1883" s="501" t="s">
        <v>993</v>
      </c>
      <c r="D1883" s="501" t="s">
        <v>1012</v>
      </c>
      <c r="E1883" s="602" t="s">
        <v>972</v>
      </c>
      <c r="F1883" s="602"/>
      <c r="G1883" s="503" t="s">
        <v>81</v>
      </c>
      <c r="H1883" s="504">
        <v>5.5100000000000003E-2</v>
      </c>
      <c r="I1883" s="504">
        <v>0</v>
      </c>
      <c r="J1883" s="505">
        <v>23.41</v>
      </c>
      <c r="K1883" s="505">
        <v>1.28</v>
      </c>
      <c r="L1883" s="70"/>
    </row>
    <row r="1884" spans="1:12" ht="25.5" x14ac:dyDescent="0.25">
      <c r="A1884" s="501" t="s">
        <v>1732</v>
      </c>
      <c r="B1884" s="502" t="s">
        <v>2472</v>
      </c>
      <c r="C1884" s="501" t="s">
        <v>1115</v>
      </c>
      <c r="D1884" s="501" t="s">
        <v>2473</v>
      </c>
      <c r="E1884" s="602" t="s">
        <v>1746</v>
      </c>
      <c r="F1884" s="602"/>
      <c r="G1884" s="503" t="s">
        <v>264</v>
      </c>
      <c r="H1884" s="504">
        <v>1.2999999999999999E-2</v>
      </c>
      <c r="I1884" s="504">
        <v>0</v>
      </c>
      <c r="J1884" s="505">
        <v>43.42</v>
      </c>
      <c r="K1884" s="505">
        <v>0.56000000000000005</v>
      </c>
      <c r="L1884" s="70"/>
    </row>
    <row r="1885" spans="1:12" ht="15.75" customHeight="1" x14ac:dyDescent="0.25">
      <c r="A1885" s="445"/>
      <c r="B1885" s="445"/>
      <c r="C1885" s="445"/>
      <c r="D1885" s="445"/>
      <c r="E1885" s="445" t="s">
        <v>1735</v>
      </c>
      <c r="F1885" s="506">
        <v>3.05</v>
      </c>
      <c r="G1885" s="445" t="s">
        <v>1736</v>
      </c>
      <c r="H1885" s="506">
        <v>0</v>
      </c>
      <c r="I1885" s="445" t="s">
        <v>1737</v>
      </c>
      <c r="J1885" s="506">
        <v>3.05</v>
      </c>
      <c r="K1885" s="70"/>
      <c r="L1885" s="70"/>
    </row>
    <row r="1886" spans="1:12" ht="17.25" thickBot="1" x14ac:dyDescent="0.3">
      <c r="A1886" s="445"/>
      <c r="B1886" s="445"/>
      <c r="C1886" s="445"/>
      <c r="D1886" s="445"/>
      <c r="E1886" s="445" t="s">
        <v>1738</v>
      </c>
      <c r="F1886" s="506">
        <v>147.714336</v>
      </c>
      <c r="G1886" s="445"/>
      <c r="H1886" s="606" t="s">
        <v>1739</v>
      </c>
      <c r="I1886" s="606"/>
      <c r="J1886" s="506">
        <v>747.2</v>
      </c>
      <c r="K1886" s="70"/>
      <c r="L1886" s="70"/>
    </row>
    <row r="1887" spans="1:12" ht="17.25" thickTop="1" x14ac:dyDescent="0.25">
      <c r="A1887" s="507"/>
      <c r="B1887" s="507"/>
      <c r="C1887" s="507"/>
      <c r="D1887" s="507"/>
      <c r="E1887" s="507"/>
      <c r="F1887" s="507"/>
      <c r="G1887" s="507"/>
      <c r="H1887" s="507"/>
      <c r="I1887" s="507"/>
      <c r="J1887" s="507"/>
      <c r="K1887" s="507"/>
      <c r="L1887" s="70"/>
    </row>
    <row r="1888" spans="1:12" ht="16.5" x14ac:dyDescent="0.25">
      <c r="A1888" s="419" t="s">
        <v>1596</v>
      </c>
      <c r="B1888" s="421" t="s">
        <v>76</v>
      </c>
      <c r="C1888" s="419" t="s">
        <v>991</v>
      </c>
      <c r="D1888" s="419" t="s">
        <v>191</v>
      </c>
      <c r="E1888" s="603" t="s">
        <v>77</v>
      </c>
      <c r="F1888" s="603"/>
      <c r="G1888" s="420" t="s">
        <v>103</v>
      </c>
      <c r="H1888" s="421" t="s">
        <v>147</v>
      </c>
      <c r="I1888" s="421" t="s">
        <v>1731</v>
      </c>
      <c r="J1888" s="421" t="s">
        <v>1117</v>
      </c>
      <c r="K1888" s="421" t="s">
        <v>104</v>
      </c>
      <c r="L1888" s="70"/>
    </row>
    <row r="1889" spans="1:12" ht="25.5" x14ac:dyDescent="0.25">
      <c r="A1889" s="441" t="s">
        <v>79</v>
      </c>
      <c r="B1889" s="480" t="s">
        <v>1597</v>
      </c>
      <c r="C1889" s="441" t="s">
        <v>1168</v>
      </c>
      <c r="D1889" s="441" t="s">
        <v>600</v>
      </c>
      <c r="E1889" s="604" t="s">
        <v>2359</v>
      </c>
      <c r="F1889" s="604"/>
      <c r="G1889" s="443" t="s">
        <v>49</v>
      </c>
      <c r="H1889" s="500">
        <v>1</v>
      </c>
      <c r="I1889" s="442"/>
      <c r="J1889" s="442">
        <v>2699.96</v>
      </c>
      <c r="K1889" s="442">
        <v>2699.96</v>
      </c>
      <c r="L1889" s="70"/>
    </row>
    <row r="1890" spans="1:12" ht="16.5" x14ac:dyDescent="0.25">
      <c r="A1890" s="501" t="s">
        <v>1732</v>
      </c>
      <c r="B1890" s="502" t="s">
        <v>2474</v>
      </c>
      <c r="C1890" s="501" t="s">
        <v>2108</v>
      </c>
      <c r="D1890" s="501" t="s">
        <v>2475</v>
      </c>
      <c r="E1890" s="602" t="s">
        <v>1746</v>
      </c>
      <c r="F1890" s="602"/>
      <c r="G1890" s="503" t="s">
        <v>49</v>
      </c>
      <c r="H1890" s="504">
        <v>1</v>
      </c>
      <c r="I1890" s="504"/>
      <c r="J1890" s="505">
        <v>2633.38</v>
      </c>
      <c r="K1890" s="505">
        <v>2633.38</v>
      </c>
      <c r="L1890" s="70"/>
    </row>
    <row r="1891" spans="1:12" ht="25.5" x14ac:dyDescent="0.25">
      <c r="A1891" s="501" t="s">
        <v>1732</v>
      </c>
      <c r="B1891" s="502" t="s">
        <v>999</v>
      </c>
      <c r="C1891" s="501" t="s">
        <v>993</v>
      </c>
      <c r="D1891" s="501" t="s">
        <v>1000</v>
      </c>
      <c r="E1891" s="602" t="s">
        <v>972</v>
      </c>
      <c r="F1891" s="602"/>
      <c r="G1891" s="503" t="s">
        <v>81</v>
      </c>
      <c r="H1891" s="504">
        <v>2.4</v>
      </c>
      <c r="I1891" s="504">
        <v>0</v>
      </c>
      <c r="J1891" s="505">
        <v>16.04</v>
      </c>
      <c r="K1891" s="505">
        <v>38.49</v>
      </c>
      <c r="L1891" s="70"/>
    </row>
    <row r="1892" spans="1:12" ht="25.5" x14ac:dyDescent="0.25">
      <c r="A1892" s="501" t="s">
        <v>1732</v>
      </c>
      <c r="B1892" s="502" t="s">
        <v>1011</v>
      </c>
      <c r="C1892" s="501" t="s">
        <v>993</v>
      </c>
      <c r="D1892" s="501" t="s">
        <v>1012</v>
      </c>
      <c r="E1892" s="602" t="s">
        <v>972</v>
      </c>
      <c r="F1892" s="602"/>
      <c r="G1892" s="503" t="s">
        <v>81</v>
      </c>
      <c r="H1892" s="504">
        <v>1.2</v>
      </c>
      <c r="I1892" s="504">
        <v>0</v>
      </c>
      <c r="J1892" s="505">
        <v>23.41</v>
      </c>
      <c r="K1892" s="505">
        <v>28.09</v>
      </c>
      <c r="L1892" s="70"/>
    </row>
    <row r="1893" spans="1:12" ht="15.75" customHeight="1" x14ac:dyDescent="0.25">
      <c r="A1893" s="445"/>
      <c r="B1893" s="445"/>
      <c r="C1893" s="445"/>
      <c r="D1893" s="445"/>
      <c r="E1893" s="445" t="s">
        <v>1735</v>
      </c>
      <c r="F1893" s="506">
        <v>66.58</v>
      </c>
      <c r="G1893" s="445" t="s">
        <v>1736</v>
      </c>
      <c r="H1893" s="506">
        <v>0</v>
      </c>
      <c r="I1893" s="445" t="s">
        <v>1737</v>
      </c>
      <c r="J1893" s="506">
        <v>66.58</v>
      </c>
      <c r="K1893" s="70"/>
      <c r="L1893" s="70"/>
    </row>
    <row r="1894" spans="1:12" ht="17.25" thickBot="1" x14ac:dyDescent="0.3">
      <c r="A1894" s="445"/>
      <c r="B1894" s="445"/>
      <c r="C1894" s="445"/>
      <c r="D1894" s="445"/>
      <c r="E1894" s="445" t="s">
        <v>1738</v>
      </c>
      <c r="F1894" s="506">
        <v>665.27014399999996</v>
      </c>
      <c r="G1894" s="445"/>
      <c r="H1894" s="606" t="s">
        <v>1739</v>
      </c>
      <c r="I1894" s="606"/>
      <c r="J1894" s="506">
        <v>3365.23</v>
      </c>
      <c r="K1894" s="70"/>
      <c r="L1894" s="70"/>
    </row>
    <row r="1895" spans="1:12" ht="17.25" thickTop="1" x14ac:dyDescent="0.25">
      <c r="A1895" s="507"/>
      <c r="B1895" s="507"/>
      <c r="C1895" s="507"/>
      <c r="D1895" s="507"/>
      <c r="E1895" s="507"/>
      <c r="F1895" s="507"/>
      <c r="G1895" s="507"/>
      <c r="H1895" s="507"/>
      <c r="I1895" s="507"/>
      <c r="J1895" s="507"/>
      <c r="K1895" s="507"/>
      <c r="L1895" s="70"/>
    </row>
    <row r="1896" spans="1:12" ht="16.5" x14ac:dyDescent="0.25">
      <c r="A1896" s="419" t="s">
        <v>1598</v>
      </c>
      <c r="B1896" s="421" t="s">
        <v>76</v>
      </c>
      <c r="C1896" s="419" t="s">
        <v>991</v>
      </c>
      <c r="D1896" s="419" t="s">
        <v>191</v>
      </c>
      <c r="E1896" s="603" t="s">
        <v>77</v>
      </c>
      <c r="F1896" s="603"/>
      <c r="G1896" s="420" t="s">
        <v>103</v>
      </c>
      <c r="H1896" s="421" t="s">
        <v>147</v>
      </c>
      <c r="I1896" s="421" t="s">
        <v>1731</v>
      </c>
      <c r="J1896" s="421" t="s">
        <v>1117</v>
      </c>
      <c r="K1896" s="421" t="s">
        <v>104</v>
      </c>
      <c r="L1896" s="70"/>
    </row>
    <row r="1897" spans="1:12" ht="51" x14ac:dyDescent="0.25">
      <c r="A1897" s="441" t="s">
        <v>79</v>
      </c>
      <c r="B1897" s="480" t="s">
        <v>1599</v>
      </c>
      <c r="C1897" s="441" t="s">
        <v>1168</v>
      </c>
      <c r="D1897" s="441" t="s">
        <v>601</v>
      </c>
      <c r="E1897" s="604" t="s">
        <v>2359</v>
      </c>
      <c r="F1897" s="604"/>
      <c r="G1897" s="443" t="s">
        <v>49</v>
      </c>
      <c r="H1897" s="500">
        <v>1</v>
      </c>
      <c r="I1897" s="442"/>
      <c r="J1897" s="442">
        <v>798.52</v>
      </c>
      <c r="K1897" s="442">
        <v>798.52</v>
      </c>
      <c r="L1897" s="70"/>
    </row>
    <row r="1898" spans="1:12" ht="16.5" x14ac:dyDescent="0.25">
      <c r="A1898" s="501" t="s">
        <v>1732</v>
      </c>
      <c r="B1898" s="502" t="s">
        <v>2476</v>
      </c>
      <c r="C1898" s="501" t="s">
        <v>2108</v>
      </c>
      <c r="D1898" s="501" t="s">
        <v>2477</v>
      </c>
      <c r="E1898" s="602" t="s">
        <v>1746</v>
      </c>
      <c r="F1898" s="602"/>
      <c r="G1898" s="503" t="s">
        <v>49</v>
      </c>
      <c r="H1898" s="504">
        <v>1</v>
      </c>
      <c r="I1898" s="504"/>
      <c r="J1898" s="505">
        <v>722</v>
      </c>
      <c r="K1898" s="505">
        <v>722</v>
      </c>
      <c r="L1898" s="70"/>
    </row>
    <row r="1899" spans="1:12" ht="25.5" x14ac:dyDescent="0.25">
      <c r="A1899" s="501" t="s">
        <v>1732</v>
      </c>
      <c r="B1899" s="502" t="s">
        <v>999</v>
      </c>
      <c r="C1899" s="501" t="s">
        <v>993</v>
      </c>
      <c r="D1899" s="501" t="s">
        <v>1000</v>
      </c>
      <c r="E1899" s="602" t="s">
        <v>972</v>
      </c>
      <c r="F1899" s="602"/>
      <c r="G1899" s="503" t="s">
        <v>81</v>
      </c>
      <c r="H1899" s="504">
        <v>1.94</v>
      </c>
      <c r="I1899" s="504">
        <v>0</v>
      </c>
      <c r="J1899" s="505">
        <v>16.04</v>
      </c>
      <c r="K1899" s="505">
        <v>31.11</v>
      </c>
      <c r="L1899" s="70"/>
    </row>
    <row r="1900" spans="1:12" ht="25.5" x14ac:dyDescent="0.25">
      <c r="A1900" s="501" t="s">
        <v>1732</v>
      </c>
      <c r="B1900" s="502" t="s">
        <v>1011</v>
      </c>
      <c r="C1900" s="501" t="s">
        <v>993</v>
      </c>
      <c r="D1900" s="501" t="s">
        <v>1012</v>
      </c>
      <c r="E1900" s="602" t="s">
        <v>972</v>
      </c>
      <c r="F1900" s="602"/>
      <c r="G1900" s="503" t="s">
        <v>81</v>
      </c>
      <c r="H1900" s="504">
        <v>1.94</v>
      </c>
      <c r="I1900" s="504">
        <v>0</v>
      </c>
      <c r="J1900" s="505">
        <v>23.41</v>
      </c>
      <c r="K1900" s="505">
        <v>45.41</v>
      </c>
      <c r="L1900" s="70"/>
    </row>
    <row r="1901" spans="1:12" ht="15.75" customHeight="1" x14ac:dyDescent="0.25">
      <c r="A1901" s="445"/>
      <c r="B1901" s="445"/>
      <c r="C1901" s="445"/>
      <c r="D1901" s="445"/>
      <c r="E1901" s="445" t="s">
        <v>1735</v>
      </c>
      <c r="F1901" s="506">
        <v>76.52</v>
      </c>
      <c r="G1901" s="445" t="s">
        <v>1736</v>
      </c>
      <c r="H1901" s="506">
        <v>0</v>
      </c>
      <c r="I1901" s="445" t="s">
        <v>1737</v>
      </c>
      <c r="J1901" s="506">
        <v>76.52</v>
      </c>
      <c r="K1901" s="70"/>
      <c r="L1901" s="70"/>
    </row>
    <row r="1902" spans="1:12" ht="17.25" thickBot="1" x14ac:dyDescent="0.3">
      <c r="A1902" s="445"/>
      <c r="B1902" s="445"/>
      <c r="C1902" s="445"/>
      <c r="D1902" s="445"/>
      <c r="E1902" s="445" t="s">
        <v>1738</v>
      </c>
      <c r="F1902" s="506">
        <v>196.75532799999999</v>
      </c>
      <c r="G1902" s="445"/>
      <c r="H1902" s="606" t="s">
        <v>1739</v>
      </c>
      <c r="I1902" s="606"/>
      <c r="J1902" s="506">
        <v>995.27</v>
      </c>
      <c r="K1902" s="70"/>
      <c r="L1902" s="70"/>
    </row>
    <row r="1903" spans="1:12" ht="17.25" thickTop="1" x14ac:dyDescent="0.25">
      <c r="A1903" s="507"/>
      <c r="B1903" s="507"/>
      <c r="C1903" s="507"/>
      <c r="D1903" s="507"/>
      <c r="E1903" s="507"/>
      <c r="F1903" s="507"/>
      <c r="G1903" s="507"/>
      <c r="H1903" s="507"/>
      <c r="I1903" s="507"/>
      <c r="J1903" s="507"/>
      <c r="K1903" s="507"/>
      <c r="L1903" s="70"/>
    </row>
    <row r="1904" spans="1:12" ht="25.5" customHeight="1" x14ac:dyDescent="0.25">
      <c r="A1904" s="419" t="s">
        <v>1600</v>
      </c>
      <c r="B1904" s="421" t="s">
        <v>76</v>
      </c>
      <c r="C1904" s="419" t="s">
        <v>991</v>
      </c>
      <c r="D1904" s="419" t="s">
        <v>191</v>
      </c>
      <c r="E1904" s="603" t="s">
        <v>77</v>
      </c>
      <c r="F1904" s="603"/>
      <c r="G1904" s="420" t="s">
        <v>103</v>
      </c>
      <c r="H1904" s="421" t="s">
        <v>147</v>
      </c>
      <c r="I1904" s="421" t="s">
        <v>1731</v>
      </c>
      <c r="J1904" s="421" t="s">
        <v>1117</v>
      </c>
      <c r="K1904" s="421" t="s">
        <v>104</v>
      </c>
      <c r="L1904" s="70"/>
    </row>
    <row r="1905" spans="1:12" ht="25.5" x14ac:dyDescent="0.25">
      <c r="A1905" s="441" t="s">
        <v>79</v>
      </c>
      <c r="B1905" s="480" t="s">
        <v>1601</v>
      </c>
      <c r="C1905" s="441" t="s">
        <v>1168</v>
      </c>
      <c r="D1905" s="441" t="s">
        <v>603</v>
      </c>
      <c r="E1905" s="604" t="s">
        <v>2478</v>
      </c>
      <c r="F1905" s="604"/>
      <c r="G1905" s="443" t="s">
        <v>38</v>
      </c>
      <c r="H1905" s="500">
        <v>1</v>
      </c>
      <c r="I1905" s="442"/>
      <c r="J1905" s="442">
        <v>356.18</v>
      </c>
      <c r="K1905" s="442">
        <v>356.18</v>
      </c>
      <c r="L1905" s="70"/>
    </row>
    <row r="1906" spans="1:12" ht="16.5" x14ac:dyDescent="0.25">
      <c r="A1906" s="501" t="s">
        <v>1732</v>
      </c>
      <c r="B1906" s="502" t="s">
        <v>2479</v>
      </c>
      <c r="C1906" s="501" t="s">
        <v>2448</v>
      </c>
      <c r="D1906" s="501" t="s">
        <v>2480</v>
      </c>
      <c r="E1906" s="602" t="s">
        <v>1746</v>
      </c>
      <c r="F1906" s="602"/>
      <c r="G1906" s="503" t="s">
        <v>38</v>
      </c>
      <c r="H1906" s="504">
        <v>1</v>
      </c>
      <c r="I1906" s="504"/>
      <c r="J1906" s="505">
        <v>287.64</v>
      </c>
      <c r="K1906" s="505">
        <v>287.64</v>
      </c>
      <c r="L1906" s="70"/>
    </row>
    <row r="1907" spans="1:12" ht="16.5" x14ac:dyDescent="0.25">
      <c r="A1907" s="501" t="s">
        <v>1732</v>
      </c>
      <c r="B1907" s="502" t="s">
        <v>2481</v>
      </c>
      <c r="C1907" s="501" t="s">
        <v>2448</v>
      </c>
      <c r="D1907" s="501" t="s">
        <v>2482</v>
      </c>
      <c r="E1907" s="602" t="s">
        <v>1746</v>
      </c>
      <c r="F1907" s="602"/>
      <c r="G1907" s="503" t="s">
        <v>264</v>
      </c>
      <c r="H1907" s="504">
        <v>1.6400000000000001E-2</v>
      </c>
      <c r="I1907" s="504"/>
      <c r="J1907" s="505">
        <v>39.32</v>
      </c>
      <c r="K1907" s="505">
        <v>0.64</v>
      </c>
      <c r="L1907" s="70"/>
    </row>
    <row r="1908" spans="1:12" ht="16.5" x14ac:dyDescent="0.25">
      <c r="A1908" s="501" t="s">
        <v>1732</v>
      </c>
      <c r="B1908" s="502" t="s">
        <v>2483</v>
      </c>
      <c r="C1908" s="501" t="s">
        <v>2448</v>
      </c>
      <c r="D1908" s="501" t="s">
        <v>2484</v>
      </c>
      <c r="E1908" s="602" t="s">
        <v>1746</v>
      </c>
      <c r="F1908" s="602"/>
      <c r="G1908" s="503" t="s">
        <v>38</v>
      </c>
      <c r="H1908" s="504">
        <v>1</v>
      </c>
      <c r="I1908" s="504"/>
      <c r="J1908" s="505">
        <v>17.41</v>
      </c>
      <c r="K1908" s="505">
        <v>17.41</v>
      </c>
      <c r="L1908" s="70"/>
    </row>
    <row r="1909" spans="1:12" ht="25.5" x14ac:dyDescent="0.25">
      <c r="A1909" s="501" t="s">
        <v>1732</v>
      </c>
      <c r="B1909" s="502" t="s">
        <v>1011</v>
      </c>
      <c r="C1909" s="501" t="s">
        <v>993</v>
      </c>
      <c r="D1909" s="501" t="s">
        <v>1012</v>
      </c>
      <c r="E1909" s="602" t="s">
        <v>972</v>
      </c>
      <c r="F1909" s="602"/>
      <c r="G1909" s="503" t="s">
        <v>81</v>
      </c>
      <c r="H1909" s="504">
        <v>1.28</v>
      </c>
      <c r="I1909" s="504">
        <v>0</v>
      </c>
      <c r="J1909" s="505">
        <v>23.41</v>
      </c>
      <c r="K1909" s="505">
        <v>29.96</v>
      </c>
      <c r="L1909" s="70"/>
    </row>
    <row r="1910" spans="1:12" ht="25.5" x14ac:dyDescent="0.25">
      <c r="A1910" s="501" t="s">
        <v>1732</v>
      </c>
      <c r="B1910" s="502" t="s">
        <v>999</v>
      </c>
      <c r="C1910" s="501" t="s">
        <v>993</v>
      </c>
      <c r="D1910" s="501" t="s">
        <v>1000</v>
      </c>
      <c r="E1910" s="602" t="s">
        <v>972</v>
      </c>
      <c r="F1910" s="602"/>
      <c r="G1910" s="503" t="s">
        <v>81</v>
      </c>
      <c r="H1910" s="504">
        <v>1.28</v>
      </c>
      <c r="I1910" s="504">
        <v>0</v>
      </c>
      <c r="J1910" s="505">
        <v>16.04</v>
      </c>
      <c r="K1910" s="505">
        <v>20.53</v>
      </c>
      <c r="L1910" s="70"/>
    </row>
    <row r="1911" spans="1:12" ht="15.75" customHeight="1" x14ac:dyDescent="0.25">
      <c r="A1911" s="445"/>
      <c r="B1911" s="445"/>
      <c r="C1911" s="445"/>
      <c r="D1911" s="445"/>
      <c r="E1911" s="445" t="s">
        <v>1735</v>
      </c>
      <c r="F1911" s="506">
        <v>50.49</v>
      </c>
      <c r="G1911" s="445" t="s">
        <v>1736</v>
      </c>
      <c r="H1911" s="506">
        <v>0</v>
      </c>
      <c r="I1911" s="445" t="s">
        <v>1737</v>
      </c>
      <c r="J1911" s="506">
        <v>50.49</v>
      </c>
      <c r="K1911" s="70"/>
      <c r="L1911" s="70"/>
    </row>
    <row r="1912" spans="1:12" ht="17.25" thickBot="1" x14ac:dyDescent="0.3">
      <c r="A1912" s="445"/>
      <c r="B1912" s="445"/>
      <c r="C1912" s="445"/>
      <c r="D1912" s="445"/>
      <c r="E1912" s="445" t="s">
        <v>1738</v>
      </c>
      <c r="F1912" s="506">
        <v>87.762752000000006</v>
      </c>
      <c r="G1912" s="445"/>
      <c r="H1912" s="606" t="s">
        <v>1739</v>
      </c>
      <c r="I1912" s="606"/>
      <c r="J1912" s="506">
        <v>443.94</v>
      </c>
      <c r="K1912" s="70"/>
      <c r="L1912" s="70"/>
    </row>
    <row r="1913" spans="1:12" ht="17.25" thickTop="1" x14ac:dyDescent="0.25">
      <c r="A1913" s="507"/>
      <c r="B1913" s="507"/>
      <c r="C1913" s="507"/>
      <c r="D1913" s="507"/>
      <c r="E1913" s="507"/>
      <c r="F1913" s="507"/>
      <c r="G1913" s="507"/>
      <c r="H1913" s="507"/>
      <c r="I1913" s="507"/>
      <c r="J1913" s="507"/>
      <c r="K1913" s="507"/>
      <c r="L1913" s="70"/>
    </row>
    <row r="1914" spans="1:12" ht="16.5" x14ac:dyDescent="0.25">
      <c r="A1914" s="419" t="s">
        <v>1602</v>
      </c>
      <c r="B1914" s="421" t="s">
        <v>76</v>
      </c>
      <c r="C1914" s="419" t="s">
        <v>991</v>
      </c>
      <c r="D1914" s="419" t="s">
        <v>191</v>
      </c>
      <c r="E1914" s="603" t="s">
        <v>77</v>
      </c>
      <c r="F1914" s="603"/>
      <c r="G1914" s="420" t="s">
        <v>103</v>
      </c>
      <c r="H1914" s="421" t="s">
        <v>147</v>
      </c>
      <c r="I1914" s="421" t="s">
        <v>1731</v>
      </c>
      <c r="J1914" s="421" t="s">
        <v>1117</v>
      </c>
      <c r="K1914" s="421" t="s">
        <v>104</v>
      </c>
      <c r="L1914" s="70"/>
    </row>
    <row r="1915" spans="1:12" ht="38.25" x14ac:dyDescent="0.25">
      <c r="A1915" s="441" t="s">
        <v>79</v>
      </c>
      <c r="B1915" s="480" t="s">
        <v>1603</v>
      </c>
      <c r="C1915" s="441" t="s">
        <v>1168</v>
      </c>
      <c r="D1915" s="441" t="s">
        <v>604</v>
      </c>
      <c r="E1915" s="604" t="s">
        <v>2359</v>
      </c>
      <c r="F1915" s="604"/>
      <c r="G1915" s="443" t="s">
        <v>41</v>
      </c>
      <c r="H1915" s="500">
        <v>1</v>
      </c>
      <c r="I1915" s="442"/>
      <c r="J1915" s="442">
        <v>96</v>
      </c>
      <c r="K1915" s="442">
        <v>96</v>
      </c>
      <c r="L1915" s="70"/>
    </row>
    <row r="1916" spans="1:12" ht="16.5" x14ac:dyDescent="0.25">
      <c r="A1916" s="501" t="s">
        <v>1732</v>
      </c>
      <c r="B1916" s="502" t="s">
        <v>2485</v>
      </c>
      <c r="C1916" s="501" t="s">
        <v>2108</v>
      </c>
      <c r="D1916" s="501" t="s">
        <v>2486</v>
      </c>
      <c r="E1916" s="602" t="s">
        <v>1746</v>
      </c>
      <c r="F1916" s="602"/>
      <c r="G1916" s="503" t="s">
        <v>49</v>
      </c>
      <c r="H1916" s="504">
        <v>0.16700000000000001</v>
      </c>
      <c r="I1916" s="504"/>
      <c r="J1916" s="505">
        <v>6.9</v>
      </c>
      <c r="K1916" s="505">
        <v>1.1499999999999999</v>
      </c>
      <c r="L1916" s="70"/>
    </row>
    <row r="1917" spans="1:12" ht="25.5" x14ac:dyDescent="0.25">
      <c r="A1917" s="501" t="s">
        <v>1732</v>
      </c>
      <c r="B1917" s="502" t="s">
        <v>2487</v>
      </c>
      <c r="C1917" s="501" t="s">
        <v>2108</v>
      </c>
      <c r="D1917" s="501" t="s">
        <v>2488</v>
      </c>
      <c r="E1917" s="602" t="s">
        <v>1746</v>
      </c>
      <c r="F1917" s="602"/>
      <c r="G1917" s="503" t="s">
        <v>41</v>
      </c>
      <c r="H1917" s="504">
        <v>1</v>
      </c>
      <c r="I1917" s="504"/>
      <c r="J1917" s="505">
        <v>88.94</v>
      </c>
      <c r="K1917" s="505">
        <v>88.94</v>
      </c>
      <c r="L1917" s="70"/>
    </row>
    <row r="1918" spans="1:12" ht="25.5" x14ac:dyDescent="0.25">
      <c r="A1918" s="501" t="s">
        <v>1732</v>
      </c>
      <c r="B1918" s="502" t="s">
        <v>1011</v>
      </c>
      <c r="C1918" s="501" t="s">
        <v>993</v>
      </c>
      <c r="D1918" s="501" t="s">
        <v>1012</v>
      </c>
      <c r="E1918" s="602" t="s">
        <v>972</v>
      </c>
      <c r="F1918" s="602"/>
      <c r="G1918" s="503" t="s">
        <v>81</v>
      </c>
      <c r="H1918" s="504">
        <v>0.15</v>
      </c>
      <c r="I1918" s="504">
        <v>0</v>
      </c>
      <c r="J1918" s="505">
        <v>23.41</v>
      </c>
      <c r="K1918" s="505">
        <v>3.51</v>
      </c>
      <c r="L1918" s="70"/>
    </row>
    <row r="1919" spans="1:12" ht="25.5" x14ac:dyDescent="0.25">
      <c r="A1919" s="501" t="s">
        <v>1732</v>
      </c>
      <c r="B1919" s="502" t="s">
        <v>999</v>
      </c>
      <c r="C1919" s="501" t="s">
        <v>993</v>
      </c>
      <c r="D1919" s="501" t="s">
        <v>1000</v>
      </c>
      <c r="E1919" s="602" t="s">
        <v>972</v>
      </c>
      <c r="F1919" s="602"/>
      <c r="G1919" s="503" t="s">
        <v>81</v>
      </c>
      <c r="H1919" s="504">
        <v>0.15</v>
      </c>
      <c r="I1919" s="504">
        <v>0</v>
      </c>
      <c r="J1919" s="505">
        <v>16.04</v>
      </c>
      <c r="K1919" s="505">
        <v>2.4</v>
      </c>
      <c r="L1919" s="70"/>
    </row>
    <row r="1920" spans="1:12" ht="15.75" customHeight="1" x14ac:dyDescent="0.25">
      <c r="A1920" s="445"/>
      <c r="B1920" s="445"/>
      <c r="C1920" s="445"/>
      <c r="D1920" s="445"/>
      <c r="E1920" s="445" t="s">
        <v>1735</v>
      </c>
      <c r="F1920" s="506">
        <v>5.91</v>
      </c>
      <c r="G1920" s="445" t="s">
        <v>1736</v>
      </c>
      <c r="H1920" s="506">
        <v>0</v>
      </c>
      <c r="I1920" s="445" t="s">
        <v>1737</v>
      </c>
      <c r="J1920" s="506">
        <v>5.91</v>
      </c>
      <c r="K1920" s="70"/>
      <c r="L1920" s="70"/>
    </row>
    <row r="1921" spans="1:12" ht="17.25" thickBot="1" x14ac:dyDescent="0.3">
      <c r="A1921" s="445"/>
      <c r="B1921" s="445"/>
      <c r="C1921" s="445"/>
      <c r="D1921" s="445"/>
      <c r="E1921" s="445" t="s">
        <v>1738</v>
      </c>
      <c r="F1921" s="506">
        <v>23.654399999999999</v>
      </c>
      <c r="G1921" s="445"/>
      <c r="H1921" s="606" t="s">
        <v>1739</v>
      </c>
      <c r="I1921" s="606"/>
      <c r="J1921" s="506">
        <v>119.65</v>
      </c>
      <c r="K1921" s="70"/>
      <c r="L1921" s="70"/>
    </row>
    <row r="1922" spans="1:12" ht="17.25" thickTop="1" x14ac:dyDescent="0.25">
      <c r="A1922" s="507"/>
      <c r="B1922" s="507"/>
      <c r="C1922" s="507"/>
      <c r="D1922" s="507"/>
      <c r="E1922" s="507"/>
      <c r="F1922" s="507"/>
      <c r="G1922" s="507"/>
      <c r="H1922" s="507"/>
      <c r="I1922" s="507"/>
      <c r="J1922" s="507"/>
      <c r="K1922" s="507"/>
      <c r="L1922" s="70"/>
    </row>
    <row r="1923" spans="1:12" ht="16.5" x14ac:dyDescent="0.25">
      <c r="A1923" s="419" t="s">
        <v>1604</v>
      </c>
      <c r="B1923" s="421" t="s">
        <v>76</v>
      </c>
      <c r="C1923" s="419" t="s">
        <v>991</v>
      </c>
      <c r="D1923" s="419" t="s">
        <v>191</v>
      </c>
      <c r="E1923" s="603" t="s">
        <v>77</v>
      </c>
      <c r="F1923" s="603"/>
      <c r="G1923" s="420" t="s">
        <v>103</v>
      </c>
      <c r="H1923" s="421" t="s">
        <v>147</v>
      </c>
      <c r="I1923" s="421" t="s">
        <v>1731</v>
      </c>
      <c r="J1923" s="421" t="s">
        <v>1117</v>
      </c>
      <c r="K1923" s="421" t="s">
        <v>104</v>
      </c>
      <c r="L1923" s="70"/>
    </row>
    <row r="1924" spans="1:12" ht="25.5" x14ac:dyDescent="0.25">
      <c r="A1924" s="441" t="s">
        <v>79</v>
      </c>
      <c r="B1924" s="480" t="s">
        <v>1605</v>
      </c>
      <c r="C1924" s="441" t="s">
        <v>1168</v>
      </c>
      <c r="D1924" s="441" t="s">
        <v>605</v>
      </c>
      <c r="E1924" s="604">
        <v>218</v>
      </c>
      <c r="F1924" s="604"/>
      <c r="G1924" s="443" t="s">
        <v>49</v>
      </c>
      <c r="H1924" s="500">
        <v>1</v>
      </c>
      <c r="I1924" s="442"/>
      <c r="J1924" s="442">
        <v>635.77</v>
      </c>
      <c r="K1924" s="442">
        <v>635.77</v>
      </c>
      <c r="L1924" s="70"/>
    </row>
    <row r="1925" spans="1:12" ht="16.5" x14ac:dyDescent="0.25">
      <c r="A1925" s="501" t="s">
        <v>1732</v>
      </c>
      <c r="B1925" s="502" t="s">
        <v>2489</v>
      </c>
      <c r="C1925" s="501" t="s">
        <v>575</v>
      </c>
      <c r="D1925" s="501" t="s">
        <v>2490</v>
      </c>
      <c r="E1925" s="602" t="s">
        <v>1746</v>
      </c>
      <c r="F1925" s="602"/>
      <c r="G1925" s="503" t="s">
        <v>49</v>
      </c>
      <c r="H1925" s="504">
        <v>2</v>
      </c>
      <c r="I1925" s="504">
        <v>0</v>
      </c>
      <c r="J1925" s="505">
        <v>13.09</v>
      </c>
      <c r="K1925" s="505">
        <v>26.18</v>
      </c>
      <c r="L1925" s="70"/>
    </row>
    <row r="1926" spans="1:12" ht="16.5" x14ac:dyDescent="0.25">
      <c r="A1926" s="501" t="s">
        <v>1732</v>
      </c>
      <c r="B1926" s="502" t="s">
        <v>2491</v>
      </c>
      <c r="C1926" s="501" t="s">
        <v>575</v>
      </c>
      <c r="D1926" s="501" t="s">
        <v>2492</v>
      </c>
      <c r="E1926" s="602" t="s">
        <v>1746</v>
      </c>
      <c r="F1926" s="602"/>
      <c r="G1926" s="503" t="s">
        <v>49</v>
      </c>
      <c r="H1926" s="504">
        <v>1</v>
      </c>
      <c r="I1926" s="504">
        <v>0</v>
      </c>
      <c r="J1926" s="505">
        <v>596.54999999999995</v>
      </c>
      <c r="K1926" s="505">
        <v>596.54999999999995</v>
      </c>
      <c r="L1926" s="70"/>
    </row>
    <row r="1927" spans="1:12" ht="25.5" x14ac:dyDescent="0.25">
      <c r="A1927" s="501" t="s">
        <v>1732</v>
      </c>
      <c r="B1927" s="502" t="s">
        <v>999</v>
      </c>
      <c r="C1927" s="501" t="s">
        <v>993</v>
      </c>
      <c r="D1927" s="501" t="s">
        <v>1000</v>
      </c>
      <c r="E1927" s="602" t="s">
        <v>972</v>
      </c>
      <c r="F1927" s="602"/>
      <c r="G1927" s="503" t="s">
        <v>81</v>
      </c>
      <c r="H1927" s="504">
        <v>0.43340000000000001</v>
      </c>
      <c r="I1927" s="504">
        <v>0</v>
      </c>
      <c r="J1927" s="505">
        <v>16.04</v>
      </c>
      <c r="K1927" s="505">
        <v>6.95</v>
      </c>
      <c r="L1927" s="70"/>
    </row>
    <row r="1928" spans="1:12" ht="25.5" x14ac:dyDescent="0.25">
      <c r="A1928" s="501" t="s">
        <v>1732</v>
      </c>
      <c r="B1928" s="502" t="s">
        <v>1011</v>
      </c>
      <c r="C1928" s="501" t="s">
        <v>993</v>
      </c>
      <c r="D1928" s="501" t="s">
        <v>1012</v>
      </c>
      <c r="E1928" s="602" t="s">
        <v>972</v>
      </c>
      <c r="F1928" s="602"/>
      <c r="G1928" s="503" t="s">
        <v>81</v>
      </c>
      <c r="H1928" s="504">
        <v>0.2167</v>
      </c>
      <c r="I1928" s="504">
        <v>0</v>
      </c>
      <c r="J1928" s="505">
        <v>23.41</v>
      </c>
      <c r="K1928" s="505">
        <v>5.07</v>
      </c>
      <c r="L1928" s="70"/>
    </row>
    <row r="1929" spans="1:12" ht="25.5" x14ac:dyDescent="0.25">
      <c r="A1929" s="501" t="s">
        <v>1732</v>
      </c>
      <c r="B1929" s="502" t="s">
        <v>2472</v>
      </c>
      <c r="C1929" s="501" t="s">
        <v>1115</v>
      </c>
      <c r="D1929" s="501" t="s">
        <v>2473</v>
      </c>
      <c r="E1929" s="602" t="s">
        <v>1746</v>
      </c>
      <c r="F1929" s="602"/>
      <c r="G1929" s="503" t="s">
        <v>264</v>
      </c>
      <c r="H1929" s="504">
        <v>1.7000000000000001E-2</v>
      </c>
      <c r="I1929" s="504">
        <v>0</v>
      </c>
      <c r="J1929" s="505">
        <v>43.42</v>
      </c>
      <c r="K1929" s="505">
        <v>0.73</v>
      </c>
      <c r="L1929" s="70"/>
    </row>
    <row r="1930" spans="1:12" ht="16.5" x14ac:dyDescent="0.25">
      <c r="A1930" s="501" t="s">
        <v>1732</v>
      </c>
      <c r="B1930" s="502" t="s">
        <v>1874</v>
      </c>
      <c r="C1930" s="501" t="s">
        <v>575</v>
      </c>
      <c r="D1930" s="501" t="s">
        <v>2493</v>
      </c>
      <c r="E1930" s="602" t="s">
        <v>922</v>
      </c>
      <c r="F1930" s="602"/>
      <c r="G1930" s="503" t="s">
        <v>80</v>
      </c>
      <c r="H1930" s="504">
        <v>0.2167</v>
      </c>
      <c r="I1930" s="504">
        <v>0</v>
      </c>
      <c r="J1930" s="505">
        <v>1.38</v>
      </c>
      <c r="K1930" s="505">
        <v>0.28999999999999998</v>
      </c>
      <c r="L1930" s="70"/>
    </row>
    <row r="1931" spans="1:12" ht="15.75" customHeight="1" x14ac:dyDescent="0.25">
      <c r="A1931" s="445"/>
      <c r="B1931" s="445"/>
      <c r="C1931" s="445"/>
      <c r="D1931" s="445"/>
      <c r="E1931" s="445" t="s">
        <v>1735</v>
      </c>
      <c r="F1931" s="506">
        <v>12.02</v>
      </c>
      <c r="G1931" s="445" t="s">
        <v>1736</v>
      </c>
      <c r="H1931" s="506">
        <v>0</v>
      </c>
      <c r="I1931" s="445" t="s">
        <v>1737</v>
      </c>
      <c r="J1931" s="506">
        <v>12.02</v>
      </c>
      <c r="K1931" s="70"/>
      <c r="L1931" s="70"/>
    </row>
    <row r="1932" spans="1:12" ht="17.25" thickBot="1" x14ac:dyDescent="0.3">
      <c r="A1932" s="445"/>
      <c r="B1932" s="445"/>
      <c r="C1932" s="445"/>
      <c r="D1932" s="445"/>
      <c r="E1932" s="445" t="s">
        <v>1738</v>
      </c>
      <c r="F1932" s="506">
        <v>156.653728</v>
      </c>
      <c r="G1932" s="445"/>
      <c r="H1932" s="606" t="s">
        <v>1739</v>
      </c>
      <c r="I1932" s="606"/>
      <c r="J1932" s="506">
        <v>792.42</v>
      </c>
      <c r="K1932" s="70"/>
      <c r="L1932" s="70"/>
    </row>
    <row r="1933" spans="1:12" ht="17.25" thickTop="1" x14ac:dyDescent="0.25">
      <c r="A1933" s="507"/>
      <c r="B1933" s="507"/>
      <c r="C1933" s="507"/>
      <c r="D1933" s="507"/>
      <c r="E1933" s="507"/>
      <c r="F1933" s="507"/>
      <c r="G1933" s="507"/>
      <c r="H1933" s="507"/>
      <c r="I1933" s="507"/>
      <c r="J1933" s="507"/>
      <c r="K1933" s="507"/>
      <c r="L1933" s="70"/>
    </row>
    <row r="1934" spans="1:12" ht="16.5" x14ac:dyDescent="0.25">
      <c r="A1934" s="419" t="s">
        <v>1606</v>
      </c>
      <c r="B1934" s="421" t="s">
        <v>76</v>
      </c>
      <c r="C1934" s="419" t="s">
        <v>991</v>
      </c>
      <c r="D1934" s="419" t="s">
        <v>191</v>
      </c>
      <c r="E1934" s="603" t="s">
        <v>77</v>
      </c>
      <c r="F1934" s="603"/>
      <c r="G1934" s="420" t="s">
        <v>103</v>
      </c>
      <c r="H1934" s="421" t="s">
        <v>147</v>
      </c>
      <c r="I1934" s="421" t="s">
        <v>1731</v>
      </c>
      <c r="J1934" s="421" t="s">
        <v>1117</v>
      </c>
      <c r="K1934" s="421" t="s">
        <v>104</v>
      </c>
      <c r="L1934" s="70"/>
    </row>
    <row r="1935" spans="1:12" ht="25.5" x14ac:dyDescent="0.25">
      <c r="A1935" s="441" t="s">
        <v>79</v>
      </c>
      <c r="B1935" s="480" t="s">
        <v>1607</v>
      </c>
      <c r="C1935" s="441" t="s">
        <v>1168</v>
      </c>
      <c r="D1935" s="441" t="s">
        <v>1608</v>
      </c>
      <c r="E1935" s="604" t="s">
        <v>2359</v>
      </c>
      <c r="F1935" s="604"/>
      <c r="G1935" s="443" t="s">
        <v>41</v>
      </c>
      <c r="H1935" s="500">
        <v>1</v>
      </c>
      <c r="I1935" s="442"/>
      <c r="J1935" s="442">
        <v>1045.6500000000001</v>
      </c>
      <c r="K1935" s="442">
        <v>1045.6500000000001</v>
      </c>
      <c r="L1935" s="70"/>
    </row>
    <row r="1936" spans="1:12" ht="25.5" x14ac:dyDescent="0.25">
      <c r="A1936" s="501" t="s">
        <v>1732</v>
      </c>
      <c r="B1936" s="502" t="s">
        <v>2494</v>
      </c>
      <c r="C1936" s="501" t="s">
        <v>2108</v>
      </c>
      <c r="D1936" s="501" t="s">
        <v>2495</v>
      </c>
      <c r="E1936" s="602" t="s">
        <v>1746</v>
      </c>
      <c r="F1936" s="602"/>
      <c r="G1936" s="503" t="s">
        <v>41</v>
      </c>
      <c r="H1936" s="504">
        <v>1</v>
      </c>
      <c r="I1936" s="504"/>
      <c r="J1936" s="505">
        <v>1039.74</v>
      </c>
      <c r="K1936" s="505">
        <v>1039.74</v>
      </c>
      <c r="L1936" s="70"/>
    </row>
    <row r="1937" spans="1:12" ht="25.5" x14ac:dyDescent="0.25">
      <c r="A1937" s="501" t="s">
        <v>1732</v>
      </c>
      <c r="B1937" s="502" t="s">
        <v>999</v>
      </c>
      <c r="C1937" s="501" t="s">
        <v>993</v>
      </c>
      <c r="D1937" s="501" t="s">
        <v>1000</v>
      </c>
      <c r="E1937" s="602" t="s">
        <v>972</v>
      </c>
      <c r="F1937" s="602"/>
      <c r="G1937" s="503" t="s">
        <v>81</v>
      </c>
      <c r="H1937" s="504">
        <v>0.15</v>
      </c>
      <c r="I1937" s="504">
        <v>0</v>
      </c>
      <c r="J1937" s="505">
        <v>16.04</v>
      </c>
      <c r="K1937" s="505">
        <v>2.4</v>
      </c>
      <c r="L1937" s="70"/>
    </row>
    <row r="1938" spans="1:12" ht="25.5" x14ac:dyDescent="0.25">
      <c r="A1938" s="501" t="s">
        <v>1732</v>
      </c>
      <c r="B1938" s="502" t="s">
        <v>1011</v>
      </c>
      <c r="C1938" s="501" t="s">
        <v>993</v>
      </c>
      <c r="D1938" s="501" t="s">
        <v>1012</v>
      </c>
      <c r="E1938" s="602" t="s">
        <v>972</v>
      </c>
      <c r="F1938" s="602"/>
      <c r="G1938" s="503" t="s">
        <v>81</v>
      </c>
      <c r="H1938" s="504">
        <v>0.15</v>
      </c>
      <c r="I1938" s="504">
        <v>0</v>
      </c>
      <c r="J1938" s="505">
        <v>23.41</v>
      </c>
      <c r="K1938" s="505">
        <v>3.51</v>
      </c>
      <c r="L1938" s="70"/>
    </row>
    <row r="1939" spans="1:12" ht="15.75" customHeight="1" x14ac:dyDescent="0.25">
      <c r="A1939" s="445"/>
      <c r="B1939" s="445"/>
      <c r="C1939" s="445"/>
      <c r="D1939" s="445"/>
      <c r="E1939" s="445" t="s">
        <v>1735</v>
      </c>
      <c r="F1939" s="506">
        <v>5.91</v>
      </c>
      <c r="G1939" s="445" t="s">
        <v>1736</v>
      </c>
      <c r="H1939" s="506">
        <v>0</v>
      </c>
      <c r="I1939" s="445" t="s">
        <v>1737</v>
      </c>
      <c r="J1939" s="506">
        <v>5.91</v>
      </c>
      <c r="K1939" s="70"/>
      <c r="L1939" s="70"/>
    </row>
    <row r="1940" spans="1:12" ht="17.25" thickBot="1" x14ac:dyDescent="0.3">
      <c r="A1940" s="445"/>
      <c r="B1940" s="445"/>
      <c r="C1940" s="445"/>
      <c r="D1940" s="445"/>
      <c r="E1940" s="445" t="s">
        <v>1738</v>
      </c>
      <c r="F1940" s="506">
        <v>257.64816000000002</v>
      </c>
      <c r="G1940" s="445"/>
      <c r="H1940" s="606" t="s">
        <v>1739</v>
      </c>
      <c r="I1940" s="606"/>
      <c r="J1940" s="506">
        <v>1303.29</v>
      </c>
      <c r="K1940" s="70"/>
      <c r="L1940" s="70"/>
    </row>
    <row r="1941" spans="1:12" ht="17.25" thickTop="1" x14ac:dyDescent="0.25">
      <c r="A1941" s="507"/>
      <c r="B1941" s="507"/>
      <c r="C1941" s="507"/>
      <c r="D1941" s="507"/>
      <c r="E1941" s="507"/>
      <c r="F1941" s="507"/>
      <c r="G1941" s="507"/>
      <c r="H1941" s="507"/>
      <c r="I1941" s="507"/>
      <c r="J1941" s="507"/>
      <c r="K1941" s="507"/>
      <c r="L1941" s="70"/>
    </row>
    <row r="1942" spans="1:12" ht="16.5" x14ac:dyDescent="0.25">
      <c r="A1942" s="419" t="s">
        <v>1609</v>
      </c>
      <c r="B1942" s="421" t="s">
        <v>76</v>
      </c>
      <c r="C1942" s="419" t="s">
        <v>991</v>
      </c>
      <c r="D1942" s="419" t="s">
        <v>191</v>
      </c>
      <c r="E1942" s="603" t="s">
        <v>77</v>
      </c>
      <c r="F1942" s="603"/>
      <c r="G1942" s="420" t="s">
        <v>103</v>
      </c>
      <c r="H1942" s="421" t="s">
        <v>147</v>
      </c>
      <c r="I1942" s="421" t="s">
        <v>1731</v>
      </c>
      <c r="J1942" s="421" t="s">
        <v>1117</v>
      </c>
      <c r="K1942" s="421" t="s">
        <v>104</v>
      </c>
      <c r="L1942" s="70"/>
    </row>
    <row r="1943" spans="1:12" ht="51" x14ac:dyDescent="0.25">
      <c r="A1943" s="441" t="s">
        <v>79</v>
      </c>
      <c r="B1943" s="480" t="s">
        <v>1610</v>
      </c>
      <c r="C1943" s="441" t="s">
        <v>1168</v>
      </c>
      <c r="D1943" s="441" t="s">
        <v>608</v>
      </c>
      <c r="E1943" s="604" t="s">
        <v>2359</v>
      </c>
      <c r="F1943" s="604"/>
      <c r="G1943" s="443" t="s">
        <v>49</v>
      </c>
      <c r="H1943" s="500">
        <v>1</v>
      </c>
      <c r="I1943" s="442"/>
      <c r="J1943" s="442">
        <v>2007.76</v>
      </c>
      <c r="K1943" s="442">
        <v>2007.76</v>
      </c>
      <c r="L1943" s="70"/>
    </row>
    <row r="1944" spans="1:12" ht="16.5" x14ac:dyDescent="0.25">
      <c r="A1944" s="501" t="s">
        <v>1732</v>
      </c>
      <c r="B1944" s="502" t="s">
        <v>2496</v>
      </c>
      <c r="C1944" s="501" t="s">
        <v>2108</v>
      </c>
      <c r="D1944" s="501" t="s">
        <v>2497</v>
      </c>
      <c r="E1944" s="602" t="s">
        <v>1746</v>
      </c>
      <c r="F1944" s="602"/>
      <c r="G1944" s="503" t="s">
        <v>49</v>
      </c>
      <c r="H1944" s="504">
        <v>2</v>
      </c>
      <c r="I1944" s="504"/>
      <c r="J1944" s="505">
        <v>5.68</v>
      </c>
      <c r="K1944" s="505">
        <v>11.36</v>
      </c>
      <c r="L1944" s="70"/>
    </row>
    <row r="1945" spans="1:12" ht="25.5" x14ac:dyDescent="0.25">
      <c r="A1945" s="501" t="s">
        <v>1732</v>
      </c>
      <c r="B1945" s="502" t="s">
        <v>2498</v>
      </c>
      <c r="C1945" s="501" t="s">
        <v>2108</v>
      </c>
      <c r="D1945" s="501" t="s">
        <v>2499</v>
      </c>
      <c r="E1945" s="602" t="s">
        <v>1746</v>
      </c>
      <c r="F1945" s="602"/>
      <c r="G1945" s="503" t="s">
        <v>49</v>
      </c>
      <c r="H1945" s="504">
        <v>16</v>
      </c>
      <c r="I1945" s="504"/>
      <c r="J1945" s="505">
        <v>9.8000000000000007</v>
      </c>
      <c r="K1945" s="505">
        <v>156.80000000000001</v>
      </c>
      <c r="L1945" s="70"/>
    </row>
    <row r="1946" spans="1:12" ht="16.5" x14ac:dyDescent="0.25">
      <c r="A1946" s="501" t="s">
        <v>1732</v>
      </c>
      <c r="B1946" s="502" t="s">
        <v>2500</v>
      </c>
      <c r="C1946" s="501" t="s">
        <v>2108</v>
      </c>
      <c r="D1946" s="501" t="s">
        <v>2501</v>
      </c>
      <c r="E1946" s="602" t="s">
        <v>1746</v>
      </c>
      <c r="F1946" s="602"/>
      <c r="G1946" s="503" t="s">
        <v>49</v>
      </c>
      <c r="H1946" s="504">
        <v>1</v>
      </c>
      <c r="I1946" s="504"/>
      <c r="J1946" s="505">
        <v>1725.68</v>
      </c>
      <c r="K1946" s="505">
        <v>1725.68</v>
      </c>
      <c r="L1946" s="70"/>
    </row>
    <row r="1947" spans="1:12" ht="25.5" x14ac:dyDescent="0.25">
      <c r="A1947" s="501" t="s">
        <v>1732</v>
      </c>
      <c r="B1947" s="502" t="s">
        <v>999</v>
      </c>
      <c r="C1947" s="501" t="s">
        <v>993</v>
      </c>
      <c r="D1947" s="501" t="s">
        <v>1000</v>
      </c>
      <c r="E1947" s="602" t="s">
        <v>972</v>
      </c>
      <c r="F1947" s="602"/>
      <c r="G1947" s="503" t="s">
        <v>81</v>
      </c>
      <c r="H1947" s="504">
        <v>3.6</v>
      </c>
      <c r="I1947" s="504">
        <v>0</v>
      </c>
      <c r="J1947" s="505">
        <v>16.04</v>
      </c>
      <c r="K1947" s="505">
        <v>57.74</v>
      </c>
      <c r="L1947" s="70"/>
    </row>
    <row r="1948" spans="1:12" ht="25.5" x14ac:dyDescent="0.25">
      <c r="A1948" s="501" t="s">
        <v>1732</v>
      </c>
      <c r="B1948" s="502" t="s">
        <v>1011</v>
      </c>
      <c r="C1948" s="501" t="s">
        <v>993</v>
      </c>
      <c r="D1948" s="501" t="s">
        <v>1012</v>
      </c>
      <c r="E1948" s="602" t="s">
        <v>972</v>
      </c>
      <c r="F1948" s="602"/>
      <c r="G1948" s="503" t="s">
        <v>81</v>
      </c>
      <c r="H1948" s="504">
        <v>2.4</v>
      </c>
      <c r="I1948" s="504">
        <v>0</v>
      </c>
      <c r="J1948" s="505">
        <v>23.41</v>
      </c>
      <c r="K1948" s="505">
        <v>56.18</v>
      </c>
      <c r="L1948" s="70"/>
    </row>
    <row r="1949" spans="1:12" ht="15.75" customHeight="1" x14ac:dyDescent="0.25">
      <c r="A1949" s="445"/>
      <c r="B1949" s="445"/>
      <c r="C1949" s="445"/>
      <c r="D1949" s="445"/>
      <c r="E1949" s="445" t="s">
        <v>1735</v>
      </c>
      <c r="F1949" s="506">
        <v>113.92</v>
      </c>
      <c r="G1949" s="445" t="s">
        <v>1736</v>
      </c>
      <c r="H1949" s="506">
        <v>0</v>
      </c>
      <c r="I1949" s="445" t="s">
        <v>1737</v>
      </c>
      <c r="J1949" s="506">
        <v>113.92</v>
      </c>
      <c r="K1949" s="70"/>
      <c r="L1949" s="70"/>
    </row>
    <row r="1950" spans="1:12" ht="17.25" thickBot="1" x14ac:dyDescent="0.3">
      <c r="A1950" s="445"/>
      <c r="B1950" s="445"/>
      <c r="C1950" s="445"/>
      <c r="D1950" s="445"/>
      <c r="E1950" s="445" t="s">
        <v>1738</v>
      </c>
      <c r="F1950" s="506">
        <v>494.712064</v>
      </c>
      <c r="G1950" s="445"/>
      <c r="H1950" s="606" t="s">
        <v>1739</v>
      </c>
      <c r="I1950" s="606"/>
      <c r="J1950" s="506">
        <v>2502.4699999999998</v>
      </c>
      <c r="K1950" s="70"/>
      <c r="L1950" s="70"/>
    </row>
    <row r="1951" spans="1:12" ht="17.25" thickTop="1" x14ac:dyDescent="0.25">
      <c r="A1951" s="507"/>
      <c r="B1951" s="507"/>
      <c r="C1951" s="507"/>
      <c r="D1951" s="507"/>
      <c r="E1951" s="507"/>
      <c r="F1951" s="507"/>
      <c r="G1951" s="507"/>
      <c r="H1951" s="507"/>
      <c r="I1951" s="507"/>
      <c r="J1951" s="507"/>
      <c r="K1951" s="507"/>
      <c r="L1951" s="70"/>
    </row>
    <row r="1952" spans="1:12" ht="16.5" x14ac:dyDescent="0.25">
      <c r="A1952" s="419" t="s">
        <v>1611</v>
      </c>
      <c r="B1952" s="421" t="s">
        <v>76</v>
      </c>
      <c r="C1952" s="419" t="s">
        <v>991</v>
      </c>
      <c r="D1952" s="419" t="s">
        <v>191</v>
      </c>
      <c r="E1952" s="603" t="s">
        <v>77</v>
      </c>
      <c r="F1952" s="603"/>
      <c r="G1952" s="420" t="s">
        <v>103</v>
      </c>
      <c r="H1952" s="421" t="s">
        <v>147</v>
      </c>
      <c r="I1952" s="421" t="s">
        <v>1731</v>
      </c>
      <c r="J1952" s="421" t="s">
        <v>1117</v>
      </c>
      <c r="K1952" s="421" t="s">
        <v>104</v>
      </c>
      <c r="L1952" s="70"/>
    </row>
    <row r="1953" spans="1:12" ht="51" x14ac:dyDescent="0.25">
      <c r="A1953" s="441" t="s">
        <v>79</v>
      </c>
      <c r="B1953" s="480" t="s">
        <v>1612</v>
      </c>
      <c r="C1953" s="441" t="s">
        <v>1168</v>
      </c>
      <c r="D1953" s="441" t="s">
        <v>606</v>
      </c>
      <c r="E1953" s="604" t="s">
        <v>2359</v>
      </c>
      <c r="F1953" s="604"/>
      <c r="G1953" s="443" t="s">
        <v>49</v>
      </c>
      <c r="H1953" s="500">
        <v>1</v>
      </c>
      <c r="I1953" s="442"/>
      <c r="J1953" s="442">
        <v>927.8</v>
      </c>
      <c r="K1953" s="442">
        <v>927.8</v>
      </c>
      <c r="L1953" s="70"/>
    </row>
    <row r="1954" spans="1:12" ht="16.5" x14ac:dyDescent="0.25">
      <c r="A1954" s="501" t="s">
        <v>1732</v>
      </c>
      <c r="B1954" s="502" t="s">
        <v>2496</v>
      </c>
      <c r="C1954" s="501" t="s">
        <v>2108</v>
      </c>
      <c r="D1954" s="501" t="s">
        <v>2497</v>
      </c>
      <c r="E1954" s="602" t="s">
        <v>1746</v>
      </c>
      <c r="F1954" s="602"/>
      <c r="G1954" s="503" t="s">
        <v>49</v>
      </c>
      <c r="H1954" s="504">
        <v>2</v>
      </c>
      <c r="I1954" s="504"/>
      <c r="J1954" s="505">
        <v>5.68</v>
      </c>
      <c r="K1954" s="505">
        <v>11.36</v>
      </c>
      <c r="L1954" s="70"/>
    </row>
    <row r="1955" spans="1:12" ht="16.5" x14ac:dyDescent="0.25">
      <c r="A1955" s="501" t="s">
        <v>1732</v>
      </c>
      <c r="B1955" s="502" t="s">
        <v>2502</v>
      </c>
      <c r="C1955" s="501" t="s">
        <v>2108</v>
      </c>
      <c r="D1955" s="501" t="s">
        <v>2503</v>
      </c>
      <c r="E1955" s="602" t="s">
        <v>1746</v>
      </c>
      <c r="F1955" s="602"/>
      <c r="G1955" s="503" t="s">
        <v>49</v>
      </c>
      <c r="H1955" s="504">
        <v>1</v>
      </c>
      <c r="I1955" s="504"/>
      <c r="J1955" s="505">
        <v>646.03</v>
      </c>
      <c r="K1955" s="505">
        <v>646.03</v>
      </c>
      <c r="L1955" s="70"/>
    </row>
    <row r="1956" spans="1:12" ht="25.5" x14ac:dyDescent="0.25">
      <c r="A1956" s="501" t="s">
        <v>1732</v>
      </c>
      <c r="B1956" s="502" t="s">
        <v>2498</v>
      </c>
      <c r="C1956" s="501" t="s">
        <v>2108</v>
      </c>
      <c r="D1956" s="501" t="s">
        <v>2499</v>
      </c>
      <c r="E1956" s="602" t="s">
        <v>1746</v>
      </c>
      <c r="F1956" s="602"/>
      <c r="G1956" s="503" t="s">
        <v>49</v>
      </c>
      <c r="H1956" s="504">
        <v>16</v>
      </c>
      <c r="I1956" s="504"/>
      <c r="J1956" s="505">
        <v>9.8000000000000007</v>
      </c>
      <c r="K1956" s="505">
        <v>156.80000000000001</v>
      </c>
      <c r="L1956" s="70"/>
    </row>
    <row r="1957" spans="1:12" ht="25.5" x14ac:dyDescent="0.25">
      <c r="A1957" s="501" t="s">
        <v>1732</v>
      </c>
      <c r="B1957" s="502" t="s">
        <v>999</v>
      </c>
      <c r="C1957" s="501" t="s">
        <v>993</v>
      </c>
      <c r="D1957" s="501" t="s">
        <v>1000</v>
      </c>
      <c r="E1957" s="602" t="s">
        <v>972</v>
      </c>
      <c r="F1957" s="602"/>
      <c r="G1957" s="503" t="s">
        <v>81</v>
      </c>
      <c r="H1957" s="504">
        <v>2.88</v>
      </c>
      <c r="I1957" s="504">
        <v>0</v>
      </c>
      <c r="J1957" s="505">
        <v>16.04</v>
      </c>
      <c r="K1957" s="505">
        <v>46.19</v>
      </c>
      <c r="L1957" s="70"/>
    </row>
    <row r="1958" spans="1:12" ht="25.5" x14ac:dyDescent="0.25">
      <c r="A1958" s="501" t="s">
        <v>1732</v>
      </c>
      <c r="B1958" s="502" t="s">
        <v>1011</v>
      </c>
      <c r="C1958" s="501" t="s">
        <v>993</v>
      </c>
      <c r="D1958" s="501" t="s">
        <v>1012</v>
      </c>
      <c r="E1958" s="602" t="s">
        <v>972</v>
      </c>
      <c r="F1958" s="602"/>
      <c r="G1958" s="503" t="s">
        <v>81</v>
      </c>
      <c r="H1958" s="504">
        <v>2.88</v>
      </c>
      <c r="I1958" s="504">
        <v>0</v>
      </c>
      <c r="J1958" s="505">
        <v>23.41</v>
      </c>
      <c r="K1958" s="505">
        <v>67.42</v>
      </c>
      <c r="L1958" s="70"/>
    </row>
    <row r="1959" spans="1:12" ht="15.75" customHeight="1" x14ac:dyDescent="0.25">
      <c r="A1959" s="445"/>
      <c r="B1959" s="445"/>
      <c r="C1959" s="445"/>
      <c r="D1959" s="445"/>
      <c r="E1959" s="445" t="s">
        <v>1735</v>
      </c>
      <c r="F1959" s="506">
        <v>113.61</v>
      </c>
      <c r="G1959" s="445" t="s">
        <v>1736</v>
      </c>
      <c r="H1959" s="506">
        <v>0</v>
      </c>
      <c r="I1959" s="445" t="s">
        <v>1737</v>
      </c>
      <c r="J1959" s="506">
        <v>113.61</v>
      </c>
      <c r="K1959" s="70"/>
      <c r="L1959" s="70"/>
    </row>
    <row r="1960" spans="1:12" ht="17.25" thickBot="1" x14ac:dyDescent="0.3">
      <c r="A1960" s="445"/>
      <c r="B1960" s="445"/>
      <c r="C1960" s="445"/>
      <c r="D1960" s="445"/>
      <c r="E1960" s="445" t="s">
        <v>1738</v>
      </c>
      <c r="F1960" s="506">
        <v>228.60991999999999</v>
      </c>
      <c r="G1960" s="445"/>
      <c r="H1960" s="606" t="s">
        <v>1739</v>
      </c>
      <c r="I1960" s="606"/>
      <c r="J1960" s="506">
        <v>1156.4000000000001</v>
      </c>
      <c r="K1960" s="70"/>
      <c r="L1960" s="70"/>
    </row>
    <row r="1961" spans="1:12" ht="17.25" thickTop="1" x14ac:dyDescent="0.25">
      <c r="A1961" s="507"/>
      <c r="B1961" s="507"/>
      <c r="C1961" s="507"/>
      <c r="D1961" s="507"/>
      <c r="E1961" s="507"/>
      <c r="F1961" s="507"/>
      <c r="G1961" s="507"/>
      <c r="H1961" s="507"/>
      <c r="I1961" s="507"/>
      <c r="J1961" s="507"/>
      <c r="K1961" s="507"/>
      <c r="L1961" s="70"/>
    </row>
    <row r="1962" spans="1:12" ht="16.5" x14ac:dyDescent="0.25">
      <c r="A1962" s="419" t="s">
        <v>1613</v>
      </c>
      <c r="B1962" s="421" t="s">
        <v>76</v>
      </c>
      <c r="C1962" s="419" t="s">
        <v>991</v>
      </c>
      <c r="D1962" s="419" t="s">
        <v>191</v>
      </c>
      <c r="E1962" s="603" t="s">
        <v>77</v>
      </c>
      <c r="F1962" s="603"/>
      <c r="G1962" s="420" t="s">
        <v>103</v>
      </c>
      <c r="H1962" s="421" t="s">
        <v>147</v>
      </c>
      <c r="I1962" s="421" t="s">
        <v>1731</v>
      </c>
      <c r="J1962" s="421" t="s">
        <v>1117</v>
      </c>
      <c r="K1962" s="421" t="s">
        <v>104</v>
      </c>
      <c r="L1962" s="70"/>
    </row>
    <row r="1963" spans="1:12" ht="51" x14ac:dyDescent="0.25">
      <c r="A1963" s="441" t="s">
        <v>79</v>
      </c>
      <c r="B1963" s="480" t="s">
        <v>1614</v>
      </c>
      <c r="C1963" s="441" t="s">
        <v>1168</v>
      </c>
      <c r="D1963" s="441" t="s">
        <v>609</v>
      </c>
      <c r="E1963" s="604" t="s">
        <v>2359</v>
      </c>
      <c r="F1963" s="604"/>
      <c r="G1963" s="443" t="s">
        <v>49</v>
      </c>
      <c r="H1963" s="500">
        <v>1</v>
      </c>
      <c r="I1963" s="442"/>
      <c r="J1963" s="442">
        <v>1590.29</v>
      </c>
      <c r="K1963" s="442">
        <v>1590.29</v>
      </c>
      <c r="L1963" s="70"/>
    </row>
    <row r="1964" spans="1:12" ht="16.5" x14ac:dyDescent="0.25">
      <c r="A1964" s="501" t="s">
        <v>1732</v>
      </c>
      <c r="B1964" s="502" t="s">
        <v>2496</v>
      </c>
      <c r="C1964" s="501" t="s">
        <v>2108</v>
      </c>
      <c r="D1964" s="501" t="s">
        <v>2497</v>
      </c>
      <c r="E1964" s="602" t="s">
        <v>1746</v>
      </c>
      <c r="F1964" s="602"/>
      <c r="G1964" s="503" t="s">
        <v>49</v>
      </c>
      <c r="H1964" s="504">
        <v>3</v>
      </c>
      <c r="I1964" s="504"/>
      <c r="J1964" s="505">
        <v>5.68</v>
      </c>
      <c r="K1964" s="505">
        <v>17.04</v>
      </c>
      <c r="L1964" s="70"/>
    </row>
    <row r="1965" spans="1:12" ht="25.5" x14ac:dyDescent="0.25">
      <c r="A1965" s="501" t="s">
        <v>1732</v>
      </c>
      <c r="B1965" s="502" t="s">
        <v>2498</v>
      </c>
      <c r="C1965" s="501" t="s">
        <v>2108</v>
      </c>
      <c r="D1965" s="501" t="s">
        <v>2499</v>
      </c>
      <c r="E1965" s="602" t="s">
        <v>1746</v>
      </c>
      <c r="F1965" s="602"/>
      <c r="G1965" s="503" t="s">
        <v>49</v>
      </c>
      <c r="H1965" s="504">
        <v>24</v>
      </c>
      <c r="I1965" s="504"/>
      <c r="J1965" s="505">
        <v>9.8000000000000007</v>
      </c>
      <c r="K1965" s="505">
        <v>235.2</v>
      </c>
      <c r="L1965" s="70"/>
    </row>
    <row r="1966" spans="1:12" ht="16.5" x14ac:dyDescent="0.25">
      <c r="A1966" s="501" t="s">
        <v>1732</v>
      </c>
      <c r="B1966" s="502" t="s">
        <v>2504</v>
      </c>
      <c r="C1966" s="501" t="s">
        <v>2108</v>
      </c>
      <c r="D1966" s="501" t="s">
        <v>2505</v>
      </c>
      <c r="E1966" s="602" t="s">
        <v>1746</v>
      </c>
      <c r="F1966" s="602"/>
      <c r="G1966" s="503" t="s">
        <v>49</v>
      </c>
      <c r="H1966" s="504">
        <v>1</v>
      </c>
      <c r="I1966" s="504"/>
      <c r="J1966" s="505">
        <v>1167.6300000000001</v>
      </c>
      <c r="K1966" s="505">
        <v>1167.6300000000001</v>
      </c>
      <c r="L1966" s="70"/>
    </row>
    <row r="1967" spans="1:12" ht="25.5" x14ac:dyDescent="0.25">
      <c r="A1967" s="501" t="s">
        <v>1732</v>
      </c>
      <c r="B1967" s="502" t="s">
        <v>999</v>
      </c>
      <c r="C1967" s="501" t="s">
        <v>993</v>
      </c>
      <c r="D1967" s="501" t="s">
        <v>1000</v>
      </c>
      <c r="E1967" s="602" t="s">
        <v>972</v>
      </c>
      <c r="F1967" s="602"/>
      <c r="G1967" s="503" t="s">
        <v>81</v>
      </c>
      <c r="H1967" s="504">
        <v>4.32</v>
      </c>
      <c r="I1967" s="504">
        <v>0</v>
      </c>
      <c r="J1967" s="505">
        <v>16.04</v>
      </c>
      <c r="K1967" s="505">
        <v>69.290000000000006</v>
      </c>
      <c r="L1967" s="70"/>
    </row>
    <row r="1968" spans="1:12" ht="25.5" x14ac:dyDescent="0.25">
      <c r="A1968" s="501" t="s">
        <v>1732</v>
      </c>
      <c r="B1968" s="502" t="s">
        <v>1011</v>
      </c>
      <c r="C1968" s="501" t="s">
        <v>993</v>
      </c>
      <c r="D1968" s="501" t="s">
        <v>1012</v>
      </c>
      <c r="E1968" s="602" t="s">
        <v>972</v>
      </c>
      <c r="F1968" s="602"/>
      <c r="G1968" s="503" t="s">
        <v>81</v>
      </c>
      <c r="H1968" s="504">
        <v>4.32</v>
      </c>
      <c r="I1968" s="504">
        <v>0</v>
      </c>
      <c r="J1968" s="505">
        <v>23.41</v>
      </c>
      <c r="K1968" s="505">
        <v>101.13</v>
      </c>
      <c r="L1968" s="70"/>
    </row>
    <row r="1969" spans="1:12" ht="15.75" customHeight="1" x14ac:dyDescent="0.25">
      <c r="A1969" s="445"/>
      <c r="B1969" s="445"/>
      <c r="C1969" s="445"/>
      <c r="D1969" s="445"/>
      <c r="E1969" s="445" t="s">
        <v>1735</v>
      </c>
      <c r="F1969" s="506">
        <v>170.42</v>
      </c>
      <c r="G1969" s="445" t="s">
        <v>1736</v>
      </c>
      <c r="H1969" s="506">
        <v>0</v>
      </c>
      <c r="I1969" s="445" t="s">
        <v>1737</v>
      </c>
      <c r="J1969" s="506">
        <v>170.42</v>
      </c>
      <c r="K1969" s="70"/>
      <c r="L1969" s="70"/>
    </row>
    <row r="1970" spans="1:12" ht="17.25" thickBot="1" x14ac:dyDescent="0.3">
      <c r="A1970" s="445"/>
      <c r="B1970" s="445"/>
      <c r="C1970" s="445"/>
      <c r="D1970" s="445"/>
      <c r="E1970" s="445" t="s">
        <v>1738</v>
      </c>
      <c r="F1970" s="506">
        <v>391.84745600000002</v>
      </c>
      <c r="G1970" s="445"/>
      <c r="H1970" s="606" t="s">
        <v>1739</v>
      </c>
      <c r="I1970" s="606"/>
      <c r="J1970" s="506">
        <v>1982.13</v>
      </c>
      <c r="K1970" s="70"/>
      <c r="L1970" s="70"/>
    </row>
    <row r="1971" spans="1:12" ht="17.25" thickTop="1" x14ac:dyDescent="0.25">
      <c r="A1971" s="507"/>
      <c r="B1971" s="507"/>
      <c r="C1971" s="507"/>
      <c r="D1971" s="507"/>
      <c r="E1971" s="507"/>
      <c r="F1971" s="507"/>
      <c r="G1971" s="507"/>
      <c r="H1971" s="507"/>
      <c r="I1971" s="507"/>
      <c r="J1971" s="507"/>
      <c r="K1971" s="507"/>
      <c r="L1971" s="70"/>
    </row>
    <row r="1972" spans="1:12" ht="16.5" x14ac:dyDescent="0.25">
      <c r="A1972" s="419" t="s">
        <v>1615</v>
      </c>
      <c r="B1972" s="421" t="s">
        <v>76</v>
      </c>
      <c r="C1972" s="419" t="s">
        <v>991</v>
      </c>
      <c r="D1972" s="419" t="s">
        <v>191</v>
      </c>
      <c r="E1972" s="603" t="s">
        <v>77</v>
      </c>
      <c r="F1972" s="603"/>
      <c r="G1972" s="420" t="s">
        <v>103</v>
      </c>
      <c r="H1972" s="421" t="s">
        <v>147</v>
      </c>
      <c r="I1972" s="421" t="s">
        <v>1731</v>
      </c>
      <c r="J1972" s="421" t="s">
        <v>1117</v>
      </c>
      <c r="K1972" s="421" t="s">
        <v>104</v>
      </c>
      <c r="L1972" s="70"/>
    </row>
    <row r="1973" spans="1:12" ht="51" x14ac:dyDescent="0.25">
      <c r="A1973" s="441" t="s">
        <v>79</v>
      </c>
      <c r="B1973" s="480" t="s">
        <v>1616</v>
      </c>
      <c r="C1973" s="441" t="s">
        <v>1168</v>
      </c>
      <c r="D1973" s="441" t="s">
        <v>610</v>
      </c>
      <c r="E1973" s="604" t="s">
        <v>2359</v>
      </c>
      <c r="F1973" s="604"/>
      <c r="G1973" s="443" t="s">
        <v>49</v>
      </c>
      <c r="H1973" s="500">
        <v>1</v>
      </c>
      <c r="I1973" s="442"/>
      <c r="J1973" s="442">
        <v>420.3</v>
      </c>
      <c r="K1973" s="442">
        <v>420.3</v>
      </c>
      <c r="L1973" s="70"/>
    </row>
    <row r="1974" spans="1:12" ht="16.5" x14ac:dyDescent="0.25">
      <c r="A1974" s="501" t="s">
        <v>1732</v>
      </c>
      <c r="B1974" s="502" t="s">
        <v>2496</v>
      </c>
      <c r="C1974" s="501" t="s">
        <v>2108</v>
      </c>
      <c r="D1974" s="501" t="s">
        <v>2497</v>
      </c>
      <c r="E1974" s="602" t="s">
        <v>1746</v>
      </c>
      <c r="F1974" s="602"/>
      <c r="G1974" s="503" t="s">
        <v>49</v>
      </c>
      <c r="H1974" s="504">
        <v>1</v>
      </c>
      <c r="I1974" s="504"/>
      <c r="J1974" s="505">
        <v>5.68</v>
      </c>
      <c r="K1974" s="505">
        <v>5.68</v>
      </c>
      <c r="L1974" s="70"/>
    </row>
    <row r="1975" spans="1:12" ht="16.5" x14ac:dyDescent="0.25">
      <c r="A1975" s="501" t="s">
        <v>1732</v>
      </c>
      <c r="B1975" s="502" t="s">
        <v>2506</v>
      </c>
      <c r="C1975" s="501" t="s">
        <v>2108</v>
      </c>
      <c r="D1975" s="501" t="s">
        <v>2507</v>
      </c>
      <c r="E1975" s="602" t="s">
        <v>1746</v>
      </c>
      <c r="F1975" s="602"/>
      <c r="G1975" s="503" t="s">
        <v>49</v>
      </c>
      <c r="H1975" s="504">
        <v>1</v>
      </c>
      <c r="I1975" s="504"/>
      <c r="J1975" s="505">
        <v>312.93</v>
      </c>
      <c r="K1975" s="505">
        <v>312.93</v>
      </c>
      <c r="L1975" s="70"/>
    </row>
    <row r="1976" spans="1:12" ht="25.5" x14ac:dyDescent="0.25">
      <c r="A1976" s="501" t="s">
        <v>1732</v>
      </c>
      <c r="B1976" s="502" t="s">
        <v>2498</v>
      </c>
      <c r="C1976" s="501" t="s">
        <v>2108</v>
      </c>
      <c r="D1976" s="501" t="s">
        <v>2499</v>
      </c>
      <c r="E1976" s="602" t="s">
        <v>1746</v>
      </c>
      <c r="F1976" s="602"/>
      <c r="G1976" s="503" t="s">
        <v>49</v>
      </c>
      <c r="H1976" s="504">
        <v>8</v>
      </c>
      <c r="I1976" s="504"/>
      <c r="J1976" s="505">
        <v>9.8000000000000007</v>
      </c>
      <c r="K1976" s="505">
        <v>78.400000000000006</v>
      </c>
      <c r="L1976" s="70"/>
    </row>
    <row r="1977" spans="1:12" ht="25.5" x14ac:dyDescent="0.25">
      <c r="A1977" s="501" t="s">
        <v>1732</v>
      </c>
      <c r="B1977" s="502" t="s">
        <v>999</v>
      </c>
      <c r="C1977" s="501" t="s">
        <v>993</v>
      </c>
      <c r="D1977" s="501" t="s">
        <v>1000</v>
      </c>
      <c r="E1977" s="602" t="s">
        <v>972</v>
      </c>
      <c r="F1977" s="602"/>
      <c r="G1977" s="503" t="s">
        <v>81</v>
      </c>
      <c r="H1977" s="504">
        <v>0.65</v>
      </c>
      <c r="I1977" s="504">
        <v>0</v>
      </c>
      <c r="J1977" s="505">
        <v>16.04</v>
      </c>
      <c r="K1977" s="505">
        <v>10.42</v>
      </c>
      <c r="L1977" s="70"/>
    </row>
    <row r="1978" spans="1:12" ht="25.5" x14ac:dyDescent="0.25">
      <c r="A1978" s="501" t="s">
        <v>1732</v>
      </c>
      <c r="B1978" s="502" t="s">
        <v>1011</v>
      </c>
      <c r="C1978" s="501" t="s">
        <v>993</v>
      </c>
      <c r="D1978" s="501" t="s">
        <v>1012</v>
      </c>
      <c r="E1978" s="602" t="s">
        <v>972</v>
      </c>
      <c r="F1978" s="602"/>
      <c r="G1978" s="503" t="s">
        <v>81</v>
      </c>
      <c r="H1978" s="504">
        <v>0.55000000000000004</v>
      </c>
      <c r="I1978" s="504">
        <v>0</v>
      </c>
      <c r="J1978" s="505">
        <v>23.41</v>
      </c>
      <c r="K1978" s="505">
        <v>12.87</v>
      </c>
      <c r="L1978" s="70"/>
    </row>
    <row r="1979" spans="1:12" ht="15.75" customHeight="1" x14ac:dyDescent="0.25">
      <c r="A1979" s="445"/>
      <c r="B1979" s="445"/>
      <c r="C1979" s="445"/>
      <c r="D1979" s="445"/>
      <c r="E1979" s="445" t="s">
        <v>1735</v>
      </c>
      <c r="F1979" s="506">
        <v>23.29</v>
      </c>
      <c r="G1979" s="445" t="s">
        <v>1736</v>
      </c>
      <c r="H1979" s="506">
        <v>0</v>
      </c>
      <c r="I1979" s="445" t="s">
        <v>1737</v>
      </c>
      <c r="J1979" s="506">
        <v>23.29</v>
      </c>
      <c r="K1979" s="70"/>
      <c r="L1979" s="70"/>
    </row>
    <row r="1980" spans="1:12" ht="17.25" thickBot="1" x14ac:dyDescent="0.3">
      <c r="A1980" s="445"/>
      <c r="B1980" s="445"/>
      <c r="C1980" s="445"/>
      <c r="D1980" s="445"/>
      <c r="E1980" s="445" t="s">
        <v>1738</v>
      </c>
      <c r="F1980" s="506">
        <v>103.56192</v>
      </c>
      <c r="G1980" s="445"/>
      <c r="H1980" s="606" t="s">
        <v>1739</v>
      </c>
      <c r="I1980" s="606"/>
      <c r="J1980" s="506">
        <v>523.86</v>
      </c>
      <c r="K1980" s="70"/>
      <c r="L1980" s="70"/>
    </row>
    <row r="1981" spans="1:12" ht="17.25" thickTop="1" x14ac:dyDescent="0.25">
      <c r="A1981" s="507"/>
      <c r="B1981" s="507"/>
      <c r="C1981" s="507"/>
      <c r="D1981" s="507"/>
      <c r="E1981" s="507"/>
      <c r="F1981" s="507"/>
      <c r="G1981" s="507"/>
      <c r="H1981" s="507"/>
      <c r="I1981" s="507"/>
      <c r="J1981" s="507"/>
      <c r="K1981" s="507"/>
      <c r="L1981" s="70"/>
    </row>
    <row r="1982" spans="1:12" ht="16.5" x14ac:dyDescent="0.25">
      <c r="A1982" s="419" t="s">
        <v>1617</v>
      </c>
      <c r="B1982" s="421" t="s">
        <v>76</v>
      </c>
      <c r="C1982" s="419" t="s">
        <v>991</v>
      </c>
      <c r="D1982" s="419" t="s">
        <v>191</v>
      </c>
      <c r="E1982" s="603" t="s">
        <v>77</v>
      </c>
      <c r="F1982" s="603"/>
      <c r="G1982" s="420" t="s">
        <v>103</v>
      </c>
      <c r="H1982" s="421" t="s">
        <v>147</v>
      </c>
      <c r="I1982" s="421" t="s">
        <v>1731</v>
      </c>
      <c r="J1982" s="421" t="s">
        <v>1117</v>
      </c>
      <c r="K1982" s="421" t="s">
        <v>104</v>
      </c>
      <c r="L1982" s="70"/>
    </row>
    <row r="1983" spans="1:12" ht="51" x14ac:dyDescent="0.25">
      <c r="A1983" s="441" t="s">
        <v>79</v>
      </c>
      <c r="B1983" s="480" t="s">
        <v>1618</v>
      </c>
      <c r="C1983" s="441" t="s">
        <v>1168</v>
      </c>
      <c r="D1983" s="441" t="s">
        <v>611</v>
      </c>
      <c r="E1983" s="604" t="s">
        <v>2359</v>
      </c>
      <c r="F1983" s="604"/>
      <c r="G1983" s="443" t="s">
        <v>49</v>
      </c>
      <c r="H1983" s="500">
        <v>1</v>
      </c>
      <c r="I1983" s="442"/>
      <c r="J1983" s="442">
        <v>3310.91</v>
      </c>
      <c r="K1983" s="442">
        <v>3310.91</v>
      </c>
      <c r="L1983" s="70"/>
    </row>
    <row r="1984" spans="1:12" ht="16.5" x14ac:dyDescent="0.25">
      <c r="A1984" s="501" t="s">
        <v>1732</v>
      </c>
      <c r="B1984" s="502" t="s">
        <v>2429</v>
      </c>
      <c r="C1984" s="501" t="s">
        <v>2108</v>
      </c>
      <c r="D1984" s="501" t="s">
        <v>2430</v>
      </c>
      <c r="E1984" s="602" t="s">
        <v>1746</v>
      </c>
      <c r="F1984" s="602"/>
      <c r="G1984" s="503" t="s">
        <v>49</v>
      </c>
      <c r="H1984" s="504">
        <v>2</v>
      </c>
      <c r="I1984" s="504"/>
      <c r="J1984" s="505">
        <v>4.7</v>
      </c>
      <c r="K1984" s="505">
        <v>9.4</v>
      </c>
      <c r="L1984" s="70"/>
    </row>
    <row r="1985" spans="1:12" ht="25.5" x14ac:dyDescent="0.25">
      <c r="A1985" s="501" t="s">
        <v>1732</v>
      </c>
      <c r="B1985" s="502" t="s">
        <v>2498</v>
      </c>
      <c r="C1985" s="501" t="s">
        <v>2108</v>
      </c>
      <c r="D1985" s="501" t="s">
        <v>2499</v>
      </c>
      <c r="E1985" s="602" t="s">
        <v>1746</v>
      </c>
      <c r="F1985" s="602"/>
      <c r="G1985" s="503" t="s">
        <v>49</v>
      </c>
      <c r="H1985" s="504">
        <v>16</v>
      </c>
      <c r="I1985" s="504"/>
      <c r="J1985" s="505">
        <v>9.8000000000000007</v>
      </c>
      <c r="K1985" s="505">
        <v>156.80000000000001</v>
      </c>
      <c r="L1985" s="70"/>
    </row>
    <row r="1986" spans="1:12" ht="16.5" x14ac:dyDescent="0.25">
      <c r="A1986" s="501" t="s">
        <v>1732</v>
      </c>
      <c r="B1986" s="502" t="s">
        <v>2508</v>
      </c>
      <c r="C1986" s="501" t="s">
        <v>2108</v>
      </c>
      <c r="D1986" s="501" t="s">
        <v>2509</v>
      </c>
      <c r="E1986" s="602" t="s">
        <v>1746</v>
      </c>
      <c r="F1986" s="602"/>
      <c r="G1986" s="503" t="s">
        <v>49</v>
      </c>
      <c r="H1986" s="504">
        <v>1</v>
      </c>
      <c r="I1986" s="504"/>
      <c r="J1986" s="505">
        <v>3005.64</v>
      </c>
      <c r="K1986" s="505">
        <v>3005.64</v>
      </c>
      <c r="L1986" s="70"/>
    </row>
    <row r="1987" spans="1:12" ht="25.5" x14ac:dyDescent="0.25">
      <c r="A1987" s="501" t="s">
        <v>1732</v>
      </c>
      <c r="B1987" s="502" t="s">
        <v>999</v>
      </c>
      <c r="C1987" s="501" t="s">
        <v>993</v>
      </c>
      <c r="D1987" s="501" t="s">
        <v>1000</v>
      </c>
      <c r="E1987" s="602" t="s">
        <v>972</v>
      </c>
      <c r="F1987" s="602"/>
      <c r="G1987" s="503" t="s">
        <v>81</v>
      </c>
      <c r="H1987" s="504">
        <v>4</v>
      </c>
      <c r="I1987" s="504">
        <v>0</v>
      </c>
      <c r="J1987" s="505">
        <v>16.04</v>
      </c>
      <c r="K1987" s="505">
        <v>64.16</v>
      </c>
      <c r="L1987" s="70"/>
    </row>
    <row r="1988" spans="1:12" ht="25.5" x14ac:dyDescent="0.25">
      <c r="A1988" s="501" t="s">
        <v>1732</v>
      </c>
      <c r="B1988" s="502" t="s">
        <v>1011</v>
      </c>
      <c r="C1988" s="501" t="s">
        <v>993</v>
      </c>
      <c r="D1988" s="501" t="s">
        <v>1012</v>
      </c>
      <c r="E1988" s="602" t="s">
        <v>972</v>
      </c>
      <c r="F1988" s="602"/>
      <c r="G1988" s="503" t="s">
        <v>81</v>
      </c>
      <c r="H1988" s="504">
        <v>3.2</v>
      </c>
      <c r="I1988" s="504">
        <v>0</v>
      </c>
      <c r="J1988" s="505">
        <v>23.41</v>
      </c>
      <c r="K1988" s="505">
        <v>74.91</v>
      </c>
      <c r="L1988" s="70"/>
    </row>
    <row r="1989" spans="1:12" ht="15.75" customHeight="1" x14ac:dyDescent="0.25">
      <c r="A1989" s="445"/>
      <c r="B1989" s="445"/>
      <c r="C1989" s="445"/>
      <c r="D1989" s="445"/>
      <c r="E1989" s="445" t="s">
        <v>1735</v>
      </c>
      <c r="F1989" s="506">
        <v>139.07</v>
      </c>
      <c r="G1989" s="445" t="s">
        <v>1736</v>
      </c>
      <c r="H1989" s="506">
        <v>0</v>
      </c>
      <c r="I1989" s="445" t="s">
        <v>1737</v>
      </c>
      <c r="J1989" s="506">
        <v>139.07</v>
      </c>
      <c r="K1989" s="70"/>
      <c r="L1989" s="70"/>
    </row>
    <row r="1990" spans="1:12" ht="17.25" thickBot="1" x14ac:dyDescent="0.3">
      <c r="A1990" s="445"/>
      <c r="B1990" s="445"/>
      <c r="C1990" s="445"/>
      <c r="D1990" s="445"/>
      <c r="E1990" s="445" t="s">
        <v>1738</v>
      </c>
      <c r="F1990" s="506">
        <v>815.808224</v>
      </c>
      <c r="G1990" s="445"/>
      <c r="H1990" s="606" t="s">
        <v>1739</v>
      </c>
      <c r="I1990" s="606"/>
      <c r="J1990" s="506">
        <v>4126.71</v>
      </c>
      <c r="K1990" s="70"/>
      <c r="L1990" s="70"/>
    </row>
    <row r="1991" spans="1:12" ht="17.25" thickTop="1" x14ac:dyDescent="0.25">
      <c r="A1991" s="507"/>
      <c r="B1991" s="507"/>
      <c r="C1991" s="507"/>
      <c r="D1991" s="507"/>
      <c r="E1991" s="507"/>
      <c r="F1991" s="507"/>
      <c r="G1991" s="507"/>
      <c r="H1991" s="507"/>
      <c r="I1991" s="507"/>
      <c r="J1991" s="507"/>
      <c r="K1991" s="507"/>
      <c r="L1991" s="70"/>
    </row>
    <row r="1992" spans="1:12" ht="16.5" x14ac:dyDescent="0.25">
      <c r="A1992" s="419" t="s">
        <v>1619</v>
      </c>
      <c r="B1992" s="421" t="s">
        <v>76</v>
      </c>
      <c r="C1992" s="419" t="s">
        <v>991</v>
      </c>
      <c r="D1992" s="419" t="s">
        <v>191</v>
      </c>
      <c r="E1992" s="603" t="s">
        <v>77</v>
      </c>
      <c r="F1992" s="603"/>
      <c r="G1992" s="420" t="s">
        <v>103</v>
      </c>
      <c r="H1992" s="421" t="s">
        <v>147</v>
      </c>
      <c r="I1992" s="421" t="s">
        <v>1731</v>
      </c>
      <c r="J1992" s="421" t="s">
        <v>1117</v>
      </c>
      <c r="K1992" s="421" t="s">
        <v>104</v>
      </c>
      <c r="L1992" s="70"/>
    </row>
    <row r="1993" spans="1:12" ht="51" x14ac:dyDescent="0.25">
      <c r="A1993" s="441" t="s">
        <v>79</v>
      </c>
      <c r="B1993" s="480" t="s">
        <v>1620</v>
      </c>
      <c r="C1993" s="441" t="s">
        <v>1168</v>
      </c>
      <c r="D1993" s="441" t="s">
        <v>612</v>
      </c>
      <c r="E1993" s="604" t="s">
        <v>2359</v>
      </c>
      <c r="F1993" s="604"/>
      <c r="G1993" s="443" t="s">
        <v>49</v>
      </c>
      <c r="H1993" s="500">
        <v>1</v>
      </c>
      <c r="I1993" s="442"/>
      <c r="J1993" s="442">
        <v>1490.92</v>
      </c>
      <c r="K1993" s="442">
        <v>1490.92</v>
      </c>
      <c r="L1993" s="70"/>
    </row>
    <row r="1994" spans="1:12" ht="16.5" x14ac:dyDescent="0.25">
      <c r="A1994" s="501" t="s">
        <v>1732</v>
      </c>
      <c r="B1994" s="502" t="s">
        <v>2510</v>
      </c>
      <c r="C1994" s="501" t="s">
        <v>2108</v>
      </c>
      <c r="D1994" s="501" t="s">
        <v>2511</v>
      </c>
      <c r="E1994" s="602" t="s">
        <v>1746</v>
      </c>
      <c r="F1994" s="602"/>
      <c r="G1994" s="503" t="s">
        <v>49</v>
      </c>
      <c r="H1994" s="504">
        <v>2</v>
      </c>
      <c r="I1994" s="504"/>
      <c r="J1994" s="505">
        <v>7.12</v>
      </c>
      <c r="K1994" s="505">
        <v>14.24</v>
      </c>
      <c r="L1994" s="70"/>
    </row>
    <row r="1995" spans="1:12" ht="25.5" x14ac:dyDescent="0.25">
      <c r="A1995" s="501" t="s">
        <v>1732</v>
      </c>
      <c r="B1995" s="502" t="s">
        <v>2498</v>
      </c>
      <c r="C1995" s="501" t="s">
        <v>2108</v>
      </c>
      <c r="D1995" s="501" t="s">
        <v>2499</v>
      </c>
      <c r="E1995" s="602" t="s">
        <v>1746</v>
      </c>
      <c r="F1995" s="602"/>
      <c r="G1995" s="503" t="s">
        <v>49</v>
      </c>
      <c r="H1995" s="504">
        <v>16</v>
      </c>
      <c r="I1995" s="504"/>
      <c r="J1995" s="505">
        <v>9.8000000000000007</v>
      </c>
      <c r="K1995" s="505">
        <v>156.80000000000001</v>
      </c>
      <c r="L1995" s="70"/>
    </row>
    <row r="1996" spans="1:12" ht="16.5" x14ac:dyDescent="0.25">
      <c r="A1996" s="501" t="s">
        <v>1732</v>
      </c>
      <c r="B1996" s="502" t="s">
        <v>2512</v>
      </c>
      <c r="C1996" s="501" t="s">
        <v>2108</v>
      </c>
      <c r="D1996" s="501" t="s">
        <v>2513</v>
      </c>
      <c r="E1996" s="602" t="s">
        <v>1746</v>
      </c>
      <c r="F1996" s="602"/>
      <c r="G1996" s="503" t="s">
        <v>49</v>
      </c>
      <c r="H1996" s="504">
        <v>1</v>
      </c>
      <c r="I1996" s="504"/>
      <c r="J1996" s="505">
        <v>1172.3499999999999</v>
      </c>
      <c r="K1996" s="505">
        <v>1172.3499999999999</v>
      </c>
      <c r="L1996" s="70"/>
    </row>
    <row r="1997" spans="1:12" ht="25.5" x14ac:dyDescent="0.25">
      <c r="A1997" s="501" t="s">
        <v>1732</v>
      </c>
      <c r="B1997" s="502" t="s">
        <v>999</v>
      </c>
      <c r="C1997" s="501" t="s">
        <v>993</v>
      </c>
      <c r="D1997" s="501" t="s">
        <v>1000</v>
      </c>
      <c r="E1997" s="602" t="s">
        <v>972</v>
      </c>
      <c r="F1997" s="602"/>
      <c r="G1997" s="503" t="s">
        <v>81</v>
      </c>
      <c r="H1997" s="504">
        <v>3.74</v>
      </c>
      <c r="I1997" s="504">
        <v>0</v>
      </c>
      <c r="J1997" s="505">
        <v>16.04</v>
      </c>
      <c r="K1997" s="505">
        <v>59.98</v>
      </c>
      <c r="L1997" s="70"/>
    </row>
    <row r="1998" spans="1:12" ht="25.5" x14ac:dyDescent="0.25">
      <c r="A1998" s="501" t="s">
        <v>1732</v>
      </c>
      <c r="B1998" s="502" t="s">
        <v>1011</v>
      </c>
      <c r="C1998" s="501" t="s">
        <v>993</v>
      </c>
      <c r="D1998" s="501" t="s">
        <v>1012</v>
      </c>
      <c r="E1998" s="602" t="s">
        <v>972</v>
      </c>
      <c r="F1998" s="602"/>
      <c r="G1998" s="503" t="s">
        <v>81</v>
      </c>
      <c r="H1998" s="504">
        <v>3.74</v>
      </c>
      <c r="I1998" s="504">
        <v>0</v>
      </c>
      <c r="J1998" s="505">
        <v>23.41</v>
      </c>
      <c r="K1998" s="505">
        <v>87.55</v>
      </c>
      <c r="L1998" s="70"/>
    </row>
    <row r="1999" spans="1:12" ht="15.75" customHeight="1" x14ac:dyDescent="0.25">
      <c r="A1999" s="445"/>
      <c r="B1999" s="445"/>
      <c r="C1999" s="445"/>
      <c r="D1999" s="445"/>
      <c r="E1999" s="445" t="s">
        <v>1735</v>
      </c>
      <c r="F1999" s="506">
        <v>147.53</v>
      </c>
      <c r="G1999" s="445" t="s">
        <v>1736</v>
      </c>
      <c r="H1999" s="506">
        <v>0</v>
      </c>
      <c r="I1999" s="445" t="s">
        <v>1737</v>
      </c>
      <c r="J1999" s="506">
        <v>147.53</v>
      </c>
      <c r="K1999" s="70"/>
      <c r="L1999" s="70"/>
    </row>
    <row r="2000" spans="1:12" ht="17.25" thickBot="1" x14ac:dyDescent="0.3">
      <c r="A2000" s="445"/>
      <c r="B2000" s="445"/>
      <c r="C2000" s="445"/>
      <c r="D2000" s="445"/>
      <c r="E2000" s="445" t="s">
        <v>1738</v>
      </c>
      <c r="F2000" s="506">
        <v>367.36268799999999</v>
      </c>
      <c r="G2000" s="445"/>
      <c r="H2000" s="606" t="s">
        <v>1739</v>
      </c>
      <c r="I2000" s="606"/>
      <c r="J2000" s="506">
        <v>1858.28</v>
      </c>
      <c r="K2000" s="70"/>
      <c r="L2000" s="70"/>
    </row>
    <row r="2001" spans="1:12" ht="17.25" thickTop="1" x14ac:dyDescent="0.25">
      <c r="A2001" s="507"/>
      <c r="B2001" s="507"/>
      <c r="C2001" s="507"/>
      <c r="D2001" s="507"/>
      <c r="E2001" s="507"/>
      <c r="F2001" s="507"/>
      <c r="G2001" s="507"/>
      <c r="H2001" s="507"/>
      <c r="I2001" s="507"/>
      <c r="J2001" s="507"/>
      <c r="K2001" s="507"/>
      <c r="L2001" s="70"/>
    </row>
    <row r="2002" spans="1:12" ht="16.5" x14ac:dyDescent="0.25">
      <c r="A2002" s="419" t="s">
        <v>1621</v>
      </c>
      <c r="B2002" s="421" t="s">
        <v>76</v>
      </c>
      <c r="C2002" s="419" t="s">
        <v>991</v>
      </c>
      <c r="D2002" s="419" t="s">
        <v>191</v>
      </c>
      <c r="E2002" s="603" t="s">
        <v>77</v>
      </c>
      <c r="F2002" s="603"/>
      <c r="G2002" s="420" t="s">
        <v>103</v>
      </c>
      <c r="H2002" s="421" t="s">
        <v>147</v>
      </c>
      <c r="I2002" s="421" t="s">
        <v>1731</v>
      </c>
      <c r="J2002" s="421" t="s">
        <v>1117</v>
      </c>
      <c r="K2002" s="421" t="s">
        <v>104</v>
      </c>
      <c r="L2002" s="70"/>
    </row>
    <row r="2003" spans="1:12" ht="25.5" x14ac:dyDescent="0.25">
      <c r="A2003" s="441" t="s">
        <v>79</v>
      </c>
      <c r="B2003" s="480" t="s">
        <v>1622</v>
      </c>
      <c r="C2003" s="441" t="s">
        <v>1168</v>
      </c>
      <c r="D2003" s="441" t="s">
        <v>613</v>
      </c>
      <c r="E2003" s="604">
        <v>323</v>
      </c>
      <c r="F2003" s="604"/>
      <c r="G2003" s="443" t="s">
        <v>49</v>
      </c>
      <c r="H2003" s="500">
        <v>1</v>
      </c>
      <c r="I2003" s="442"/>
      <c r="J2003" s="442">
        <v>1597.65</v>
      </c>
      <c r="K2003" s="442">
        <v>1597.65</v>
      </c>
      <c r="L2003" s="70"/>
    </row>
    <row r="2004" spans="1:12" ht="16.5" x14ac:dyDescent="0.25">
      <c r="A2004" s="501" t="s">
        <v>1732</v>
      </c>
      <c r="B2004" s="502" t="s">
        <v>1880</v>
      </c>
      <c r="C2004" s="501" t="s">
        <v>575</v>
      </c>
      <c r="D2004" s="501" t="s">
        <v>2446</v>
      </c>
      <c r="E2004" s="602" t="s">
        <v>922</v>
      </c>
      <c r="F2004" s="602"/>
      <c r="G2004" s="503" t="s">
        <v>80</v>
      </c>
      <c r="H2004" s="504">
        <v>0.186</v>
      </c>
      <c r="I2004" s="504"/>
      <c r="J2004" s="505">
        <v>21.08</v>
      </c>
      <c r="K2004" s="505">
        <v>3.92</v>
      </c>
      <c r="L2004" s="70"/>
    </row>
    <row r="2005" spans="1:12" ht="25.5" x14ac:dyDescent="0.25">
      <c r="A2005" s="501" t="s">
        <v>1732</v>
      </c>
      <c r="B2005" s="502" t="s">
        <v>999</v>
      </c>
      <c r="C2005" s="501" t="s">
        <v>993</v>
      </c>
      <c r="D2005" s="501" t="s">
        <v>1000</v>
      </c>
      <c r="E2005" s="602" t="s">
        <v>972</v>
      </c>
      <c r="F2005" s="602"/>
      <c r="G2005" s="503" t="s">
        <v>81</v>
      </c>
      <c r="H2005" s="504">
        <v>3</v>
      </c>
      <c r="I2005" s="504">
        <v>0</v>
      </c>
      <c r="J2005" s="505">
        <v>16.04</v>
      </c>
      <c r="K2005" s="505">
        <v>48.12</v>
      </c>
      <c r="L2005" s="70"/>
    </row>
    <row r="2006" spans="1:12" ht="25.5" x14ac:dyDescent="0.25">
      <c r="A2006" s="501" t="s">
        <v>1732</v>
      </c>
      <c r="B2006" s="502" t="s">
        <v>1011</v>
      </c>
      <c r="C2006" s="501" t="s">
        <v>993</v>
      </c>
      <c r="D2006" s="501" t="s">
        <v>1012</v>
      </c>
      <c r="E2006" s="602" t="s">
        <v>972</v>
      </c>
      <c r="F2006" s="602"/>
      <c r="G2006" s="503" t="s">
        <v>81</v>
      </c>
      <c r="H2006" s="504">
        <v>1</v>
      </c>
      <c r="I2006" s="504">
        <v>0</v>
      </c>
      <c r="J2006" s="505">
        <v>23.41</v>
      </c>
      <c r="K2006" s="505">
        <v>23.41</v>
      </c>
      <c r="L2006" s="70"/>
    </row>
    <row r="2007" spans="1:12" ht="16.5" x14ac:dyDescent="0.25">
      <c r="A2007" s="501" t="s">
        <v>1732</v>
      </c>
      <c r="B2007" s="502" t="s">
        <v>2514</v>
      </c>
      <c r="C2007" s="501" t="s">
        <v>2448</v>
      </c>
      <c r="D2007" s="501" t="s">
        <v>2515</v>
      </c>
      <c r="E2007" s="602" t="s">
        <v>1746</v>
      </c>
      <c r="F2007" s="602"/>
      <c r="G2007" s="503" t="s">
        <v>38</v>
      </c>
      <c r="H2007" s="504">
        <v>1</v>
      </c>
      <c r="I2007" s="504">
        <v>0</v>
      </c>
      <c r="J2007" s="505">
        <v>1522.2</v>
      </c>
      <c r="K2007" s="505">
        <v>1522.2</v>
      </c>
      <c r="L2007" s="70"/>
    </row>
    <row r="2008" spans="1:12" ht="15.75" customHeight="1" x14ac:dyDescent="0.25">
      <c r="A2008" s="445"/>
      <c r="B2008" s="445"/>
      <c r="C2008" s="445"/>
      <c r="D2008" s="445"/>
      <c r="E2008" s="445" t="s">
        <v>1735</v>
      </c>
      <c r="F2008" s="506">
        <v>71.53</v>
      </c>
      <c r="G2008" s="445" t="s">
        <v>1736</v>
      </c>
      <c r="H2008" s="506">
        <v>0</v>
      </c>
      <c r="I2008" s="445" t="s">
        <v>1737</v>
      </c>
      <c r="J2008" s="506">
        <v>71.53</v>
      </c>
      <c r="K2008" s="70"/>
      <c r="L2008" s="70"/>
    </row>
    <row r="2009" spans="1:12" ht="17.25" thickBot="1" x14ac:dyDescent="0.3">
      <c r="A2009" s="445"/>
      <c r="B2009" s="445"/>
      <c r="C2009" s="445"/>
      <c r="D2009" s="445"/>
      <c r="E2009" s="445" t="s">
        <v>1738</v>
      </c>
      <c r="F2009" s="506">
        <v>393.66095999999999</v>
      </c>
      <c r="G2009" s="445"/>
      <c r="H2009" s="606" t="s">
        <v>1739</v>
      </c>
      <c r="I2009" s="606"/>
      <c r="J2009" s="506">
        <v>1991.31</v>
      </c>
      <c r="K2009" s="70"/>
      <c r="L2009" s="70"/>
    </row>
    <row r="2010" spans="1:12" ht="17.25" thickTop="1" x14ac:dyDescent="0.25">
      <c r="A2010" s="507"/>
      <c r="B2010" s="507"/>
      <c r="C2010" s="507"/>
      <c r="D2010" s="507"/>
      <c r="E2010" s="507"/>
      <c r="F2010" s="507"/>
      <c r="G2010" s="507"/>
      <c r="H2010" s="507"/>
      <c r="I2010" s="507"/>
      <c r="J2010" s="507"/>
      <c r="K2010" s="507"/>
      <c r="L2010" s="70"/>
    </row>
    <row r="2011" spans="1:12" ht="16.5" x14ac:dyDescent="0.25">
      <c r="A2011" s="419" t="s">
        <v>1623</v>
      </c>
      <c r="B2011" s="421" t="s">
        <v>76</v>
      </c>
      <c r="C2011" s="419" t="s">
        <v>991</v>
      </c>
      <c r="D2011" s="419" t="s">
        <v>191</v>
      </c>
      <c r="E2011" s="603" t="s">
        <v>77</v>
      </c>
      <c r="F2011" s="603"/>
      <c r="G2011" s="420" t="s">
        <v>103</v>
      </c>
      <c r="H2011" s="421" t="s">
        <v>147</v>
      </c>
      <c r="I2011" s="421" t="s">
        <v>1731</v>
      </c>
      <c r="J2011" s="421" t="s">
        <v>1117</v>
      </c>
      <c r="K2011" s="421" t="s">
        <v>104</v>
      </c>
      <c r="L2011" s="70"/>
    </row>
    <row r="2012" spans="1:12" ht="25.5" x14ac:dyDescent="0.25">
      <c r="A2012" s="441" t="s">
        <v>79</v>
      </c>
      <c r="B2012" s="480" t="s">
        <v>1624</v>
      </c>
      <c r="C2012" s="441" t="s">
        <v>1168</v>
      </c>
      <c r="D2012" s="441" t="s">
        <v>614</v>
      </c>
      <c r="E2012" s="604" t="s">
        <v>2359</v>
      </c>
      <c r="F2012" s="604"/>
      <c r="G2012" s="443" t="s">
        <v>41</v>
      </c>
      <c r="H2012" s="500">
        <v>1</v>
      </c>
      <c r="I2012" s="442"/>
      <c r="J2012" s="442">
        <v>1276.4100000000001</v>
      </c>
      <c r="K2012" s="442">
        <v>1276.4100000000001</v>
      </c>
      <c r="L2012" s="70"/>
    </row>
    <row r="2013" spans="1:12" ht="25.5" x14ac:dyDescent="0.25">
      <c r="A2013" s="501" t="s">
        <v>1732</v>
      </c>
      <c r="B2013" s="502" t="s">
        <v>2516</v>
      </c>
      <c r="C2013" s="501" t="s">
        <v>2108</v>
      </c>
      <c r="D2013" s="501" t="s">
        <v>2517</v>
      </c>
      <c r="E2013" s="602" t="s">
        <v>1746</v>
      </c>
      <c r="F2013" s="602"/>
      <c r="G2013" s="503" t="s">
        <v>41</v>
      </c>
      <c r="H2013" s="504">
        <v>1</v>
      </c>
      <c r="I2013" s="504"/>
      <c r="J2013" s="505">
        <v>1268.53</v>
      </c>
      <c r="K2013" s="505">
        <v>1268.53</v>
      </c>
      <c r="L2013" s="70"/>
    </row>
    <row r="2014" spans="1:12" ht="25.5" x14ac:dyDescent="0.25">
      <c r="A2014" s="501" t="s">
        <v>1732</v>
      </c>
      <c r="B2014" s="502" t="s">
        <v>999</v>
      </c>
      <c r="C2014" s="501" t="s">
        <v>993</v>
      </c>
      <c r="D2014" s="501" t="s">
        <v>1000</v>
      </c>
      <c r="E2014" s="602" t="s">
        <v>972</v>
      </c>
      <c r="F2014" s="602"/>
      <c r="G2014" s="503" t="s">
        <v>81</v>
      </c>
      <c r="H2014" s="504">
        <v>0.2</v>
      </c>
      <c r="I2014" s="504">
        <v>0</v>
      </c>
      <c r="J2014" s="505">
        <v>16.04</v>
      </c>
      <c r="K2014" s="505">
        <v>3.2</v>
      </c>
      <c r="L2014" s="70"/>
    </row>
    <row r="2015" spans="1:12" ht="25.5" x14ac:dyDescent="0.25">
      <c r="A2015" s="501" t="s">
        <v>1732</v>
      </c>
      <c r="B2015" s="502" t="s">
        <v>1011</v>
      </c>
      <c r="C2015" s="501" t="s">
        <v>993</v>
      </c>
      <c r="D2015" s="501" t="s">
        <v>1012</v>
      </c>
      <c r="E2015" s="602" t="s">
        <v>972</v>
      </c>
      <c r="F2015" s="602"/>
      <c r="G2015" s="503" t="s">
        <v>81</v>
      </c>
      <c r="H2015" s="504">
        <v>0.2</v>
      </c>
      <c r="I2015" s="504">
        <v>0</v>
      </c>
      <c r="J2015" s="505">
        <v>23.41</v>
      </c>
      <c r="K2015" s="505">
        <v>4.68</v>
      </c>
      <c r="L2015" s="70"/>
    </row>
    <row r="2016" spans="1:12" ht="15.75" customHeight="1" x14ac:dyDescent="0.25">
      <c r="A2016" s="445"/>
      <c r="B2016" s="445"/>
      <c r="C2016" s="445"/>
      <c r="D2016" s="445"/>
      <c r="E2016" s="445" t="s">
        <v>1735</v>
      </c>
      <c r="F2016" s="506">
        <v>7.88</v>
      </c>
      <c r="G2016" s="445" t="s">
        <v>1736</v>
      </c>
      <c r="H2016" s="506">
        <v>0</v>
      </c>
      <c r="I2016" s="445" t="s">
        <v>1737</v>
      </c>
      <c r="J2016" s="506">
        <v>7.88</v>
      </c>
      <c r="K2016" s="70"/>
      <c r="L2016" s="70"/>
    </row>
    <row r="2017" spans="1:12" ht="17.25" thickBot="1" x14ac:dyDescent="0.3">
      <c r="A2017" s="445"/>
      <c r="B2017" s="445"/>
      <c r="C2017" s="445"/>
      <c r="D2017" s="445"/>
      <c r="E2017" s="445" t="s">
        <v>1738</v>
      </c>
      <c r="F2017" s="506">
        <v>314.50742400000001</v>
      </c>
      <c r="G2017" s="445"/>
      <c r="H2017" s="606" t="s">
        <v>1739</v>
      </c>
      <c r="I2017" s="606"/>
      <c r="J2017" s="506">
        <v>1590.91</v>
      </c>
      <c r="K2017" s="70"/>
      <c r="L2017" s="70"/>
    </row>
    <row r="2018" spans="1:12" ht="17.25" thickTop="1" x14ac:dyDescent="0.25">
      <c r="A2018" s="507"/>
      <c r="B2018" s="507"/>
      <c r="C2018" s="507"/>
      <c r="D2018" s="507"/>
      <c r="E2018" s="507"/>
      <c r="F2018" s="507"/>
      <c r="G2018" s="507"/>
      <c r="H2018" s="507"/>
      <c r="I2018" s="507"/>
      <c r="J2018" s="507"/>
      <c r="K2018" s="507"/>
      <c r="L2018" s="70"/>
    </row>
    <row r="2019" spans="1:12" ht="16.5" x14ac:dyDescent="0.25">
      <c r="A2019" s="419" t="s">
        <v>1625</v>
      </c>
      <c r="B2019" s="421" t="s">
        <v>76</v>
      </c>
      <c r="C2019" s="419" t="s">
        <v>991</v>
      </c>
      <c r="D2019" s="419" t="s">
        <v>191</v>
      </c>
      <c r="E2019" s="603" t="s">
        <v>77</v>
      </c>
      <c r="F2019" s="603"/>
      <c r="G2019" s="420" t="s">
        <v>103</v>
      </c>
      <c r="H2019" s="421" t="s">
        <v>147</v>
      </c>
      <c r="I2019" s="421" t="s">
        <v>1731</v>
      </c>
      <c r="J2019" s="421" t="s">
        <v>1117</v>
      </c>
      <c r="K2019" s="421" t="s">
        <v>104</v>
      </c>
      <c r="L2019" s="70"/>
    </row>
    <row r="2020" spans="1:12" ht="51" x14ac:dyDescent="0.25">
      <c r="A2020" s="441" t="s">
        <v>79</v>
      </c>
      <c r="B2020" s="480" t="s">
        <v>1626</v>
      </c>
      <c r="C2020" s="441" t="s">
        <v>1168</v>
      </c>
      <c r="D2020" s="441" t="s">
        <v>1627</v>
      </c>
      <c r="E2020" s="604" t="s">
        <v>2359</v>
      </c>
      <c r="F2020" s="604"/>
      <c r="G2020" s="443" t="s">
        <v>49</v>
      </c>
      <c r="H2020" s="500">
        <v>1</v>
      </c>
      <c r="I2020" s="442"/>
      <c r="J2020" s="442">
        <v>1202.8900000000001</v>
      </c>
      <c r="K2020" s="442">
        <v>1202.8900000000001</v>
      </c>
      <c r="L2020" s="70"/>
    </row>
    <row r="2021" spans="1:12" ht="16.5" x14ac:dyDescent="0.25">
      <c r="A2021" s="501" t="s">
        <v>1732</v>
      </c>
      <c r="B2021" s="502" t="s">
        <v>2510</v>
      </c>
      <c r="C2021" s="501" t="s">
        <v>2108</v>
      </c>
      <c r="D2021" s="501" t="s">
        <v>2511</v>
      </c>
      <c r="E2021" s="602" t="s">
        <v>1746</v>
      </c>
      <c r="F2021" s="602"/>
      <c r="G2021" s="503" t="s">
        <v>49</v>
      </c>
      <c r="H2021" s="504">
        <v>2</v>
      </c>
      <c r="I2021" s="504"/>
      <c r="J2021" s="505">
        <v>7.12</v>
      </c>
      <c r="K2021" s="505">
        <v>14.24</v>
      </c>
      <c r="L2021" s="70"/>
    </row>
    <row r="2022" spans="1:12" ht="16.5" x14ac:dyDescent="0.25">
      <c r="A2022" s="501" t="s">
        <v>1732</v>
      </c>
      <c r="B2022" s="502" t="s">
        <v>2518</v>
      </c>
      <c r="C2022" s="501" t="s">
        <v>2108</v>
      </c>
      <c r="D2022" s="501" t="s">
        <v>2519</v>
      </c>
      <c r="E2022" s="602" t="s">
        <v>1746</v>
      </c>
      <c r="F2022" s="602"/>
      <c r="G2022" s="503" t="s">
        <v>49</v>
      </c>
      <c r="H2022" s="504">
        <v>1</v>
      </c>
      <c r="I2022" s="504"/>
      <c r="J2022" s="505">
        <v>884.32</v>
      </c>
      <c r="K2022" s="505">
        <v>884.32</v>
      </c>
      <c r="L2022" s="70"/>
    </row>
    <row r="2023" spans="1:12" ht="25.5" x14ac:dyDescent="0.25">
      <c r="A2023" s="501" t="s">
        <v>1732</v>
      </c>
      <c r="B2023" s="502" t="s">
        <v>2498</v>
      </c>
      <c r="C2023" s="501" t="s">
        <v>2108</v>
      </c>
      <c r="D2023" s="501" t="s">
        <v>2499</v>
      </c>
      <c r="E2023" s="602" t="s">
        <v>1746</v>
      </c>
      <c r="F2023" s="602"/>
      <c r="G2023" s="503" t="s">
        <v>49</v>
      </c>
      <c r="H2023" s="504">
        <v>16</v>
      </c>
      <c r="I2023" s="504"/>
      <c r="J2023" s="505">
        <v>9.8000000000000007</v>
      </c>
      <c r="K2023" s="505">
        <v>156.80000000000001</v>
      </c>
      <c r="L2023" s="70"/>
    </row>
    <row r="2024" spans="1:12" ht="25.5" x14ac:dyDescent="0.25">
      <c r="A2024" s="501" t="s">
        <v>1732</v>
      </c>
      <c r="B2024" s="502" t="s">
        <v>999</v>
      </c>
      <c r="C2024" s="501" t="s">
        <v>993</v>
      </c>
      <c r="D2024" s="501" t="s">
        <v>1000</v>
      </c>
      <c r="E2024" s="602" t="s">
        <v>972</v>
      </c>
      <c r="F2024" s="602"/>
      <c r="G2024" s="503" t="s">
        <v>81</v>
      </c>
      <c r="H2024" s="504">
        <v>3.74</v>
      </c>
      <c r="I2024" s="504">
        <v>0</v>
      </c>
      <c r="J2024" s="505">
        <v>16.04</v>
      </c>
      <c r="K2024" s="505">
        <v>59.98</v>
      </c>
      <c r="L2024" s="70"/>
    </row>
    <row r="2025" spans="1:12" ht="25.5" x14ac:dyDescent="0.25">
      <c r="A2025" s="501" t="s">
        <v>1732</v>
      </c>
      <c r="B2025" s="502" t="s">
        <v>1011</v>
      </c>
      <c r="C2025" s="501" t="s">
        <v>993</v>
      </c>
      <c r="D2025" s="501" t="s">
        <v>1012</v>
      </c>
      <c r="E2025" s="602" t="s">
        <v>972</v>
      </c>
      <c r="F2025" s="602"/>
      <c r="G2025" s="503" t="s">
        <v>81</v>
      </c>
      <c r="H2025" s="504">
        <v>3.74</v>
      </c>
      <c r="I2025" s="504">
        <v>0</v>
      </c>
      <c r="J2025" s="505">
        <v>23.41</v>
      </c>
      <c r="K2025" s="505">
        <v>87.55</v>
      </c>
      <c r="L2025" s="70"/>
    </row>
    <row r="2026" spans="1:12" ht="15.75" customHeight="1" x14ac:dyDescent="0.25">
      <c r="A2026" s="445"/>
      <c r="B2026" s="445"/>
      <c r="C2026" s="445"/>
      <c r="D2026" s="445"/>
      <c r="E2026" s="445" t="s">
        <v>1735</v>
      </c>
      <c r="F2026" s="506">
        <v>147.53</v>
      </c>
      <c r="G2026" s="445" t="s">
        <v>1736</v>
      </c>
      <c r="H2026" s="506">
        <v>0</v>
      </c>
      <c r="I2026" s="445" t="s">
        <v>1737</v>
      </c>
      <c r="J2026" s="506">
        <v>147.53</v>
      </c>
      <c r="K2026" s="70"/>
      <c r="L2026" s="70"/>
    </row>
    <row r="2027" spans="1:12" ht="17.25" thickBot="1" x14ac:dyDescent="0.3">
      <c r="A2027" s="445"/>
      <c r="B2027" s="445"/>
      <c r="C2027" s="445"/>
      <c r="D2027" s="445"/>
      <c r="E2027" s="445" t="s">
        <v>1738</v>
      </c>
      <c r="F2027" s="506">
        <v>296.39209599999998</v>
      </c>
      <c r="G2027" s="445"/>
      <c r="H2027" s="606" t="s">
        <v>1739</v>
      </c>
      <c r="I2027" s="606"/>
      <c r="J2027" s="506">
        <v>1499.28</v>
      </c>
      <c r="K2027" s="70"/>
      <c r="L2027" s="70"/>
    </row>
    <row r="2028" spans="1:12" ht="17.25" thickTop="1" x14ac:dyDescent="0.25">
      <c r="A2028" s="507"/>
      <c r="B2028" s="507"/>
      <c r="C2028" s="507"/>
      <c r="D2028" s="507"/>
      <c r="E2028" s="507"/>
      <c r="F2028" s="507"/>
      <c r="G2028" s="507"/>
      <c r="H2028" s="507"/>
      <c r="I2028" s="507"/>
      <c r="J2028" s="507"/>
      <c r="K2028" s="507"/>
      <c r="L2028" s="70"/>
    </row>
    <row r="2029" spans="1:12" ht="16.5" x14ac:dyDescent="0.25">
      <c r="A2029" s="419" t="s">
        <v>1628</v>
      </c>
      <c r="B2029" s="421" t="s">
        <v>76</v>
      </c>
      <c r="C2029" s="419" t="s">
        <v>991</v>
      </c>
      <c r="D2029" s="419" t="s">
        <v>191</v>
      </c>
      <c r="E2029" s="603" t="s">
        <v>77</v>
      </c>
      <c r="F2029" s="603"/>
      <c r="G2029" s="420" t="s">
        <v>103</v>
      </c>
      <c r="H2029" s="421" t="s">
        <v>147</v>
      </c>
      <c r="I2029" s="421" t="s">
        <v>1731</v>
      </c>
      <c r="J2029" s="421" t="s">
        <v>1117</v>
      </c>
      <c r="K2029" s="421" t="s">
        <v>104</v>
      </c>
      <c r="L2029" s="70"/>
    </row>
    <row r="2030" spans="1:12" ht="25.5" x14ac:dyDescent="0.25">
      <c r="A2030" s="441" t="s">
        <v>79</v>
      </c>
      <c r="B2030" s="480" t="s">
        <v>1629</v>
      </c>
      <c r="C2030" s="441" t="s">
        <v>1168</v>
      </c>
      <c r="D2030" s="441" t="s">
        <v>616</v>
      </c>
      <c r="E2030" s="604">
        <v>331</v>
      </c>
      <c r="F2030" s="604"/>
      <c r="G2030" s="443" t="s">
        <v>49</v>
      </c>
      <c r="H2030" s="500">
        <v>1</v>
      </c>
      <c r="I2030" s="442"/>
      <c r="J2030" s="442">
        <v>2388</v>
      </c>
      <c r="K2030" s="442">
        <v>2388</v>
      </c>
      <c r="L2030" s="70"/>
    </row>
    <row r="2031" spans="1:12" ht="16.5" x14ac:dyDescent="0.25">
      <c r="A2031" s="501" t="s">
        <v>1732</v>
      </c>
      <c r="B2031" s="502" t="s">
        <v>2520</v>
      </c>
      <c r="C2031" s="501" t="s">
        <v>575</v>
      </c>
      <c r="D2031" s="501" t="s">
        <v>2521</v>
      </c>
      <c r="E2031" s="602" t="s">
        <v>1746</v>
      </c>
      <c r="F2031" s="602"/>
      <c r="G2031" s="503" t="s">
        <v>49</v>
      </c>
      <c r="H2031" s="504">
        <v>1</v>
      </c>
      <c r="I2031" s="504"/>
      <c r="J2031" s="505">
        <v>23.94</v>
      </c>
      <c r="K2031" s="505">
        <v>23.94</v>
      </c>
      <c r="L2031" s="70"/>
    </row>
    <row r="2032" spans="1:12" ht="16.5" x14ac:dyDescent="0.25">
      <c r="A2032" s="501" t="s">
        <v>1732</v>
      </c>
      <c r="B2032" s="502" t="s">
        <v>2522</v>
      </c>
      <c r="C2032" s="501" t="s">
        <v>575</v>
      </c>
      <c r="D2032" s="501" t="s">
        <v>2523</v>
      </c>
      <c r="E2032" s="602" t="s">
        <v>1746</v>
      </c>
      <c r="F2032" s="602"/>
      <c r="G2032" s="503" t="s">
        <v>49</v>
      </c>
      <c r="H2032" s="504">
        <v>8</v>
      </c>
      <c r="I2032" s="504"/>
      <c r="J2032" s="505">
        <v>12.91</v>
      </c>
      <c r="K2032" s="505">
        <v>103.28</v>
      </c>
      <c r="L2032" s="70"/>
    </row>
    <row r="2033" spans="1:12" ht="16.5" x14ac:dyDescent="0.25">
      <c r="A2033" s="501" t="s">
        <v>1732</v>
      </c>
      <c r="B2033" s="502" t="s">
        <v>2524</v>
      </c>
      <c r="C2033" s="501" t="s">
        <v>575</v>
      </c>
      <c r="D2033" s="501" t="s">
        <v>2525</v>
      </c>
      <c r="E2033" s="602" t="s">
        <v>1746</v>
      </c>
      <c r="F2033" s="602"/>
      <c r="G2033" s="503" t="s">
        <v>38</v>
      </c>
      <c r="H2033" s="504">
        <v>1</v>
      </c>
      <c r="I2033" s="504"/>
      <c r="J2033" s="505">
        <v>2255.37</v>
      </c>
      <c r="K2033" s="505">
        <v>2255.37</v>
      </c>
      <c r="L2033" s="70"/>
    </row>
    <row r="2034" spans="1:12" ht="25.5" x14ac:dyDescent="0.25">
      <c r="A2034" s="501" t="s">
        <v>1732</v>
      </c>
      <c r="B2034" s="502" t="s">
        <v>1011</v>
      </c>
      <c r="C2034" s="501" t="s">
        <v>993</v>
      </c>
      <c r="D2034" s="501" t="s">
        <v>1012</v>
      </c>
      <c r="E2034" s="602" t="s">
        <v>972</v>
      </c>
      <c r="F2034" s="602"/>
      <c r="G2034" s="503" t="s">
        <v>81</v>
      </c>
      <c r="H2034" s="504">
        <v>9.5000000000000001E-2</v>
      </c>
      <c r="I2034" s="504">
        <v>0</v>
      </c>
      <c r="J2034" s="505">
        <v>23.41</v>
      </c>
      <c r="K2034" s="505">
        <v>2.2200000000000002</v>
      </c>
      <c r="L2034" s="70"/>
    </row>
    <row r="2035" spans="1:12" ht="25.5" x14ac:dyDescent="0.25">
      <c r="A2035" s="501" t="s">
        <v>1732</v>
      </c>
      <c r="B2035" s="502" t="s">
        <v>999</v>
      </c>
      <c r="C2035" s="501" t="s">
        <v>993</v>
      </c>
      <c r="D2035" s="501" t="s">
        <v>1000</v>
      </c>
      <c r="E2035" s="602" t="s">
        <v>972</v>
      </c>
      <c r="F2035" s="602"/>
      <c r="G2035" s="503" t="s">
        <v>81</v>
      </c>
      <c r="H2035" s="504">
        <v>0.19</v>
      </c>
      <c r="I2035" s="504">
        <v>0</v>
      </c>
      <c r="J2035" s="505">
        <v>16.04</v>
      </c>
      <c r="K2035" s="505">
        <v>3.04</v>
      </c>
      <c r="L2035" s="70"/>
    </row>
    <row r="2036" spans="1:12" ht="25.5" x14ac:dyDescent="0.25">
      <c r="A2036" s="501" t="s">
        <v>1732</v>
      </c>
      <c r="B2036" s="502" t="s">
        <v>2472</v>
      </c>
      <c r="C2036" s="501" t="s">
        <v>1115</v>
      </c>
      <c r="D2036" s="501" t="s">
        <v>2473</v>
      </c>
      <c r="E2036" s="602" t="s">
        <v>1746</v>
      </c>
      <c r="F2036" s="602"/>
      <c r="G2036" s="503" t="s">
        <v>264</v>
      </c>
      <c r="H2036" s="504">
        <v>3.5000000000000001E-3</v>
      </c>
      <c r="I2036" s="504">
        <v>0</v>
      </c>
      <c r="J2036" s="505">
        <v>43.42</v>
      </c>
      <c r="K2036" s="505">
        <v>0.15</v>
      </c>
      <c r="L2036" s="70"/>
    </row>
    <row r="2037" spans="1:12" ht="15.75" customHeight="1" x14ac:dyDescent="0.25">
      <c r="A2037" s="445"/>
      <c r="B2037" s="445"/>
      <c r="C2037" s="445"/>
      <c r="D2037" s="445"/>
      <c r="E2037" s="445" t="s">
        <v>1735</v>
      </c>
      <c r="F2037" s="506">
        <v>5.26</v>
      </c>
      <c r="G2037" s="445" t="s">
        <v>1736</v>
      </c>
      <c r="H2037" s="506">
        <v>0</v>
      </c>
      <c r="I2037" s="445" t="s">
        <v>1737</v>
      </c>
      <c r="J2037" s="506">
        <v>5.26</v>
      </c>
      <c r="K2037" s="70"/>
      <c r="L2037" s="70"/>
    </row>
    <row r="2038" spans="1:12" ht="17.25" thickBot="1" x14ac:dyDescent="0.3">
      <c r="A2038" s="445"/>
      <c r="B2038" s="445"/>
      <c r="C2038" s="445"/>
      <c r="D2038" s="445"/>
      <c r="E2038" s="445" t="s">
        <v>1738</v>
      </c>
      <c r="F2038" s="506">
        <v>588.40319999999997</v>
      </c>
      <c r="G2038" s="445"/>
      <c r="H2038" s="606" t="s">
        <v>1739</v>
      </c>
      <c r="I2038" s="606"/>
      <c r="J2038" s="506">
        <v>2976.4</v>
      </c>
      <c r="K2038" s="70"/>
      <c r="L2038" s="70"/>
    </row>
    <row r="2039" spans="1:12" ht="17.25" thickTop="1" x14ac:dyDescent="0.25">
      <c r="A2039" s="507"/>
      <c r="B2039" s="507"/>
      <c r="C2039" s="507"/>
      <c r="D2039" s="507"/>
      <c r="E2039" s="507"/>
      <c r="F2039" s="507"/>
      <c r="G2039" s="507"/>
      <c r="H2039" s="507"/>
      <c r="I2039" s="507"/>
      <c r="J2039" s="507"/>
      <c r="K2039" s="507"/>
      <c r="L2039" s="70"/>
    </row>
    <row r="2040" spans="1:12" ht="16.5" x14ac:dyDescent="0.25">
      <c r="A2040" s="419" t="s">
        <v>1630</v>
      </c>
      <c r="B2040" s="421" t="s">
        <v>76</v>
      </c>
      <c r="C2040" s="419" t="s">
        <v>991</v>
      </c>
      <c r="D2040" s="419" t="s">
        <v>191</v>
      </c>
      <c r="E2040" s="603" t="s">
        <v>77</v>
      </c>
      <c r="F2040" s="603"/>
      <c r="G2040" s="420" t="s">
        <v>103</v>
      </c>
      <c r="H2040" s="421" t="s">
        <v>147</v>
      </c>
      <c r="I2040" s="421" t="s">
        <v>1731</v>
      </c>
      <c r="J2040" s="421" t="s">
        <v>1117</v>
      </c>
      <c r="K2040" s="421" t="s">
        <v>104</v>
      </c>
      <c r="L2040" s="70"/>
    </row>
    <row r="2041" spans="1:12" ht="51" x14ac:dyDescent="0.25">
      <c r="A2041" s="441" t="s">
        <v>79</v>
      </c>
      <c r="B2041" s="480" t="s">
        <v>1631</v>
      </c>
      <c r="C2041" s="441" t="s">
        <v>1168</v>
      </c>
      <c r="D2041" s="441" t="s">
        <v>617</v>
      </c>
      <c r="E2041" s="604" t="s">
        <v>2359</v>
      </c>
      <c r="F2041" s="604"/>
      <c r="G2041" s="443" t="s">
        <v>49</v>
      </c>
      <c r="H2041" s="500">
        <v>1</v>
      </c>
      <c r="I2041" s="442"/>
      <c r="J2041" s="442">
        <v>908.7</v>
      </c>
      <c r="K2041" s="442">
        <v>908.7</v>
      </c>
      <c r="L2041" s="70"/>
    </row>
    <row r="2042" spans="1:12" ht="16.5" x14ac:dyDescent="0.25">
      <c r="A2042" s="501" t="s">
        <v>1732</v>
      </c>
      <c r="B2042" s="502" t="s">
        <v>2526</v>
      </c>
      <c r="C2042" s="501" t="s">
        <v>2108</v>
      </c>
      <c r="D2042" s="501" t="s">
        <v>2527</v>
      </c>
      <c r="E2042" s="602" t="s">
        <v>1746</v>
      </c>
      <c r="F2042" s="602"/>
      <c r="G2042" s="503" t="s">
        <v>49</v>
      </c>
      <c r="H2042" s="504">
        <v>1</v>
      </c>
      <c r="I2042" s="504"/>
      <c r="J2042" s="505">
        <v>858.16</v>
      </c>
      <c r="K2042" s="505">
        <v>858.16</v>
      </c>
      <c r="L2042" s="70"/>
    </row>
    <row r="2043" spans="1:12" ht="25.5" x14ac:dyDescent="0.25">
      <c r="A2043" s="501" t="s">
        <v>1732</v>
      </c>
      <c r="B2043" s="502" t="s">
        <v>1011</v>
      </c>
      <c r="C2043" s="501" t="s">
        <v>993</v>
      </c>
      <c r="D2043" s="501" t="s">
        <v>1012</v>
      </c>
      <c r="E2043" s="602" t="s">
        <v>972</v>
      </c>
      <c r="F2043" s="602"/>
      <c r="G2043" s="503" t="s">
        <v>81</v>
      </c>
      <c r="H2043" s="504">
        <v>1.2</v>
      </c>
      <c r="I2043" s="504">
        <v>0</v>
      </c>
      <c r="J2043" s="505">
        <v>23.41</v>
      </c>
      <c r="K2043" s="505">
        <v>28.09</v>
      </c>
      <c r="L2043" s="70"/>
    </row>
    <row r="2044" spans="1:12" ht="25.5" x14ac:dyDescent="0.25">
      <c r="A2044" s="501" t="s">
        <v>1732</v>
      </c>
      <c r="B2044" s="502" t="s">
        <v>999</v>
      </c>
      <c r="C2044" s="501" t="s">
        <v>993</v>
      </c>
      <c r="D2044" s="501" t="s">
        <v>1000</v>
      </c>
      <c r="E2044" s="602" t="s">
        <v>972</v>
      </c>
      <c r="F2044" s="602"/>
      <c r="G2044" s="503" t="s">
        <v>81</v>
      </c>
      <c r="H2044" s="504">
        <v>1.4</v>
      </c>
      <c r="I2044" s="504">
        <v>0</v>
      </c>
      <c r="J2044" s="505">
        <v>16.04</v>
      </c>
      <c r="K2044" s="505">
        <v>22.45</v>
      </c>
      <c r="L2044" s="70"/>
    </row>
    <row r="2045" spans="1:12" ht="15.75" customHeight="1" x14ac:dyDescent="0.25">
      <c r="A2045" s="445"/>
      <c r="B2045" s="445"/>
      <c r="C2045" s="445"/>
      <c r="D2045" s="445"/>
      <c r="E2045" s="445" t="s">
        <v>1735</v>
      </c>
      <c r="F2045" s="506">
        <v>50.54</v>
      </c>
      <c r="G2045" s="445" t="s">
        <v>1736</v>
      </c>
      <c r="H2045" s="506">
        <v>0</v>
      </c>
      <c r="I2045" s="445" t="s">
        <v>1737</v>
      </c>
      <c r="J2045" s="506">
        <v>50.54</v>
      </c>
      <c r="K2045" s="70"/>
      <c r="L2045" s="70"/>
    </row>
    <row r="2046" spans="1:12" ht="17.25" thickBot="1" x14ac:dyDescent="0.3">
      <c r="A2046" s="445"/>
      <c r="B2046" s="445"/>
      <c r="C2046" s="445"/>
      <c r="D2046" s="445"/>
      <c r="E2046" s="445" t="s">
        <v>1738</v>
      </c>
      <c r="F2046" s="506">
        <v>223.90368000000001</v>
      </c>
      <c r="G2046" s="445"/>
      <c r="H2046" s="606" t="s">
        <v>1739</v>
      </c>
      <c r="I2046" s="606"/>
      <c r="J2046" s="506">
        <v>1132.5999999999999</v>
      </c>
      <c r="K2046" s="70"/>
      <c r="L2046" s="70"/>
    </row>
    <row r="2047" spans="1:12" ht="17.25" thickTop="1" x14ac:dyDescent="0.25">
      <c r="A2047" s="507"/>
      <c r="B2047" s="507"/>
      <c r="C2047" s="507"/>
      <c r="D2047" s="507"/>
      <c r="E2047" s="507"/>
      <c r="F2047" s="507"/>
      <c r="G2047" s="507"/>
      <c r="H2047" s="507"/>
      <c r="I2047" s="507"/>
      <c r="J2047" s="507"/>
      <c r="K2047" s="507"/>
      <c r="L2047" s="70"/>
    </row>
    <row r="2048" spans="1:12" ht="16.5" x14ac:dyDescent="0.25">
      <c r="A2048" s="419" t="s">
        <v>1632</v>
      </c>
      <c r="B2048" s="421" t="s">
        <v>76</v>
      </c>
      <c r="C2048" s="419" t="s">
        <v>991</v>
      </c>
      <c r="D2048" s="419" t="s">
        <v>191</v>
      </c>
      <c r="E2048" s="603" t="s">
        <v>77</v>
      </c>
      <c r="F2048" s="603"/>
      <c r="G2048" s="420" t="s">
        <v>103</v>
      </c>
      <c r="H2048" s="421" t="s">
        <v>147</v>
      </c>
      <c r="I2048" s="421" t="s">
        <v>1731</v>
      </c>
      <c r="J2048" s="421" t="s">
        <v>1117</v>
      </c>
      <c r="K2048" s="421" t="s">
        <v>104</v>
      </c>
      <c r="L2048" s="70"/>
    </row>
    <row r="2049" spans="1:12" ht="63.75" x14ac:dyDescent="0.25">
      <c r="A2049" s="441" t="s">
        <v>79</v>
      </c>
      <c r="B2049" s="480" t="s">
        <v>1633</v>
      </c>
      <c r="C2049" s="441" t="s">
        <v>1168</v>
      </c>
      <c r="D2049" s="441" t="s">
        <v>618</v>
      </c>
      <c r="E2049" s="604" t="s">
        <v>2359</v>
      </c>
      <c r="F2049" s="604"/>
      <c r="G2049" s="443" t="s">
        <v>49</v>
      </c>
      <c r="H2049" s="500">
        <v>1</v>
      </c>
      <c r="I2049" s="442"/>
      <c r="J2049" s="442">
        <v>1549.71</v>
      </c>
      <c r="K2049" s="442">
        <v>1549.71</v>
      </c>
      <c r="L2049" s="70"/>
    </row>
    <row r="2050" spans="1:12" ht="16.5" x14ac:dyDescent="0.25">
      <c r="A2050" s="501" t="s">
        <v>1732</v>
      </c>
      <c r="B2050" s="502" t="s">
        <v>2510</v>
      </c>
      <c r="C2050" s="501" t="s">
        <v>2108</v>
      </c>
      <c r="D2050" s="501" t="s">
        <v>2511</v>
      </c>
      <c r="E2050" s="602" t="s">
        <v>1746</v>
      </c>
      <c r="F2050" s="602"/>
      <c r="G2050" s="503" t="s">
        <v>49</v>
      </c>
      <c r="H2050" s="504">
        <v>1</v>
      </c>
      <c r="I2050" s="504"/>
      <c r="J2050" s="505">
        <v>7.12</v>
      </c>
      <c r="K2050" s="505">
        <v>7.12</v>
      </c>
      <c r="L2050" s="70"/>
    </row>
    <row r="2051" spans="1:12" ht="16.5" x14ac:dyDescent="0.25">
      <c r="A2051" s="501" t="s">
        <v>1732</v>
      </c>
      <c r="B2051" s="502" t="s">
        <v>2528</v>
      </c>
      <c r="C2051" s="501" t="s">
        <v>2108</v>
      </c>
      <c r="D2051" s="501" t="s">
        <v>2529</v>
      </c>
      <c r="E2051" s="602" t="s">
        <v>1746</v>
      </c>
      <c r="F2051" s="602"/>
      <c r="G2051" s="503" t="s">
        <v>49</v>
      </c>
      <c r="H2051" s="504">
        <v>1</v>
      </c>
      <c r="I2051" s="504"/>
      <c r="J2051" s="505">
        <v>1390.43</v>
      </c>
      <c r="K2051" s="505">
        <v>1390.43</v>
      </c>
      <c r="L2051" s="70"/>
    </row>
    <row r="2052" spans="1:12" ht="25.5" x14ac:dyDescent="0.25">
      <c r="A2052" s="501" t="s">
        <v>1732</v>
      </c>
      <c r="B2052" s="502" t="s">
        <v>2498</v>
      </c>
      <c r="C2052" s="501" t="s">
        <v>2108</v>
      </c>
      <c r="D2052" s="501" t="s">
        <v>2499</v>
      </c>
      <c r="E2052" s="602" t="s">
        <v>1746</v>
      </c>
      <c r="F2052" s="602"/>
      <c r="G2052" s="503" t="s">
        <v>49</v>
      </c>
      <c r="H2052" s="504">
        <v>8</v>
      </c>
      <c r="I2052" s="504"/>
      <c r="J2052" s="505">
        <v>9.8000000000000007</v>
      </c>
      <c r="K2052" s="505">
        <v>78.400000000000006</v>
      </c>
      <c r="L2052" s="70"/>
    </row>
    <row r="2053" spans="1:12" ht="25.5" x14ac:dyDescent="0.25">
      <c r="A2053" s="501" t="s">
        <v>1732</v>
      </c>
      <c r="B2053" s="502" t="s">
        <v>999</v>
      </c>
      <c r="C2053" s="501" t="s">
        <v>993</v>
      </c>
      <c r="D2053" s="501" t="s">
        <v>1000</v>
      </c>
      <c r="E2053" s="602" t="s">
        <v>972</v>
      </c>
      <c r="F2053" s="602"/>
      <c r="G2053" s="503" t="s">
        <v>81</v>
      </c>
      <c r="H2053" s="504">
        <v>1.87</v>
      </c>
      <c r="I2053" s="504">
        <v>0</v>
      </c>
      <c r="J2053" s="505">
        <v>16.04</v>
      </c>
      <c r="K2053" s="505">
        <v>29.99</v>
      </c>
      <c r="L2053" s="70"/>
    </row>
    <row r="2054" spans="1:12" ht="25.5" x14ac:dyDescent="0.25">
      <c r="A2054" s="501" t="s">
        <v>1732</v>
      </c>
      <c r="B2054" s="502" t="s">
        <v>1011</v>
      </c>
      <c r="C2054" s="501" t="s">
        <v>993</v>
      </c>
      <c r="D2054" s="501" t="s">
        <v>1012</v>
      </c>
      <c r="E2054" s="602" t="s">
        <v>972</v>
      </c>
      <c r="F2054" s="602"/>
      <c r="G2054" s="503" t="s">
        <v>81</v>
      </c>
      <c r="H2054" s="504">
        <v>1.87</v>
      </c>
      <c r="I2054" s="504">
        <v>0</v>
      </c>
      <c r="J2054" s="505">
        <v>23.41</v>
      </c>
      <c r="K2054" s="505">
        <v>43.77</v>
      </c>
      <c r="L2054" s="70"/>
    </row>
    <row r="2055" spans="1:12" ht="15.75" customHeight="1" x14ac:dyDescent="0.25">
      <c r="A2055" s="445"/>
      <c r="B2055" s="445"/>
      <c r="C2055" s="445"/>
      <c r="D2055" s="445"/>
      <c r="E2055" s="445" t="s">
        <v>1735</v>
      </c>
      <c r="F2055" s="506">
        <v>73.760000000000005</v>
      </c>
      <c r="G2055" s="445" t="s">
        <v>1736</v>
      </c>
      <c r="H2055" s="506">
        <v>0</v>
      </c>
      <c r="I2055" s="445" t="s">
        <v>1737</v>
      </c>
      <c r="J2055" s="506">
        <v>73.760000000000005</v>
      </c>
      <c r="K2055" s="70"/>
      <c r="L2055" s="70"/>
    </row>
    <row r="2056" spans="1:12" ht="17.25" thickBot="1" x14ac:dyDescent="0.3">
      <c r="A2056" s="445"/>
      <c r="B2056" s="445"/>
      <c r="C2056" s="445"/>
      <c r="D2056" s="445"/>
      <c r="E2056" s="445" t="s">
        <v>1738</v>
      </c>
      <c r="F2056" s="506">
        <v>381.848544</v>
      </c>
      <c r="G2056" s="445"/>
      <c r="H2056" s="606" t="s">
        <v>1739</v>
      </c>
      <c r="I2056" s="606"/>
      <c r="J2056" s="506">
        <v>1931.55</v>
      </c>
      <c r="K2056" s="70"/>
      <c r="L2056" s="70"/>
    </row>
    <row r="2057" spans="1:12" ht="17.25" thickTop="1" x14ac:dyDescent="0.25">
      <c r="A2057" s="507"/>
      <c r="B2057" s="507"/>
      <c r="C2057" s="507"/>
      <c r="D2057" s="507"/>
      <c r="E2057" s="507"/>
      <c r="F2057" s="507"/>
      <c r="G2057" s="507"/>
      <c r="H2057" s="507"/>
      <c r="I2057" s="507"/>
      <c r="J2057" s="507"/>
      <c r="K2057" s="507"/>
      <c r="L2057" s="70"/>
    </row>
    <row r="2058" spans="1:12" ht="16.5" x14ac:dyDescent="0.25">
      <c r="A2058" s="419" t="s">
        <v>1634</v>
      </c>
      <c r="B2058" s="421" t="s">
        <v>76</v>
      </c>
      <c r="C2058" s="419" t="s">
        <v>991</v>
      </c>
      <c r="D2058" s="419" t="s">
        <v>191</v>
      </c>
      <c r="E2058" s="603" t="s">
        <v>77</v>
      </c>
      <c r="F2058" s="603"/>
      <c r="G2058" s="420" t="s">
        <v>103</v>
      </c>
      <c r="H2058" s="421" t="s">
        <v>147</v>
      </c>
      <c r="I2058" s="421" t="s">
        <v>1731</v>
      </c>
      <c r="J2058" s="421" t="s">
        <v>1117</v>
      </c>
      <c r="K2058" s="421" t="s">
        <v>104</v>
      </c>
      <c r="L2058" s="70"/>
    </row>
    <row r="2059" spans="1:12" ht="25.5" x14ac:dyDescent="0.25">
      <c r="A2059" s="441" t="s">
        <v>79</v>
      </c>
      <c r="B2059" s="480" t="s">
        <v>1635</v>
      </c>
      <c r="C2059" s="441" t="s">
        <v>1168</v>
      </c>
      <c r="D2059" s="441" t="s">
        <v>619</v>
      </c>
      <c r="E2059" s="604">
        <v>331</v>
      </c>
      <c r="F2059" s="604"/>
      <c r="G2059" s="443" t="s">
        <v>49</v>
      </c>
      <c r="H2059" s="500">
        <v>1</v>
      </c>
      <c r="I2059" s="442"/>
      <c r="J2059" s="442">
        <v>2448.1</v>
      </c>
      <c r="K2059" s="442">
        <v>2448.1</v>
      </c>
      <c r="L2059" s="70"/>
    </row>
    <row r="2060" spans="1:12" ht="25.5" x14ac:dyDescent="0.25">
      <c r="A2060" s="501" t="s">
        <v>1732</v>
      </c>
      <c r="B2060" s="502" t="s">
        <v>1011</v>
      </c>
      <c r="C2060" s="501" t="s">
        <v>993</v>
      </c>
      <c r="D2060" s="501" t="s">
        <v>1012</v>
      </c>
      <c r="E2060" s="602" t="s">
        <v>972</v>
      </c>
      <c r="F2060" s="602"/>
      <c r="G2060" s="503" t="s">
        <v>81</v>
      </c>
      <c r="H2060" s="504">
        <v>0.125</v>
      </c>
      <c r="I2060" s="504">
        <v>0</v>
      </c>
      <c r="J2060" s="505">
        <v>23.41</v>
      </c>
      <c r="K2060" s="505">
        <v>2.92</v>
      </c>
      <c r="L2060" s="70"/>
    </row>
    <row r="2061" spans="1:12" ht="25.5" x14ac:dyDescent="0.25">
      <c r="A2061" s="501" t="s">
        <v>1732</v>
      </c>
      <c r="B2061" s="502" t="s">
        <v>999</v>
      </c>
      <c r="C2061" s="501" t="s">
        <v>993</v>
      </c>
      <c r="D2061" s="501" t="s">
        <v>1000</v>
      </c>
      <c r="E2061" s="602" t="s">
        <v>972</v>
      </c>
      <c r="F2061" s="602"/>
      <c r="G2061" s="503" t="s">
        <v>81</v>
      </c>
      <c r="H2061" s="504">
        <v>0.25</v>
      </c>
      <c r="I2061" s="504">
        <v>0</v>
      </c>
      <c r="J2061" s="505">
        <v>16.04</v>
      </c>
      <c r="K2061" s="505">
        <v>4.01</v>
      </c>
      <c r="L2061" s="70"/>
    </row>
    <row r="2062" spans="1:12" ht="25.5" x14ac:dyDescent="0.25">
      <c r="A2062" s="501" t="s">
        <v>1732</v>
      </c>
      <c r="B2062" s="502" t="s">
        <v>2472</v>
      </c>
      <c r="C2062" s="501" t="s">
        <v>1115</v>
      </c>
      <c r="D2062" s="501" t="s">
        <v>2473</v>
      </c>
      <c r="E2062" s="602" t="s">
        <v>1746</v>
      </c>
      <c r="F2062" s="602"/>
      <c r="G2062" s="503" t="s">
        <v>264</v>
      </c>
      <c r="H2062" s="504">
        <v>3.3300000000000003E-2</v>
      </c>
      <c r="I2062" s="504">
        <v>0</v>
      </c>
      <c r="J2062" s="505">
        <v>43.42</v>
      </c>
      <c r="K2062" s="505">
        <v>1.44</v>
      </c>
      <c r="L2062" s="70"/>
    </row>
    <row r="2063" spans="1:12" ht="16.5" x14ac:dyDescent="0.25">
      <c r="A2063" s="501" t="s">
        <v>1732</v>
      </c>
      <c r="B2063" s="502" t="s">
        <v>2530</v>
      </c>
      <c r="C2063" s="501" t="s">
        <v>2531</v>
      </c>
      <c r="D2063" s="501" t="s">
        <v>2532</v>
      </c>
      <c r="E2063" s="602" t="s">
        <v>1746</v>
      </c>
      <c r="F2063" s="602"/>
      <c r="G2063" s="503" t="s">
        <v>2533</v>
      </c>
      <c r="H2063" s="504">
        <v>1</v>
      </c>
      <c r="I2063" s="504">
        <v>0</v>
      </c>
      <c r="J2063" s="505">
        <v>2439.73</v>
      </c>
      <c r="K2063" s="505">
        <v>2439.73</v>
      </c>
      <c r="L2063" s="70"/>
    </row>
    <row r="2064" spans="1:12" ht="15.75" customHeight="1" x14ac:dyDescent="0.25">
      <c r="A2064" s="445"/>
      <c r="B2064" s="445"/>
      <c r="C2064" s="445"/>
      <c r="D2064" s="445"/>
      <c r="E2064" s="445" t="s">
        <v>1735</v>
      </c>
      <c r="F2064" s="506">
        <v>6.93</v>
      </c>
      <c r="G2064" s="445" t="s">
        <v>1736</v>
      </c>
      <c r="H2064" s="506">
        <v>0</v>
      </c>
      <c r="I2064" s="445" t="s">
        <v>1737</v>
      </c>
      <c r="J2064" s="506">
        <v>6.93</v>
      </c>
      <c r="K2064" s="70"/>
      <c r="L2064" s="70"/>
    </row>
    <row r="2065" spans="1:12" ht="17.25" thickBot="1" x14ac:dyDescent="0.3">
      <c r="A2065" s="445"/>
      <c r="B2065" s="445"/>
      <c r="C2065" s="445"/>
      <c r="D2065" s="445"/>
      <c r="E2065" s="445" t="s">
        <v>1738</v>
      </c>
      <c r="F2065" s="506">
        <v>603.21184000000005</v>
      </c>
      <c r="G2065" s="445"/>
      <c r="H2065" s="606" t="s">
        <v>1739</v>
      </c>
      <c r="I2065" s="606"/>
      <c r="J2065" s="506">
        <v>3051.31</v>
      </c>
      <c r="K2065" s="70"/>
      <c r="L2065" s="70"/>
    </row>
    <row r="2066" spans="1:12" ht="17.25" thickTop="1" x14ac:dyDescent="0.25">
      <c r="A2066" s="507"/>
      <c r="B2066" s="507"/>
      <c r="C2066" s="507"/>
      <c r="D2066" s="507"/>
      <c r="E2066" s="507"/>
      <c r="F2066" s="507"/>
      <c r="G2066" s="507"/>
      <c r="H2066" s="507"/>
      <c r="I2066" s="507"/>
      <c r="J2066" s="507"/>
      <c r="K2066" s="507"/>
      <c r="L2066" s="70"/>
    </row>
    <row r="2067" spans="1:12" ht="16.5" x14ac:dyDescent="0.25">
      <c r="A2067" s="419" t="s">
        <v>1636</v>
      </c>
      <c r="B2067" s="421" t="s">
        <v>76</v>
      </c>
      <c r="C2067" s="419" t="s">
        <v>991</v>
      </c>
      <c r="D2067" s="419" t="s">
        <v>191</v>
      </c>
      <c r="E2067" s="603" t="s">
        <v>77</v>
      </c>
      <c r="F2067" s="603"/>
      <c r="G2067" s="420" t="s">
        <v>103</v>
      </c>
      <c r="H2067" s="421" t="s">
        <v>147</v>
      </c>
      <c r="I2067" s="421" t="s">
        <v>1731</v>
      </c>
      <c r="J2067" s="421" t="s">
        <v>1117</v>
      </c>
      <c r="K2067" s="421" t="s">
        <v>104</v>
      </c>
      <c r="L2067" s="70"/>
    </row>
    <row r="2068" spans="1:12" ht="51" x14ac:dyDescent="0.25">
      <c r="A2068" s="441" t="s">
        <v>79</v>
      </c>
      <c r="B2068" s="480" t="s">
        <v>1637</v>
      </c>
      <c r="C2068" s="441" t="s">
        <v>1168</v>
      </c>
      <c r="D2068" s="441" t="s">
        <v>620</v>
      </c>
      <c r="E2068" s="604" t="s">
        <v>2359</v>
      </c>
      <c r="F2068" s="604"/>
      <c r="G2068" s="443" t="s">
        <v>49</v>
      </c>
      <c r="H2068" s="500">
        <v>1</v>
      </c>
      <c r="I2068" s="442"/>
      <c r="J2068" s="442">
        <v>2513.86</v>
      </c>
      <c r="K2068" s="442">
        <v>2513.86</v>
      </c>
      <c r="L2068" s="70"/>
    </row>
    <row r="2069" spans="1:12" ht="16.5" x14ac:dyDescent="0.25">
      <c r="A2069" s="501" t="s">
        <v>1732</v>
      </c>
      <c r="B2069" s="502" t="s">
        <v>2510</v>
      </c>
      <c r="C2069" s="501" t="s">
        <v>2108</v>
      </c>
      <c r="D2069" s="501" t="s">
        <v>2511</v>
      </c>
      <c r="E2069" s="602" t="s">
        <v>1746</v>
      </c>
      <c r="F2069" s="602"/>
      <c r="G2069" s="503" t="s">
        <v>49</v>
      </c>
      <c r="H2069" s="504">
        <v>1</v>
      </c>
      <c r="I2069" s="504"/>
      <c r="J2069" s="505">
        <v>7.12</v>
      </c>
      <c r="K2069" s="505">
        <v>7.12</v>
      </c>
      <c r="L2069" s="70"/>
    </row>
    <row r="2070" spans="1:12" ht="25.5" x14ac:dyDescent="0.25">
      <c r="A2070" s="501" t="s">
        <v>1732</v>
      </c>
      <c r="B2070" s="502" t="s">
        <v>2431</v>
      </c>
      <c r="C2070" s="501" t="s">
        <v>2108</v>
      </c>
      <c r="D2070" s="501" t="s">
        <v>2432</v>
      </c>
      <c r="E2070" s="602" t="s">
        <v>1746</v>
      </c>
      <c r="F2070" s="602"/>
      <c r="G2070" s="503" t="s">
        <v>49</v>
      </c>
      <c r="H2070" s="504">
        <v>8</v>
      </c>
      <c r="I2070" s="504"/>
      <c r="J2070" s="505">
        <v>6.21</v>
      </c>
      <c r="K2070" s="505">
        <v>49.68</v>
      </c>
      <c r="L2070" s="70"/>
    </row>
    <row r="2071" spans="1:12" ht="25.5" x14ac:dyDescent="0.25">
      <c r="A2071" s="501" t="s">
        <v>1732</v>
      </c>
      <c r="B2071" s="502" t="s">
        <v>2498</v>
      </c>
      <c r="C2071" s="501" t="s">
        <v>2108</v>
      </c>
      <c r="D2071" s="501" t="s">
        <v>2499</v>
      </c>
      <c r="E2071" s="602" t="s">
        <v>1746</v>
      </c>
      <c r="F2071" s="602"/>
      <c r="G2071" s="503" t="s">
        <v>49</v>
      </c>
      <c r="H2071" s="504">
        <v>8</v>
      </c>
      <c r="I2071" s="504"/>
      <c r="J2071" s="505">
        <v>9.8000000000000007</v>
      </c>
      <c r="K2071" s="505">
        <v>78.400000000000006</v>
      </c>
      <c r="L2071" s="70"/>
    </row>
    <row r="2072" spans="1:12" ht="16.5" x14ac:dyDescent="0.25">
      <c r="A2072" s="501" t="s">
        <v>1732</v>
      </c>
      <c r="B2072" s="502" t="s">
        <v>2496</v>
      </c>
      <c r="C2072" s="501" t="s">
        <v>2108</v>
      </c>
      <c r="D2072" s="501" t="s">
        <v>2497</v>
      </c>
      <c r="E2072" s="602" t="s">
        <v>1746</v>
      </c>
      <c r="F2072" s="602"/>
      <c r="G2072" s="503" t="s">
        <v>49</v>
      </c>
      <c r="H2072" s="504">
        <v>1</v>
      </c>
      <c r="I2072" s="504">
        <v>0</v>
      </c>
      <c r="J2072" s="505">
        <v>5.68</v>
      </c>
      <c r="K2072" s="505">
        <v>5.68</v>
      </c>
      <c r="L2072" s="70"/>
    </row>
    <row r="2073" spans="1:12" ht="25.5" x14ac:dyDescent="0.25">
      <c r="A2073" s="501" t="s">
        <v>1732</v>
      </c>
      <c r="B2073" s="502" t="s">
        <v>999</v>
      </c>
      <c r="C2073" s="501" t="s">
        <v>993</v>
      </c>
      <c r="D2073" s="501" t="s">
        <v>1000</v>
      </c>
      <c r="E2073" s="602" t="s">
        <v>972</v>
      </c>
      <c r="F2073" s="602"/>
      <c r="G2073" s="503" t="s">
        <v>81</v>
      </c>
      <c r="H2073" s="504">
        <v>2.84</v>
      </c>
      <c r="I2073" s="504">
        <v>0</v>
      </c>
      <c r="J2073" s="505">
        <v>16.04</v>
      </c>
      <c r="K2073" s="505">
        <v>45.55</v>
      </c>
      <c r="L2073" s="70"/>
    </row>
    <row r="2074" spans="1:12" ht="25.5" x14ac:dyDescent="0.25">
      <c r="A2074" s="501" t="s">
        <v>1732</v>
      </c>
      <c r="B2074" s="502" t="s">
        <v>1011</v>
      </c>
      <c r="C2074" s="501" t="s">
        <v>993</v>
      </c>
      <c r="D2074" s="501" t="s">
        <v>1012</v>
      </c>
      <c r="E2074" s="602" t="s">
        <v>972</v>
      </c>
      <c r="F2074" s="602"/>
      <c r="G2074" s="503" t="s">
        <v>81</v>
      </c>
      <c r="H2074" s="504">
        <v>2.84</v>
      </c>
      <c r="I2074" s="504">
        <v>0</v>
      </c>
      <c r="J2074" s="505">
        <v>23.41</v>
      </c>
      <c r="K2074" s="505">
        <v>66.48</v>
      </c>
      <c r="L2074" s="70"/>
    </row>
    <row r="2075" spans="1:12" ht="16.5" x14ac:dyDescent="0.25">
      <c r="A2075" s="501" t="s">
        <v>1732</v>
      </c>
      <c r="B2075" s="502" t="s">
        <v>2534</v>
      </c>
      <c r="C2075" s="501" t="s">
        <v>2448</v>
      </c>
      <c r="D2075" s="501" t="s">
        <v>2535</v>
      </c>
      <c r="E2075" s="602" t="s">
        <v>1746</v>
      </c>
      <c r="F2075" s="602"/>
      <c r="G2075" s="503" t="s">
        <v>38</v>
      </c>
      <c r="H2075" s="504">
        <v>1</v>
      </c>
      <c r="I2075" s="504">
        <v>0</v>
      </c>
      <c r="J2075" s="505">
        <v>2260.9499999999998</v>
      </c>
      <c r="K2075" s="505">
        <v>2260.9499999999998</v>
      </c>
      <c r="L2075" s="70"/>
    </row>
    <row r="2076" spans="1:12" ht="15.75" customHeight="1" x14ac:dyDescent="0.25">
      <c r="A2076" s="445"/>
      <c r="B2076" s="445"/>
      <c r="C2076" s="445"/>
      <c r="D2076" s="445"/>
      <c r="E2076" s="445" t="s">
        <v>1735</v>
      </c>
      <c r="F2076" s="506">
        <v>112.03</v>
      </c>
      <c r="G2076" s="445" t="s">
        <v>1736</v>
      </c>
      <c r="H2076" s="506">
        <v>0</v>
      </c>
      <c r="I2076" s="445" t="s">
        <v>1737</v>
      </c>
      <c r="J2076" s="506">
        <v>112.03</v>
      </c>
      <c r="K2076" s="70"/>
      <c r="L2076" s="70"/>
    </row>
    <row r="2077" spans="1:12" ht="17.25" thickBot="1" x14ac:dyDescent="0.3">
      <c r="A2077" s="445"/>
      <c r="B2077" s="445"/>
      <c r="C2077" s="445"/>
      <c r="D2077" s="445"/>
      <c r="E2077" s="445" t="s">
        <v>1738</v>
      </c>
      <c r="F2077" s="506">
        <v>619.41510400000004</v>
      </c>
      <c r="G2077" s="445"/>
      <c r="H2077" s="606" t="s">
        <v>1739</v>
      </c>
      <c r="I2077" s="606"/>
      <c r="J2077" s="506">
        <v>3133.27</v>
      </c>
      <c r="K2077" s="70"/>
      <c r="L2077" s="70"/>
    </row>
    <row r="2078" spans="1:12" ht="17.25" thickTop="1" x14ac:dyDescent="0.25">
      <c r="A2078" s="507"/>
      <c r="B2078" s="507"/>
      <c r="C2078" s="507"/>
      <c r="D2078" s="507"/>
      <c r="E2078" s="507"/>
      <c r="F2078" s="507"/>
      <c r="G2078" s="507"/>
      <c r="H2078" s="507"/>
      <c r="I2078" s="507"/>
      <c r="J2078" s="507"/>
      <c r="K2078" s="507"/>
      <c r="L2078" s="70"/>
    </row>
    <row r="2079" spans="1:12" ht="16.5" x14ac:dyDescent="0.25">
      <c r="A2079" s="419" t="s">
        <v>1638</v>
      </c>
      <c r="B2079" s="421" t="s">
        <v>76</v>
      </c>
      <c r="C2079" s="419" t="s">
        <v>991</v>
      </c>
      <c r="D2079" s="419" t="s">
        <v>191</v>
      </c>
      <c r="E2079" s="603" t="s">
        <v>77</v>
      </c>
      <c r="F2079" s="603"/>
      <c r="G2079" s="420" t="s">
        <v>103</v>
      </c>
      <c r="H2079" s="421" t="s">
        <v>147</v>
      </c>
      <c r="I2079" s="421" t="s">
        <v>1731</v>
      </c>
      <c r="J2079" s="421" t="s">
        <v>1117</v>
      </c>
      <c r="K2079" s="421" t="s">
        <v>104</v>
      </c>
      <c r="L2079" s="70"/>
    </row>
    <row r="2080" spans="1:12" ht="63.75" x14ac:dyDescent="0.25">
      <c r="A2080" s="441" t="s">
        <v>79</v>
      </c>
      <c r="B2080" s="480" t="s">
        <v>1639</v>
      </c>
      <c r="C2080" s="441" t="s">
        <v>1168</v>
      </c>
      <c r="D2080" s="441" t="s">
        <v>621</v>
      </c>
      <c r="E2080" s="604" t="s">
        <v>2359</v>
      </c>
      <c r="F2080" s="604"/>
      <c r="G2080" s="443" t="s">
        <v>49</v>
      </c>
      <c r="H2080" s="500">
        <v>1</v>
      </c>
      <c r="I2080" s="442"/>
      <c r="J2080" s="442">
        <v>829.44</v>
      </c>
      <c r="K2080" s="442">
        <v>829.44</v>
      </c>
      <c r="L2080" s="70"/>
    </row>
    <row r="2081" spans="1:12" ht="16.5" x14ac:dyDescent="0.25">
      <c r="A2081" s="501" t="s">
        <v>1732</v>
      </c>
      <c r="B2081" s="502" t="s">
        <v>2429</v>
      </c>
      <c r="C2081" s="501" t="s">
        <v>2108</v>
      </c>
      <c r="D2081" s="501" t="s">
        <v>2430</v>
      </c>
      <c r="E2081" s="602" t="s">
        <v>1746</v>
      </c>
      <c r="F2081" s="602"/>
      <c r="G2081" s="503" t="s">
        <v>49</v>
      </c>
      <c r="H2081" s="504">
        <v>1</v>
      </c>
      <c r="I2081" s="504"/>
      <c r="J2081" s="505">
        <v>4.7</v>
      </c>
      <c r="K2081" s="505">
        <v>4.7</v>
      </c>
      <c r="L2081" s="70"/>
    </row>
    <row r="2082" spans="1:12" ht="16.5" x14ac:dyDescent="0.25">
      <c r="A2082" s="501" t="s">
        <v>1732</v>
      </c>
      <c r="B2082" s="502" t="s">
        <v>2496</v>
      </c>
      <c r="C2082" s="501" t="s">
        <v>2108</v>
      </c>
      <c r="D2082" s="501" t="s">
        <v>2497</v>
      </c>
      <c r="E2082" s="602" t="s">
        <v>1746</v>
      </c>
      <c r="F2082" s="602"/>
      <c r="G2082" s="503" t="s">
        <v>49</v>
      </c>
      <c r="H2082" s="504">
        <v>1</v>
      </c>
      <c r="I2082" s="504"/>
      <c r="J2082" s="505">
        <v>5.68</v>
      </c>
      <c r="K2082" s="505">
        <v>5.68</v>
      </c>
      <c r="L2082" s="70"/>
    </row>
    <row r="2083" spans="1:12" ht="25.5" x14ac:dyDescent="0.25">
      <c r="A2083" s="501" t="s">
        <v>1732</v>
      </c>
      <c r="B2083" s="502" t="s">
        <v>2431</v>
      </c>
      <c r="C2083" s="501" t="s">
        <v>2108</v>
      </c>
      <c r="D2083" s="501" t="s">
        <v>2432</v>
      </c>
      <c r="E2083" s="602" t="s">
        <v>1746</v>
      </c>
      <c r="F2083" s="602"/>
      <c r="G2083" s="503" t="s">
        <v>49</v>
      </c>
      <c r="H2083" s="504">
        <v>8</v>
      </c>
      <c r="I2083" s="504"/>
      <c r="J2083" s="505">
        <v>6.21</v>
      </c>
      <c r="K2083" s="505">
        <v>49.68</v>
      </c>
      <c r="L2083" s="70"/>
    </row>
    <row r="2084" spans="1:12" ht="25.5" x14ac:dyDescent="0.25">
      <c r="A2084" s="501" t="s">
        <v>1732</v>
      </c>
      <c r="B2084" s="502" t="s">
        <v>2498</v>
      </c>
      <c r="C2084" s="501" t="s">
        <v>2108</v>
      </c>
      <c r="D2084" s="501" t="s">
        <v>2499</v>
      </c>
      <c r="E2084" s="602" t="s">
        <v>1746</v>
      </c>
      <c r="F2084" s="602"/>
      <c r="G2084" s="503" t="s">
        <v>49</v>
      </c>
      <c r="H2084" s="504">
        <v>8</v>
      </c>
      <c r="I2084" s="504"/>
      <c r="J2084" s="505">
        <v>9.8000000000000007</v>
      </c>
      <c r="K2084" s="505">
        <v>78.400000000000006</v>
      </c>
      <c r="L2084" s="70"/>
    </row>
    <row r="2085" spans="1:12" ht="16.5" x14ac:dyDescent="0.25">
      <c r="A2085" s="501" t="s">
        <v>1732</v>
      </c>
      <c r="B2085" s="502" t="s">
        <v>2536</v>
      </c>
      <c r="C2085" s="501" t="s">
        <v>2108</v>
      </c>
      <c r="D2085" s="501" t="s">
        <v>2537</v>
      </c>
      <c r="E2085" s="602" t="s">
        <v>1746</v>
      </c>
      <c r="F2085" s="602"/>
      <c r="G2085" s="503" t="s">
        <v>49</v>
      </c>
      <c r="H2085" s="504">
        <v>1</v>
      </c>
      <c r="I2085" s="504"/>
      <c r="J2085" s="505">
        <v>595.91999999999996</v>
      </c>
      <c r="K2085" s="505">
        <v>595.91999999999996</v>
      </c>
      <c r="L2085" s="70"/>
    </row>
    <row r="2086" spans="1:12" ht="25.5" x14ac:dyDescent="0.25">
      <c r="A2086" s="501" t="s">
        <v>1732</v>
      </c>
      <c r="B2086" s="502" t="s">
        <v>999</v>
      </c>
      <c r="C2086" s="501" t="s">
        <v>993</v>
      </c>
      <c r="D2086" s="501" t="s">
        <v>1000</v>
      </c>
      <c r="E2086" s="602" t="s">
        <v>972</v>
      </c>
      <c r="F2086" s="602"/>
      <c r="G2086" s="503" t="s">
        <v>81</v>
      </c>
      <c r="H2086" s="504">
        <v>2.41</v>
      </c>
      <c r="I2086" s="504">
        <v>0</v>
      </c>
      <c r="J2086" s="505">
        <v>16.04</v>
      </c>
      <c r="K2086" s="505">
        <v>38.65</v>
      </c>
      <c r="L2086" s="70"/>
    </row>
    <row r="2087" spans="1:12" ht="25.5" x14ac:dyDescent="0.25">
      <c r="A2087" s="501" t="s">
        <v>1732</v>
      </c>
      <c r="B2087" s="502" t="s">
        <v>1011</v>
      </c>
      <c r="C2087" s="501" t="s">
        <v>993</v>
      </c>
      <c r="D2087" s="501" t="s">
        <v>1012</v>
      </c>
      <c r="E2087" s="602" t="s">
        <v>972</v>
      </c>
      <c r="F2087" s="602"/>
      <c r="G2087" s="503" t="s">
        <v>81</v>
      </c>
      <c r="H2087" s="504">
        <v>2.41</v>
      </c>
      <c r="I2087" s="504">
        <v>0</v>
      </c>
      <c r="J2087" s="505">
        <v>23.41</v>
      </c>
      <c r="K2087" s="505">
        <v>56.41</v>
      </c>
      <c r="L2087" s="70"/>
    </row>
    <row r="2088" spans="1:12" ht="15.75" customHeight="1" x14ac:dyDescent="0.25">
      <c r="A2088" s="445"/>
      <c r="B2088" s="445"/>
      <c r="C2088" s="445"/>
      <c r="D2088" s="445"/>
      <c r="E2088" s="445" t="s">
        <v>1735</v>
      </c>
      <c r="F2088" s="506">
        <v>95.06</v>
      </c>
      <c r="G2088" s="445" t="s">
        <v>1736</v>
      </c>
      <c r="H2088" s="506">
        <v>0</v>
      </c>
      <c r="I2088" s="445" t="s">
        <v>1737</v>
      </c>
      <c r="J2088" s="506">
        <v>95.06</v>
      </c>
      <c r="K2088" s="70"/>
      <c r="L2088" s="70"/>
    </row>
    <row r="2089" spans="1:12" ht="17.25" thickBot="1" x14ac:dyDescent="0.3">
      <c r="A2089" s="445"/>
      <c r="B2089" s="445"/>
      <c r="C2089" s="445"/>
      <c r="D2089" s="445"/>
      <c r="E2089" s="445" t="s">
        <v>1738</v>
      </c>
      <c r="F2089" s="506">
        <v>204.37401600000001</v>
      </c>
      <c r="G2089" s="445"/>
      <c r="H2089" s="606" t="s">
        <v>1739</v>
      </c>
      <c r="I2089" s="606"/>
      <c r="J2089" s="506">
        <v>1033.81</v>
      </c>
      <c r="K2089" s="70"/>
      <c r="L2089" s="70"/>
    </row>
    <row r="2090" spans="1:12" ht="17.25" thickTop="1" x14ac:dyDescent="0.25">
      <c r="A2090" s="507"/>
      <c r="B2090" s="507"/>
      <c r="C2090" s="507"/>
      <c r="D2090" s="507"/>
      <c r="E2090" s="507"/>
      <c r="F2090" s="507"/>
      <c r="G2090" s="507"/>
      <c r="H2090" s="507"/>
      <c r="I2090" s="507"/>
      <c r="J2090" s="507"/>
      <c r="K2090" s="507"/>
      <c r="L2090" s="70"/>
    </row>
    <row r="2091" spans="1:12" ht="16.5" x14ac:dyDescent="0.25">
      <c r="A2091" s="419" t="s">
        <v>1640</v>
      </c>
      <c r="B2091" s="421" t="s">
        <v>76</v>
      </c>
      <c r="C2091" s="419" t="s">
        <v>991</v>
      </c>
      <c r="D2091" s="419" t="s">
        <v>191</v>
      </c>
      <c r="E2091" s="603" t="s">
        <v>77</v>
      </c>
      <c r="F2091" s="603"/>
      <c r="G2091" s="420" t="s">
        <v>103</v>
      </c>
      <c r="H2091" s="421" t="s">
        <v>147</v>
      </c>
      <c r="I2091" s="421" t="s">
        <v>1731</v>
      </c>
      <c r="J2091" s="421" t="s">
        <v>1117</v>
      </c>
      <c r="K2091" s="421" t="s">
        <v>104</v>
      </c>
      <c r="L2091" s="70"/>
    </row>
    <row r="2092" spans="1:12" ht="38.25" x14ac:dyDescent="0.25">
      <c r="A2092" s="441" t="s">
        <v>79</v>
      </c>
      <c r="B2092" s="480" t="s">
        <v>1641</v>
      </c>
      <c r="C2092" s="441" t="s">
        <v>1168</v>
      </c>
      <c r="D2092" s="441" t="s">
        <v>1642</v>
      </c>
      <c r="E2092" s="604" t="s">
        <v>2359</v>
      </c>
      <c r="F2092" s="604"/>
      <c r="G2092" s="443" t="s">
        <v>49</v>
      </c>
      <c r="H2092" s="500">
        <v>1</v>
      </c>
      <c r="I2092" s="442"/>
      <c r="J2092" s="442">
        <v>447.94</v>
      </c>
      <c r="K2092" s="442">
        <v>447.94</v>
      </c>
      <c r="L2092" s="70"/>
    </row>
    <row r="2093" spans="1:12" ht="25.5" x14ac:dyDescent="0.25">
      <c r="A2093" s="501" t="s">
        <v>1732</v>
      </c>
      <c r="B2093" s="502" t="s">
        <v>999</v>
      </c>
      <c r="C2093" s="501" t="s">
        <v>993</v>
      </c>
      <c r="D2093" s="501" t="s">
        <v>1000</v>
      </c>
      <c r="E2093" s="602" t="s">
        <v>972</v>
      </c>
      <c r="F2093" s="602"/>
      <c r="G2093" s="503" t="s">
        <v>81</v>
      </c>
      <c r="H2093" s="504">
        <v>1.94</v>
      </c>
      <c r="I2093" s="504">
        <v>0</v>
      </c>
      <c r="J2093" s="505">
        <v>16.04</v>
      </c>
      <c r="K2093" s="505">
        <v>31.11</v>
      </c>
      <c r="L2093" s="70"/>
    </row>
    <row r="2094" spans="1:12" ht="25.5" x14ac:dyDescent="0.25">
      <c r="A2094" s="501" t="s">
        <v>1732</v>
      </c>
      <c r="B2094" s="502" t="s">
        <v>1011</v>
      </c>
      <c r="C2094" s="501" t="s">
        <v>993</v>
      </c>
      <c r="D2094" s="501" t="s">
        <v>1012</v>
      </c>
      <c r="E2094" s="602" t="s">
        <v>972</v>
      </c>
      <c r="F2094" s="602"/>
      <c r="G2094" s="503" t="s">
        <v>81</v>
      </c>
      <c r="H2094" s="504">
        <v>1.94</v>
      </c>
      <c r="I2094" s="504">
        <v>0</v>
      </c>
      <c r="J2094" s="505">
        <v>23.41</v>
      </c>
      <c r="K2094" s="505">
        <v>45.41</v>
      </c>
      <c r="L2094" s="70"/>
    </row>
    <row r="2095" spans="1:12" ht="16.5" x14ac:dyDescent="0.25">
      <c r="A2095" s="501" t="s">
        <v>1732</v>
      </c>
      <c r="B2095" s="502" t="s">
        <v>2538</v>
      </c>
      <c r="C2095" s="501" t="s">
        <v>575</v>
      </c>
      <c r="D2095" s="501" t="s">
        <v>2539</v>
      </c>
      <c r="E2095" s="602" t="s">
        <v>1746</v>
      </c>
      <c r="F2095" s="602"/>
      <c r="G2095" s="503" t="s">
        <v>49</v>
      </c>
      <c r="H2095" s="504">
        <v>1</v>
      </c>
      <c r="I2095" s="504">
        <v>0</v>
      </c>
      <c r="J2095" s="505">
        <v>371.42</v>
      </c>
      <c r="K2095" s="505">
        <v>371.42</v>
      </c>
      <c r="L2095" s="70"/>
    </row>
    <row r="2096" spans="1:12" ht="15.75" customHeight="1" x14ac:dyDescent="0.25">
      <c r="A2096" s="445"/>
      <c r="B2096" s="445"/>
      <c r="C2096" s="445"/>
      <c r="D2096" s="445"/>
      <c r="E2096" s="445" t="s">
        <v>1735</v>
      </c>
      <c r="F2096" s="506">
        <v>76.52</v>
      </c>
      <c r="G2096" s="445" t="s">
        <v>1736</v>
      </c>
      <c r="H2096" s="506">
        <v>0</v>
      </c>
      <c r="I2096" s="445" t="s">
        <v>1737</v>
      </c>
      <c r="J2096" s="506">
        <v>76.52</v>
      </c>
      <c r="K2096" s="70"/>
      <c r="L2096" s="70"/>
    </row>
    <row r="2097" spans="1:12" ht="17.25" thickBot="1" x14ac:dyDescent="0.3">
      <c r="A2097" s="445"/>
      <c r="B2097" s="445"/>
      <c r="C2097" s="445"/>
      <c r="D2097" s="445"/>
      <c r="E2097" s="445" t="s">
        <v>1738</v>
      </c>
      <c r="F2097" s="506">
        <v>110.372416</v>
      </c>
      <c r="G2097" s="445"/>
      <c r="H2097" s="606" t="s">
        <v>1739</v>
      </c>
      <c r="I2097" s="606"/>
      <c r="J2097" s="506">
        <v>558.30999999999995</v>
      </c>
      <c r="K2097" s="70"/>
      <c r="L2097" s="70"/>
    </row>
    <row r="2098" spans="1:12" ht="17.25" thickTop="1" x14ac:dyDescent="0.25">
      <c r="A2098" s="507"/>
      <c r="B2098" s="507"/>
      <c r="C2098" s="507"/>
      <c r="D2098" s="507"/>
      <c r="E2098" s="507"/>
      <c r="F2098" s="507"/>
      <c r="G2098" s="507"/>
      <c r="H2098" s="507"/>
      <c r="I2098" s="507"/>
      <c r="J2098" s="507"/>
      <c r="K2098" s="507"/>
      <c r="L2098" s="70"/>
    </row>
    <row r="2099" spans="1:12" ht="16.5" x14ac:dyDescent="0.25">
      <c r="A2099" s="419" t="s">
        <v>1643</v>
      </c>
      <c r="B2099" s="421" t="s">
        <v>76</v>
      </c>
      <c r="C2099" s="419" t="s">
        <v>991</v>
      </c>
      <c r="D2099" s="419" t="s">
        <v>191</v>
      </c>
      <c r="E2099" s="603" t="s">
        <v>77</v>
      </c>
      <c r="F2099" s="603"/>
      <c r="G2099" s="420" t="s">
        <v>103</v>
      </c>
      <c r="H2099" s="421" t="s">
        <v>147</v>
      </c>
      <c r="I2099" s="421" t="s">
        <v>1731</v>
      </c>
      <c r="J2099" s="421" t="s">
        <v>1117</v>
      </c>
      <c r="K2099" s="421" t="s">
        <v>104</v>
      </c>
      <c r="L2099" s="70"/>
    </row>
    <row r="2100" spans="1:12" ht="25.5" x14ac:dyDescent="0.25">
      <c r="A2100" s="441" t="s">
        <v>79</v>
      </c>
      <c r="B2100" s="480" t="s">
        <v>1644</v>
      </c>
      <c r="C2100" s="441" t="s">
        <v>993</v>
      </c>
      <c r="D2100" s="441" t="s">
        <v>1645</v>
      </c>
      <c r="E2100" s="604">
        <v>717</v>
      </c>
      <c r="F2100" s="604"/>
      <c r="G2100" s="443" t="s">
        <v>1141</v>
      </c>
      <c r="H2100" s="500">
        <v>1</v>
      </c>
      <c r="I2100" s="442"/>
      <c r="J2100" s="442">
        <v>5.04</v>
      </c>
      <c r="K2100" s="442">
        <v>5.04</v>
      </c>
      <c r="L2100" s="70"/>
    </row>
    <row r="2101" spans="1:12" ht="25.5" x14ac:dyDescent="0.25">
      <c r="A2101" s="501" t="s">
        <v>1732</v>
      </c>
      <c r="B2101" s="502" t="s">
        <v>999</v>
      </c>
      <c r="C2101" s="501" t="s">
        <v>993</v>
      </c>
      <c r="D2101" s="501" t="s">
        <v>1000</v>
      </c>
      <c r="E2101" s="602" t="s">
        <v>972</v>
      </c>
      <c r="F2101" s="602"/>
      <c r="G2101" s="503" t="s">
        <v>81</v>
      </c>
      <c r="H2101" s="504">
        <v>0.04</v>
      </c>
      <c r="I2101" s="504"/>
      <c r="J2101" s="505">
        <v>16.04</v>
      </c>
      <c r="K2101" s="505">
        <v>0.64</v>
      </c>
      <c r="L2101" s="70"/>
    </row>
    <row r="2102" spans="1:12" ht="25.5" x14ac:dyDescent="0.25">
      <c r="A2102" s="501" t="s">
        <v>1732</v>
      </c>
      <c r="B2102" s="502" t="s">
        <v>1021</v>
      </c>
      <c r="C2102" s="501" t="s">
        <v>993</v>
      </c>
      <c r="D2102" s="501" t="s">
        <v>1022</v>
      </c>
      <c r="E2102" s="602" t="s">
        <v>972</v>
      </c>
      <c r="F2102" s="602"/>
      <c r="G2102" s="503" t="s">
        <v>81</v>
      </c>
      <c r="H2102" s="504">
        <v>0.04</v>
      </c>
      <c r="I2102" s="504"/>
      <c r="J2102" s="505">
        <v>23.41</v>
      </c>
      <c r="K2102" s="505">
        <v>0.93</v>
      </c>
      <c r="L2102" s="70"/>
    </row>
    <row r="2103" spans="1:12" ht="25.5" x14ac:dyDescent="0.25">
      <c r="A2103" s="501" t="s">
        <v>1732</v>
      </c>
      <c r="B2103" s="502" t="s">
        <v>2540</v>
      </c>
      <c r="C2103" s="501" t="s">
        <v>993</v>
      </c>
      <c r="D2103" s="501" t="s">
        <v>2541</v>
      </c>
      <c r="E2103" s="602" t="s">
        <v>1746</v>
      </c>
      <c r="F2103" s="602"/>
      <c r="G2103" s="503" t="s">
        <v>49</v>
      </c>
      <c r="H2103" s="504">
        <v>1</v>
      </c>
      <c r="I2103" s="504"/>
      <c r="J2103" s="505">
        <v>3.47</v>
      </c>
      <c r="K2103" s="505">
        <v>3.47</v>
      </c>
      <c r="L2103" s="70"/>
    </row>
    <row r="2104" spans="1:12" ht="15.75" customHeight="1" x14ac:dyDescent="0.25">
      <c r="A2104" s="445"/>
      <c r="B2104" s="445"/>
      <c r="C2104" s="445"/>
      <c r="D2104" s="445"/>
      <c r="E2104" s="445" t="s">
        <v>1735</v>
      </c>
      <c r="F2104" s="506">
        <v>1.57</v>
      </c>
      <c r="G2104" s="445" t="s">
        <v>1736</v>
      </c>
      <c r="H2104" s="506">
        <v>0</v>
      </c>
      <c r="I2104" s="445" t="s">
        <v>1737</v>
      </c>
      <c r="J2104" s="506">
        <v>1.57</v>
      </c>
      <c r="K2104" s="70"/>
      <c r="L2104" s="70"/>
    </row>
    <row r="2105" spans="1:12" ht="17.25" thickBot="1" x14ac:dyDescent="0.3">
      <c r="A2105" s="445"/>
      <c r="B2105" s="445"/>
      <c r="C2105" s="445"/>
      <c r="D2105" s="445"/>
      <c r="E2105" s="445" t="s">
        <v>1738</v>
      </c>
      <c r="F2105" s="506">
        <v>1.2418560000000001</v>
      </c>
      <c r="G2105" s="445"/>
      <c r="H2105" s="606" t="s">
        <v>1739</v>
      </c>
      <c r="I2105" s="606"/>
      <c r="J2105" s="506">
        <v>6.28</v>
      </c>
      <c r="K2105" s="70"/>
      <c r="L2105" s="70"/>
    </row>
    <row r="2106" spans="1:12" ht="17.25" thickTop="1" x14ac:dyDescent="0.25">
      <c r="A2106" s="507"/>
      <c r="B2106" s="507"/>
      <c r="C2106" s="507"/>
      <c r="D2106" s="507"/>
      <c r="E2106" s="507"/>
      <c r="F2106" s="507"/>
      <c r="G2106" s="507"/>
      <c r="H2106" s="507"/>
      <c r="I2106" s="507"/>
      <c r="J2106" s="507"/>
      <c r="K2106" s="507"/>
      <c r="L2106" s="70"/>
    </row>
    <row r="2107" spans="1:12" ht="16.5" x14ac:dyDescent="0.25">
      <c r="A2107" s="419" t="s">
        <v>1646</v>
      </c>
      <c r="B2107" s="421" t="s">
        <v>76</v>
      </c>
      <c r="C2107" s="419" t="s">
        <v>991</v>
      </c>
      <c r="D2107" s="419" t="s">
        <v>191</v>
      </c>
      <c r="E2107" s="603" t="s">
        <v>77</v>
      </c>
      <c r="F2107" s="603"/>
      <c r="G2107" s="420" t="s">
        <v>103</v>
      </c>
      <c r="H2107" s="421" t="s">
        <v>147</v>
      </c>
      <c r="I2107" s="421" t="s">
        <v>1731</v>
      </c>
      <c r="J2107" s="421" t="s">
        <v>1117</v>
      </c>
      <c r="K2107" s="421" t="s">
        <v>104</v>
      </c>
      <c r="L2107" s="70"/>
    </row>
    <row r="2108" spans="1:12" ht="25.5" x14ac:dyDescent="0.25">
      <c r="A2108" s="441" t="s">
        <v>79</v>
      </c>
      <c r="B2108" s="480" t="s">
        <v>1647</v>
      </c>
      <c r="C2108" s="441" t="s">
        <v>993</v>
      </c>
      <c r="D2108" s="441" t="s">
        <v>1648</v>
      </c>
      <c r="E2108" s="604">
        <v>808</v>
      </c>
      <c r="F2108" s="604"/>
      <c r="G2108" s="443" t="s">
        <v>1141</v>
      </c>
      <c r="H2108" s="500">
        <v>1</v>
      </c>
      <c r="I2108" s="442"/>
      <c r="J2108" s="442">
        <v>64.42</v>
      </c>
      <c r="K2108" s="442">
        <v>64.42</v>
      </c>
      <c r="L2108" s="70"/>
    </row>
    <row r="2109" spans="1:12" ht="25.5" x14ac:dyDescent="0.25">
      <c r="A2109" s="501" t="s">
        <v>1732</v>
      </c>
      <c r="B2109" s="502" t="s">
        <v>999</v>
      </c>
      <c r="C2109" s="501" t="s">
        <v>993</v>
      </c>
      <c r="D2109" s="501" t="s">
        <v>1000</v>
      </c>
      <c r="E2109" s="602" t="s">
        <v>972</v>
      </c>
      <c r="F2109" s="602"/>
      <c r="G2109" s="503" t="s">
        <v>81</v>
      </c>
      <c r="H2109" s="504">
        <v>0.2</v>
      </c>
      <c r="I2109" s="504"/>
      <c r="J2109" s="505">
        <v>16.04</v>
      </c>
      <c r="K2109" s="505">
        <v>3.2</v>
      </c>
      <c r="L2109" s="70"/>
    </row>
    <row r="2110" spans="1:12" ht="25.5" x14ac:dyDescent="0.25">
      <c r="A2110" s="501" t="s">
        <v>1732</v>
      </c>
      <c r="B2110" s="502" t="s">
        <v>1011</v>
      </c>
      <c r="C2110" s="501" t="s">
        <v>993</v>
      </c>
      <c r="D2110" s="501" t="s">
        <v>1012</v>
      </c>
      <c r="E2110" s="602" t="s">
        <v>972</v>
      </c>
      <c r="F2110" s="602"/>
      <c r="G2110" s="503" t="s">
        <v>81</v>
      </c>
      <c r="H2110" s="504">
        <v>0.2</v>
      </c>
      <c r="I2110" s="504"/>
      <c r="J2110" s="505">
        <v>23.41</v>
      </c>
      <c r="K2110" s="505">
        <v>4.68</v>
      </c>
      <c r="L2110" s="70"/>
    </row>
    <row r="2111" spans="1:12" ht="25.5" x14ac:dyDescent="0.25">
      <c r="A2111" s="501" t="s">
        <v>1732</v>
      </c>
      <c r="B2111" s="502" t="s">
        <v>2020</v>
      </c>
      <c r="C2111" s="501" t="s">
        <v>993</v>
      </c>
      <c r="D2111" s="501" t="s">
        <v>2021</v>
      </c>
      <c r="E2111" s="602" t="s">
        <v>1746</v>
      </c>
      <c r="F2111" s="602"/>
      <c r="G2111" s="503" t="s">
        <v>41</v>
      </c>
      <c r="H2111" s="504">
        <v>0.28000000000000003</v>
      </c>
      <c r="I2111" s="504"/>
      <c r="J2111" s="505">
        <v>0.4</v>
      </c>
      <c r="K2111" s="505">
        <v>0.11</v>
      </c>
      <c r="L2111" s="70"/>
    </row>
    <row r="2112" spans="1:12" ht="25.5" x14ac:dyDescent="0.25">
      <c r="A2112" s="501" t="s">
        <v>1732</v>
      </c>
      <c r="B2112" s="502" t="s">
        <v>2002</v>
      </c>
      <c r="C2112" s="501" t="s">
        <v>993</v>
      </c>
      <c r="D2112" s="501" t="s">
        <v>2003</v>
      </c>
      <c r="E2112" s="602" t="s">
        <v>1746</v>
      </c>
      <c r="F2112" s="602"/>
      <c r="G2112" s="503" t="s">
        <v>49</v>
      </c>
      <c r="H2112" s="504">
        <v>1</v>
      </c>
      <c r="I2112" s="504"/>
      <c r="J2112" s="505">
        <v>56.43</v>
      </c>
      <c r="K2112" s="505">
        <v>56.43</v>
      </c>
      <c r="L2112" s="70"/>
    </row>
    <row r="2113" spans="1:12" ht="15.75" customHeight="1" x14ac:dyDescent="0.25">
      <c r="A2113" s="445"/>
      <c r="B2113" s="445"/>
      <c r="C2113" s="445"/>
      <c r="D2113" s="445"/>
      <c r="E2113" s="445" t="s">
        <v>1735</v>
      </c>
      <c r="F2113" s="506">
        <v>7.88</v>
      </c>
      <c r="G2113" s="445" t="s">
        <v>1736</v>
      </c>
      <c r="H2113" s="506">
        <v>0</v>
      </c>
      <c r="I2113" s="445" t="s">
        <v>1737</v>
      </c>
      <c r="J2113" s="506">
        <v>7.88</v>
      </c>
      <c r="K2113" s="70"/>
      <c r="L2113" s="70"/>
    </row>
    <row r="2114" spans="1:12" ht="17.25" thickBot="1" x14ac:dyDescent="0.3">
      <c r="A2114" s="445"/>
      <c r="B2114" s="445"/>
      <c r="C2114" s="445"/>
      <c r="D2114" s="445"/>
      <c r="E2114" s="445" t="s">
        <v>1738</v>
      </c>
      <c r="F2114" s="506">
        <v>15.873087999999999</v>
      </c>
      <c r="G2114" s="445"/>
      <c r="H2114" s="606" t="s">
        <v>1739</v>
      </c>
      <c r="I2114" s="606"/>
      <c r="J2114" s="506">
        <v>80.290000000000006</v>
      </c>
      <c r="K2114" s="70"/>
      <c r="L2114" s="70"/>
    </row>
    <row r="2115" spans="1:12" ht="17.25" thickTop="1" x14ac:dyDescent="0.25">
      <c r="A2115" s="507"/>
      <c r="B2115" s="507"/>
      <c r="C2115" s="507"/>
      <c r="D2115" s="507"/>
      <c r="E2115" s="507"/>
      <c r="F2115" s="507"/>
      <c r="G2115" s="507"/>
      <c r="H2115" s="507"/>
      <c r="I2115" s="507"/>
      <c r="J2115" s="507"/>
      <c r="K2115" s="507"/>
      <c r="L2115" s="70"/>
    </row>
    <row r="2116" spans="1:12" ht="16.5" x14ac:dyDescent="0.25">
      <c r="A2116" s="419" t="s">
        <v>1649</v>
      </c>
      <c r="B2116" s="421" t="s">
        <v>76</v>
      </c>
      <c r="C2116" s="419" t="s">
        <v>991</v>
      </c>
      <c r="D2116" s="419" t="s">
        <v>191</v>
      </c>
      <c r="E2116" s="603" t="s">
        <v>77</v>
      </c>
      <c r="F2116" s="603"/>
      <c r="G2116" s="420" t="s">
        <v>103</v>
      </c>
      <c r="H2116" s="421" t="s">
        <v>147</v>
      </c>
      <c r="I2116" s="421" t="s">
        <v>1731</v>
      </c>
      <c r="J2116" s="421" t="s">
        <v>1117</v>
      </c>
      <c r="K2116" s="421" t="s">
        <v>104</v>
      </c>
      <c r="L2116" s="70"/>
    </row>
    <row r="2117" spans="1:12" ht="25.5" x14ac:dyDescent="0.25">
      <c r="A2117" s="441" t="s">
        <v>79</v>
      </c>
      <c r="B2117" s="480" t="s">
        <v>1650</v>
      </c>
      <c r="C2117" s="441" t="s">
        <v>1168</v>
      </c>
      <c r="D2117" s="441" t="s">
        <v>627</v>
      </c>
      <c r="E2117" s="604">
        <v>99</v>
      </c>
      <c r="F2117" s="604"/>
      <c r="G2117" s="443" t="s">
        <v>49</v>
      </c>
      <c r="H2117" s="500">
        <v>1</v>
      </c>
      <c r="I2117" s="442"/>
      <c r="J2117" s="442">
        <v>19.46</v>
      </c>
      <c r="K2117" s="442">
        <v>19.46</v>
      </c>
      <c r="L2117" s="70"/>
    </row>
    <row r="2118" spans="1:12" ht="25.5" x14ac:dyDescent="0.25">
      <c r="A2118" s="501" t="s">
        <v>1732</v>
      </c>
      <c r="B2118" s="502" t="s">
        <v>2542</v>
      </c>
      <c r="C2118" s="501" t="s">
        <v>575</v>
      </c>
      <c r="D2118" s="501" t="s">
        <v>2543</v>
      </c>
      <c r="E2118" s="602" t="s">
        <v>1746</v>
      </c>
      <c r="F2118" s="602"/>
      <c r="G2118" s="503" t="s">
        <v>49</v>
      </c>
      <c r="H2118" s="504">
        <v>1</v>
      </c>
      <c r="I2118" s="504"/>
      <c r="J2118" s="505">
        <v>11.58</v>
      </c>
      <c r="K2118" s="505">
        <v>11.58</v>
      </c>
      <c r="L2118" s="70"/>
    </row>
    <row r="2119" spans="1:12" ht="25.5" x14ac:dyDescent="0.25">
      <c r="A2119" s="501" t="s">
        <v>1732</v>
      </c>
      <c r="B2119" s="502" t="s">
        <v>1011</v>
      </c>
      <c r="C2119" s="501" t="s">
        <v>993</v>
      </c>
      <c r="D2119" s="501" t="s">
        <v>1012</v>
      </c>
      <c r="E2119" s="602" t="s">
        <v>972</v>
      </c>
      <c r="F2119" s="602"/>
      <c r="G2119" s="503" t="s">
        <v>81</v>
      </c>
      <c r="H2119" s="504">
        <v>0.2</v>
      </c>
      <c r="I2119" s="504">
        <v>0</v>
      </c>
      <c r="J2119" s="505">
        <v>23.41</v>
      </c>
      <c r="K2119" s="505">
        <v>4.68</v>
      </c>
      <c r="L2119" s="70"/>
    </row>
    <row r="2120" spans="1:12" ht="25.5" x14ac:dyDescent="0.25">
      <c r="A2120" s="501" t="s">
        <v>1732</v>
      </c>
      <c r="B2120" s="502" t="s">
        <v>999</v>
      </c>
      <c r="C2120" s="501" t="s">
        <v>993</v>
      </c>
      <c r="D2120" s="501" t="s">
        <v>1000</v>
      </c>
      <c r="E2120" s="602" t="s">
        <v>972</v>
      </c>
      <c r="F2120" s="602"/>
      <c r="G2120" s="503" t="s">
        <v>81</v>
      </c>
      <c r="H2120" s="504">
        <v>0.2</v>
      </c>
      <c r="I2120" s="504">
        <v>0</v>
      </c>
      <c r="J2120" s="505">
        <v>16.04</v>
      </c>
      <c r="K2120" s="505">
        <v>3.2</v>
      </c>
      <c r="L2120" s="70"/>
    </row>
    <row r="2121" spans="1:12" ht="15.75" customHeight="1" x14ac:dyDescent="0.25">
      <c r="A2121" s="445"/>
      <c r="B2121" s="445"/>
      <c r="C2121" s="445"/>
      <c r="D2121" s="445"/>
      <c r="E2121" s="445" t="s">
        <v>1735</v>
      </c>
      <c r="F2121" s="506">
        <v>7.88</v>
      </c>
      <c r="G2121" s="445" t="s">
        <v>1736</v>
      </c>
      <c r="H2121" s="506">
        <v>0</v>
      </c>
      <c r="I2121" s="445" t="s">
        <v>1737</v>
      </c>
      <c r="J2121" s="506">
        <v>7.88</v>
      </c>
      <c r="K2121" s="70"/>
      <c r="L2121" s="70"/>
    </row>
    <row r="2122" spans="1:12" ht="17.25" thickBot="1" x14ac:dyDescent="0.3">
      <c r="A2122" s="445"/>
      <c r="B2122" s="445"/>
      <c r="C2122" s="445"/>
      <c r="D2122" s="445"/>
      <c r="E2122" s="445" t="s">
        <v>1738</v>
      </c>
      <c r="F2122" s="506">
        <v>4.7949440000000001</v>
      </c>
      <c r="G2122" s="445"/>
      <c r="H2122" s="606" t="s">
        <v>1739</v>
      </c>
      <c r="I2122" s="606"/>
      <c r="J2122" s="506">
        <v>24.25</v>
      </c>
      <c r="K2122" s="70"/>
      <c r="L2122" s="70"/>
    </row>
    <row r="2123" spans="1:12" ht="17.25" thickTop="1" x14ac:dyDescent="0.25">
      <c r="A2123" s="507"/>
      <c r="B2123" s="507"/>
      <c r="C2123" s="507"/>
      <c r="D2123" s="507"/>
      <c r="E2123" s="507"/>
      <c r="F2123" s="507"/>
      <c r="G2123" s="507"/>
      <c r="H2123" s="507"/>
      <c r="I2123" s="507"/>
      <c r="J2123" s="507"/>
      <c r="K2123" s="507"/>
      <c r="L2123" s="70"/>
    </row>
    <row r="2124" spans="1:12" ht="16.5" x14ac:dyDescent="0.25">
      <c r="A2124" s="419" t="s">
        <v>1651</v>
      </c>
      <c r="B2124" s="421" t="s">
        <v>76</v>
      </c>
      <c r="C2124" s="419" t="s">
        <v>991</v>
      </c>
      <c r="D2124" s="419" t="s">
        <v>191</v>
      </c>
      <c r="E2124" s="603" t="s">
        <v>77</v>
      </c>
      <c r="F2124" s="603"/>
      <c r="G2124" s="420" t="s">
        <v>103</v>
      </c>
      <c r="H2124" s="421" t="s">
        <v>147</v>
      </c>
      <c r="I2124" s="421" t="s">
        <v>1731</v>
      </c>
      <c r="J2124" s="421" t="s">
        <v>1117</v>
      </c>
      <c r="K2124" s="421" t="s">
        <v>104</v>
      </c>
      <c r="L2124" s="70"/>
    </row>
    <row r="2125" spans="1:12" ht="25.5" x14ac:dyDescent="0.25">
      <c r="A2125" s="441" t="s">
        <v>79</v>
      </c>
      <c r="B2125" s="480" t="s">
        <v>1652</v>
      </c>
      <c r="C2125" s="441" t="s">
        <v>1168</v>
      </c>
      <c r="D2125" s="441" t="s">
        <v>628</v>
      </c>
      <c r="E2125" s="604" t="s">
        <v>2544</v>
      </c>
      <c r="F2125" s="604"/>
      <c r="G2125" s="443" t="s">
        <v>130</v>
      </c>
      <c r="H2125" s="500">
        <v>1</v>
      </c>
      <c r="I2125" s="442"/>
      <c r="J2125" s="442">
        <v>55.71</v>
      </c>
      <c r="K2125" s="442">
        <v>55.71</v>
      </c>
      <c r="L2125" s="70"/>
    </row>
    <row r="2126" spans="1:12" ht="16.5" x14ac:dyDescent="0.25">
      <c r="A2126" s="501" t="s">
        <v>1732</v>
      </c>
      <c r="B2126" s="502" t="s">
        <v>2545</v>
      </c>
      <c r="C2126" s="501" t="s">
        <v>2546</v>
      </c>
      <c r="D2126" s="501" t="s">
        <v>2547</v>
      </c>
      <c r="E2126" s="602" t="s">
        <v>1746</v>
      </c>
      <c r="F2126" s="602"/>
      <c r="G2126" s="503" t="s">
        <v>130</v>
      </c>
      <c r="H2126" s="504">
        <v>1.3</v>
      </c>
      <c r="I2126" s="504"/>
      <c r="J2126" s="505">
        <v>18.53</v>
      </c>
      <c r="K2126" s="505">
        <v>24.08</v>
      </c>
      <c r="L2126" s="70"/>
    </row>
    <row r="2127" spans="1:12" ht="16.5" x14ac:dyDescent="0.25">
      <c r="A2127" s="501" t="s">
        <v>1732</v>
      </c>
      <c r="B2127" s="502" t="s">
        <v>2548</v>
      </c>
      <c r="C2127" s="501" t="s">
        <v>2546</v>
      </c>
      <c r="D2127" s="501" t="s">
        <v>2549</v>
      </c>
      <c r="E2127" s="602" t="s">
        <v>1746</v>
      </c>
      <c r="F2127" s="602"/>
      <c r="G2127" s="503" t="s">
        <v>130</v>
      </c>
      <c r="H2127" s="504">
        <v>0.46</v>
      </c>
      <c r="I2127" s="504"/>
      <c r="J2127" s="505">
        <v>0.18</v>
      </c>
      <c r="K2127" s="505">
        <v>0.08</v>
      </c>
      <c r="L2127" s="70"/>
    </row>
    <row r="2128" spans="1:12" ht="25.5" x14ac:dyDescent="0.25">
      <c r="A2128" s="501" t="s">
        <v>1732</v>
      </c>
      <c r="B2128" s="502" t="s">
        <v>1011</v>
      </c>
      <c r="C2128" s="501" t="s">
        <v>993</v>
      </c>
      <c r="D2128" s="501" t="s">
        <v>1012</v>
      </c>
      <c r="E2128" s="602" t="s">
        <v>972</v>
      </c>
      <c r="F2128" s="602"/>
      <c r="G2128" s="503" t="s">
        <v>81</v>
      </c>
      <c r="H2128" s="504">
        <v>0.8</v>
      </c>
      <c r="I2128" s="504">
        <v>0</v>
      </c>
      <c r="J2128" s="505">
        <v>23.41</v>
      </c>
      <c r="K2128" s="505">
        <v>18.72</v>
      </c>
      <c r="L2128" s="70"/>
    </row>
    <row r="2129" spans="1:12" ht="25.5" x14ac:dyDescent="0.25">
      <c r="A2129" s="501" t="s">
        <v>1732</v>
      </c>
      <c r="B2129" s="502" t="s">
        <v>999</v>
      </c>
      <c r="C2129" s="501" t="s">
        <v>993</v>
      </c>
      <c r="D2129" s="501" t="s">
        <v>1000</v>
      </c>
      <c r="E2129" s="602" t="s">
        <v>972</v>
      </c>
      <c r="F2129" s="602"/>
      <c r="G2129" s="503" t="s">
        <v>81</v>
      </c>
      <c r="H2129" s="504">
        <v>0.8</v>
      </c>
      <c r="I2129" s="504">
        <v>0</v>
      </c>
      <c r="J2129" s="505">
        <v>16.04</v>
      </c>
      <c r="K2129" s="505">
        <v>12.83</v>
      </c>
      <c r="L2129" s="70"/>
    </row>
    <row r="2130" spans="1:12" ht="15.75" customHeight="1" x14ac:dyDescent="0.25">
      <c r="A2130" s="445"/>
      <c r="B2130" s="445"/>
      <c r="C2130" s="445"/>
      <c r="D2130" s="445"/>
      <c r="E2130" s="445" t="s">
        <v>1735</v>
      </c>
      <c r="F2130" s="506">
        <v>31.55</v>
      </c>
      <c r="G2130" s="445" t="s">
        <v>1736</v>
      </c>
      <c r="H2130" s="506">
        <v>0</v>
      </c>
      <c r="I2130" s="445" t="s">
        <v>1737</v>
      </c>
      <c r="J2130" s="506">
        <v>31.55</v>
      </c>
      <c r="K2130" s="70"/>
      <c r="L2130" s="70"/>
    </row>
    <row r="2131" spans="1:12" ht="17.25" thickBot="1" x14ac:dyDescent="0.3">
      <c r="A2131" s="445"/>
      <c r="B2131" s="445"/>
      <c r="C2131" s="445"/>
      <c r="D2131" s="445"/>
      <c r="E2131" s="445" t="s">
        <v>1738</v>
      </c>
      <c r="F2131" s="506">
        <v>13.726944</v>
      </c>
      <c r="G2131" s="445"/>
      <c r="H2131" s="606" t="s">
        <v>1739</v>
      </c>
      <c r="I2131" s="606"/>
      <c r="J2131" s="506">
        <v>69.430000000000007</v>
      </c>
      <c r="K2131" s="70"/>
      <c r="L2131" s="70"/>
    </row>
    <row r="2132" spans="1:12" ht="17.25" thickTop="1" x14ac:dyDescent="0.25">
      <c r="A2132" s="507"/>
      <c r="B2132" s="507"/>
      <c r="C2132" s="507"/>
      <c r="D2132" s="507"/>
      <c r="E2132" s="507"/>
      <c r="F2132" s="507"/>
      <c r="G2132" s="507"/>
      <c r="H2132" s="507"/>
      <c r="I2132" s="507"/>
      <c r="J2132" s="507"/>
      <c r="K2132" s="507"/>
      <c r="L2132" s="70"/>
    </row>
    <row r="2133" spans="1:12" ht="16.5" x14ac:dyDescent="0.25">
      <c r="A2133" s="419" t="s">
        <v>1653</v>
      </c>
      <c r="B2133" s="421" t="s">
        <v>76</v>
      </c>
      <c r="C2133" s="419" t="s">
        <v>991</v>
      </c>
      <c r="D2133" s="419" t="s">
        <v>191</v>
      </c>
      <c r="E2133" s="603" t="s">
        <v>77</v>
      </c>
      <c r="F2133" s="603"/>
      <c r="G2133" s="420" t="s">
        <v>103</v>
      </c>
      <c r="H2133" s="421" t="s">
        <v>147</v>
      </c>
      <c r="I2133" s="421" t="s">
        <v>1731</v>
      </c>
      <c r="J2133" s="421" t="s">
        <v>1117</v>
      </c>
      <c r="K2133" s="421" t="s">
        <v>104</v>
      </c>
      <c r="L2133" s="70"/>
    </row>
    <row r="2134" spans="1:12" ht="25.5" x14ac:dyDescent="0.25">
      <c r="A2134" s="441" t="s">
        <v>79</v>
      </c>
      <c r="B2134" s="480" t="s">
        <v>1654</v>
      </c>
      <c r="C2134" s="441" t="s">
        <v>993</v>
      </c>
      <c r="D2134" s="441" t="s">
        <v>1655</v>
      </c>
      <c r="E2134" s="604">
        <v>810</v>
      </c>
      <c r="F2134" s="604"/>
      <c r="G2134" s="443" t="s">
        <v>1141</v>
      </c>
      <c r="H2134" s="500">
        <v>1</v>
      </c>
      <c r="I2134" s="442"/>
      <c r="J2134" s="442">
        <v>4.68</v>
      </c>
      <c r="K2134" s="442">
        <v>4.68</v>
      </c>
      <c r="L2134" s="70"/>
    </row>
    <row r="2135" spans="1:12" ht="25.5" x14ac:dyDescent="0.25">
      <c r="A2135" s="501" t="s">
        <v>1732</v>
      </c>
      <c r="B2135" s="502" t="s">
        <v>999</v>
      </c>
      <c r="C2135" s="501" t="s">
        <v>993</v>
      </c>
      <c r="D2135" s="501" t="s">
        <v>1000</v>
      </c>
      <c r="E2135" s="602" t="s">
        <v>972</v>
      </c>
      <c r="F2135" s="602"/>
      <c r="G2135" s="503" t="s">
        <v>81</v>
      </c>
      <c r="H2135" s="504">
        <v>0.09</v>
      </c>
      <c r="I2135" s="504"/>
      <c r="J2135" s="505">
        <v>16.04</v>
      </c>
      <c r="K2135" s="505">
        <v>1.44</v>
      </c>
      <c r="L2135" s="70"/>
    </row>
    <row r="2136" spans="1:12" ht="25.5" x14ac:dyDescent="0.25">
      <c r="A2136" s="501" t="s">
        <v>1732</v>
      </c>
      <c r="B2136" s="502" t="s">
        <v>1011</v>
      </c>
      <c r="C2136" s="501" t="s">
        <v>993</v>
      </c>
      <c r="D2136" s="501" t="s">
        <v>1012</v>
      </c>
      <c r="E2136" s="602" t="s">
        <v>972</v>
      </c>
      <c r="F2136" s="602"/>
      <c r="G2136" s="503" t="s">
        <v>81</v>
      </c>
      <c r="H2136" s="504">
        <v>0.09</v>
      </c>
      <c r="I2136" s="504"/>
      <c r="J2136" s="505">
        <v>23.41</v>
      </c>
      <c r="K2136" s="505">
        <v>2.1</v>
      </c>
      <c r="L2136" s="70"/>
    </row>
    <row r="2137" spans="1:12" ht="25.5" x14ac:dyDescent="0.25">
      <c r="A2137" s="501" t="s">
        <v>1732</v>
      </c>
      <c r="B2137" s="502" t="s">
        <v>2020</v>
      </c>
      <c r="C2137" s="501" t="s">
        <v>993</v>
      </c>
      <c r="D2137" s="501" t="s">
        <v>2021</v>
      </c>
      <c r="E2137" s="602" t="s">
        <v>1746</v>
      </c>
      <c r="F2137" s="602"/>
      <c r="G2137" s="503" t="s">
        <v>41</v>
      </c>
      <c r="H2137" s="504">
        <v>0.39</v>
      </c>
      <c r="I2137" s="504"/>
      <c r="J2137" s="505">
        <v>0.4</v>
      </c>
      <c r="K2137" s="505">
        <v>0.15</v>
      </c>
      <c r="L2137" s="70"/>
    </row>
    <row r="2138" spans="1:12" ht="25.5" x14ac:dyDescent="0.25">
      <c r="A2138" s="501" t="s">
        <v>1732</v>
      </c>
      <c r="B2138" s="502" t="s">
        <v>2550</v>
      </c>
      <c r="C2138" s="501" t="s">
        <v>993</v>
      </c>
      <c r="D2138" s="501" t="s">
        <v>2551</v>
      </c>
      <c r="E2138" s="602" t="s">
        <v>1746</v>
      </c>
      <c r="F2138" s="602"/>
      <c r="G2138" s="503" t="s">
        <v>49</v>
      </c>
      <c r="H2138" s="504">
        <v>1</v>
      </c>
      <c r="I2138" s="504"/>
      <c r="J2138" s="505">
        <v>0.99</v>
      </c>
      <c r="K2138" s="505">
        <v>0.99</v>
      </c>
      <c r="L2138" s="70"/>
    </row>
    <row r="2139" spans="1:12" ht="15.75" customHeight="1" x14ac:dyDescent="0.25">
      <c r="A2139" s="445"/>
      <c r="B2139" s="445"/>
      <c r="C2139" s="445"/>
      <c r="D2139" s="445"/>
      <c r="E2139" s="445" t="s">
        <v>1735</v>
      </c>
      <c r="F2139" s="506">
        <v>3.54</v>
      </c>
      <c r="G2139" s="445" t="s">
        <v>1736</v>
      </c>
      <c r="H2139" s="506">
        <v>0</v>
      </c>
      <c r="I2139" s="445" t="s">
        <v>1737</v>
      </c>
      <c r="J2139" s="506">
        <v>3.54</v>
      </c>
      <c r="K2139" s="70"/>
      <c r="L2139" s="70"/>
    </row>
    <row r="2140" spans="1:12" ht="17.25" thickBot="1" x14ac:dyDescent="0.3">
      <c r="A2140" s="445"/>
      <c r="B2140" s="445"/>
      <c r="C2140" s="445"/>
      <c r="D2140" s="445"/>
      <c r="E2140" s="445" t="s">
        <v>1738</v>
      </c>
      <c r="F2140" s="506">
        <v>1.153152</v>
      </c>
      <c r="G2140" s="445"/>
      <c r="H2140" s="606" t="s">
        <v>1739</v>
      </c>
      <c r="I2140" s="606"/>
      <c r="J2140" s="506">
        <v>5.83</v>
      </c>
      <c r="K2140" s="70"/>
      <c r="L2140" s="70"/>
    </row>
    <row r="2141" spans="1:12" ht="17.25" thickTop="1" x14ac:dyDescent="0.25">
      <c r="A2141" s="507"/>
      <c r="B2141" s="507"/>
      <c r="C2141" s="507"/>
      <c r="D2141" s="507"/>
      <c r="E2141" s="507"/>
      <c r="F2141" s="507"/>
      <c r="G2141" s="507"/>
      <c r="H2141" s="507"/>
      <c r="I2141" s="507"/>
      <c r="J2141" s="507"/>
      <c r="K2141" s="507"/>
      <c r="L2141" s="70"/>
    </row>
    <row r="2142" spans="1:12" ht="16.5" x14ac:dyDescent="0.25">
      <c r="A2142" s="419" t="s">
        <v>1656</v>
      </c>
      <c r="B2142" s="421" t="s">
        <v>76</v>
      </c>
      <c r="C2142" s="419" t="s">
        <v>991</v>
      </c>
      <c r="D2142" s="419" t="s">
        <v>191</v>
      </c>
      <c r="E2142" s="603" t="s">
        <v>77</v>
      </c>
      <c r="F2142" s="603"/>
      <c r="G2142" s="420" t="s">
        <v>103</v>
      </c>
      <c r="H2142" s="421" t="s">
        <v>147</v>
      </c>
      <c r="I2142" s="421" t="s">
        <v>1731</v>
      </c>
      <c r="J2142" s="421" t="s">
        <v>1117</v>
      </c>
      <c r="K2142" s="421" t="s">
        <v>104</v>
      </c>
      <c r="L2142" s="70"/>
    </row>
    <row r="2143" spans="1:12" ht="25.5" x14ac:dyDescent="0.25">
      <c r="A2143" s="441" t="s">
        <v>79</v>
      </c>
      <c r="B2143" s="480" t="s">
        <v>1657</v>
      </c>
      <c r="C2143" s="441" t="s">
        <v>993</v>
      </c>
      <c r="D2143" s="441" t="s">
        <v>1658</v>
      </c>
      <c r="E2143" s="604">
        <v>814</v>
      </c>
      <c r="F2143" s="604"/>
      <c r="G2143" s="443" t="s">
        <v>1141</v>
      </c>
      <c r="H2143" s="500">
        <v>1</v>
      </c>
      <c r="I2143" s="442"/>
      <c r="J2143" s="442">
        <v>8.89</v>
      </c>
      <c r="K2143" s="442">
        <v>8.89</v>
      </c>
      <c r="L2143" s="70"/>
    </row>
    <row r="2144" spans="1:12" ht="25.5" x14ac:dyDescent="0.25">
      <c r="A2144" s="501" t="s">
        <v>1732</v>
      </c>
      <c r="B2144" s="502" t="s">
        <v>999</v>
      </c>
      <c r="C2144" s="501" t="s">
        <v>993</v>
      </c>
      <c r="D2144" s="501" t="s">
        <v>1000</v>
      </c>
      <c r="E2144" s="602" t="s">
        <v>972</v>
      </c>
      <c r="F2144" s="602"/>
      <c r="G2144" s="503" t="s">
        <v>81</v>
      </c>
      <c r="H2144" s="504">
        <v>0.19</v>
      </c>
      <c r="I2144" s="504"/>
      <c r="J2144" s="505">
        <v>16.04</v>
      </c>
      <c r="K2144" s="505">
        <v>3.04</v>
      </c>
      <c r="L2144" s="70"/>
    </row>
    <row r="2145" spans="1:12" ht="25.5" x14ac:dyDescent="0.25">
      <c r="A2145" s="501" t="s">
        <v>1732</v>
      </c>
      <c r="B2145" s="502" t="s">
        <v>1011</v>
      </c>
      <c r="C2145" s="501" t="s">
        <v>993</v>
      </c>
      <c r="D2145" s="501" t="s">
        <v>1012</v>
      </c>
      <c r="E2145" s="602" t="s">
        <v>972</v>
      </c>
      <c r="F2145" s="602"/>
      <c r="G2145" s="503" t="s">
        <v>81</v>
      </c>
      <c r="H2145" s="504">
        <v>0.19</v>
      </c>
      <c r="I2145" s="504"/>
      <c r="J2145" s="505">
        <v>23.41</v>
      </c>
      <c r="K2145" s="505">
        <v>4.4400000000000004</v>
      </c>
      <c r="L2145" s="70"/>
    </row>
    <row r="2146" spans="1:12" ht="25.5" x14ac:dyDescent="0.25">
      <c r="A2146" s="501" t="s">
        <v>1732</v>
      </c>
      <c r="B2146" s="502" t="s">
        <v>1933</v>
      </c>
      <c r="C2146" s="501" t="s">
        <v>993</v>
      </c>
      <c r="D2146" s="501" t="s">
        <v>1658</v>
      </c>
      <c r="E2146" s="602" t="s">
        <v>1746</v>
      </c>
      <c r="F2146" s="602"/>
      <c r="G2146" s="503" t="s">
        <v>49</v>
      </c>
      <c r="H2146" s="504">
        <v>1</v>
      </c>
      <c r="I2146" s="504"/>
      <c r="J2146" s="505">
        <v>1.41</v>
      </c>
      <c r="K2146" s="505">
        <v>1.41</v>
      </c>
      <c r="L2146" s="70"/>
    </row>
    <row r="2147" spans="1:12" ht="15.75" customHeight="1" x14ac:dyDescent="0.25">
      <c r="A2147" s="445"/>
      <c r="B2147" s="445"/>
      <c r="C2147" s="445"/>
      <c r="D2147" s="445"/>
      <c r="E2147" s="445" t="s">
        <v>1735</v>
      </c>
      <c r="F2147" s="506">
        <v>7.48</v>
      </c>
      <c r="G2147" s="445" t="s">
        <v>1736</v>
      </c>
      <c r="H2147" s="506">
        <v>0</v>
      </c>
      <c r="I2147" s="445" t="s">
        <v>1737</v>
      </c>
      <c r="J2147" s="506">
        <v>7.48</v>
      </c>
      <c r="K2147" s="70"/>
      <c r="L2147" s="70"/>
    </row>
    <row r="2148" spans="1:12" ht="17.25" thickBot="1" x14ac:dyDescent="0.3">
      <c r="A2148" s="445"/>
      <c r="B2148" s="445"/>
      <c r="C2148" s="445"/>
      <c r="D2148" s="445"/>
      <c r="E2148" s="445" t="s">
        <v>1738</v>
      </c>
      <c r="F2148" s="506">
        <v>2.190496</v>
      </c>
      <c r="G2148" s="445"/>
      <c r="H2148" s="606" t="s">
        <v>1739</v>
      </c>
      <c r="I2148" s="606"/>
      <c r="J2148" s="506">
        <v>11.08</v>
      </c>
      <c r="K2148" s="70"/>
      <c r="L2148" s="70"/>
    </row>
    <row r="2149" spans="1:12" ht="17.25" thickTop="1" x14ac:dyDescent="0.25">
      <c r="A2149" s="507"/>
      <c r="B2149" s="507"/>
      <c r="C2149" s="507"/>
      <c r="D2149" s="507"/>
      <c r="E2149" s="507"/>
      <c r="F2149" s="507"/>
      <c r="G2149" s="507"/>
      <c r="H2149" s="507"/>
      <c r="I2149" s="507"/>
      <c r="J2149" s="507"/>
      <c r="K2149" s="507"/>
      <c r="L2149" s="70"/>
    </row>
    <row r="2150" spans="1:12" ht="16.5" x14ac:dyDescent="0.25">
      <c r="A2150" s="419" t="s">
        <v>1659</v>
      </c>
      <c r="B2150" s="421" t="s">
        <v>76</v>
      </c>
      <c r="C2150" s="419" t="s">
        <v>991</v>
      </c>
      <c r="D2150" s="419" t="s">
        <v>191</v>
      </c>
      <c r="E2150" s="603" t="s">
        <v>77</v>
      </c>
      <c r="F2150" s="603"/>
      <c r="G2150" s="420" t="s">
        <v>103</v>
      </c>
      <c r="H2150" s="421" t="s">
        <v>147</v>
      </c>
      <c r="I2150" s="421" t="s">
        <v>1731</v>
      </c>
      <c r="J2150" s="421" t="s">
        <v>1117</v>
      </c>
      <c r="K2150" s="421" t="s">
        <v>104</v>
      </c>
      <c r="L2150" s="70"/>
    </row>
    <row r="2151" spans="1:12" ht="25.5" x14ac:dyDescent="0.25">
      <c r="A2151" s="441" t="s">
        <v>79</v>
      </c>
      <c r="B2151" s="480" t="s">
        <v>1660</v>
      </c>
      <c r="C2151" s="441" t="s">
        <v>993</v>
      </c>
      <c r="D2151" s="441" t="s">
        <v>1661</v>
      </c>
      <c r="E2151" s="604">
        <v>813</v>
      </c>
      <c r="F2151" s="604"/>
      <c r="G2151" s="443" t="s">
        <v>1141</v>
      </c>
      <c r="H2151" s="500">
        <v>1</v>
      </c>
      <c r="I2151" s="442"/>
      <c r="J2151" s="442">
        <v>8.08</v>
      </c>
      <c r="K2151" s="442">
        <v>8.08</v>
      </c>
      <c r="L2151" s="70"/>
    </row>
    <row r="2152" spans="1:12" ht="25.5" x14ac:dyDescent="0.25">
      <c r="A2152" s="501" t="s">
        <v>1732</v>
      </c>
      <c r="B2152" s="502" t="s">
        <v>999</v>
      </c>
      <c r="C2152" s="501" t="s">
        <v>993</v>
      </c>
      <c r="D2152" s="501" t="s">
        <v>1000</v>
      </c>
      <c r="E2152" s="602" t="s">
        <v>972</v>
      </c>
      <c r="F2152" s="602"/>
      <c r="G2152" s="503" t="s">
        <v>81</v>
      </c>
      <c r="H2152" s="504">
        <v>0.18</v>
      </c>
      <c r="I2152" s="504"/>
      <c r="J2152" s="505">
        <v>16.04</v>
      </c>
      <c r="K2152" s="505">
        <v>2.88</v>
      </c>
      <c r="L2152" s="70"/>
    </row>
    <row r="2153" spans="1:12" ht="25.5" x14ac:dyDescent="0.25">
      <c r="A2153" s="501" t="s">
        <v>1732</v>
      </c>
      <c r="B2153" s="502" t="s">
        <v>1011</v>
      </c>
      <c r="C2153" s="501" t="s">
        <v>993</v>
      </c>
      <c r="D2153" s="501" t="s">
        <v>1012</v>
      </c>
      <c r="E2153" s="602" t="s">
        <v>972</v>
      </c>
      <c r="F2153" s="602"/>
      <c r="G2153" s="503" t="s">
        <v>81</v>
      </c>
      <c r="H2153" s="504">
        <v>0.18</v>
      </c>
      <c r="I2153" s="504"/>
      <c r="J2153" s="505">
        <v>23.41</v>
      </c>
      <c r="K2153" s="505">
        <v>4.21</v>
      </c>
      <c r="L2153" s="70"/>
    </row>
    <row r="2154" spans="1:12" ht="25.5" x14ac:dyDescent="0.25">
      <c r="A2154" s="501" t="s">
        <v>1732</v>
      </c>
      <c r="B2154" s="502" t="s">
        <v>1810</v>
      </c>
      <c r="C2154" s="501" t="s">
        <v>993</v>
      </c>
      <c r="D2154" s="501" t="s">
        <v>1661</v>
      </c>
      <c r="E2154" s="602" t="s">
        <v>1746</v>
      </c>
      <c r="F2154" s="602"/>
      <c r="G2154" s="503" t="s">
        <v>49</v>
      </c>
      <c r="H2154" s="504">
        <v>1</v>
      </c>
      <c r="I2154" s="504"/>
      <c r="J2154" s="505">
        <v>0.99</v>
      </c>
      <c r="K2154" s="505">
        <v>0.99</v>
      </c>
      <c r="L2154" s="70"/>
    </row>
    <row r="2155" spans="1:12" ht="15.75" customHeight="1" x14ac:dyDescent="0.25">
      <c r="A2155" s="445"/>
      <c r="B2155" s="445"/>
      <c r="C2155" s="445"/>
      <c r="D2155" s="445"/>
      <c r="E2155" s="445" t="s">
        <v>1735</v>
      </c>
      <c r="F2155" s="506">
        <v>7.09</v>
      </c>
      <c r="G2155" s="445" t="s">
        <v>1736</v>
      </c>
      <c r="H2155" s="506">
        <v>0</v>
      </c>
      <c r="I2155" s="445" t="s">
        <v>1737</v>
      </c>
      <c r="J2155" s="506">
        <v>7.09</v>
      </c>
      <c r="K2155" s="70"/>
      <c r="L2155" s="70"/>
    </row>
    <row r="2156" spans="1:12" ht="17.25" thickBot="1" x14ac:dyDescent="0.3">
      <c r="A2156" s="445"/>
      <c r="B2156" s="445"/>
      <c r="C2156" s="445"/>
      <c r="D2156" s="445"/>
      <c r="E2156" s="445" t="s">
        <v>1738</v>
      </c>
      <c r="F2156" s="506">
        <v>1.990912</v>
      </c>
      <c r="G2156" s="445"/>
      <c r="H2156" s="606" t="s">
        <v>1739</v>
      </c>
      <c r="I2156" s="606"/>
      <c r="J2156" s="506">
        <v>10.07</v>
      </c>
      <c r="K2156" s="70"/>
      <c r="L2156" s="70"/>
    </row>
    <row r="2157" spans="1:12" ht="17.25" thickTop="1" x14ac:dyDescent="0.25">
      <c r="A2157" s="507"/>
      <c r="B2157" s="507"/>
      <c r="C2157" s="507"/>
      <c r="D2157" s="507"/>
      <c r="E2157" s="507"/>
      <c r="F2157" s="507"/>
      <c r="G2157" s="507"/>
      <c r="H2157" s="507"/>
      <c r="I2157" s="507"/>
      <c r="J2157" s="507"/>
      <c r="K2157" s="507"/>
      <c r="L2157" s="70"/>
    </row>
    <row r="2158" spans="1:12" ht="16.5" x14ac:dyDescent="0.25">
      <c r="A2158" s="419" t="s">
        <v>1662</v>
      </c>
      <c r="B2158" s="421" t="s">
        <v>76</v>
      </c>
      <c r="C2158" s="419" t="s">
        <v>991</v>
      </c>
      <c r="D2158" s="419" t="s">
        <v>191</v>
      </c>
      <c r="E2158" s="603" t="s">
        <v>77</v>
      </c>
      <c r="F2158" s="603"/>
      <c r="G2158" s="420" t="s">
        <v>103</v>
      </c>
      <c r="H2158" s="421" t="s">
        <v>147</v>
      </c>
      <c r="I2158" s="421" t="s">
        <v>1731</v>
      </c>
      <c r="J2158" s="421" t="s">
        <v>1117</v>
      </c>
      <c r="K2158" s="421" t="s">
        <v>104</v>
      </c>
      <c r="L2158" s="70"/>
    </row>
    <row r="2159" spans="1:12" ht="25.5" x14ac:dyDescent="0.25">
      <c r="A2159" s="441" t="s">
        <v>79</v>
      </c>
      <c r="B2159" s="480" t="s">
        <v>1663</v>
      </c>
      <c r="C2159" s="441" t="s">
        <v>993</v>
      </c>
      <c r="D2159" s="441" t="s">
        <v>1664</v>
      </c>
      <c r="E2159" s="604">
        <v>810</v>
      </c>
      <c r="F2159" s="604"/>
      <c r="G2159" s="443" t="s">
        <v>130</v>
      </c>
      <c r="H2159" s="500">
        <v>1</v>
      </c>
      <c r="I2159" s="442"/>
      <c r="J2159" s="442">
        <v>8.56</v>
      </c>
      <c r="K2159" s="442">
        <v>8.56</v>
      </c>
      <c r="L2159" s="70"/>
    </row>
    <row r="2160" spans="1:12" ht="25.5" x14ac:dyDescent="0.25">
      <c r="A2160" s="501" t="s">
        <v>1732</v>
      </c>
      <c r="B2160" s="502" t="s">
        <v>999</v>
      </c>
      <c r="C2160" s="501" t="s">
        <v>993</v>
      </c>
      <c r="D2160" s="501" t="s">
        <v>1000</v>
      </c>
      <c r="E2160" s="602" t="s">
        <v>972</v>
      </c>
      <c r="F2160" s="602"/>
      <c r="G2160" s="503" t="s">
        <v>81</v>
      </c>
      <c r="H2160" s="504">
        <v>0.12</v>
      </c>
      <c r="I2160" s="504"/>
      <c r="J2160" s="505">
        <v>16.04</v>
      </c>
      <c r="K2160" s="505">
        <v>1.92</v>
      </c>
      <c r="L2160" s="70"/>
    </row>
    <row r="2161" spans="1:12" ht="25.5" x14ac:dyDescent="0.25">
      <c r="A2161" s="501" t="s">
        <v>1732</v>
      </c>
      <c r="B2161" s="502" t="s">
        <v>1011</v>
      </c>
      <c r="C2161" s="501" t="s">
        <v>993</v>
      </c>
      <c r="D2161" s="501" t="s">
        <v>1012</v>
      </c>
      <c r="E2161" s="602" t="s">
        <v>972</v>
      </c>
      <c r="F2161" s="602"/>
      <c r="G2161" s="503" t="s">
        <v>81</v>
      </c>
      <c r="H2161" s="504">
        <v>0.12</v>
      </c>
      <c r="I2161" s="504"/>
      <c r="J2161" s="505">
        <v>23.41</v>
      </c>
      <c r="K2161" s="505">
        <v>2.8</v>
      </c>
      <c r="L2161" s="70"/>
    </row>
    <row r="2162" spans="1:12" ht="25.5" x14ac:dyDescent="0.25">
      <c r="A2162" s="501" t="s">
        <v>1732</v>
      </c>
      <c r="B2162" s="502" t="s">
        <v>1904</v>
      </c>
      <c r="C2162" s="501" t="s">
        <v>993</v>
      </c>
      <c r="D2162" s="501" t="s">
        <v>1664</v>
      </c>
      <c r="E2162" s="602" t="s">
        <v>1746</v>
      </c>
      <c r="F2162" s="602"/>
      <c r="G2162" s="503" t="s">
        <v>41</v>
      </c>
      <c r="H2162" s="504">
        <v>1.01</v>
      </c>
      <c r="I2162" s="504"/>
      <c r="J2162" s="505">
        <v>3.81</v>
      </c>
      <c r="K2162" s="505">
        <v>3.84</v>
      </c>
      <c r="L2162" s="70"/>
    </row>
    <row r="2163" spans="1:12" ht="15.75" customHeight="1" x14ac:dyDescent="0.25">
      <c r="A2163" s="445"/>
      <c r="B2163" s="445"/>
      <c r="C2163" s="445"/>
      <c r="D2163" s="445"/>
      <c r="E2163" s="445" t="s">
        <v>1735</v>
      </c>
      <c r="F2163" s="506">
        <v>4.72</v>
      </c>
      <c r="G2163" s="445" t="s">
        <v>1736</v>
      </c>
      <c r="H2163" s="506">
        <v>0</v>
      </c>
      <c r="I2163" s="445" t="s">
        <v>1737</v>
      </c>
      <c r="J2163" s="506">
        <v>4.72</v>
      </c>
      <c r="K2163" s="70"/>
      <c r="L2163" s="70"/>
    </row>
    <row r="2164" spans="1:12" ht="17.25" thickBot="1" x14ac:dyDescent="0.3">
      <c r="A2164" s="445"/>
      <c r="B2164" s="445"/>
      <c r="C2164" s="445"/>
      <c r="D2164" s="445"/>
      <c r="E2164" s="445" t="s">
        <v>1738</v>
      </c>
      <c r="F2164" s="506">
        <v>2.1091839999999999</v>
      </c>
      <c r="G2164" s="445"/>
      <c r="H2164" s="606" t="s">
        <v>1739</v>
      </c>
      <c r="I2164" s="606"/>
      <c r="J2164" s="506">
        <v>10.66</v>
      </c>
      <c r="K2164" s="70"/>
      <c r="L2164" s="70"/>
    </row>
    <row r="2165" spans="1:12" ht="17.25" thickTop="1" x14ac:dyDescent="0.25">
      <c r="A2165" s="507"/>
      <c r="B2165" s="507"/>
      <c r="C2165" s="507"/>
      <c r="D2165" s="507"/>
      <c r="E2165" s="507"/>
      <c r="F2165" s="507"/>
      <c r="G2165" s="507"/>
      <c r="H2165" s="507"/>
      <c r="I2165" s="507"/>
      <c r="J2165" s="507"/>
      <c r="K2165" s="507"/>
      <c r="L2165" s="70"/>
    </row>
    <row r="2166" spans="1:12" ht="25.5" customHeight="1" x14ac:dyDescent="0.25">
      <c r="A2166" s="419" t="s">
        <v>1665</v>
      </c>
      <c r="B2166" s="421" t="s">
        <v>76</v>
      </c>
      <c r="C2166" s="419" t="s">
        <v>991</v>
      </c>
      <c r="D2166" s="419" t="s">
        <v>191</v>
      </c>
      <c r="E2166" s="603" t="s">
        <v>77</v>
      </c>
      <c r="F2166" s="603"/>
      <c r="G2166" s="420" t="s">
        <v>103</v>
      </c>
      <c r="H2166" s="421" t="s">
        <v>147</v>
      </c>
      <c r="I2166" s="421" t="s">
        <v>1731</v>
      </c>
      <c r="J2166" s="421" t="s">
        <v>1117</v>
      </c>
      <c r="K2166" s="421" t="s">
        <v>104</v>
      </c>
      <c r="L2166" s="70"/>
    </row>
    <row r="2167" spans="1:12" ht="16.5" customHeight="1" x14ac:dyDescent="0.25">
      <c r="A2167" s="441" t="s">
        <v>79</v>
      </c>
      <c r="B2167" s="480" t="s">
        <v>1666</v>
      </c>
      <c r="C2167" s="441" t="s">
        <v>1168</v>
      </c>
      <c r="D2167" s="441" t="s">
        <v>637</v>
      </c>
      <c r="E2167" s="604" t="s">
        <v>2351</v>
      </c>
      <c r="F2167" s="604"/>
      <c r="G2167" s="443" t="s">
        <v>38</v>
      </c>
      <c r="H2167" s="500">
        <v>1</v>
      </c>
      <c r="I2167" s="442"/>
      <c r="J2167" s="442">
        <v>56.78</v>
      </c>
      <c r="K2167" s="442">
        <v>56.78</v>
      </c>
      <c r="L2167" s="70"/>
    </row>
    <row r="2168" spans="1:12" ht="16.5" x14ac:dyDescent="0.25">
      <c r="A2168" s="501" t="s">
        <v>1732</v>
      </c>
      <c r="B2168" s="502" t="s">
        <v>2552</v>
      </c>
      <c r="C2168" s="501" t="s">
        <v>1115</v>
      </c>
      <c r="D2168" s="501" t="s">
        <v>2553</v>
      </c>
      <c r="E2168" s="602" t="s">
        <v>1746</v>
      </c>
      <c r="F2168" s="602"/>
      <c r="G2168" s="503" t="s">
        <v>38</v>
      </c>
      <c r="H2168" s="504">
        <v>1.2999999999999999E-2</v>
      </c>
      <c r="I2168" s="504"/>
      <c r="J2168" s="505">
        <v>16.260000000000002</v>
      </c>
      <c r="K2168" s="505">
        <v>0.21</v>
      </c>
      <c r="L2168" s="70"/>
    </row>
    <row r="2169" spans="1:12" ht="16.5" x14ac:dyDescent="0.25">
      <c r="A2169" s="501" t="s">
        <v>1732</v>
      </c>
      <c r="B2169" s="502" t="s">
        <v>2554</v>
      </c>
      <c r="C2169" s="501" t="s">
        <v>1115</v>
      </c>
      <c r="D2169" s="501" t="s">
        <v>2555</v>
      </c>
      <c r="E2169" s="602" t="s">
        <v>1746</v>
      </c>
      <c r="F2169" s="602"/>
      <c r="G2169" s="503" t="s">
        <v>2556</v>
      </c>
      <c r="H2169" s="504">
        <v>3.0000000000000001E-3</v>
      </c>
      <c r="I2169" s="504"/>
      <c r="J2169" s="505">
        <v>42.07</v>
      </c>
      <c r="K2169" s="505">
        <v>0.12</v>
      </c>
      <c r="L2169" s="70"/>
    </row>
    <row r="2170" spans="1:12" ht="16.5" x14ac:dyDescent="0.25">
      <c r="A2170" s="501" t="s">
        <v>1732</v>
      </c>
      <c r="B2170" s="502" t="s">
        <v>2557</v>
      </c>
      <c r="C2170" s="501" t="s">
        <v>1115</v>
      </c>
      <c r="D2170" s="501" t="s">
        <v>2558</v>
      </c>
      <c r="E2170" s="602" t="s">
        <v>1746</v>
      </c>
      <c r="F2170" s="602"/>
      <c r="G2170" s="503" t="s">
        <v>38</v>
      </c>
      <c r="H2170" s="504">
        <v>1</v>
      </c>
      <c r="I2170" s="504"/>
      <c r="J2170" s="505">
        <v>37.130000000000003</v>
      </c>
      <c r="K2170" s="505">
        <v>37.130000000000003</v>
      </c>
      <c r="L2170" s="70"/>
    </row>
    <row r="2171" spans="1:12" ht="25.5" x14ac:dyDescent="0.25">
      <c r="A2171" s="501" t="s">
        <v>1732</v>
      </c>
      <c r="B2171" s="502" t="s">
        <v>1011</v>
      </c>
      <c r="C2171" s="501" t="s">
        <v>993</v>
      </c>
      <c r="D2171" s="501" t="s">
        <v>1012</v>
      </c>
      <c r="E2171" s="602" t="s">
        <v>972</v>
      </c>
      <c r="F2171" s="602"/>
      <c r="G2171" s="503" t="s">
        <v>81</v>
      </c>
      <c r="H2171" s="504">
        <v>0.49</v>
      </c>
      <c r="I2171" s="504">
        <v>0</v>
      </c>
      <c r="J2171" s="505">
        <v>23.41</v>
      </c>
      <c r="K2171" s="505">
        <v>11.47</v>
      </c>
      <c r="L2171" s="70"/>
    </row>
    <row r="2172" spans="1:12" ht="25.5" x14ac:dyDescent="0.25">
      <c r="A2172" s="501" t="s">
        <v>1732</v>
      </c>
      <c r="B2172" s="502" t="s">
        <v>999</v>
      </c>
      <c r="C2172" s="501" t="s">
        <v>993</v>
      </c>
      <c r="D2172" s="501" t="s">
        <v>1000</v>
      </c>
      <c r="E2172" s="602" t="s">
        <v>972</v>
      </c>
      <c r="F2172" s="602"/>
      <c r="G2172" s="503" t="s">
        <v>81</v>
      </c>
      <c r="H2172" s="504">
        <v>0.49</v>
      </c>
      <c r="I2172" s="504">
        <v>0</v>
      </c>
      <c r="J2172" s="505">
        <v>16.04</v>
      </c>
      <c r="K2172" s="505">
        <v>7.85</v>
      </c>
      <c r="L2172" s="70"/>
    </row>
    <row r="2173" spans="1:12" ht="15.75" customHeight="1" x14ac:dyDescent="0.25">
      <c r="A2173" s="445"/>
      <c r="B2173" s="445"/>
      <c r="C2173" s="445"/>
      <c r="D2173" s="445"/>
      <c r="E2173" s="445" t="s">
        <v>1735</v>
      </c>
      <c r="F2173" s="506">
        <v>19.32</v>
      </c>
      <c r="G2173" s="445" t="s">
        <v>1736</v>
      </c>
      <c r="H2173" s="506">
        <v>0</v>
      </c>
      <c r="I2173" s="445" t="s">
        <v>1737</v>
      </c>
      <c r="J2173" s="506">
        <v>19.32</v>
      </c>
      <c r="K2173" s="70"/>
      <c r="L2173" s="70"/>
    </row>
    <row r="2174" spans="1:12" ht="17.25" thickBot="1" x14ac:dyDescent="0.3">
      <c r="A2174" s="445"/>
      <c r="B2174" s="445"/>
      <c r="C2174" s="445"/>
      <c r="D2174" s="445"/>
      <c r="E2174" s="445" t="s">
        <v>1738</v>
      </c>
      <c r="F2174" s="506">
        <v>13.990591999999999</v>
      </c>
      <c r="G2174" s="445"/>
      <c r="H2174" s="606" t="s">
        <v>1739</v>
      </c>
      <c r="I2174" s="606"/>
      <c r="J2174" s="506">
        <v>70.77</v>
      </c>
      <c r="K2174" s="70"/>
      <c r="L2174" s="70"/>
    </row>
    <row r="2175" spans="1:12" ht="17.25" thickTop="1" x14ac:dyDescent="0.25">
      <c r="A2175" s="507"/>
      <c r="B2175" s="507"/>
      <c r="C2175" s="507"/>
      <c r="D2175" s="507"/>
      <c r="E2175" s="507"/>
      <c r="F2175" s="507"/>
      <c r="G2175" s="507"/>
      <c r="H2175" s="507"/>
      <c r="I2175" s="507"/>
      <c r="J2175" s="507"/>
      <c r="K2175" s="507"/>
      <c r="L2175" s="70"/>
    </row>
    <row r="2176" spans="1:12" ht="16.5" x14ac:dyDescent="0.25">
      <c r="A2176" s="419" t="s">
        <v>1667</v>
      </c>
      <c r="B2176" s="421" t="s">
        <v>76</v>
      </c>
      <c r="C2176" s="419" t="s">
        <v>991</v>
      </c>
      <c r="D2176" s="419" t="s">
        <v>191</v>
      </c>
      <c r="E2176" s="603" t="s">
        <v>77</v>
      </c>
      <c r="F2176" s="603"/>
      <c r="G2176" s="420" t="s">
        <v>103</v>
      </c>
      <c r="H2176" s="421" t="s">
        <v>147</v>
      </c>
      <c r="I2176" s="421" t="s">
        <v>1731</v>
      </c>
      <c r="J2176" s="421" t="s">
        <v>1117</v>
      </c>
      <c r="K2176" s="421" t="s">
        <v>104</v>
      </c>
      <c r="L2176" s="70"/>
    </row>
    <row r="2177" spans="1:12" ht="25.5" x14ac:dyDescent="0.25">
      <c r="A2177" s="441" t="s">
        <v>79</v>
      </c>
      <c r="B2177" s="480" t="s">
        <v>1668</v>
      </c>
      <c r="C2177" s="441" t="s">
        <v>993</v>
      </c>
      <c r="D2177" s="441" t="s">
        <v>1669</v>
      </c>
      <c r="E2177" s="604">
        <v>809</v>
      </c>
      <c r="F2177" s="604"/>
      <c r="G2177" s="443" t="s">
        <v>1141</v>
      </c>
      <c r="H2177" s="500">
        <v>1</v>
      </c>
      <c r="I2177" s="442"/>
      <c r="J2177" s="442">
        <v>60.44</v>
      </c>
      <c r="K2177" s="442">
        <v>60.44</v>
      </c>
      <c r="L2177" s="70"/>
    </row>
    <row r="2178" spans="1:12" ht="25.5" x14ac:dyDescent="0.25">
      <c r="A2178" s="501" t="s">
        <v>1732</v>
      </c>
      <c r="B2178" s="502" t="s">
        <v>999</v>
      </c>
      <c r="C2178" s="501" t="s">
        <v>993</v>
      </c>
      <c r="D2178" s="501" t="s">
        <v>1000</v>
      </c>
      <c r="E2178" s="602" t="s">
        <v>972</v>
      </c>
      <c r="F2178" s="602"/>
      <c r="G2178" s="503" t="s">
        <v>81</v>
      </c>
      <c r="H2178" s="504">
        <v>0.54</v>
      </c>
      <c r="I2178" s="504"/>
      <c r="J2178" s="505">
        <v>16.04</v>
      </c>
      <c r="K2178" s="505">
        <v>8.66</v>
      </c>
      <c r="L2178" s="70"/>
    </row>
    <row r="2179" spans="1:12" ht="25.5" x14ac:dyDescent="0.25">
      <c r="A2179" s="501" t="s">
        <v>1732</v>
      </c>
      <c r="B2179" s="502" t="s">
        <v>1011</v>
      </c>
      <c r="C2179" s="501" t="s">
        <v>993</v>
      </c>
      <c r="D2179" s="501" t="s">
        <v>1012</v>
      </c>
      <c r="E2179" s="602" t="s">
        <v>972</v>
      </c>
      <c r="F2179" s="602"/>
      <c r="G2179" s="503" t="s">
        <v>81</v>
      </c>
      <c r="H2179" s="504">
        <v>0.54</v>
      </c>
      <c r="I2179" s="504"/>
      <c r="J2179" s="505">
        <v>23.41</v>
      </c>
      <c r="K2179" s="505">
        <v>12.64</v>
      </c>
      <c r="L2179" s="70"/>
    </row>
    <row r="2180" spans="1:12" ht="25.5" x14ac:dyDescent="0.25">
      <c r="A2180" s="501" t="s">
        <v>1732</v>
      </c>
      <c r="B2180" s="502" t="s">
        <v>2020</v>
      </c>
      <c r="C2180" s="501" t="s">
        <v>993</v>
      </c>
      <c r="D2180" s="501" t="s">
        <v>2021</v>
      </c>
      <c r="E2180" s="602" t="s">
        <v>1746</v>
      </c>
      <c r="F2180" s="602"/>
      <c r="G2180" s="503" t="s">
        <v>41</v>
      </c>
      <c r="H2180" s="504">
        <v>0.94</v>
      </c>
      <c r="I2180" s="504"/>
      <c r="J2180" s="505">
        <v>0.4</v>
      </c>
      <c r="K2180" s="505">
        <v>0.37</v>
      </c>
      <c r="L2180" s="70"/>
    </row>
    <row r="2181" spans="1:12" ht="25.5" x14ac:dyDescent="0.25">
      <c r="A2181" s="501" t="s">
        <v>1732</v>
      </c>
      <c r="B2181" s="502" t="s">
        <v>2559</v>
      </c>
      <c r="C2181" s="501" t="s">
        <v>993</v>
      </c>
      <c r="D2181" s="501" t="s">
        <v>1669</v>
      </c>
      <c r="E2181" s="602" t="s">
        <v>1746</v>
      </c>
      <c r="F2181" s="602"/>
      <c r="G2181" s="503" t="s">
        <v>49</v>
      </c>
      <c r="H2181" s="504">
        <v>1</v>
      </c>
      <c r="I2181" s="504"/>
      <c r="J2181" s="505">
        <v>38.770000000000003</v>
      </c>
      <c r="K2181" s="505">
        <v>38.770000000000003</v>
      </c>
      <c r="L2181" s="70"/>
    </row>
    <row r="2182" spans="1:12" ht="15.75" customHeight="1" x14ac:dyDescent="0.25">
      <c r="A2182" s="445"/>
      <c r="B2182" s="445"/>
      <c r="C2182" s="445"/>
      <c r="D2182" s="445"/>
      <c r="E2182" s="445" t="s">
        <v>1735</v>
      </c>
      <c r="F2182" s="506">
        <v>21.3</v>
      </c>
      <c r="G2182" s="445" t="s">
        <v>1736</v>
      </c>
      <c r="H2182" s="506">
        <v>0</v>
      </c>
      <c r="I2182" s="445" t="s">
        <v>1737</v>
      </c>
      <c r="J2182" s="506">
        <v>21.3</v>
      </c>
      <c r="K2182" s="70"/>
      <c r="L2182" s="70"/>
    </row>
    <row r="2183" spans="1:12" ht="17.25" thickBot="1" x14ac:dyDescent="0.3">
      <c r="A2183" s="445"/>
      <c r="B2183" s="445"/>
      <c r="C2183" s="445"/>
      <c r="D2183" s="445"/>
      <c r="E2183" s="445" t="s">
        <v>1738</v>
      </c>
      <c r="F2183" s="506">
        <v>14.892416000000001</v>
      </c>
      <c r="G2183" s="445"/>
      <c r="H2183" s="606" t="s">
        <v>1739</v>
      </c>
      <c r="I2183" s="606"/>
      <c r="J2183" s="506">
        <v>75.33</v>
      </c>
      <c r="K2183" s="70"/>
      <c r="L2183" s="70"/>
    </row>
    <row r="2184" spans="1:12" ht="17.25" thickTop="1" x14ac:dyDescent="0.25">
      <c r="A2184" s="507"/>
      <c r="B2184" s="507"/>
      <c r="C2184" s="507"/>
      <c r="D2184" s="507"/>
      <c r="E2184" s="507"/>
      <c r="F2184" s="507"/>
      <c r="G2184" s="507"/>
      <c r="H2184" s="507"/>
      <c r="I2184" s="507"/>
      <c r="J2184" s="507"/>
      <c r="K2184" s="507"/>
      <c r="L2184" s="70"/>
    </row>
    <row r="2185" spans="1:12" ht="16.5" x14ac:dyDescent="0.25">
      <c r="A2185" s="419" t="s">
        <v>1670</v>
      </c>
      <c r="B2185" s="421" t="s">
        <v>76</v>
      </c>
      <c r="C2185" s="419" t="s">
        <v>991</v>
      </c>
      <c r="D2185" s="419" t="s">
        <v>191</v>
      </c>
      <c r="E2185" s="603" t="s">
        <v>77</v>
      </c>
      <c r="F2185" s="603"/>
      <c r="G2185" s="420" t="s">
        <v>103</v>
      </c>
      <c r="H2185" s="421" t="s">
        <v>147</v>
      </c>
      <c r="I2185" s="421" t="s">
        <v>1731</v>
      </c>
      <c r="J2185" s="421" t="s">
        <v>1117</v>
      </c>
      <c r="K2185" s="421" t="s">
        <v>104</v>
      </c>
      <c r="L2185" s="70"/>
    </row>
    <row r="2186" spans="1:12" ht="25.5" x14ac:dyDescent="0.25">
      <c r="A2186" s="441" t="s">
        <v>79</v>
      </c>
      <c r="B2186" s="480" t="s">
        <v>1671</v>
      </c>
      <c r="C2186" s="441" t="s">
        <v>993</v>
      </c>
      <c r="D2186" s="441" t="s">
        <v>1672</v>
      </c>
      <c r="E2186" s="604">
        <v>711</v>
      </c>
      <c r="F2186" s="604"/>
      <c r="G2186" s="443" t="s">
        <v>1141</v>
      </c>
      <c r="H2186" s="500">
        <v>1</v>
      </c>
      <c r="I2186" s="442"/>
      <c r="J2186" s="442">
        <v>12.5</v>
      </c>
      <c r="K2186" s="442">
        <v>12.5</v>
      </c>
      <c r="L2186" s="70"/>
    </row>
    <row r="2187" spans="1:12" ht="25.5" x14ac:dyDescent="0.25">
      <c r="A2187" s="501" t="s">
        <v>1732</v>
      </c>
      <c r="B2187" s="502" t="s">
        <v>999</v>
      </c>
      <c r="C2187" s="501" t="s">
        <v>993</v>
      </c>
      <c r="D2187" s="501" t="s">
        <v>1000</v>
      </c>
      <c r="E2187" s="602" t="s">
        <v>972</v>
      </c>
      <c r="F2187" s="602"/>
      <c r="G2187" s="503" t="s">
        <v>81</v>
      </c>
      <c r="H2187" s="504">
        <v>0.13</v>
      </c>
      <c r="I2187" s="504"/>
      <c r="J2187" s="505">
        <v>16.04</v>
      </c>
      <c r="K2187" s="505">
        <v>2.08</v>
      </c>
      <c r="L2187" s="70"/>
    </row>
    <row r="2188" spans="1:12" ht="25.5" x14ac:dyDescent="0.25">
      <c r="A2188" s="501" t="s">
        <v>1732</v>
      </c>
      <c r="B2188" s="502" t="s">
        <v>1021</v>
      </c>
      <c r="C2188" s="501" t="s">
        <v>993</v>
      </c>
      <c r="D2188" s="501" t="s">
        <v>1022</v>
      </c>
      <c r="E2188" s="602" t="s">
        <v>972</v>
      </c>
      <c r="F2188" s="602"/>
      <c r="G2188" s="503" t="s">
        <v>81</v>
      </c>
      <c r="H2188" s="504">
        <v>0.13</v>
      </c>
      <c r="I2188" s="504"/>
      <c r="J2188" s="505">
        <v>23.41</v>
      </c>
      <c r="K2188" s="505">
        <v>3.04</v>
      </c>
      <c r="L2188" s="70"/>
    </row>
    <row r="2189" spans="1:12" ht="25.5" x14ac:dyDescent="0.25">
      <c r="A2189" s="501" t="s">
        <v>1732</v>
      </c>
      <c r="B2189" s="502" t="s">
        <v>2560</v>
      </c>
      <c r="C2189" s="501" t="s">
        <v>993</v>
      </c>
      <c r="D2189" s="501" t="s">
        <v>2561</v>
      </c>
      <c r="E2189" s="602" t="s">
        <v>1746</v>
      </c>
      <c r="F2189" s="602"/>
      <c r="G2189" s="503" t="s">
        <v>49</v>
      </c>
      <c r="H2189" s="504">
        <v>1</v>
      </c>
      <c r="I2189" s="504"/>
      <c r="J2189" s="505">
        <v>7.38</v>
      </c>
      <c r="K2189" s="505">
        <v>7.38</v>
      </c>
      <c r="L2189" s="70"/>
    </row>
    <row r="2190" spans="1:12" ht="15.75" customHeight="1" x14ac:dyDescent="0.25">
      <c r="A2190" s="445"/>
      <c r="B2190" s="445"/>
      <c r="C2190" s="445"/>
      <c r="D2190" s="445"/>
      <c r="E2190" s="445" t="s">
        <v>1735</v>
      </c>
      <c r="F2190" s="506">
        <v>5.12</v>
      </c>
      <c r="G2190" s="445" t="s">
        <v>1736</v>
      </c>
      <c r="H2190" s="506">
        <v>0</v>
      </c>
      <c r="I2190" s="445" t="s">
        <v>1737</v>
      </c>
      <c r="J2190" s="506">
        <v>5.12</v>
      </c>
      <c r="K2190" s="70"/>
      <c r="L2190" s="70"/>
    </row>
    <row r="2191" spans="1:12" ht="17.25" thickBot="1" x14ac:dyDescent="0.3">
      <c r="A2191" s="445"/>
      <c r="B2191" s="445"/>
      <c r="C2191" s="445"/>
      <c r="D2191" s="445"/>
      <c r="E2191" s="445" t="s">
        <v>1738</v>
      </c>
      <c r="F2191" s="506">
        <v>3.08</v>
      </c>
      <c r="G2191" s="445"/>
      <c r="H2191" s="606" t="s">
        <v>1739</v>
      </c>
      <c r="I2191" s="606"/>
      <c r="J2191" s="506">
        <v>15.58</v>
      </c>
      <c r="K2191" s="70"/>
      <c r="L2191" s="70"/>
    </row>
    <row r="2192" spans="1:12" ht="17.25" thickTop="1" x14ac:dyDescent="0.25">
      <c r="A2192" s="507"/>
      <c r="B2192" s="507"/>
      <c r="C2192" s="507"/>
      <c r="D2192" s="507"/>
      <c r="E2192" s="507"/>
      <c r="F2192" s="507"/>
      <c r="G2192" s="507"/>
      <c r="H2192" s="507"/>
      <c r="I2192" s="507"/>
      <c r="J2192" s="507"/>
      <c r="K2192" s="507"/>
      <c r="L2192" s="70"/>
    </row>
    <row r="2193" spans="1:12" ht="25.5" customHeight="1" x14ac:dyDescent="0.25">
      <c r="A2193" s="419" t="s">
        <v>1673</v>
      </c>
      <c r="B2193" s="421" t="s">
        <v>76</v>
      </c>
      <c r="C2193" s="419" t="s">
        <v>991</v>
      </c>
      <c r="D2193" s="419" t="s">
        <v>191</v>
      </c>
      <c r="E2193" s="603" t="s">
        <v>77</v>
      </c>
      <c r="F2193" s="603"/>
      <c r="G2193" s="420" t="s">
        <v>103</v>
      </c>
      <c r="H2193" s="421" t="s">
        <v>147</v>
      </c>
      <c r="I2193" s="421" t="s">
        <v>1731</v>
      </c>
      <c r="J2193" s="421" t="s">
        <v>1117</v>
      </c>
      <c r="K2193" s="421" t="s">
        <v>104</v>
      </c>
      <c r="L2193" s="70"/>
    </row>
    <row r="2194" spans="1:12" ht="25.5" customHeight="1" x14ac:dyDescent="0.25">
      <c r="A2194" s="441" t="s">
        <v>79</v>
      </c>
      <c r="B2194" s="480" t="s">
        <v>1674</v>
      </c>
      <c r="C2194" s="441" t="s">
        <v>1168</v>
      </c>
      <c r="D2194" s="441" t="s">
        <v>643</v>
      </c>
      <c r="E2194" s="604" t="s">
        <v>2562</v>
      </c>
      <c r="F2194" s="604"/>
      <c r="G2194" s="443" t="s">
        <v>38</v>
      </c>
      <c r="H2194" s="500">
        <v>1</v>
      </c>
      <c r="I2194" s="442"/>
      <c r="J2194" s="442">
        <v>40.04</v>
      </c>
      <c r="K2194" s="442">
        <v>40.04</v>
      </c>
      <c r="L2194" s="70"/>
    </row>
    <row r="2195" spans="1:12" ht="16.5" x14ac:dyDescent="0.25">
      <c r="A2195" s="501" t="s">
        <v>1732</v>
      </c>
      <c r="B2195" s="502" t="s">
        <v>2563</v>
      </c>
      <c r="C2195" s="501" t="s">
        <v>2448</v>
      </c>
      <c r="D2195" s="501" t="s">
        <v>2564</v>
      </c>
      <c r="E2195" s="602" t="s">
        <v>1746</v>
      </c>
      <c r="F2195" s="602"/>
      <c r="G2195" s="503" t="s">
        <v>38</v>
      </c>
      <c r="H2195" s="504">
        <v>1</v>
      </c>
      <c r="I2195" s="504">
        <v>0</v>
      </c>
      <c r="J2195" s="505">
        <v>30.85</v>
      </c>
      <c r="K2195" s="505">
        <v>30.85</v>
      </c>
      <c r="L2195" s="70"/>
    </row>
    <row r="2196" spans="1:12" ht="25.5" x14ac:dyDescent="0.25">
      <c r="A2196" s="501" t="s">
        <v>1732</v>
      </c>
      <c r="B2196" s="502" t="s">
        <v>1011</v>
      </c>
      <c r="C2196" s="501" t="s">
        <v>993</v>
      </c>
      <c r="D2196" s="501" t="s">
        <v>1012</v>
      </c>
      <c r="E2196" s="602" t="s">
        <v>972</v>
      </c>
      <c r="F2196" s="602"/>
      <c r="G2196" s="503" t="s">
        <v>81</v>
      </c>
      <c r="H2196" s="504">
        <v>0.3221</v>
      </c>
      <c r="I2196" s="504">
        <v>0</v>
      </c>
      <c r="J2196" s="505">
        <v>23.41</v>
      </c>
      <c r="K2196" s="505">
        <v>7.54</v>
      </c>
      <c r="L2196" s="70"/>
    </row>
    <row r="2197" spans="1:12" ht="25.5" x14ac:dyDescent="0.25">
      <c r="A2197" s="501" t="s">
        <v>1732</v>
      </c>
      <c r="B2197" s="502" t="s">
        <v>999</v>
      </c>
      <c r="C2197" s="501" t="s">
        <v>993</v>
      </c>
      <c r="D2197" s="501" t="s">
        <v>1000</v>
      </c>
      <c r="E2197" s="602" t="s">
        <v>972</v>
      </c>
      <c r="F2197" s="602"/>
      <c r="G2197" s="503" t="s">
        <v>81</v>
      </c>
      <c r="H2197" s="504">
        <v>0.1031</v>
      </c>
      <c r="I2197" s="504">
        <v>0</v>
      </c>
      <c r="J2197" s="505">
        <v>16.04</v>
      </c>
      <c r="K2197" s="505">
        <v>1.65</v>
      </c>
      <c r="L2197" s="70"/>
    </row>
    <row r="2198" spans="1:12" ht="15.75" customHeight="1" x14ac:dyDescent="0.25">
      <c r="A2198" s="445"/>
      <c r="B2198" s="445"/>
      <c r="C2198" s="445"/>
      <c r="D2198" s="445"/>
      <c r="E2198" s="445" t="s">
        <v>1735</v>
      </c>
      <c r="F2198" s="506">
        <v>9.19</v>
      </c>
      <c r="G2198" s="445" t="s">
        <v>1736</v>
      </c>
      <c r="H2198" s="506">
        <v>0</v>
      </c>
      <c r="I2198" s="445" t="s">
        <v>1737</v>
      </c>
      <c r="J2198" s="506">
        <v>9.19</v>
      </c>
      <c r="K2198" s="70"/>
      <c r="L2198" s="70"/>
    </row>
    <row r="2199" spans="1:12" ht="17.25" thickBot="1" x14ac:dyDescent="0.3">
      <c r="A2199" s="445"/>
      <c r="B2199" s="445"/>
      <c r="C2199" s="445"/>
      <c r="D2199" s="445"/>
      <c r="E2199" s="445" t="s">
        <v>1738</v>
      </c>
      <c r="F2199" s="506">
        <v>9.8658560000000008</v>
      </c>
      <c r="G2199" s="445"/>
      <c r="H2199" s="606" t="s">
        <v>1739</v>
      </c>
      <c r="I2199" s="606"/>
      <c r="J2199" s="506">
        <v>49.9</v>
      </c>
      <c r="K2199" s="70"/>
      <c r="L2199" s="70"/>
    </row>
    <row r="2200" spans="1:12" ht="17.25" thickTop="1" x14ac:dyDescent="0.25">
      <c r="A2200" s="507"/>
      <c r="B2200" s="507"/>
      <c r="C2200" s="507"/>
      <c r="D2200" s="507"/>
      <c r="E2200" s="507"/>
      <c r="F2200" s="507"/>
      <c r="G2200" s="507"/>
      <c r="H2200" s="507"/>
      <c r="I2200" s="507"/>
      <c r="J2200" s="507"/>
      <c r="K2200" s="507"/>
      <c r="L2200" s="70"/>
    </row>
    <row r="2201" spans="1:12" ht="16.5" x14ac:dyDescent="0.25">
      <c r="A2201" s="419" t="s">
        <v>1675</v>
      </c>
      <c r="B2201" s="421" t="s">
        <v>76</v>
      </c>
      <c r="C2201" s="419" t="s">
        <v>991</v>
      </c>
      <c r="D2201" s="419" t="s">
        <v>191</v>
      </c>
      <c r="E2201" s="603" t="s">
        <v>77</v>
      </c>
      <c r="F2201" s="603"/>
      <c r="G2201" s="420" t="s">
        <v>103</v>
      </c>
      <c r="H2201" s="421" t="s">
        <v>147</v>
      </c>
      <c r="I2201" s="421" t="s">
        <v>1731</v>
      </c>
      <c r="J2201" s="421" t="s">
        <v>1117</v>
      </c>
      <c r="K2201" s="421" t="s">
        <v>104</v>
      </c>
      <c r="L2201" s="70"/>
    </row>
    <row r="2202" spans="1:12" ht="16.5" x14ac:dyDescent="0.25">
      <c r="A2202" s="441" t="s">
        <v>79</v>
      </c>
      <c r="B2202" s="480" t="s">
        <v>1676</v>
      </c>
      <c r="C2202" s="441" t="s">
        <v>575</v>
      </c>
      <c r="D2202" s="441" t="s">
        <v>657</v>
      </c>
      <c r="E2202" s="604" t="s">
        <v>2565</v>
      </c>
      <c r="F2202" s="604"/>
      <c r="G2202" s="443" t="s">
        <v>41</v>
      </c>
      <c r="H2202" s="500">
        <v>1</v>
      </c>
      <c r="I2202" s="442"/>
      <c r="J2202" s="442">
        <v>1.1299999999999999</v>
      </c>
      <c r="K2202" s="442">
        <v>1.1299999999999999</v>
      </c>
      <c r="L2202" s="70"/>
    </row>
    <row r="2203" spans="1:12" ht="16.5" x14ac:dyDescent="0.25">
      <c r="A2203" s="501" t="s">
        <v>1732</v>
      </c>
      <c r="B2203" s="502" t="s">
        <v>1015</v>
      </c>
      <c r="C2203" s="501" t="s">
        <v>575</v>
      </c>
      <c r="D2203" s="501" t="s">
        <v>1016</v>
      </c>
      <c r="E2203" s="602" t="s">
        <v>972</v>
      </c>
      <c r="F2203" s="602"/>
      <c r="G2203" s="503" t="s">
        <v>80</v>
      </c>
      <c r="H2203" s="504">
        <v>2.4E-2</v>
      </c>
      <c r="I2203" s="504"/>
      <c r="J2203" s="505">
        <v>21.79</v>
      </c>
      <c r="K2203" s="505">
        <v>0.52</v>
      </c>
      <c r="L2203" s="70"/>
    </row>
    <row r="2204" spans="1:12" ht="16.5" x14ac:dyDescent="0.25">
      <c r="A2204" s="501" t="s">
        <v>1732</v>
      </c>
      <c r="B2204" s="502" t="s">
        <v>1017</v>
      </c>
      <c r="C2204" s="501" t="s">
        <v>575</v>
      </c>
      <c r="D2204" s="501" t="s">
        <v>1018</v>
      </c>
      <c r="E2204" s="602" t="s">
        <v>972</v>
      </c>
      <c r="F2204" s="602"/>
      <c r="G2204" s="503" t="s">
        <v>80</v>
      </c>
      <c r="H2204" s="504">
        <v>1.2E-2</v>
      </c>
      <c r="I2204" s="504"/>
      <c r="J2204" s="505">
        <v>36.96</v>
      </c>
      <c r="K2204" s="505">
        <v>0.44</v>
      </c>
      <c r="L2204" s="70"/>
    </row>
    <row r="2205" spans="1:12" ht="16.5" x14ac:dyDescent="0.25">
      <c r="A2205" s="501" t="s">
        <v>1732</v>
      </c>
      <c r="B2205" s="502" t="s">
        <v>2566</v>
      </c>
      <c r="C2205" s="501" t="s">
        <v>575</v>
      </c>
      <c r="D2205" s="501" t="s">
        <v>2567</v>
      </c>
      <c r="E2205" s="602" t="s">
        <v>922</v>
      </c>
      <c r="F2205" s="602"/>
      <c r="G2205" s="503" t="s">
        <v>80</v>
      </c>
      <c r="H2205" s="504">
        <v>1.2E-2</v>
      </c>
      <c r="I2205" s="504"/>
      <c r="J2205" s="505">
        <v>11.12</v>
      </c>
      <c r="K2205" s="505">
        <v>0.13</v>
      </c>
      <c r="L2205" s="70"/>
    </row>
    <row r="2206" spans="1:12" ht="16.5" x14ac:dyDescent="0.25">
      <c r="A2206" s="501" t="s">
        <v>1732</v>
      </c>
      <c r="B2206" s="502" t="s">
        <v>2568</v>
      </c>
      <c r="C2206" s="501" t="s">
        <v>575</v>
      </c>
      <c r="D2206" s="501" t="s">
        <v>2569</v>
      </c>
      <c r="E2206" s="602" t="s">
        <v>922</v>
      </c>
      <c r="F2206" s="602"/>
      <c r="G2206" s="503" t="s">
        <v>81</v>
      </c>
      <c r="H2206" s="504">
        <v>1.2E-2</v>
      </c>
      <c r="I2206" s="504"/>
      <c r="J2206" s="505">
        <v>2.36</v>
      </c>
      <c r="K2206" s="505">
        <v>0.02</v>
      </c>
      <c r="L2206" s="70"/>
    </row>
    <row r="2207" spans="1:12" ht="16.5" x14ac:dyDescent="0.25">
      <c r="A2207" s="501" t="s">
        <v>1732</v>
      </c>
      <c r="B2207" s="502" t="s">
        <v>2570</v>
      </c>
      <c r="C2207" s="501" t="s">
        <v>575</v>
      </c>
      <c r="D2207" s="501" t="s">
        <v>2571</v>
      </c>
      <c r="E2207" s="602" t="s">
        <v>922</v>
      </c>
      <c r="F2207" s="602"/>
      <c r="G2207" s="503" t="s">
        <v>81</v>
      </c>
      <c r="H2207" s="504">
        <v>1.2E-2</v>
      </c>
      <c r="I2207" s="504"/>
      <c r="J2207" s="505">
        <v>2.36</v>
      </c>
      <c r="K2207" s="505">
        <v>0.02</v>
      </c>
      <c r="L2207" s="70"/>
    </row>
    <row r="2208" spans="1:12" ht="15.75" customHeight="1" x14ac:dyDescent="0.25">
      <c r="A2208" s="445"/>
      <c r="B2208" s="445"/>
      <c r="C2208" s="445"/>
      <c r="D2208" s="445"/>
      <c r="E2208" s="445" t="s">
        <v>1735</v>
      </c>
      <c r="F2208" s="506">
        <v>0.96</v>
      </c>
      <c r="G2208" s="445" t="s">
        <v>1736</v>
      </c>
      <c r="H2208" s="506">
        <v>0</v>
      </c>
      <c r="I2208" s="445" t="s">
        <v>1737</v>
      </c>
      <c r="J2208" s="506">
        <v>0.96</v>
      </c>
      <c r="K2208" s="70"/>
      <c r="L2208" s="70"/>
    </row>
    <row r="2209" spans="1:12" ht="17.25" thickBot="1" x14ac:dyDescent="0.3">
      <c r="A2209" s="445"/>
      <c r="B2209" s="445"/>
      <c r="C2209" s="445"/>
      <c r="D2209" s="445"/>
      <c r="E2209" s="445" t="s">
        <v>1738</v>
      </c>
      <c r="F2209" s="506">
        <v>0.27843200000000001</v>
      </c>
      <c r="G2209" s="445"/>
      <c r="H2209" s="606" t="s">
        <v>1739</v>
      </c>
      <c r="I2209" s="606"/>
      <c r="J2209" s="506">
        <v>1.4</v>
      </c>
      <c r="K2209" s="70"/>
      <c r="L2209" s="70"/>
    </row>
    <row r="2210" spans="1:12" ht="17.25" thickTop="1" x14ac:dyDescent="0.25">
      <c r="A2210" s="507"/>
      <c r="B2210" s="507"/>
      <c r="C2210" s="507"/>
      <c r="D2210" s="507"/>
      <c r="E2210" s="507"/>
      <c r="F2210" s="507"/>
      <c r="G2210" s="507"/>
      <c r="H2210" s="507"/>
      <c r="I2210" s="507"/>
      <c r="J2210" s="507"/>
      <c r="K2210" s="507"/>
      <c r="L2210" s="70"/>
    </row>
    <row r="2211" spans="1:12" ht="15" customHeight="1" x14ac:dyDescent="0.25">
      <c r="A2211" s="419" t="s">
        <v>1677</v>
      </c>
      <c r="B2211" s="421" t="s">
        <v>76</v>
      </c>
      <c r="C2211" s="419" t="s">
        <v>991</v>
      </c>
      <c r="D2211" s="419" t="s">
        <v>191</v>
      </c>
      <c r="E2211" s="603" t="s">
        <v>77</v>
      </c>
      <c r="F2211" s="603"/>
      <c r="G2211" s="420" t="s">
        <v>103</v>
      </c>
      <c r="H2211" s="421" t="s">
        <v>147</v>
      </c>
      <c r="I2211" s="421" t="s">
        <v>1731</v>
      </c>
      <c r="J2211" s="421" t="s">
        <v>1117</v>
      </c>
      <c r="K2211" s="421" t="s">
        <v>104</v>
      </c>
      <c r="L2211" s="70"/>
    </row>
    <row r="2212" spans="1:12" ht="16.5" x14ac:dyDescent="0.25">
      <c r="A2212" s="441" t="s">
        <v>79</v>
      </c>
      <c r="B2212" s="480" t="s">
        <v>1678</v>
      </c>
      <c r="C2212" s="441" t="s">
        <v>575</v>
      </c>
      <c r="D2212" s="441" t="s">
        <v>656</v>
      </c>
      <c r="E2212" s="604" t="s">
        <v>2572</v>
      </c>
      <c r="F2212" s="604"/>
      <c r="G2212" s="443" t="s">
        <v>41</v>
      </c>
      <c r="H2212" s="500">
        <v>1</v>
      </c>
      <c r="I2212" s="442"/>
      <c r="J2212" s="442">
        <v>1.39</v>
      </c>
      <c r="K2212" s="442">
        <v>1.39</v>
      </c>
      <c r="L2212" s="70"/>
    </row>
    <row r="2213" spans="1:12" ht="16.5" x14ac:dyDescent="0.25">
      <c r="A2213" s="501" t="s">
        <v>1732</v>
      </c>
      <c r="B2213" s="502" t="s">
        <v>1015</v>
      </c>
      <c r="C2213" s="501" t="s">
        <v>575</v>
      </c>
      <c r="D2213" s="501" t="s">
        <v>1016</v>
      </c>
      <c r="E2213" s="602" t="s">
        <v>972</v>
      </c>
      <c r="F2213" s="602"/>
      <c r="G2213" s="503" t="s">
        <v>80</v>
      </c>
      <c r="H2213" s="504">
        <v>3.5999999999999997E-2</v>
      </c>
      <c r="I2213" s="504"/>
      <c r="J2213" s="505">
        <v>21.79</v>
      </c>
      <c r="K2213" s="505">
        <v>0.78</v>
      </c>
      <c r="L2213" s="70"/>
    </row>
    <row r="2214" spans="1:12" ht="16.5" x14ac:dyDescent="0.25">
      <c r="A2214" s="501" t="s">
        <v>1732</v>
      </c>
      <c r="B2214" s="502" t="s">
        <v>1017</v>
      </c>
      <c r="C2214" s="501" t="s">
        <v>575</v>
      </c>
      <c r="D2214" s="501" t="s">
        <v>1018</v>
      </c>
      <c r="E2214" s="602" t="s">
        <v>972</v>
      </c>
      <c r="F2214" s="602"/>
      <c r="G2214" s="503" t="s">
        <v>80</v>
      </c>
      <c r="H2214" s="504">
        <v>1.2E-2</v>
      </c>
      <c r="I2214" s="504"/>
      <c r="J2214" s="505">
        <v>36.96</v>
      </c>
      <c r="K2214" s="505">
        <v>0.44</v>
      </c>
      <c r="L2214" s="70"/>
    </row>
    <row r="2215" spans="1:12" ht="16.5" x14ac:dyDescent="0.25">
      <c r="A2215" s="501" t="s">
        <v>1732</v>
      </c>
      <c r="B2215" s="502" t="s">
        <v>2566</v>
      </c>
      <c r="C2215" s="501" t="s">
        <v>575</v>
      </c>
      <c r="D2215" s="501" t="s">
        <v>2567</v>
      </c>
      <c r="E2215" s="602" t="s">
        <v>922</v>
      </c>
      <c r="F2215" s="602"/>
      <c r="G2215" s="503" t="s">
        <v>80</v>
      </c>
      <c r="H2215" s="504">
        <v>1.2E-2</v>
      </c>
      <c r="I2215" s="504"/>
      <c r="J2215" s="505">
        <v>11.12</v>
      </c>
      <c r="K2215" s="505">
        <v>0.13</v>
      </c>
      <c r="L2215" s="70"/>
    </row>
    <row r="2216" spans="1:12" ht="16.5" x14ac:dyDescent="0.25">
      <c r="A2216" s="501" t="s">
        <v>1732</v>
      </c>
      <c r="B2216" s="502" t="s">
        <v>2568</v>
      </c>
      <c r="C2216" s="501" t="s">
        <v>575</v>
      </c>
      <c r="D2216" s="501" t="s">
        <v>2569</v>
      </c>
      <c r="E2216" s="602" t="s">
        <v>922</v>
      </c>
      <c r="F2216" s="602"/>
      <c r="G2216" s="503" t="s">
        <v>81</v>
      </c>
      <c r="H2216" s="504">
        <v>1.2E-2</v>
      </c>
      <c r="I2216" s="504"/>
      <c r="J2216" s="505">
        <v>2.36</v>
      </c>
      <c r="K2216" s="505">
        <v>0.02</v>
      </c>
      <c r="L2216" s="70"/>
    </row>
    <row r="2217" spans="1:12" ht="16.5" x14ac:dyDescent="0.25">
      <c r="A2217" s="501" t="s">
        <v>1732</v>
      </c>
      <c r="B2217" s="502" t="s">
        <v>2570</v>
      </c>
      <c r="C2217" s="501" t="s">
        <v>575</v>
      </c>
      <c r="D2217" s="501" t="s">
        <v>2571</v>
      </c>
      <c r="E2217" s="602" t="s">
        <v>922</v>
      </c>
      <c r="F2217" s="602"/>
      <c r="G2217" s="503" t="s">
        <v>81</v>
      </c>
      <c r="H2217" s="504">
        <v>1.2E-2</v>
      </c>
      <c r="I2217" s="504"/>
      <c r="J2217" s="505">
        <v>2.36</v>
      </c>
      <c r="K2217" s="505">
        <v>0.02</v>
      </c>
      <c r="L2217" s="70"/>
    </row>
    <row r="2218" spans="1:12" ht="15.75" customHeight="1" x14ac:dyDescent="0.25">
      <c r="A2218" s="445"/>
      <c r="B2218" s="445"/>
      <c r="C2218" s="445"/>
      <c r="D2218" s="445"/>
      <c r="E2218" s="445" t="s">
        <v>1735</v>
      </c>
      <c r="F2218" s="506">
        <v>1.22</v>
      </c>
      <c r="G2218" s="445" t="s">
        <v>1736</v>
      </c>
      <c r="H2218" s="506">
        <v>0</v>
      </c>
      <c r="I2218" s="445" t="s">
        <v>1737</v>
      </c>
      <c r="J2218" s="506">
        <v>1.22</v>
      </c>
      <c r="K2218" s="70"/>
      <c r="L2218" s="70"/>
    </row>
    <row r="2219" spans="1:12" ht="17.25" thickBot="1" x14ac:dyDescent="0.3">
      <c r="A2219" s="445"/>
      <c r="B2219" s="445"/>
      <c r="C2219" s="445"/>
      <c r="D2219" s="445"/>
      <c r="E2219" s="445" t="s">
        <v>1738</v>
      </c>
      <c r="F2219" s="506">
        <v>0.34249600000000002</v>
      </c>
      <c r="G2219" s="445"/>
      <c r="H2219" s="606" t="s">
        <v>1739</v>
      </c>
      <c r="I2219" s="606"/>
      <c r="J2219" s="506">
        <v>1.73</v>
      </c>
      <c r="K2219" s="70"/>
      <c r="L2219" s="70"/>
    </row>
    <row r="2220" spans="1:12" ht="17.25" thickTop="1" x14ac:dyDescent="0.25">
      <c r="A2220" s="507"/>
      <c r="B2220" s="507"/>
      <c r="C2220" s="507"/>
      <c r="D2220" s="507"/>
      <c r="E2220" s="507"/>
      <c r="F2220" s="507"/>
      <c r="G2220" s="507"/>
      <c r="H2220" s="507"/>
      <c r="I2220" s="507"/>
      <c r="J2220" s="507"/>
      <c r="K2220" s="507"/>
      <c r="L2220" s="70"/>
    </row>
    <row r="2221" spans="1:12" ht="25.5" customHeight="1" x14ac:dyDescent="0.25">
      <c r="A2221" s="419" t="s">
        <v>1679</v>
      </c>
      <c r="B2221" s="421" t="s">
        <v>76</v>
      </c>
      <c r="C2221" s="419" t="s">
        <v>991</v>
      </c>
      <c r="D2221" s="419" t="s">
        <v>191</v>
      </c>
      <c r="E2221" s="603" t="s">
        <v>77</v>
      </c>
      <c r="F2221" s="603"/>
      <c r="G2221" s="420" t="s">
        <v>103</v>
      </c>
      <c r="H2221" s="421" t="s">
        <v>147</v>
      </c>
      <c r="I2221" s="421" t="s">
        <v>1731</v>
      </c>
      <c r="J2221" s="421" t="s">
        <v>1117</v>
      </c>
      <c r="K2221" s="421" t="s">
        <v>104</v>
      </c>
      <c r="L2221" s="70"/>
    </row>
    <row r="2222" spans="1:12" ht="25.5" customHeight="1" x14ac:dyDescent="0.25">
      <c r="A2222" s="441" t="s">
        <v>79</v>
      </c>
      <c r="B2222" s="480" t="s">
        <v>1680</v>
      </c>
      <c r="C2222" s="441" t="s">
        <v>1168</v>
      </c>
      <c r="D2222" s="441" t="s">
        <v>658</v>
      </c>
      <c r="E2222" s="604" t="s">
        <v>2573</v>
      </c>
      <c r="F2222" s="604"/>
      <c r="G2222" s="443" t="s">
        <v>130</v>
      </c>
      <c r="H2222" s="500">
        <v>1</v>
      </c>
      <c r="I2222" s="442"/>
      <c r="J2222" s="442">
        <v>0.38</v>
      </c>
      <c r="K2222" s="442">
        <v>0.38</v>
      </c>
      <c r="L2222" s="70"/>
    </row>
    <row r="2223" spans="1:12" ht="16.5" x14ac:dyDescent="0.25">
      <c r="A2223" s="501" t="s">
        <v>1732</v>
      </c>
      <c r="B2223" s="502" t="s">
        <v>2574</v>
      </c>
      <c r="C2223" s="501" t="s">
        <v>2448</v>
      </c>
      <c r="D2223" s="501" t="s">
        <v>2575</v>
      </c>
      <c r="E2223" s="602" t="s">
        <v>922</v>
      </c>
      <c r="F2223" s="602"/>
      <c r="G2223" s="503" t="s">
        <v>81</v>
      </c>
      <c r="H2223" s="504">
        <v>1.2999999999999999E-3</v>
      </c>
      <c r="I2223" s="504"/>
      <c r="J2223" s="505">
        <v>175.29837633333332</v>
      </c>
      <c r="K2223" s="505">
        <v>0.22</v>
      </c>
      <c r="L2223" s="70"/>
    </row>
    <row r="2224" spans="1:12" ht="25.5" x14ac:dyDescent="0.25">
      <c r="A2224" s="501" t="s">
        <v>1732</v>
      </c>
      <c r="B2224" s="502" t="s">
        <v>999</v>
      </c>
      <c r="C2224" s="501" t="s">
        <v>993</v>
      </c>
      <c r="D2224" s="501" t="s">
        <v>1000</v>
      </c>
      <c r="E2224" s="602" t="s">
        <v>972</v>
      </c>
      <c r="F2224" s="602"/>
      <c r="G2224" s="503" t="s">
        <v>81</v>
      </c>
      <c r="H2224" s="504">
        <v>0.01</v>
      </c>
      <c r="I2224" s="504">
        <v>0</v>
      </c>
      <c r="J2224" s="505">
        <v>16.04</v>
      </c>
      <c r="K2224" s="505">
        <v>0.16</v>
      </c>
      <c r="L2224" s="70"/>
    </row>
    <row r="2225" spans="1:12" ht="15.75" customHeight="1" x14ac:dyDescent="0.25">
      <c r="A2225" s="445"/>
      <c r="B2225" s="445"/>
      <c r="C2225" s="445"/>
      <c r="D2225" s="445"/>
      <c r="E2225" s="445" t="s">
        <v>1735</v>
      </c>
      <c r="F2225" s="506">
        <v>0.16</v>
      </c>
      <c r="G2225" s="445" t="s">
        <v>1736</v>
      </c>
      <c r="H2225" s="506">
        <v>0</v>
      </c>
      <c r="I2225" s="445" t="s">
        <v>1737</v>
      </c>
      <c r="J2225" s="506">
        <v>0.16</v>
      </c>
      <c r="K2225" s="70"/>
      <c r="L2225" s="70"/>
    </row>
    <row r="2226" spans="1:12" ht="17.25" thickBot="1" x14ac:dyDescent="0.3">
      <c r="A2226" s="445"/>
      <c r="B2226" s="445"/>
      <c r="C2226" s="445"/>
      <c r="D2226" s="445"/>
      <c r="E2226" s="445" t="s">
        <v>1738</v>
      </c>
      <c r="F2226" s="506">
        <v>9.3632000000000007E-2</v>
      </c>
      <c r="G2226" s="445"/>
      <c r="H2226" s="606" t="s">
        <v>1739</v>
      </c>
      <c r="I2226" s="606"/>
      <c r="J2226" s="506">
        <v>0.47</v>
      </c>
      <c r="K2226" s="70"/>
      <c r="L2226" s="70"/>
    </row>
    <row r="2227" spans="1:12" ht="17.25" thickTop="1" x14ac:dyDescent="0.25">
      <c r="A2227" s="507"/>
      <c r="B2227" s="507"/>
      <c r="C2227" s="507"/>
      <c r="D2227" s="507"/>
      <c r="E2227" s="507"/>
      <c r="F2227" s="507"/>
      <c r="G2227" s="507"/>
      <c r="H2227" s="507"/>
      <c r="I2227" s="507"/>
      <c r="J2227" s="507"/>
      <c r="K2227" s="507"/>
      <c r="L2227" s="70"/>
    </row>
    <row r="2228" spans="1:12" ht="25.5" customHeight="1" x14ac:dyDescent="0.25">
      <c r="A2228" s="419" t="s">
        <v>1681</v>
      </c>
      <c r="B2228" s="421" t="s">
        <v>76</v>
      </c>
      <c r="C2228" s="419" t="s">
        <v>991</v>
      </c>
      <c r="D2228" s="419" t="s">
        <v>191</v>
      </c>
      <c r="E2228" s="603" t="s">
        <v>77</v>
      </c>
      <c r="F2228" s="603"/>
      <c r="G2228" s="420" t="s">
        <v>103</v>
      </c>
      <c r="H2228" s="421" t="s">
        <v>147</v>
      </c>
      <c r="I2228" s="421" t="s">
        <v>1731</v>
      </c>
      <c r="J2228" s="421" t="s">
        <v>1117</v>
      </c>
      <c r="K2228" s="421" t="s">
        <v>104</v>
      </c>
      <c r="L2228" s="70"/>
    </row>
    <row r="2229" spans="1:12" ht="25.5" customHeight="1" x14ac:dyDescent="0.25">
      <c r="A2229" s="441" t="s">
        <v>79</v>
      </c>
      <c r="B2229" s="480" t="s">
        <v>1682</v>
      </c>
      <c r="C2229" s="441" t="s">
        <v>1168</v>
      </c>
      <c r="D2229" s="441" t="s">
        <v>659</v>
      </c>
      <c r="E2229" s="604" t="s">
        <v>2573</v>
      </c>
      <c r="F2229" s="604"/>
      <c r="G2229" s="443" t="s">
        <v>130</v>
      </c>
      <c r="H2229" s="500">
        <v>1</v>
      </c>
      <c r="I2229" s="442"/>
      <c r="J2229" s="442">
        <v>0.67</v>
      </c>
      <c r="K2229" s="442">
        <v>0.67</v>
      </c>
      <c r="L2229" s="70"/>
    </row>
    <row r="2230" spans="1:12" ht="16.5" x14ac:dyDescent="0.25">
      <c r="A2230" s="501" t="s">
        <v>1732</v>
      </c>
      <c r="B2230" s="502" t="s">
        <v>2574</v>
      </c>
      <c r="C2230" s="501" t="s">
        <v>2448</v>
      </c>
      <c r="D2230" s="501" t="s">
        <v>2575</v>
      </c>
      <c r="E2230" s="602" t="s">
        <v>922</v>
      </c>
      <c r="F2230" s="602"/>
      <c r="G2230" s="503" t="s">
        <v>81</v>
      </c>
      <c r="H2230" s="504">
        <v>3.5999999999999999E-3</v>
      </c>
      <c r="I2230" s="504"/>
      <c r="J2230" s="505">
        <v>175.29837633333332</v>
      </c>
      <c r="K2230" s="505">
        <v>0.63</v>
      </c>
      <c r="L2230" s="70"/>
    </row>
    <row r="2231" spans="1:12" ht="25.5" x14ac:dyDescent="0.25">
      <c r="A2231" s="501" t="s">
        <v>1732</v>
      </c>
      <c r="B2231" s="502" t="s">
        <v>999</v>
      </c>
      <c r="C2231" s="501" t="s">
        <v>993</v>
      </c>
      <c r="D2231" s="501" t="s">
        <v>1000</v>
      </c>
      <c r="E2231" s="602" t="s">
        <v>972</v>
      </c>
      <c r="F2231" s="602"/>
      <c r="G2231" s="503" t="s">
        <v>81</v>
      </c>
      <c r="H2231" s="504">
        <v>3.0000000000000001E-3</v>
      </c>
      <c r="I2231" s="504">
        <v>0</v>
      </c>
      <c r="J2231" s="505">
        <v>16.04</v>
      </c>
      <c r="K2231" s="505">
        <v>0.04</v>
      </c>
      <c r="L2231" s="70"/>
    </row>
    <row r="2232" spans="1:12" ht="15.75" customHeight="1" x14ac:dyDescent="0.25">
      <c r="A2232" s="445"/>
      <c r="B2232" s="445"/>
      <c r="C2232" s="445"/>
      <c r="D2232" s="445"/>
      <c r="E2232" s="445" t="s">
        <v>1735</v>
      </c>
      <c r="F2232" s="506">
        <v>0.04</v>
      </c>
      <c r="G2232" s="445" t="s">
        <v>1736</v>
      </c>
      <c r="H2232" s="506">
        <v>0</v>
      </c>
      <c r="I2232" s="445" t="s">
        <v>1737</v>
      </c>
      <c r="J2232" s="506">
        <v>0.04</v>
      </c>
      <c r="K2232" s="70"/>
      <c r="L2232" s="70"/>
    </row>
    <row r="2233" spans="1:12" ht="17.25" thickBot="1" x14ac:dyDescent="0.3">
      <c r="A2233" s="445"/>
      <c r="B2233" s="445"/>
      <c r="C2233" s="445"/>
      <c r="D2233" s="445"/>
      <c r="E2233" s="445" t="s">
        <v>1738</v>
      </c>
      <c r="F2233" s="506">
        <v>0.16508800000000001</v>
      </c>
      <c r="G2233" s="445"/>
      <c r="H2233" s="606" t="s">
        <v>1739</v>
      </c>
      <c r="I2233" s="606"/>
      <c r="J2233" s="506">
        <v>0.83</v>
      </c>
      <c r="K2233" s="70"/>
      <c r="L2233" s="70"/>
    </row>
    <row r="2234" spans="1:12" ht="17.25" thickTop="1" x14ac:dyDescent="0.25">
      <c r="A2234" s="507"/>
      <c r="B2234" s="507"/>
      <c r="C2234" s="507"/>
      <c r="D2234" s="507"/>
      <c r="E2234" s="507"/>
      <c r="F2234" s="507"/>
      <c r="G2234" s="507"/>
      <c r="H2234" s="507"/>
      <c r="I2234" s="507"/>
      <c r="J2234" s="507"/>
      <c r="K2234" s="507"/>
      <c r="L2234" s="70"/>
    </row>
    <row r="2235" spans="1:12" ht="25.5" customHeight="1" x14ac:dyDescent="0.25">
      <c r="A2235" s="419" t="s">
        <v>1683</v>
      </c>
      <c r="B2235" s="421" t="s">
        <v>76</v>
      </c>
      <c r="C2235" s="419" t="s">
        <v>991</v>
      </c>
      <c r="D2235" s="419" t="s">
        <v>191</v>
      </c>
      <c r="E2235" s="603" t="s">
        <v>77</v>
      </c>
      <c r="F2235" s="603"/>
      <c r="G2235" s="420" t="s">
        <v>103</v>
      </c>
      <c r="H2235" s="421" t="s">
        <v>147</v>
      </c>
      <c r="I2235" s="421" t="s">
        <v>1731</v>
      </c>
      <c r="J2235" s="421" t="s">
        <v>1117</v>
      </c>
      <c r="K2235" s="421" t="s">
        <v>104</v>
      </c>
      <c r="L2235" s="70"/>
    </row>
    <row r="2236" spans="1:12" ht="25.5" customHeight="1" x14ac:dyDescent="0.25">
      <c r="A2236" s="441" t="s">
        <v>79</v>
      </c>
      <c r="B2236" s="480" t="s">
        <v>1684</v>
      </c>
      <c r="C2236" s="441" t="s">
        <v>1168</v>
      </c>
      <c r="D2236" s="441" t="s">
        <v>660</v>
      </c>
      <c r="E2236" s="604" t="s">
        <v>2573</v>
      </c>
      <c r="F2236" s="604"/>
      <c r="G2236" s="443" t="s">
        <v>130</v>
      </c>
      <c r="H2236" s="500">
        <v>1</v>
      </c>
      <c r="I2236" s="442"/>
      <c r="J2236" s="442">
        <v>0.74</v>
      </c>
      <c r="K2236" s="442">
        <v>0.74</v>
      </c>
      <c r="L2236" s="70"/>
    </row>
    <row r="2237" spans="1:12" ht="16.5" x14ac:dyDescent="0.25">
      <c r="A2237" s="501" t="s">
        <v>1732</v>
      </c>
      <c r="B2237" s="502" t="s">
        <v>2574</v>
      </c>
      <c r="C2237" s="501" t="s">
        <v>2448</v>
      </c>
      <c r="D2237" s="501" t="s">
        <v>2575</v>
      </c>
      <c r="E2237" s="602" t="s">
        <v>922</v>
      </c>
      <c r="F2237" s="602"/>
      <c r="G2237" s="503" t="s">
        <v>81</v>
      </c>
      <c r="H2237" s="504">
        <v>4.0000000000000001E-3</v>
      </c>
      <c r="I2237" s="504"/>
      <c r="J2237" s="505">
        <v>175.29837633333332</v>
      </c>
      <c r="K2237" s="505">
        <v>0.7</v>
      </c>
      <c r="L2237" s="70"/>
    </row>
    <row r="2238" spans="1:12" ht="25.5" x14ac:dyDescent="0.25">
      <c r="A2238" s="501" t="s">
        <v>1732</v>
      </c>
      <c r="B2238" s="502" t="s">
        <v>992</v>
      </c>
      <c r="C2238" s="501" t="s">
        <v>993</v>
      </c>
      <c r="D2238" s="501" t="s">
        <v>994</v>
      </c>
      <c r="E2238" s="602" t="s">
        <v>972</v>
      </c>
      <c r="F2238" s="602"/>
      <c r="G2238" s="503" t="s">
        <v>81</v>
      </c>
      <c r="H2238" s="504">
        <v>3.0000000000000001E-3</v>
      </c>
      <c r="I2238" s="504"/>
      <c r="J2238" s="505">
        <v>14.62</v>
      </c>
      <c r="K2238" s="505">
        <v>0.04</v>
      </c>
      <c r="L2238" s="70"/>
    </row>
    <row r="2239" spans="1:12" ht="15.75" customHeight="1" x14ac:dyDescent="0.25">
      <c r="A2239" s="445"/>
      <c r="B2239" s="445"/>
      <c r="C2239" s="445"/>
      <c r="D2239" s="445"/>
      <c r="E2239" s="445" t="s">
        <v>1735</v>
      </c>
      <c r="F2239" s="506">
        <v>0.04</v>
      </c>
      <c r="G2239" s="445" t="s">
        <v>1736</v>
      </c>
      <c r="H2239" s="506">
        <v>0</v>
      </c>
      <c r="I2239" s="445" t="s">
        <v>1737</v>
      </c>
      <c r="J2239" s="506">
        <v>0.04</v>
      </c>
      <c r="K2239" s="70"/>
      <c r="L2239" s="70"/>
    </row>
    <row r="2240" spans="1:12" ht="17.25" thickBot="1" x14ac:dyDescent="0.3">
      <c r="A2240" s="445"/>
      <c r="B2240" s="445"/>
      <c r="C2240" s="445"/>
      <c r="D2240" s="445"/>
      <c r="E2240" s="445" t="s">
        <v>1738</v>
      </c>
      <c r="F2240" s="506">
        <v>0.182336</v>
      </c>
      <c r="G2240" s="445"/>
      <c r="H2240" s="606" t="s">
        <v>1739</v>
      </c>
      <c r="I2240" s="606"/>
      <c r="J2240" s="506">
        <v>0.92</v>
      </c>
      <c r="K2240" s="70"/>
      <c r="L2240" s="70"/>
    </row>
    <row r="2241" spans="1:12" ht="17.25" thickTop="1" x14ac:dyDescent="0.25">
      <c r="A2241" s="507"/>
      <c r="B2241" s="507"/>
      <c r="C2241" s="507"/>
      <c r="D2241" s="507"/>
      <c r="E2241" s="507"/>
      <c r="F2241" s="507"/>
      <c r="G2241" s="507"/>
      <c r="H2241" s="507"/>
      <c r="I2241" s="507"/>
      <c r="J2241" s="507"/>
      <c r="K2241" s="507"/>
      <c r="L2241" s="70"/>
    </row>
    <row r="2242" spans="1:12" ht="16.5" x14ac:dyDescent="0.25">
      <c r="A2242" s="419" t="s">
        <v>1685</v>
      </c>
      <c r="B2242" s="421" t="s">
        <v>76</v>
      </c>
      <c r="C2242" s="419" t="s">
        <v>991</v>
      </c>
      <c r="D2242" s="419" t="s">
        <v>191</v>
      </c>
      <c r="E2242" s="603" t="s">
        <v>77</v>
      </c>
      <c r="F2242" s="603"/>
      <c r="G2242" s="420" t="s">
        <v>103</v>
      </c>
      <c r="H2242" s="421" t="s">
        <v>147</v>
      </c>
      <c r="I2242" s="421" t="s">
        <v>1731</v>
      </c>
      <c r="J2242" s="421" t="s">
        <v>1117</v>
      </c>
      <c r="K2242" s="421" t="s">
        <v>104</v>
      </c>
      <c r="L2242" s="70"/>
    </row>
    <row r="2243" spans="1:12" ht="25.5" x14ac:dyDescent="0.25">
      <c r="A2243" s="441" t="s">
        <v>79</v>
      </c>
      <c r="B2243" s="480" t="s">
        <v>1686</v>
      </c>
      <c r="C2243" s="441" t="s">
        <v>1168</v>
      </c>
      <c r="D2243" s="441" t="s">
        <v>886</v>
      </c>
      <c r="E2243" s="604" t="s">
        <v>2435</v>
      </c>
      <c r="F2243" s="604"/>
      <c r="G2243" s="443" t="s">
        <v>49</v>
      </c>
      <c r="H2243" s="500">
        <v>1</v>
      </c>
      <c r="I2243" s="442"/>
      <c r="J2243" s="442">
        <v>654.48</v>
      </c>
      <c r="K2243" s="442">
        <v>654.48</v>
      </c>
      <c r="L2243" s="70"/>
    </row>
    <row r="2244" spans="1:12" ht="16.5" x14ac:dyDescent="0.25">
      <c r="A2244" s="501" t="s">
        <v>1732</v>
      </c>
      <c r="B2244" s="502" t="s">
        <v>2576</v>
      </c>
      <c r="C2244" s="501" t="s">
        <v>2108</v>
      </c>
      <c r="D2244" s="501" t="s">
        <v>2577</v>
      </c>
      <c r="E2244" s="602" t="s">
        <v>1746</v>
      </c>
      <c r="F2244" s="602"/>
      <c r="G2244" s="503" t="s">
        <v>49</v>
      </c>
      <c r="H2244" s="504">
        <v>1</v>
      </c>
      <c r="I2244" s="504"/>
      <c r="J2244" s="505">
        <v>626.88</v>
      </c>
      <c r="K2244" s="505">
        <v>626.88</v>
      </c>
      <c r="L2244" s="70"/>
    </row>
    <row r="2245" spans="1:12" ht="25.5" x14ac:dyDescent="0.25">
      <c r="A2245" s="501" t="s">
        <v>1732</v>
      </c>
      <c r="B2245" s="502" t="s">
        <v>1011</v>
      </c>
      <c r="C2245" s="501" t="s">
        <v>993</v>
      </c>
      <c r="D2245" s="501" t="s">
        <v>1012</v>
      </c>
      <c r="E2245" s="602" t="s">
        <v>972</v>
      </c>
      <c r="F2245" s="602"/>
      <c r="G2245" s="503" t="s">
        <v>81</v>
      </c>
      <c r="H2245" s="504">
        <v>0.7</v>
      </c>
      <c r="I2245" s="504">
        <v>0</v>
      </c>
      <c r="J2245" s="505">
        <v>23.41</v>
      </c>
      <c r="K2245" s="505">
        <v>16.38</v>
      </c>
      <c r="L2245" s="70"/>
    </row>
    <row r="2246" spans="1:12" ht="25.5" x14ac:dyDescent="0.25">
      <c r="A2246" s="501" t="s">
        <v>1732</v>
      </c>
      <c r="B2246" s="502" t="s">
        <v>999</v>
      </c>
      <c r="C2246" s="501" t="s">
        <v>993</v>
      </c>
      <c r="D2246" s="501" t="s">
        <v>1000</v>
      </c>
      <c r="E2246" s="602" t="s">
        <v>972</v>
      </c>
      <c r="F2246" s="602"/>
      <c r="G2246" s="503" t="s">
        <v>81</v>
      </c>
      <c r="H2246" s="504">
        <v>0.7</v>
      </c>
      <c r="I2246" s="504">
        <v>0</v>
      </c>
      <c r="J2246" s="505">
        <v>16.04</v>
      </c>
      <c r="K2246" s="505">
        <v>11.22</v>
      </c>
      <c r="L2246" s="70"/>
    </row>
    <row r="2247" spans="1:12" ht="15.75" customHeight="1" x14ac:dyDescent="0.25">
      <c r="A2247" s="445"/>
      <c r="B2247" s="445"/>
      <c r="C2247" s="445"/>
      <c r="D2247" s="445"/>
      <c r="E2247" s="445" t="s">
        <v>1735</v>
      </c>
      <c r="F2247" s="506">
        <v>27.6</v>
      </c>
      <c r="G2247" s="445" t="s">
        <v>1736</v>
      </c>
      <c r="H2247" s="506">
        <v>0</v>
      </c>
      <c r="I2247" s="445" t="s">
        <v>1737</v>
      </c>
      <c r="J2247" s="506">
        <v>27.6</v>
      </c>
      <c r="K2247" s="70"/>
      <c r="L2247" s="70"/>
    </row>
    <row r="2248" spans="1:12" ht="17.25" thickBot="1" x14ac:dyDescent="0.3">
      <c r="A2248" s="445"/>
      <c r="B2248" s="445"/>
      <c r="C2248" s="445"/>
      <c r="D2248" s="445"/>
      <c r="E2248" s="445" t="s">
        <v>1738</v>
      </c>
      <c r="F2248" s="506">
        <v>161.26387199999999</v>
      </c>
      <c r="G2248" s="445"/>
      <c r="H2248" s="606" t="s">
        <v>1739</v>
      </c>
      <c r="I2248" s="606"/>
      <c r="J2248" s="506">
        <v>815.74</v>
      </c>
      <c r="K2248" s="70"/>
      <c r="L2248" s="70"/>
    </row>
    <row r="2249" spans="1:12" ht="17.25" thickTop="1" x14ac:dyDescent="0.25">
      <c r="A2249" s="507"/>
      <c r="B2249" s="507"/>
      <c r="C2249" s="507"/>
      <c r="D2249" s="507"/>
      <c r="E2249" s="507"/>
      <c r="F2249" s="507"/>
      <c r="G2249" s="507"/>
      <c r="H2249" s="507"/>
      <c r="I2249" s="507"/>
      <c r="J2249" s="507"/>
      <c r="K2249" s="507"/>
      <c r="L2249" s="70"/>
    </row>
    <row r="2250" spans="1:12" ht="16.5" x14ac:dyDescent="0.25">
      <c r="A2250" s="419" t="s">
        <v>1687</v>
      </c>
      <c r="B2250" s="421" t="s">
        <v>76</v>
      </c>
      <c r="C2250" s="419" t="s">
        <v>991</v>
      </c>
      <c r="D2250" s="419" t="s">
        <v>191</v>
      </c>
      <c r="E2250" s="603" t="s">
        <v>77</v>
      </c>
      <c r="F2250" s="603"/>
      <c r="G2250" s="420" t="s">
        <v>103</v>
      </c>
      <c r="H2250" s="421" t="s">
        <v>147</v>
      </c>
      <c r="I2250" s="421" t="s">
        <v>1731</v>
      </c>
      <c r="J2250" s="421" t="s">
        <v>1117</v>
      </c>
      <c r="K2250" s="421" t="s">
        <v>104</v>
      </c>
      <c r="L2250" s="70"/>
    </row>
    <row r="2251" spans="1:12" ht="51" x14ac:dyDescent="0.25">
      <c r="A2251" s="441" t="s">
        <v>79</v>
      </c>
      <c r="B2251" s="480" t="s">
        <v>1688</v>
      </c>
      <c r="C2251" s="441" t="s">
        <v>1168</v>
      </c>
      <c r="D2251" s="441" t="s">
        <v>888</v>
      </c>
      <c r="E2251" s="604" t="s">
        <v>2359</v>
      </c>
      <c r="F2251" s="604"/>
      <c r="G2251" s="443" t="s">
        <v>49</v>
      </c>
      <c r="H2251" s="500">
        <v>1</v>
      </c>
      <c r="I2251" s="442"/>
      <c r="J2251" s="442">
        <v>594.76</v>
      </c>
      <c r="K2251" s="442">
        <v>594.76</v>
      </c>
      <c r="L2251" s="70"/>
    </row>
    <row r="2252" spans="1:12" ht="16.5" x14ac:dyDescent="0.25">
      <c r="A2252" s="501" t="s">
        <v>1732</v>
      </c>
      <c r="B2252" s="502" t="s">
        <v>2578</v>
      </c>
      <c r="C2252" s="501" t="s">
        <v>2108</v>
      </c>
      <c r="D2252" s="501" t="s">
        <v>2579</v>
      </c>
      <c r="E2252" s="602" t="s">
        <v>1746</v>
      </c>
      <c r="F2252" s="602"/>
      <c r="G2252" s="503" t="s">
        <v>49</v>
      </c>
      <c r="H2252" s="504">
        <v>1</v>
      </c>
      <c r="I2252" s="504"/>
      <c r="J2252" s="505">
        <v>547.42999999999995</v>
      </c>
      <c r="K2252" s="505">
        <v>547.42999999999995</v>
      </c>
      <c r="L2252" s="70"/>
    </row>
    <row r="2253" spans="1:12" ht="25.5" x14ac:dyDescent="0.25">
      <c r="A2253" s="501" t="s">
        <v>1732</v>
      </c>
      <c r="B2253" s="502" t="s">
        <v>1011</v>
      </c>
      <c r="C2253" s="501" t="s">
        <v>993</v>
      </c>
      <c r="D2253" s="501" t="s">
        <v>1012</v>
      </c>
      <c r="E2253" s="602" t="s">
        <v>972</v>
      </c>
      <c r="F2253" s="602"/>
      <c r="G2253" s="503" t="s">
        <v>81</v>
      </c>
      <c r="H2253" s="504">
        <v>1.2</v>
      </c>
      <c r="I2253" s="504">
        <v>0</v>
      </c>
      <c r="J2253" s="505">
        <v>23.41</v>
      </c>
      <c r="K2253" s="505">
        <v>28.09</v>
      </c>
      <c r="L2253" s="70"/>
    </row>
    <row r="2254" spans="1:12" ht="25.5" x14ac:dyDescent="0.25">
      <c r="A2254" s="501" t="s">
        <v>1732</v>
      </c>
      <c r="B2254" s="502" t="s">
        <v>999</v>
      </c>
      <c r="C2254" s="501" t="s">
        <v>993</v>
      </c>
      <c r="D2254" s="501" t="s">
        <v>1000</v>
      </c>
      <c r="E2254" s="602" t="s">
        <v>972</v>
      </c>
      <c r="F2254" s="602"/>
      <c r="G2254" s="503" t="s">
        <v>81</v>
      </c>
      <c r="H2254" s="504">
        <v>1.2</v>
      </c>
      <c r="I2254" s="504">
        <v>0</v>
      </c>
      <c r="J2254" s="505">
        <v>16.04</v>
      </c>
      <c r="K2254" s="505">
        <v>19.239999999999998</v>
      </c>
      <c r="L2254" s="70"/>
    </row>
    <row r="2255" spans="1:12" ht="15.75" customHeight="1" x14ac:dyDescent="0.25">
      <c r="A2255" s="445"/>
      <c r="B2255" s="445"/>
      <c r="C2255" s="445"/>
      <c r="D2255" s="445"/>
      <c r="E2255" s="445" t="s">
        <v>1735</v>
      </c>
      <c r="F2255" s="506">
        <v>47.33</v>
      </c>
      <c r="G2255" s="445" t="s">
        <v>1736</v>
      </c>
      <c r="H2255" s="506">
        <v>0</v>
      </c>
      <c r="I2255" s="445" t="s">
        <v>1737</v>
      </c>
      <c r="J2255" s="506">
        <v>47.33</v>
      </c>
      <c r="K2255" s="70"/>
      <c r="L2255" s="70"/>
    </row>
    <row r="2256" spans="1:12" ht="17.25" thickBot="1" x14ac:dyDescent="0.3">
      <c r="A2256" s="445"/>
      <c r="B2256" s="445"/>
      <c r="C2256" s="445"/>
      <c r="D2256" s="445"/>
      <c r="E2256" s="445" t="s">
        <v>1738</v>
      </c>
      <c r="F2256" s="506">
        <v>146.54886400000001</v>
      </c>
      <c r="G2256" s="445"/>
      <c r="H2256" s="606" t="s">
        <v>1739</v>
      </c>
      <c r="I2256" s="606"/>
      <c r="J2256" s="506">
        <v>741.3</v>
      </c>
      <c r="K2256" s="70"/>
      <c r="L2256" s="70"/>
    </row>
    <row r="2257" spans="1:12" ht="17.25" thickTop="1" x14ac:dyDescent="0.25">
      <c r="A2257" s="507"/>
      <c r="B2257" s="507"/>
      <c r="C2257" s="507"/>
      <c r="D2257" s="507"/>
      <c r="E2257" s="507"/>
      <c r="F2257" s="507"/>
      <c r="G2257" s="507"/>
      <c r="H2257" s="507"/>
      <c r="I2257" s="507"/>
      <c r="J2257" s="507"/>
      <c r="K2257" s="507"/>
      <c r="L2257" s="70"/>
    </row>
    <row r="2258" spans="1:12" ht="16.5" x14ac:dyDescent="0.25">
      <c r="A2258" s="419" t="s">
        <v>1689</v>
      </c>
      <c r="B2258" s="421" t="s">
        <v>76</v>
      </c>
      <c r="C2258" s="419" t="s">
        <v>991</v>
      </c>
      <c r="D2258" s="419" t="s">
        <v>191</v>
      </c>
      <c r="E2258" s="603" t="s">
        <v>77</v>
      </c>
      <c r="F2258" s="603"/>
      <c r="G2258" s="420" t="s">
        <v>103</v>
      </c>
      <c r="H2258" s="421" t="s">
        <v>147</v>
      </c>
      <c r="I2258" s="421" t="s">
        <v>1731</v>
      </c>
      <c r="J2258" s="421" t="s">
        <v>1117</v>
      </c>
      <c r="K2258" s="421" t="s">
        <v>104</v>
      </c>
      <c r="L2258" s="70"/>
    </row>
    <row r="2259" spans="1:12" ht="38.25" customHeight="1" x14ac:dyDescent="0.25">
      <c r="A2259" s="441" t="s">
        <v>79</v>
      </c>
      <c r="B2259" s="480" t="s">
        <v>1690</v>
      </c>
      <c r="C2259" s="441" t="s">
        <v>1168</v>
      </c>
      <c r="D2259" s="441" t="s">
        <v>877</v>
      </c>
      <c r="E2259" s="604" t="s">
        <v>2402</v>
      </c>
      <c r="F2259" s="604"/>
      <c r="G2259" s="443" t="s">
        <v>130</v>
      </c>
      <c r="H2259" s="500">
        <v>1</v>
      </c>
      <c r="I2259" s="442"/>
      <c r="J2259" s="442">
        <v>314.55</v>
      </c>
      <c r="K2259" s="442">
        <v>314.55</v>
      </c>
      <c r="L2259" s="70"/>
    </row>
    <row r="2260" spans="1:12" ht="38.25" customHeight="1" x14ac:dyDescent="0.25">
      <c r="A2260" s="510" t="s">
        <v>2123</v>
      </c>
      <c r="B2260" s="511" t="s">
        <v>2133</v>
      </c>
      <c r="C2260" s="510" t="s">
        <v>1168</v>
      </c>
      <c r="D2260" s="510" t="s">
        <v>2134</v>
      </c>
      <c r="E2260" s="605" t="s">
        <v>2126</v>
      </c>
      <c r="F2260" s="605"/>
      <c r="G2260" s="512" t="s">
        <v>2130</v>
      </c>
      <c r="H2260" s="513">
        <v>7.4300000000000005E-2</v>
      </c>
      <c r="I2260" s="513"/>
      <c r="J2260" s="514">
        <v>209.43</v>
      </c>
      <c r="K2260" s="514">
        <v>15.56</v>
      </c>
      <c r="L2260" s="70"/>
    </row>
    <row r="2261" spans="1:12" ht="38.25" customHeight="1" x14ac:dyDescent="0.25">
      <c r="A2261" s="510" t="s">
        <v>2123</v>
      </c>
      <c r="B2261" s="511" t="s">
        <v>2137</v>
      </c>
      <c r="C2261" s="510" t="s">
        <v>1168</v>
      </c>
      <c r="D2261" s="510" t="s">
        <v>2138</v>
      </c>
      <c r="E2261" s="605" t="s">
        <v>2126</v>
      </c>
      <c r="F2261" s="605"/>
      <c r="G2261" s="512" t="s">
        <v>2127</v>
      </c>
      <c r="H2261" s="513">
        <v>0.14419999999999999</v>
      </c>
      <c r="I2261" s="513"/>
      <c r="J2261" s="514">
        <v>89.95</v>
      </c>
      <c r="K2261" s="514">
        <v>12.97</v>
      </c>
      <c r="L2261" s="70"/>
    </row>
    <row r="2262" spans="1:12" ht="25.5" x14ac:dyDescent="0.25">
      <c r="A2262" s="510" t="s">
        <v>2123</v>
      </c>
      <c r="B2262" s="511" t="s">
        <v>2580</v>
      </c>
      <c r="C2262" s="510" t="s">
        <v>1168</v>
      </c>
      <c r="D2262" s="510" t="s">
        <v>2581</v>
      </c>
      <c r="E2262" s="605" t="s">
        <v>2582</v>
      </c>
      <c r="F2262" s="605"/>
      <c r="G2262" s="512" t="s">
        <v>45</v>
      </c>
      <c r="H2262" s="513">
        <v>4.7000000000000002E-3</v>
      </c>
      <c r="I2262" s="513"/>
      <c r="J2262" s="514">
        <v>623.44000000000005</v>
      </c>
      <c r="K2262" s="514">
        <v>2.93</v>
      </c>
      <c r="L2262" s="70"/>
    </row>
    <row r="2263" spans="1:12" ht="25.5" x14ac:dyDescent="0.25">
      <c r="A2263" s="501" t="s">
        <v>1732</v>
      </c>
      <c r="B2263" s="502" t="s">
        <v>992</v>
      </c>
      <c r="C2263" s="501" t="s">
        <v>993</v>
      </c>
      <c r="D2263" s="501" t="s">
        <v>994</v>
      </c>
      <c r="E2263" s="602" t="s">
        <v>972</v>
      </c>
      <c r="F2263" s="602"/>
      <c r="G2263" s="503" t="s">
        <v>81</v>
      </c>
      <c r="H2263" s="504">
        <v>0.66400000000000003</v>
      </c>
      <c r="I2263" s="504">
        <v>0</v>
      </c>
      <c r="J2263" s="505">
        <v>14.62</v>
      </c>
      <c r="K2263" s="505">
        <v>9.6999999999999993</v>
      </c>
      <c r="L2263" s="70"/>
    </row>
    <row r="2264" spans="1:12" ht="25.5" x14ac:dyDescent="0.25">
      <c r="A2264" s="501" t="s">
        <v>1732</v>
      </c>
      <c r="B2264" s="502" t="s">
        <v>1011</v>
      </c>
      <c r="C2264" s="501" t="s">
        <v>993</v>
      </c>
      <c r="D2264" s="501" t="s">
        <v>1012</v>
      </c>
      <c r="E2264" s="602" t="s">
        <v>972</v>
      </c>
      <c r="F2264" s="602"/>
      <c r="G2264" s="503" t="s">
        <v>81</v>
      </c>
      <c r="H2264" s="504">
        <v>0.33200000000000002</v>
      </c>
      <c r="I2264" s="504">
        <v>0</v>
      </c>
      <c r="J2264" s="505">
        <v>23.41</v>
      </c>
      <c r="K2264" s="505">
        <v>7.77</v>
      </c>
      <c r="L2264" s="70"/>
    </row>
    <row r="2265" spans="1:12" ht="25.5" x14ac:dyDescent="0.25">
      <c r="A2265" s="501" t="s">
        <v>1732</v>
      </c>
      <c r="B2265" s="502" t="s">
        <v>2583</v>
      </c>
      <c r="C2265" s="501" t="s">
        <v>1115</v>
      </c>
      <c r="D2265" s="501" t="s">
        <v>2584</v>
      </c>
      <c r="E2265" s="602" t="s">
        <v>1746</v>
      </c>
      <c r="F2265" s="602"/>
      <c r="G2265" s="503" t="s">
        <v>38</v>
      </c>
      <c r="H2265" s="504">
        <v>2</v>
      </c>
      <c r="I2265" s="504">
        <v>0</v>
      </c>
      <c r="J2265" s="505">
        <v>132.81</v>
      </c>
      <c r="K2265" s="505">
        <v>265.62</v>
      </c>
      <c r="L2265" s="70"/>
    </row>
    <row r="2266" spans="1:12" ht="15.75" customHeight="1" x14ac:dyDescent="0.25">
      <c r="A2266" s="445"/>
      <c r="B2266" s="445"/>
      <c r="C2266" s="445"/>
      <c r="D2266" s="445"/>
      <c r="E2266" s="445" t="s">
        <v>1735</v>
      </c>
      <c r="F2266" s="506">
        <v>25.17</v>
      </c>
      <c r="G2266" s="445" t="s">
        <v>1736</v>
      </c>
      <c r="H2266" s="506">
        <v>0</v>
      </c>
      <c r="I2266" s="445" t="s">
        <v>1737</v>
      </c>
      <c r="J2266" s="506">
        <v>25.17</v>
      </c>
      <c r="K2266" s="70"/>
      <c r="L2266" s="70"/>
    </row>
    <row r="2267" spans="1:12" ht="17.25" thickBot="1" x14ac:dyDescent="0.3">
      <c r="A2267" s="445"/>
      <c r="B2267" s="445"/>
      <c r="C2267" s="445"/>
      <c r="D2267" s="445"/>
      <c r="E2267" s="445" t="s">
        <v>1738</v>
      </c>
      <c r="F2267" s="506">
        <v>77.505120000000005</v>
      </c>
      <c r="G2267" s="445"/>
      <c r="H2267" s="606" t="s">
        <v>1739</v>
      </c>
      <c r="I2267" s="606"/>
      <c r="J2267" s="506">
        <v>392.05</v>
      </c>
      <c r="K2267" s="70"/>
      <c r="L2267" s="70"/>
    </row>
    <row r="2268" spans="1:12" ht="17.25" thickTop="1" x14ac:dyDescent="0.25">
      <c r="A2268" s="507"/>
      <c r="B2268" s="507"/>
      <c r="C2268" s="507"/>
      <c r="D2268" s="507"/>
      <c r="E2268" s="507"/>
      <c r="F2268" s="507"/>
      <c r="G2268" s="507"/>
      <c r="H2268" s="507"/>
      <c r="I2268" s="507"/>
      <c r="J2268" s="507"/>
      <c r="K2268" s="507"/>
      <c r="L2268" s="70"/>
    </row>
    <row r="2269" spans="1:12" ht="16.5" x14ac:dyDescent="0.25">
      <c r="A2269" s="419" t="s">
        <v>1691</v>
      </c>
      <c r="B2269" s="421" t="s">
        <v>76</v>
      </c>
      <c r="C2269" s="419" t="s">
        <v>991</v>
      </c>
      <c r="D2269" s="419" t="s">
        <v>191</v>
      </c>
      <c r="E2269" s="603" t="s">
        <v>77</v>
      </c>
      <c r="F2269" s="603"/>
      <c r="G2269" s="420" t="s">
        <v>103</v>
      </c>
      <c r="H2269" s="421" t="s">
        <v>147</v>
      </c>
      <c r="I2269" s="421" t="s">
        <v>1731</v>
      </c>
      <c r="J2269" s="421" t="s">
        <v>1117</v>
      </c>
      <c r="K2269" s="421" t="s">
        <v>104</v>
      </c>
      <c r="L2269" s="70"/>
    </row>
    <row r="2270" spans="1:12" ht="38.25" customHeight="1" x14ac:dyDescent="0.25">
      <c r="A2270" s="441" t="s">
        <v>79</v>
      </c>
      <c r="B2270" s="480" t="s">
        <v>1692</v>
      </c>
      <c r="C2270" s="441" t="s">
        <v>1168</v>
      </c>
      <c r="D2270" s="441" t="s">
        <v>876</v>
      </c>
      <c r="E2270" s="604" t="s">
        <v>2402</v>
      </c>
      <c r="F2270" s="604"/>
      <c r="G2270" s="443" t="s">
        <v>130</v>
      </c>
      <c r="H2270" s="500">
        <v>1</v>
      </c>
      <c r="I2270" s="442"/>
      <c r="J2270" s="442">
        <v>544.36</v>
      </c>
      <c r="K2270" s="442">
        <v>544.36</v>
      </c>
      <c r="L2270" s="70"/>
    </row>
    <row r="2271" spans="1:12" ht="38.25" customHeight="1" x14ac:dyDescent="0.25">
      <c r="A2271" s="510" t="s">
        <v>2123</v>
      </c>
      <c r="B2271" s="511" t="s">
        <v>2133</v>
      </c>
      <c r="C2271" s="510" t="s">
        <v>1168</v>
      </c>
      <c r="D2271" s="510" t="s">
        <v>2134</v>
      </c>
      <c r="E2271" s="605" t="s">
        <v>2126</v>
      </c>
      <c r="F2271" s="605"/>
      <c r="G2271" s="512" t="s">
        <v>2130</v>
      </c>
      <c r="H2271" s="513">
        <v>0.1135</v>
      </c>
      <c r="I2271" s="513"/>
      <c r="J2271" s="514">
        <v>209.43</v>
      </c>
      <c r="K2271" s="514">
        <v>23.77</v>
      </c>
      <c r="L2271" s="70"/>
    </row>
    <row r="2272" spans="1:12" ht="38.25" customHeight="1" x14ac:dyDescent="0.25">
      <c r="A2272" s="510" t="s">
        <v>2123</v>
      </c>
      <c r="B2272" s="511" t="s">
        <v>2137</v>
      </c>
      <c r="C2272" s="510" t="s">
        <v>1168</v>
      </c>
      <c r="D2272" s="510" t="s">
        <v>2138</v>
      </c>
      <c r="E2272" s="605" t="s">
        <v>2126</v>
      </c>
      <c r="F2272" s="605"/>
      <c r="G2272" s="512" t="s">
        <v>2127</v>
      </c>
      <c r="H2272" s="513">
        <v>0.22040000000000001</v>
      </c>
      <c r="I2272" s="513"/>
      <c r="J2272" s="514">
        <v>89.95</v>
      </c>
      <c r="K2272" s="514">
        <v>19.82</v>
      </c>
      <c r="L2272" s="70"/>
    </row>
    <row r="2273" spans="1:12" ht="25.5" x14ac:dyDescent="0.25">
      <c r="A2273" s="510" t="s">
        <v>2123</v>
      </c>
      <c r="B2273" s="511" t="s">
        <v>2580</v>
      </c>
      <c r="C2273" s="510" t="s">
        <v>1168</v>
      </c>
      <c r="D2273" s="510" t="s">
        <v>2581</v>
      </c>
      <c r="E2273" s="605" t="s">
        <v>2582</v>
      </c>
      <c r="F2273" s="605"/>
      <c r="G2273" s="512" t="s">
        <v>45</v>
      </c>
      <c r="H2273" s="513">
        <v>1.2200000000000001E-2</v>
      </c>
      <c r="I2273" s="513"/>
      <c r="J2273" s="514">
        <v>623.44000000000005</v>
      </c>
      <c r="K2273" s="514">
        <v>7.6</v>
      </c>
      <c r="L2273" s="70"/>
    </row>
    <row r="2274" spans="1:12" ht="25.5" x14ac:dyDescent="0.25">
      <c r="A2274" s="501" t="s">
        <v>1732</v>
      </c>
      <c r="B2274" s="502" t="s">
        <v>1011</v>
      </c>
      <c r="C2274" s="501" t="s">
        <v>993</v>
      </c>
      <c r="D2274" s="501" t="s">
        <v>1012</v>
      </c>
      <c r="E2274" s="602" t="s">
        <v>972</v>
      </c>
      <c r="F2274" s="602"/>
      <c r="G2274" s="503" t="s">
        <v>81</v>
      </c>
      <c r="H2274" s="504">
        <v>0.50739999999999996</v>
      </c>
      <c r="I2274" s="504">
        <v>0</v>
      </c>
      <c r="J2274" s="505">
        <v>23.41</v>
      </c>
      <c r="K2274" s="505">
        <v>11.87</v>
      </c>
      <c r="L2274" s="70"/>
    </row>
    <row r="2275" spans="1:12" ht="25.5" x14ac:dyDescent="0.25">
      <c r="A2275" s="501" t="s">
        <v>1732</v>
      </c>
      <c r="B2275" s="502" t="s">
        <v>992</v>
      </c>
      <c r="C2275" s="501" t="s">
        <v>993</v>
      </c>
      <c r="D2275" s="501" t="s">
        <v>994</v>
      </c>
      <c r="E2275" s="602" t="s">
        <v>972</v>
      </c>
      <c r="F2275" s="602"/>
      <c r="G2275" s="503" t="s">
        <v>81</v>
      </c>
      <c r="H2275" s="504">
        <v>1.0147999999999999</v>
      </c>
      <c r="I2275" s="504">
        <v>0</v>
      </c>
      <c r="J2275" s="505">
        <v>14.62</v>
      </c>
      <c r="K2275" s="505">
        <v>14.83</v>
      </c>
      <c r="L2275" s="70"/>
    </row>
    <row r="2276" spans="1:12" ht="25.5" x14ac:dyDescent="0.25">
      <c r="A2276" s="501" t="s">
        <v>1732</v>
      </c>
      <c r="B2276" s="502" t="s">
        <v>2585</v>
      </c>
      <c r="C2276" s="501" t="s">
        <v>1115</v>
      </c>
      <c r="D2276" s="501" t="s">
        <v>2586</v>
      </c>
      <c r="E2276" s="602" t="s">
        <v>1746</v>
      </c>
      <c r="F2276" s="602"/>
      <c r="G2276" s="503" t="s">
        <v>130</v>
      </c>
      <c r="H2276" s="504">
        <v>1</v>
      </c>
      <c r="I2276" s="504">
        <v>0</v>
      </c>
      <c r="J2276" s="505">
        <v>466.47</v>
      </c>
      <c r="K2276" s="505">
        <v>466.47</v>
      </c>
      <c r="L2276" s="70"/>
    </row>
    <row r="2277" spans="1:12" ht="15.75" customHeight="1" x14ac:dyDescent="0.25">
      <c r="A2277" s="445"/>
      <c r="B2277" s="445"/>
      <c r="C2277" s="445"/>
      <c r="D2277" s="445"/>
      <c r="E2277" s="445" t="s">
        <v>1735</v>
      </c>
      <c r="F2277" s="506">
        <v>39.1</v>
      </c>
      <c r="G2277" s="445" t="s">
        <v>1736</v>
      </c>
      <c r="H2277" s="506">
        <v>0</v>
      </c>
      <c r="I2277" s="445" t="s">
        <v>1737</v>
      </c>
      <c r="J2277" s="506">
        <v>39.1</v>
      </c>
      <c r="K2277" s="70"/>
      <c r="L2277" s="70"/>
    </row>
    <row r="2278" spans="1:12" ht="17.25" thickBot="1" x14ac:dyDescent="0.3">
      <c r="A2278" s="445"/>
      <c r="B2278" s="445"/>
      <c r="C2278" s="445"/>
      <c r="D2278" s="445"/>
      <c r="E2278" s="445" t="s">
        <v>1738</v>
      </c>
      <c r="F2278" s="506">
        <v>134.130304</v>
      </c>
      <c r="G2278" s="445"/>
      <c r="H2278" s="606" t="s">
        <v>1739</v>
      </c>
      <c r="I2278" s="606"/>
      <c r="J2278" s="506">
        <v>678.49</v>
      </c>
      <c r="K2278" s="70"/>
      <c r="L2278" s="70"/>
    </row>
    <row r="2279" spans="1:12" ht="17.25" thickTop="1" x14ac:dyDescent="0.25">
      <c r="A2279" s="507"/>
      <c r="B2279" s="507"/>
      <c r="C2279" s="507"/>
      <c r="D2279" s="507"/>
      <c r="E2279" s="507"/>
      <c r="F2279" s="507"/>
      <c r="G2279" s="507"/>
      <c r="H2279" s="507"/>
      <c r="I2279" s="507"/>
      <c r="J2279" s="507"/>
      <c r="K2279" s="507"/>
      <c r="L2279" s="70"/>
    </row>
    <row r="2280" spans="1:12" ht="16.5" x14ac:dyDescent="0.25">
      <c r="A2280" s="419" t="s">
        <v>1693</v>
      </c>
      <c r="B2280" s="421" t="s">
        <v>76</v>
      </c>
      <c r="C2280" s="419" t="s">
        <v>991</v>
      </c>
      <c r="D2280" s="419" t="s">
        <v>191</v>
      </c>
      <c r="E2280" s="603" t="s">
        <v>77</v>
      </c>
      <c r="F2280" s="603"/>
      <c r="G2280" s="420" t="s">
        <v>103</v>
      </c>
      <c r="H2280" s="421" t="s">
        <v>147</v>
      </c>
      <c r="I2280" s="421" t="s">
        <v>1731</v>
      </c>
      <c r="J2280" s="421" t="s">
        <v>1117</v>
      </c>
      <c r="K2280" s="421" t="s">
        <v>104</v>
      </c>
      <c r="L2280" s="70"/>
    </row>
    <row r="2281" spans="1:12" ht="38.25" customHeight="1" x14ac:dyDescent="0.25">
      <c r="A2281" s="441" t="s">
        <v>79</v>
      </c>
      <c r="B2281" s="480" t="s">
        <v>1694</v>
      </c>
      <c r="C2281" s="441" t="s">
        <v>1168</v>
      </c>
      <c r="D2281" s="441" t="s">
        <v>878</v>
      </c>
      <c r="E2281" s="604" t="s">
        <v>2402</v>
      </c>
      <c r="F2281" s="604"/>
      <c r="G2281" s="443" t="s">
        <v>130</v>
      </c>
      <c r="H2281" s="500">
        <v>1</v>
      </c>
      <c r="I2281" s="442"/>
      <c r="J2281" s="442">
        <v>745.3</v>
      </c>
      <c r="K2281" s="442">
        <v>745.3</v>
      </c>
      <c r="L2281" s="70"/>
    </row>
    <row r="2282" spans="1:12" ht="38.25" customHeight="1" x14ac:dyDescent="0.25">
      <c r="A2282" s="510" t="s">
        <v>2123</v>
      </c>
      <c r="B2282" s="511" t="s">
        <v>2133</v>
      </c>
      <c r="C2282" s="510" t="s">
        <v>1168</v>
      </c>
      <c r="D2282" s="510" t="s">
        <v>2134</v>
      </c>
      <c r="E2282" s="605" t="s">
        <v>2126</v>
      </c>
      <c r="F2282" s="605"/>
      <c r="G2282" s="512" t="s">
        <v>2130</v>
      </c>
      <c r="H2282" s="513">
        <v>0.15279999999999999</v>
      </c>
      <c r="I2282" s="513"/>
      <c r="J2282" s="514">
        <v>209.43</v>
      </c>
      <c r="K2282" s="514">
        <v>32</v>
      </c>
      <c r="L2282" s="70"/>
    </row>
    <row r="2283" spans="1:12" ht="38.25" customHeight="1" x14ac:dyDescent="0.25">
      <c r="A2283" s="510" t="s">
        <v>2123</v>
      </c>
      <c r="B2283" s="511" t="s">
        <v>2137</v>
      </c>
      <c r="C2283" s="510" t="s">
        <v>1168</v>
      </c>
      <c r="D2283" s="510" t="s">
        <v>2138</v>
      </c>
      <c r="E2283" s="605" t="s">
        <v>2126</v>
      </c>
      <c r="F2283" s="605"/>
      <c r="G2283" s="512" t="s">
        <v>2127</v>
      </c>
      <c r="H2283" s="513">
        <v>0.29659999999999997</v>
      </c>
      <c r="I2283" s="513"/>
      <c r="J2283" s="514">
        <v>89.95</v>
      </c>
      <c r="K2283" s="514">
        <v>26.67</v>
      </c>
      <c r="L2283" s="70"/>
    </row>
    <row r="2284" spans="1:12" ht="25.5" x14ac:dyDescent="0.25">
      <c r="A2284" s="510" t="s">
        <v>2123</v>
      </c>
      <c r="B2284" s="511" t="s">
        <v>2580</v>
      </c>
      <c r="C2284" s="510" t="s">
        <v>1168</v>
      </c>
      <c r="D2284" s="510" t="s">
        <v>2581</v>
      </c>
      <c r="E2284" s="605" t="s">
        <v>2582</v>
      </c>
      <c r="F2284" s="605"/>
      <c r="G2284" s="512" t="s">
        <v>45</v>
      </c>
      <c r="H2284" s="513">
        <v>2.3E-2</v>
      </c>
      <c r="I2284" s="513"/>
      <c r="J2284" s="514">
        <v>623.44000000000005</v>
      </c>
      <c r="K2284" s="514">
        <v>14.33</v>
      </c>
      <c r="L2284" s="70"/>
    </row>
    <row r="2285" spans="1:12" ht="25.5" x14ac:dyDescent="0.25">
      <c r="A2285" s="501" t="s">
        <v>1732</v>
      </c>
      <c r="B2285" s="502" t="s">
        <v>1011</v>
      </c>
      <c r="C2285" s="501" t="s">
        <v>993</v>
      </c>
      <c r="D2285" s="501" t="s">
        <v>1012</v>
      </c>
      <c r="E2285" s="602" t="s">
        <v>972</v>
      </c>
      <c r="F2285" s="602"/>
      <c r="G2285" s="503" t="s">
        <v>81</v>
      </c>
      <c r="H2285" s="504">
        <v>0.68279999999999996</v>
      </c>
      <c r="I2285" s="504">
        <v>0</v>
      </c>
      <c r="J2285" s="505">
        <v>23.41</v>
      </c>
      <c r="K2285" s="505">
        <v>15.98</v>
      </c>
      <c r="L2285" s="70"/>
    </row>
    <row r="2286" spans="1:12" ht="25.5" x14ac:dyDescent="0.25">
      <c r="A2286" s="501" t="s">
        <v>1732</v>
      </c>
      <c r="B2286" s="502" t="s">
        <v>992</v>
      </c>
      <c r="C2286" s="501" t="s">
        <v>993</v>
      </c>
      <c r="D2286" s="501" t="s">
        <v>994</v>
      </c>
      <c r="E2286" s="602" t="s">
        <v>972</v>
      </c>
      <c r="F2286" s="602"/>
      <c r="G2286" s="503" t="s">
        <v>81</v>
      </c>
      <c r="H2286" s="504">
        <v>1.3655999999999999</v>
      </c>
      <c r="I2286" s="504">
        <v>0</v>
      </c>
      <c r="J2286" s="505">
        <v>14.62</v>
      </c>
      <c r="K2286" s="505">
        <v>19.96</v>
      </c>
      <c r="L2286" s="70"/>
    </row>
    <row r="2287" spans="1:12" ht="38.25" x14ac:dyDescent="0.25">
      <c r="A2287" s="501" t="s">
        <v>1732</v>
      </c>
      <c r="B2287" s="502" t="s">
        <v>2587</v>
      </c>
      <c r="C2287" s="501" t="s">
        <v>1115</v>
      </c>
      <c r="D2287" s="501" t="s">
        <v>2588</v>
      </c>
      <c r="E2287" s="602" t="s">
        <v>1746</v>
      </c>
      <c r="F2287" s="602"/>
      <c r="G2287" s="503" t="s">
        <v>38</v>
      </c>
      <c r="H2287" s="504">
        <v>2</v>
      </c>
      <c r="I2287" s="504">
        <v>0</v>
      </c>
      <c r="J2287" s="505">
        <v>318.18</v>
      </c>
      <c r="K2287" s="505">
        <v>636.36</v>
      </c>
      <c r="L2287" s="70"/>
    </row>
    <row r="2288" spans="1:12" ht="15.75" customHeight="1" x14ac:dyDescent="0.25">
      <c r="A2288" s="445"/>
      <c r="B2288" s="445"/>
      <c r="C2288" s="445"/>
      <c r="D2288" s="445"/>
      <c r="E2288" s="445" t="s">
        <v>1735</v>
      </c>
      <c r="F2288" s="506">
        <v>53.47</v>
      </c>
      <c r="G2288" s="445" t="s">
        <v>1736</v>
      </c>
      <c r="H2288" s="506">
        <v>0</v>
      </c>
      <c r="I2288" s="445" t="s">
        <v>1737</v>
      </c>
      <c r="J2288" s="506">
        <v>53.47</v>
      </c>
      <c r="K2288" s="70"/>
      <c r="L2288" s="70"/>
    </row>
    <row r="2289" spans="1:12" ht="17.25" thickBot="1" x14ac:dyDescent="0.3">
      <c r="A2289" s="445"/>
      <c r="B2289" s="445"/>
      <c r="C2289" s="445"/>
      <c r="D2289" s="445"/>
      <c r="E2289" s="445" t="s">
        <v>1738</v>
      </c>
      <c r="F2289" s="506">
        <v>183.64192</v>
      </c>
      <c r="G2289" s="445"/>
      <c r="H2289" s="606" t="s">
        <v>1739</v>
      </c>
      <c r="I2289" s="606"/>
      <c r="J2289" s="506">
        <v>928.94</v>
      </c>
      <c r="K2289" s="70"/>
      <c r="L2289" s="70"/>
    </row>
    <row r="2290" spans="1:12" ht="17.25" thickTop="1" x14ac:dyDescent="0.25">
      <c r="A2290" s="507"/>
      <c r="B2290" s="507"/>
      <c r="C2290" s="507"/>
      <c r="D2290" s="507"/>
      <c r="E2290" s="507"/>
      <c r="F2290" s="507"/>
      <c r="G2290" s="507"/>
      <c r="H2290" s="507"/>
      <c r="I2290" s="507"/>
      <c r="J2290" s="507"/>
      <c r="K2290" s="507"/>
      <c r="L2290" s="70"/>
    </row>
    <row r="2291" spans="1:12" ht="25.5" customHeight="1" x14ac:dyDescent="0.25">
      <c r="A2291" s="419" t="s">
        <v>1695</v>
      </c>
      <c r="B2291" s="421" t="s">
        <v>76</v>
      </c>
      <c r="C2291" s="419" t="s">
        <v>991</v>
      </c>
      <c r="D2291" s="419" t="s">
        <v>191</v>
      </c>
      <c r="E2291" s="603" t="s">
        <v>77</v>
      </c>
      <c r="F2291" s="603"/>
      <c r="G2291" s="420" t="s">
        <v>103</v>
      </c>
      <c r="H2291" s="421" t="s">
        <v>147</v>
      </c>
      <c r="I2291" s="421" t="s">
        <v>1731</v>
      </c>
      <c r="J2291" s="421" t="s">
        <v>1117</v>
      </c>
      <c r="K2291" s="421" t="s">
        <v>104</v>
      </c>
      <c r="L2291" s="70"/>
    </row>
    <row r="2292" spans="1:12" ht="25.5" x14ac:dyDescent="0.25">
      <c r="A2292" s="441" t="s">
        <v>79</v>
      </c>
      <c r="B2292" s="480" t="s">
        <v>1696</v>
      </c>
      <c r="C2292" s="441" t="s">
        <v>1168</v>
      </c>
      <c r="D2292" s="441" t="s">
        <v>881</v>
      </c>
      <c r="E2292" s="604" t="s">
        <v>2589</v>
      </c>
      <c r="F2292" s="604"/>
      <c r="G2292" s="443" t="s">
        <v>38</v>
      </c>
      <c r="H2292" s="500">
        <v>1</v>
      </c>
      <c r="I2292" s="442"/>
      <c r="J2292" s="442">
        <v>517.28</v>
      </c>
      <c r="K2292" s="442">
        <v>517.28</v>
      </c>
      <c r="L2292" s="70"/>
    </row>
    <row r="2293" spans="1:12" ht="25.5" x14ac:dyDescent="0.25">
      <c r="A2293" s="510" t="s">
        <v>2123</v>
      </c>
      <c r="B2293" s="511" t="s">
        <v>2580</v>
      </c>
      <c r="C2293" s="510" t="s">
        <v>1168</v>
      </c>
      <c r="D2293" s="510" t="s">
        <v>2581</v>
      </c>
      <c r="E2293" s="605" t="s">
        <v>2582</v>
      </c>
      <c r="F2293" s="605"/>
      <c r="G2293" s="512" t="s">
        <v>45</v>
      </c>
      <c r="H2293" s="513">
        <v>0.02</v>
      </c>
      <c r="I2293" s="513"/>
      <c r="J2293" s="514">
        <v>623.44000000000005</v>
      </c>
      <c r="K2293" s="514">
        <v>12.46</v>
      </c>
      <c r="L2293" s="70"/>
    </row>
    <row r="2294" spans="1:12" ht="16.5" x14ac:dyDescent="0.25">
      <c r="A2294" s="501" t="s">
        <v>1732</v>
      </c>
      <c r="B2294" s="502" t="s">
        <v>2590</v>
      </c>
      <c r="C2294" s="501" t="s">
        <v>2448</v>
      </c>
      <c r="D2294" s="501" t="s">
        <v>2591</v>
      </c>
      <c r="E2294" s="602" t="s">
        <v>922</v>
      </c>
      <c r="F2294" s="602"/>
      <c r="G2294" s="503" t="s">
        <v>81</v>
      </c>
      <c r="H2294" s="504">
        <v>0.5</v>
      </c>
      <c r="I2294" s="504"/>
      <c r="J2294" s="505">
        <v>172.71</v>
      </c>
      <c r="K2294" s="505">
        <v>86.35</v>
      </c>
      <c r="L2294" s="70"/>
    </row>
    <row r="2295" spans="1:12" ht="25.5" x14ac:dyDescent="0.25">
      <c r="A2295" s="501" t="s">
        <v>1732</v>
      </c>
      <c r="B2295" s="502" t="s">
        <v>2592</v>
      </c>
      <c r="C2295" s="501" t="s">
        <v>1115</v>
      </c>
      <c r="D2295" s="501" t="s">
        <v>2593</v>
      </c>
      <c r="E2295" s="602" t="s">
        <v>1746</v>
      </c>
      <c r="F2295" s="602"/>
      <c r="G2295" s="503" t="s">
        <v>38</v>
      </c>
      <c r="H2295" s="504">
        <v>1</v>
      </c>
      <c r="I2295" s="504">
        <v>0</v>
      </c>
      <c r="J2295" s="505">
        <v>372.84</v>
      </c>
      <c r="K2295" s="505">
        <v>372.84</v>
      </c>
      <c r="L2295" s="70"/>
    </row>
    <row r="2296" spans="1:12" ht="25.5" x14ac:dyDescent="0.25">
      <c r="A2296" s="501" t="s">
        <v>1732</v>
      </c>
      <c r="B2296" s="502" t="s">
        <v>992</v>
      </c>
      <c r="C2296" s="501" t="s">
        <v>993</v>
      </c>
      <c r="D2296" s="501" t="s">
        <v>994</v>
      </c>
      <c r="E2296" s="602" t="s">
        <v>972</v>
      </c>
      <c r="F2296" s="602"/>
      <c r="G2296" s="503" t="s">
        <v>81</v>
      </c>
      <c r="H2296" s="504">
        <v>1.2</v>
      </c>
      <c r="I2296" s="504">
        <v>0</v>
      </c>
      <c r="J2296" s="505">
        <v>14.62</v>
      </c>
      <c r="K2296" s="505">
        <v>17.54</v>
      </c>
      <c r="L2296" s="70"/>
    </row>
    <row r="2297" spans="1:12" ht="25.5" x14ac:dyDescent="0.25">
      <c r="A2297" s="501" t="s">
        <v>1732</v>
      </c>
      <c r="B2297" s="502" t="s">
        <v>1003</v>
      </c>
      <c r="C2297" s="501" t="s">
        <v>993</v>
      </c>
      <c r="D2297" s="501" t="s">
        <v>1004</v>
      </c>
      <c r="E2297" s="602" t="s">
        <v>972</v>
      </c>
      <c r="F2297" s="602"/>
      <c r="G2297" s="503" t="s">
        <v>81</v>
      </c>
      <c r="H2297" s="504">
        <v>1.2</v>
      </c>
      <c r="I2297" s="504">
        <v>0</v>
      </c>
      <c r="J2297" s="505">
        <v>23.41</v>
      </c>
      <c r="K2297" s="505">
        <v>28.09</v>
      </c>
      <c r="L2297" s="70"/>
    </row>
    <row r="2298" spans="1:12" ht="15.75" customHeight="1" x14ac:dyDescent="0.25">
      <c r="A2298" s="445"/>
      <c r="B2298" s="445"/>
      <c r="C2298" s="445"/>
      <c r="D2298" s="445"/>
      <c r="E2298" s="445" t="s">
        <v>1735</v>
      </c>
      <c r="F2298" s="506">
        <v>48.13</v>
      </c>
      <c r="G2298" s="445" t="s">
        <v>1736</v>
      </c>
      <c r="H2298" s="506">
        <v>0</v>
      </c>
      <c r="I2298" s="445" t="s">
        <v>1737</v>
      </c>
      <c r="J2298" s="506">
        <v>48.13</v>
      </c>
      <c r="K2298" s="70"/>
      <c r="L2298" s="70"/>
    </row>
    <row r="2299" spans="1:12" ht="17.25" thickBot="1" x14ac:dyDescent="0.3">
      <c r="A2299" s="445"/>
      <c r="B2299" s="445"/>
      <c r="C2299" s="445"/>
      <c r="D2299" s="445"/>
      <c r="E2299" s="445" t="s">
        <v>1738</v>
      </c>
      <c r="F2299" s="506">
        <v>127.457792</v>
      </c>
      <c r="G2299" s="445"/>
      <c r="H2299" s="606" t="s">
        <v>1739</v>
      </c>
      <c r="I2299" s="606"/>
      <c r="J2299" s="506">
        <v>644.73</v>
      </c>
      <c r="K2299" s="70"/>
      <c r="L2299" s="70"/>
    </row>
    <row r="2300" spans="1:12" ht="17.25" thickTop="1" x14ac:dyDescent="0.25">
      <c r="A2300" s="507"/>
      <c r="B2300" s="507"/>
      <c r="C2300" s="507"/>
      <c r="D2300" s="507"/>
      <c r="E2300" s="507"/>
      <c r="F2300" s="507"/>
      <c r="G2300" s="507"/>
      <c r="H2300" s="507"/>
      <c r="I2300" s="507"/>
      <c r="J2300" s="507"/>
      <c r="K2300" s="507"/>
      <c r="L2300" s="70"/>
    </row>
    <row r="2301" spans="1:12" ht="25.5" customHeight="1" x14ac:dyDescent="0.25">
      <c r="A2301" s="419" t="s">
        <v>1697</v>
      </c>
      <c r="B2301" s="421" t="s">
        <v>76</v>
      </c>
      <c r="C2301" s="419" t="s">
        <v>991</v>
      </c>
      <c r="D2301" s="419" t="s">
        <v>191</v>
      </c>
      <c r="E2301" s="603" t="s">
        <v>77</v>
      </c>
      <c r="F2301" s="603"/>
      <c r="G2301" s="420" t="s">
        <v>103</v>
      </c>
      <c r="H2301" s="421" t="s">
        <v>147</v>
      </c>
      <c r="I2301" s="421" t="s">
        <v>1731</v>
      </c>
      <c r="J2301" s="421" t="s">
        <v>1117</v>
      </c>
      <c r="K2301" s="421" t="s">
        <v>104</v>
      </c>
      <c r="L2301" s="70"/>
    </row>
    <row r="2302" spans="1:12" ht="25.5" x14ac:dyDescent="0.25">
      <c r="A2302" s="441" t="s">
        <v>79</v>
      </c>
      <c r="B2302" s="480" t="s">
        <v>1698</v>
      </c>
      <c r="C2302" s="441" t="s">
        <v>1168</v>
      </c>
      <c r="D2302" s="441" t="s">
        <v>884</v>
      </c>
      <c r="E2302" s="604" t="s">
        <v>2589</v>
      </c>
      <c r="F2302" s="604"/>
      <c r="G2302" s="443" t="s">
        <v>38</v>
      </c>
      <c r="H2302" s="500">
        <v>1</v>
      </c>
      <c r="I2302" s="442"/>
      <c r="J2302" s="442">
        <v>389.8</v>
      </c>
      <c r="K2302" s="442">
        <v>389.8</v>
      </c>
      <c r="L2302" s="70"/>
    </row>
    <row r="2303" spans="1:12" ht="25.5" x14ac:dyDescent="0.25">
      <c r="A2303" s="510" t="s">
        <v>2123</v>
      </c>
      <c r="B2303" s="511" t="s">
        <v>2580</v>
      </c>
      <c r="C2303" s="510" t="s">
        <v>1168</v>
      </c>
      <c r="D2303" s="510" t="s">
        <v>2581</v>
      </c>
      <c r="E2303" s="605" t="s">
        <v>2582</v>
      </c>
      <c r="F2303" s="605"/>
      <c r="G2303" s="512" t="s">
        <v>45</v>
      </c>
      <c r="H2303" s="513">
        <v>0.02</v>
      </c>
      <c r="I2303" s="513"/>
      <c r="J2303" s="514">
        <v>623.44000000000005</v>
      </c>
      <c r="K2303" s="514">
        <v>12.46</v>
      </c>
      <c r="L2303" s="70"/>
    </row>
    <row r="2304" spans="1:12" ht="16.5" x14ac:dyDescent="0.25">
      <c r="A2304" s="501" t="s">
        <v>1732</v>
      </c>
      <c r="B2304" s="502" t="s">
        <v>2590</v>
      </c>
      <c r="C2304" s="501" t="s">
        <v>2448</v>
      </c>
      <c r="D2304" s="501" t="s">
        <v>2591</v>
      </c>
      <c r="E2304" s="602" t="s">
        <v>922</v>
      </c>
      <c r="F2304" s="602"/>
      <c r="G2304" s="503" t="s">
        <v>81</v>
      </c>
      <c r="H2304" s="504">
        <v>0.5</v>
      </c>
      <c r="I2304" s="504"/>
      <c r="J2304" s="505">
        <v>172.71</v>
      </c>
      <c r="K2304" s="505">
        <v>86.35</v>
      </c>
      <c r="L2304" s="70"/>
    </row>
    <row r="2305" spans="1:12" ht="25.5" x14ac:dyDescent="0.25">
      <c r="A2305" s="501" t="s">
        <v>1732</v>
      </c>
      <c r="B2305" s="502" t="s">
        <v>992</v>
      </c>
      <c r="C2305" s="501" t="s">
        <v>993</v>
      </c>
      <c r="D2305" s="501" t="s">
        <v>994</v>
      </c>
      <c r="E2305" s="602" t="s">
        <v>972</v>
      </c>
      <c r="F2305" s="602"/>
      <c r="G2305" s="503" t="s">
        <v>81</v>
      </c>
      <c r="H2305" s="504">
        <v>1.2</v>
      </c>
      <c r="I2305" s="504">
        <v>0</v>
      </c>
      <c r="J2305" s="505">
        <v>14.62</v>
      </c>
      <c r="K2305" s="505">
        <v>17.54</v>
      </c>
      <c r="L2305" s="70"/>
    </row>
    <row r="2306" spans="1:12" ht="25.5" x14ac:dyDescent="0.25">
      <c r="A2306" s="501" t="s">
        <v>1732</v>
      </c>
      <c r="B2306" s="502" t="s">
        <v>1003</v>
      </c>
      <c r="C2306" s="501" t="s">
        <v>993</v>
      </c>
      <c r="D2306" s="501" t="s">
        <v>1004</v>
      </c>
      <c r="E2306" s="602" t="s">
        <v>972</v>
      </c>
      <c r="F2306" s="602"/>
      <c r="G2306" s="503" t="s">
        <v>81</v>
      </c>
      <c r="H2306" s="504">
        <v>1.2</v>
      </c>
      <c r="I2306" s="504">
        <v>0</v>
      </c>
      <c r="J2306" s="505">
        <v>23.41</v>
      </c>
      <c r="K2306" s="505">
        <v>28.09</v>
      </c>
      <c r="L2306" s="70"/>
    </row>
    <row r="2307" spans="1:12" ht="25.5" x14ac:dyDescent="0.25">
      <c r="A2307" s="501" t="s">
        <v>1732</v>
      </c>
      <c r="B2307" s="502" t="s">
        <v>2594</v>
      </c>
      <c r="C2307" s="501" t="s">
        <v>1115</v>
      </c>
      <c r="D2307" s="501" t="s">
        <v>2595</v>
      </c>
      <c r="E2307" s="602" t="s">
        <v>1746</v>
      </c>
      <c r="F2307" s="602"/>
      <c r="G2307" s="503" t="s">
        <v>38</v>
      </c>
      <c r="H2307" s="504">
        <v>2</v>
      </c>
      <c r="I2307" s="504">
        <v>0</v>
      </c>
      <c r="J2307" s="505">
        <v>86.11</v>
      </c>
      <c r="K2307" s="505">
        <v>172.22</v>
      </c>
      <c r="L2307" s="70"/>
    </row>
    <row r="2308" spans="1:12" ht="16.5" x14ac:dyDescent="0.25">
      <c r="A2308" s="501" t="s">
        <v>1732</v>
      </c>
      <c r="B2308" s="502" t="s">
        <v>2596</v>
      </c>
      <c r="C2308" s="501" t="s">
        <v>2448</v>
      </c>
      <c r="D2308" s="501" t="s">
        <v>2597</v>
      </c>
      <c r="E2308" s="602" t="s">
        <v>1746</v>
      </c>
      <c r="F2308" s="602"/>
      <c r="G2308" s="503" t="s">
        <v>38</v>
      </c>
      <c r="H2308" s="504">
        <v>1</v>
      </c>
      <c r="I2308" s="504">
        <v>0</v>
      </c>
      <c r="J2308" s="505">
        <v>73.14</v>
      </c>
      <c r="K2308" s="505">
        <v>73.14</v>
      </c>
      <c r="L2308" s="70"/>
    </row>
    <row r="2309" spans="1:12" ht="15.75" customHeight="1" x14ac:dyDescent="0.25">
      <c r="A2309" s="445"/>
      <c r="B2309" s="445"/>
      <c r="C2309" s="445"/>
      <c r="D2309" s="445"/>
      <c r="E2309" s="445" t="s">
        <v>1735</v>
      </c>
      <c r="F2309" s="506">
        <v>48.13</v>
      </c>
      <c r="G2309" s="445" t="s">
        <v>1736</v>
      </c>
      <c r="H2309" s="506">
        <v>0</v>
      </c>
      <c r="I2309" s="445" t="s">
        <v>1737</v>
      </c>
      <c r="J2309" s="506">
        <v>48.13</v>
      </c>
      <c r="K2309" s="70"/>
      <c r="L2309" s="70"/>
    </row>
    <row r="2310" spans="1:12" ht="17.25" thickBot="1" x14ac:dyDescent="0.3">
      <c r="A2310" s="445"/>
      <c r="B2310" s="445"/>
      <c r="C2310" s="445"/>
      <c r="D2310" s="445"/>
      <c r="E2310" s="445" t="s">
        <v>1738</v>
      </c>
      <c r="F2310" s="506">
        <v>96.046719999999993</v>
      </c>
      <c r="G2310" s="445"/>
      <c r="H2310" s="606" t="s">
        <v>1739</v>
      </c>
      <c r="I2310" s="606"/>
      <c r="J2310" s="506">
        <v>485.84</v>
      </c>
      <c r="K2310" s="70"/>
      <c r="L2310" s="70"/>
    </row>
    <row r="2311" spans="1:12" ht="17.25" thickTop="1" x14ac:dyDescent="0.25">
      <c r="A2311" s="507"/>
      <c r="B2311" s="507"/>
      <c r="C2311" s="507"/>
      <c r="D2311" s="507"/>
      <c r="E2311" s="507"/>
      <c r="F2311" s="507"/>
      <c r="G2311" s="507"/>
      <c r="H2311" s="507"/>
      <c r="I2311" s="507"/>
      <c r="J2311" s="507"/>
      <c r="K2311" s="507"/>
      <c r="L2311" s="70"/>
    </row>
    <row r="2312" spans="1:12" ht="25.5" customHeight="1" x14ac:dyDescent="0.25">
      <c r="A2312" s="419" t="s">
        <v>1699</v>
      </c>
      <c r="B2312" s="421" t="s">
        <v>76</v>
      </c>
      <c r="C2312" s="419" t="s">
        <v>991</v>
      </c>
      <c r="D2312" s="419" t="s">
        <v>191</v>
      </c>
      <c r="E2312" s="603" t="s">
        <v>77</v>
      </c>
      <c r="F2312" s="603"/>
      <c r="G2312" s="420" t="s">
        <v>103</v>
      </c>
      <c r="H2312" s="421" t="s">
        <v>147</v>
      </c>
      <c r="I2312" s="421" t="s">
        <v>1731</v>
      </c>
      <c r="J2312" s="421" t="s">
        <v>1117</v>
      </c>
      <c r="K2312" s="421" t="s">
        <v>104</v>
      </c>
      <c r="L2312" s="70"/>
    </row>
    <row r="2313" spans="1:12" ht="25.5" x14ac:dyDescent="0.25">
      <c r="A2313" s="441" t="s">
        <v>79</v>
      </c>
      <c r="B2313" s="480" t="s">
        <v>1700</v>
      </c>
      <c r="C2313" s="441" t="s">
        <v>1168</v>
      </c>
      <c r="D2313" s="441" t="s">
        <v>920</v>
      </c>
      <c r="E2313" s="604" t="s">
        <v>2598</v>
      </c>
      <c r="F2313" s="604"/>
      <c r="G2313" s="443" t="s">
        <v>38</v>
      </c>
      <c r="H2313" s="500">
        <v>1</v>
      </c>
      <c r="I2313" s="442"/>
      <c r="J2313" s="442">
        <v>491481.51</v>
      </c>
      <c r="K2313" s="442">
        <v>491481.51</v>
      </c>
      <c r="L2313" s="70"/>
    </row>
    <row r="2314" spans="1:12" ht="16.5" x14ac:dyDescent="0.25">
      <c r="A2314" s="501" t="s">
        <v>1732</v>
      </c>
      <c r="B2314" s="502" t="s">
        <v>2599</v>
      </c>
      <c r="C2314" s="501" t="s">
        <v>1168</v>
      </c>
      <c r="D2314" s="501" t="s">
        <v>2600</v>
      </c>
      <c r="E2314" s="602" t="s">
        <v>1746</v>
      </c>
      <c r="F2314" s="602"/>
      <c r="G2314" s="503" t="s">
        <v>38</v>
      </c>
      <c r="H2314" s="504">
        <v>1</v>
      </c>
      <c r="I2314" s="504">
        <v>0</v>
      </c>
      <c r="J2314" s="505">
        <v>491481.51</v>
      </c>
      <c r="K2314" s="505">
        <v>491481.51</v>
      </c>
      <c r="L2314" s="70"/>
    </row>
    <row r="2315" spans="1:12" ht="15.75" customHeight="1" x14ac:dyDescent="0.25">
      <c r="A2315" s="445"/>
      <c r="B2315" s="445"/>
      <c r="C2315" s="445"/>
      <c r="D2315" s="445"/>
      <c r="E2315" s="445" t="s">
        <v>1735</v>
      </c>
      <c r="F2315" s="506">
        <v>0</v>
      </c>
      <c r="G2315" s="445" t="s">
        <v>1736</v>
      </c>
      <c r="H2315" s="506">
        <v>0</v>
      </c>
      <c r="I2315" s="445" t="s">
        <v>1737</v>
      </c>
      <c r="J2315" s="506">
        <v>0</v>
      </c>
      <c r="K2315" s="70"/>
      <c r="L2315" s="70"/>
    </row>
    <row r="2316" spans="1:12" ht="17.25" thickBot="1" x14ac:dyDescent="0.3">
      <c r="A2316" s="445"/>
      <c r="B2316" s="445"/>
      <c r="C2316" s="445"/>
      <c r="D2316" s="445"/>
      <c r="E2316" s="445" t="s">
        <v>1738</v>
      </c>
      <c r="F2316" s="506">
        <v>121101.044064</v>
      </c>
      <c r="G2316" s="445"/>
      <c r="H2316" s="606" t="s">
        <v>1739</v>
      </c>
      <c r="I2316" s="606"/>
      <c r="J2316" s="506">
        <v>612582.55000000005</v>
      </c>
      <c r="K2316" s="70"/>
      <c r="L2316" s="70"/>
    </row>
    <row r="2317" spans="1:12" ht="17.25" thickTop="1" x14ac:dyDescent="0.25">
      <c r="A2317" s="507"/>
      <c r="B2317" s="507"/>
      <c r="C2317" s="507"/>
      <c r="D2317" s="507"/>
      <c r="E2317" s="507"/>
      <c r="F2317" s="507"/>
      <c r="G2317" s="507"/>
      <c r="H2317" s="507"/>
      <c r="I2317" s="507"/>
      <c r="J2317" s="507"/>
      <c r="K2317" s="507"/>
      <c r="L2317" s="70"/>
    </row>
    <row r="2318" spans="1:12" ht="16.5" x14ac:dyDescent="0.25">
      <c r="A2318" s="419" t="s">
        <v>1702</v>
      </c>
      <c r="B2318" s="421" t="s">
        <v>76</v>
      </c>
      <c r="C2318" s="419" t="s">
        <v>991</v>
      </c>
      <c r="D2318" s="419" t="s">
        <v>191</v>
      </c>
      <c r="E2318" s="603" t="s">
        <v>77</v>
      </c>
      <c r="F2318" s="603"/>
      <c r="G2318" s="420" t="s">
        <v>103</v>
      </c>
      <c r="H2318" s="421" t="s">
        <v>147</v>
      </c>
      <c r="I2318" s="421" t="s">
        <v>1731</v>
      </c>
      <c r="J2318" s="421" t="s">
        <v>1117</v>
      </c>
      <c r="K2318" s="421" t="s">
        <v>104</v>
      </c>
      <c r="L2318" s="70"/>
    </row>
    <row r="2319" spans="1:12" ht="25.5" x14ac:dyDescent="0.25">
      <c r="A2319" s="441" t="s">
        <v>79</v>
      </c>
      <c r="B2319" s="480" t="s">
        <v>1703</v>
      </c>
      <c r="C2319" s="441" t="s">
        <v>993</v>
      </c>
      <c r="D2319" s="441" t="s">
        <v>687</v>
      </c>
      <c r="E2319" s="604">
        <v>2702</v>
      </c>
      <c r="F2319" s="604"/>
      <c r="G2319" s="443" t="s">
        <v>19</v>
      </c>
      <c r="H2319" s="500">
        <v>1</v>
      </c>
      <c r="I2319" s="442"/>
      <c r="J2319" s="442">
        <v>21.75</v>
      </c>
      <c r="K2319" s="442">
        <v>21.75</v>
      </c>
      <c r="L2319" s="70"/>
    </row>
    <row r="2320" spans="1:12" ht="25.5" x14ac:dyDescent="0.25">
      <c r="A2320" s="501" t="s">
        <v>1732</v>
      </c>
      <c r="B2320" s="502" t="s">
        <v>1027</v>
      </c>
      <c r="C2320" s="501" t="s">
        <v>993</v>
      </c>
      <c r="D2320" s="501" t="s">
        <v>1028</v>
      </c>
      <c r="E2320" s="602" t="s">
        <v>972</v>
      </c>
      <c r="F2320" s="602"/>
      <c r="G2320" s="503" t="s">
        <v>81</v>
      </c>
      <c r="H2320" s="504">
        <v>0.1191</v>
      </c>
      <c r="I2320" s="504"/>
      <c r="J2320" s="505">
        <v>14.45</v>
      </c>
      <c r="K2320" s="505">
        <v>1.72</v>
      </c>
      <c r="L2320" s="70"/>
    </row>
    <row r="2321" spans="1:12" ht="25.5" x14ac:dyDescent="0.25">
      <c r="A2321" s="501" t="s">
        <v>1732</v>
      </c>
      <c r="B2321" s="502" t="s">
        <v>992</v>
      </c>
      <c r="C2321" s="501" t="s">
        <v>993</v>
      </c>
      <c r="D2321" s="501" t="s">
        <v>994</v>
      </c>
      <c r="E2321" s="602" t="s">
        <v>972</v>
      </c>
      <c r="F2321" s="602"/>
      <c r="G2321" s="503" t="s">
        <v>81</v>
      </c>
      <c r="H2321" s="504">
        <v>0.30330000000000001</v>
      </c>
      <c r="I2321" s="504"/>
      <c r="J2321" s="505">
        <v>14.62</v>
      </c>
      <c r="K2321" s="505">
        <v>4.43</v>
      </c>
      <c r="L2321" s="70"/>
    </row>
    <row r="2322" spans="1:12" ht="25.5" x14ac:dyDescent="0.25">
      <c r="A2322" s="501" t="s">
        <v>1732</v>
      </c>
      <c r="B2322" s="502" t="s">
        <v>2601</v>
      </c>
      <c r="C2322" s="501" t="s">
        <v>993</v>
      </c>
      <c r="D2322" s="501" t="s">
        <v>2602</v>
      </c>
      <c r="E2322" s="602" t="s">
        <v>1746</v>
      </c>
      <c r="F2322" s="602"/>
      <c r="G2322" s="503" t="s">
        <v>45</v>
      </c>
      <c r="H2322" s="504">
        <v>0.03</v>
      </c>
      <c r="I2322" s="504"/>
      <c r="J2322" s="505">
        <v>27.75</v>
      </c>
      <c r="K2322" s="505">
        <v>0.83</v>
      </c>
      <c r="L2322" s="70"/>
    </row>
    <row r="2323" spans="1:12" ht="25.5" x14ac:dyDescent="0.25">
      <c r="A2323" s="501" t="s">
        <v>1732</v>
      </c>
      <c r="B2323" s="502" t="s">
        <v>2603</v>
      </c>
      <c r="C2323" s="501" t="s">
        <v>993</v>
      </c>
      <c r="D2323" s="501" t="s">
        <v>2604</v>
      </c>
      <c r="E2323" s="602" t="s">
        <v>1746</v>
      </c>
      <c r="F2323" s="602"/>
      <c r="G2323" s="503" t="s">
        <v>1222</v>
      </c>
      <c r="H2323" s="504">
        <v>0.3</v>
      </c>
      <c r="I2323" s="504"/>
      <c r="J2323" s="505">
        <v>4.26</v>
      </c>
      <c r="K2323" s="505">
        <v>1.27</v>
      </c>
      <c r="L2323" s="70"/>
    </row>
    <row r="2324" spans="1:12" ht="25.5" x14ac:dyDescent="0.25">
      <c r="A2324" s="501" t="s">
        <v>1732</v>
      </c>
      <c r="B2324" s="502" t="s">
        <v>2605</v>
      </c>
      <c r="C2324" s="501" t="s">
        <v>993</v>
      </c>
      <c r="D2324" s="501" t="s">
        <v>2606</v>
      </c>
      <c r="E2324" s="602" t="s">
        <v>1746</v>
      </c>
      <c r="F2324" s="602"/>
      <c r="G2324" s="503" t="s">
        <v>19</v>
      </c>
      <c r="H2324" s="504">
        <v>1</v>
      </c>
      <c r="I2324" s="504"/>
      <c r="J2324" s="505">
        <v>13.5</v>
      </c>
      <c r="K2324" s="505">
        <v>13.5</v>
      </c>
      <c r="L2324" s="70"/>
    </row>
    <row r="2325" spans="1:12" ht="15.75" customHeight="1" x14ac:dyDescent="0.25">
      <c r="A2325" s="445"/>
      <c r="B2325" s="445"/>
      <c r="C2325" s="445"/>
      <c r="D2325" s="445"/>
      <c r="E2325" s="445" t="s">
        <v>1735</v>
      </c>
      <c r="F2325" s="506">
        <v>6.15</v>
      </c>
      <c r="G2325" s="445" t="s">
        <v>1736</v>
      </c>
      <c r="H2325" s="506">
        <v>0</v>
      </c>
      <c r="I2325" s="445" t="s">
        <v>1737</v>
      </c>
      <c r="J2325" s="506">
        <v>6.15</v>
      </c>
      <c r="K2325" s="70"/>
      <c r="L2325" s="70"/>
    </row>
    <row r="2326" spans="1:12" ht="17.25" thickBot="1" x14ac:dyDescent="0.3">
      <c r="A2326" s="445"/>
      <c r="B2326" s="445"/>
      <c r="C2326" s="445"/>
      <c r="D2326" s="445"/>
      <c r="E2326" s="445" t="s">
        <v>1738</v>
      </c>
      <c r="F2326" s="506">
        <v>5.3592000000000004</v>
      </c>
      <c r="G2326" s="445"/>
      <c r="H2326" s="606" t="s">
        <v>1739</v>
      </c>
      <c r="I2326" s="606"/>
      <c r="J2326" s="506">
        <v>27.1</v>
      </c>
      <c r="K2326" s="70"/>
      <c r="L2326" s="70"/>
    </row>
    <row r="2327" spans="1:12" ht="17.25" thickTop="1" x14ac:dyDescent="0.25">
      <c r="A2327" s="507"/>
      <c r="B2327" s="507"/>
      <c r="C2327" s="507"/>
      <c r="D2327" s="507"/>
      <c r="E2327" s="507"/>
      <c r="F2327" s="507"/>
      <c r="G2327" s="507"/>
      <c r="H2327" s="507"/>
      <c r="I2327" s="507"/>
      <c r="J2327" s="507"/>
      <c r="K2327" s="507"/>
      <c r="L2327" s="70"/>
    </row>
    <row r="2328" spans="1:12" ht="16.5" x14ac:dyDescent="0.25">
      <c r="A2328" s="419" t="s">
        <v>1704</v>
      </c>
      <c r="B2328" s="421" t="s">
        <v>76</v>
      </c>
      <c r="C2328" s="419" t="s">
        <v>991</v>
      </c>
      <c r="D2328" s="419" t="s">
        <v>191</v>
      </c>
      <c r="E2328" s="603" t="s">
        <v>77</v>
      </c>
      <c r="F2328" s="603"/>
      <c r="G2328" s="420" t="s">
        <v>103</v>
      </c>
      <c r="H2328" s="421" t="s">
        <v>147</v>
      </c>
      <c r="I2328" s="421" t="s">
        <v>1731</v>
      </c>
      <c r="J2328" s="421" t="s">
        <v>1117</v>
      </c>
      <c r="K2328" s="421" t="s">
        <v>104</v>
      </c>
      <c r="L2328" s="70"/>
    </row>
    <row r="2329" spans="1:12" ht="25.5" x14ac:dyDescent="0.25">
      <c r="A2329" s="441" t="s">
        <v>79</v>
      </c>
      <c r="B2329" s="480" t="s">
        <v>1705</v>
      </c>
      <c r="C2329" s="441" t="s">
        <v>993</v>
      </c>
      <c r="D2329" s="441" t="s">
        <v>690</v>
      </c>
      <c r="E2329" s="604">
        <v>2705</v>
      </c>
      <c r="F2329" s="604"/>
      <c r="G2329" s="443" t="s">
        <v>19</v>
      </c>
      <c r="H2329" s="500">
        <v>1</v>
      </c>
      <c r="I2329" s="442"/>
      <c r="J2329" s="442">
        <v>4.0999999999999996</v>
      </c>
      <c r="K2329" s="442">
        <v>4.0999999999999996</v>
      </c>
      <c r="L2329" s="70"/>
    </row>
    <row r="2330" spans="1:12" ht="25.5" x14ac:dyDescent="0.25">
      <c r="A2330" s="501" t="s">
        <v>1732</v>
      </c>
      <c r="B2330" s="502" t="s">
        <v>992</v>
      </c>
      <c r="C2330" s="501" t="s">
        <v>993</v>
      </c>
      <c r="D2330" s="501" t="s">
        <v>994</v>
      </c>
      <c r="E2330" s="602" t="s">
        <v>972</v>
      </c>
      <c r="F2330" s="602"/>
      <c r="G2330" s="503" t="s">
        <v>81</v>
      </c>
      <c r="H2330" s="504">
        <v>0.15</v>
      </c>
      <c r="I2330" s="504"/>
      <c r="J2330" s="505">
        <v>14.62</v>
      </c>
      <c r="K2330" s="505">
        <v>2.19</v>
      </c>
      <c r="L2330" s="70"/>
    </row>
    <row r="2331" spans="1:12" ht="25.5" x14ac:dyDescent="0.25">
      <c r="A2331" s="501" t="s">
        <v>1732</v>
      </c>
      <c r="B2331" s="502" t="s">
        <v>2607</v>
      </c>
      <c r="C2331" s="501" t="s">
        <v>993</v>
      </c>
      <c r="D2331" s="501" t="s">
        <v>2608</v>
      </c>
      <c r="E2331" s="602" t="s">
        <v>1746</v>
      </c>
      <c r="F2331" s="602"/>
      <c r="G2331" s="503" t="s">
        <v>1751</v>
      </c>
      <c r="H2331" s="504">
        <v>0.1084</v>
      </c>
      <c r="I2331" s="504"/>
      <c r="J2331" s="505">
        <v>12.18</v>
      </c>
      <c r="K2331" s="505">
        <v>1.32</v>
      </c>
      <c r="L2331" s="70"/>
    </row>
    <row r="2332" spans="1:12" ht="25.5" x14ac:dyDescent="0.25">
      <c r="A2332" s="501" t="s">
        <v>1732</v>
      </c>
      <c r="B2332" s="502" t="s">
        <v>2609</v>
      </c>
      <c r="C2332" s="501" t="s">
        <v>993</v>
      </c>
      <c r="D2332" s="501" t="s">
        <v>2610</v>
      </c>
      <c r="E2332" s="602" t="s">
        <v>1746</v>
      </c>
      <c r="F2332" s="602"/>
      <c r="G2332" s="503" t="s">
        <v>1751</v>
      </c>
      <c r="H2332" s="504">
        <v>0.05</v>
      </c>
      <c r="I2332" s="504"/>
      <c r="J2332" s="505">
        <v>9.6199999999999992</v>
      </c>
      <c r="K2332" s="505">
        <v>0.48</v>
      </c>
      <c r="L2332" s="70"/>
    </row>
    <row r="2333" spans="1:12" ht="25.5" x14ac:dyDescent="0.25">
      <c r="A2333" s="501" t="s">
        <v>1732</v>
      </c>
      <c r="B2333" s="502" t="s">
        <v>2611</v>
      </c>
      <c r="C2333" s="501" t="s">
        <v>993</v>
      </c>
      <c r="D2333" s="501" t="s">
        <v>2612</v>
      </c>
      <c r="E2333" s="602" t="s">
        <v>1746</v>
      </c>
      <c r="F2333" s="602"/>
      <c r="G2333" s="503" t="s">
        <v>1222</v>
      </c>
      <c r="H2333" s="504">
        <v>0.01</v>
      </c>
      <c r="I2333" s="504"/>
      <c r="J2333" s="505">
        <v>11.43</v>
      </c>
      <c r="K2333" s="505">
        <v>0.11</v>
      </c>
      <c r="L2333" s="70"/>
    </row>
    <row r="2334" spans="1:12" ht="15.75" customHeight="1" x14ac:dyDescent="0.25">
      <c r="A2334" s="445"/>
      <c r="B2334" s="445"/>
      <c r="C2334" s="445"/>
      <c r="D2334" s="445"/>
      <c r="E2334" s="445" t="s">
        <v>1735</v>
      </c>
      <c r="F2334" s="506">
        <v>2.19</v>
      </c>
      <c r="G2334" s="445" t="s">
        <v>1736</v>
      </c>
      <c r="H2334" s="506">
        <v>0</v>
      </c>
      <c r="I2334" s="445" t="s">
        <v>1737</v>
      </c>
      <c r="J2334" s="506">
        <v>2.19</v>
      </c>
      <c r="K2334" s="70"/>
      <c r="L2334" s="70"/>
    </row>
    <row r="2335" spans="1:12" ht="17.25" thickBot="1" x14ac:dyDescent="0.3">
      <c r="A2335" s="445"/>
      <c r="B2335" s="445"/>
      <c r="C2335" s="445"/>
      <c r="D2335" s="445"/>
      <c r="E2335" s="445" t="s">
        <v>1738</v>
      </c>
      <c r="F2335" s="506">
        <v>1.01024</v>
      </c>
      <c r="G2335" s="445"/>
      <c r="H2335" s="606" t="s">
        <v>1739</v>
      </c>
      <c r="I2335" s="606"/>
      <c r="J2335" s="506">
        <v>5.1100000000000003</v>
      </c>
      <c r="K2335" s="70"/>
      <c r="L2335" s="70"/>
    </row>
    <row r="2336" spans="1:12" ht="15" customHeight="1" thickTop="1" x14ac:dyDescent="0.25">
      <c r="A2336" s="507"/>
      <c r="B2336" s="507"/>
      <c r="C2336" s="507"/>
      <c r="D2336" s="507"/>
      <c r="E2336" s="507"/>
      <c r="F2336" s="507"/>
      <c r="G2336" s="507"/>
      <c r="H2336" s="507"/>
      <c r="I2336" s="507"/>
      <c r="J2336" s="507"/>
      <c r="K2336" s="507"/>
      <c r="L2336" s="70"/>
    </row>
    <row r="2337" spans="1:12" ht="16.5" customHeight="1" x14ac:dyDescent="0.25">
      <c r="A2337" s="610" t="s">
        <v>2613</v>
      </c>
      <c r="B2337" s="611"/>
      <c r="C2337" s="611"/>
      <c r="D2337" s="611"/>
      <c r="E2337" s="611"/>
      <c r="F2337" s="611"/>
      <c r="G2337" s="611"/>
      <c r="H2337" s="611"/>
      <c r="I2337" s="611"/>
      <c r="J2337" s="611"/>
      <c r="K2337" s="611"/>
      <c r="L2337" s="70"/>
    </row>
    <row r="2338" spans="1:12" ht="16.5" x14ac:dyDescent="0.25">
      <c r="A2338" s="419"/>
      <c r="B2338" s="421" t="s">
        <v>76</v>
      </c>
      <c r="C2338" s="419" t="s">
        <v>991</v>
      </c>
      <c r="D2338" s="419" t="s">
        <v>191</v>
      </c>
      <c r="E2338" s="603" t="s">
        <v>77</v>
      </c>
      <c r="F2338" s="603"/>
      <c r="G2338" s="420" t="s">
        <v>103</v>
      </c>
      <c r="H2338" s="421" t="s">
        <v>147</v>
      </c>
      <c r="I2338" s="421" t="s">
        <v>1731</v>
      </c>
      <c r="J2338" s="421" t="s">
        <v>1117</v>
      </c>
      <c r="K2338" s="421" t="s">
        <v>104</v>
      </c>
      <c r="L2338" s="70"/>
    </row>
    <row r="2339" spans="1:12" ht="25.5" x14ac:dyDescent="0.25">
      <c r="A2339" s="441" t="s">
        <v>79</v>
      </c>
      <c r="B2339" s="480" t="s">
        <v>2323</v>
      </c>
      <c r="C2339" s="441" t="s">
        <v>993</v>
      </c>
      <c r="D2339" s="441" t="s">
        <v>2324</v>
      </c>
      <c r="E2339" s="604">
        <v>702</v>
      </c>
      <c r="F2339" s="604"/>
      <c r="G2339" s="443" t="s">
        <v>41</v>
      </c>
      <c r="H2339" s="500">
        <v>1</v>
      </c>
      <c r="I2339" s="442"/>
      <c r="J2339" s="442">
        <v>103.4</v>
      </c>
      <c r="K2339" s="442">
        <v>103.4</v>
      </c>
      <c r="L2339" s="70"/>
    </row>
    <row r="2340" spans="1:12" ht="25.5" x14ac:dyDescent="0.25">
      <c r="A2340" s="501" t="s">
        <v>1732</v>
      </c>
      <c r="B2340" s="502" t="s">
        <v>999</v>
      </c>
      <c r="C2340" s="501" t="s">
        <v>993</v>
      </c>
      <c r="D2340" s="501" t="s">
        <v>1000</v>
      </c>
      <c r="E2340" s="602" t="s">
        <v>972</v>
      </c>
      <c r="F2340" s="602"/>
      <c r="G2340" s="503" t="s">
        <v>81</v>
      </c>
      <c r="H2340" s="504">
        <v>0.67</v>
      </c>
      <c r="I2340" s="504"/>
      <c r="J2340" s="505">
        <v>16.04</v>
      </c>
      <c r="K2340" s="505">
        <v>10.74</v>
      </c>
      <c r="L2340" s="70"/>
    </row>
    <row r="2341" spans="1:12" ht="25.5" x14ac:dyDescent="0.25">
      <c r="A2341" s="501" t="s">
        <v>1732</v>
      </c>
      <c r="B2341" s="502" t="s">
        <v>1021</v>
      </c>
      <c r="C2341" s="501" t="s">
        <v>993</v>
      </c>
      <c r="D2341" s="501" t="s">
        <v>1022</v>
      </c>
      <c r="E2341" s="602" t="s">
        <v>972</v>
      </c>
      <c r="F2341" s="602"/>
      <c r="G2341" s="503" t="s">
        <v>81</v>
      </c>
      <c r="H2341" s="504">
        <v>0.67</v>
      </c>
      <c r="I2341" s="504"/>
      <c r="J2341" s="505">
        <v>23.41</v>
      </c>
      <c r="K2341" s="505">
        <v>15.68</v>
      </c>
      <c r="L2341" s="70"/>
    </row>
    <row r="2342" spans="1:12" ht="25.5" x14ac:dyDescent="0.25">
      <c r="A2342" s="501" t="s">
        <v>1732</v>
      </c>
      <c r="B2342" s="502" t="s">
        <v>2614</v>
      </c>
      <c r="C2342" s="501" t="s">
        <v>993</v>
      </c>
      <c r="D2342" s="501" t="s">
        <v>2324</v>
      </c>
      <c r="E2342" s="602" t="s">
        <v>1746</v>
      </c>
      <c r="F2342" s="602"/>
      <c r="G2342" s="503" t="s">
        <v>41</v>
      </c>
      <c r="H2342" s="504">
        <v>1</v>
      </c>
      <c r="I2342" s="504"/>
      <c r="J2342" s="505">
        <v>76.98</v>
      </c>
      <c r="K2342" s="505">
        <v>76.98</v>
      </c>
      <c r="L2342" s="70"/>
    </row>
    <row r="2343" spans="1:12" ht="15.75" customHeight="1" x14ac:dyDescent="0.25">
      <c r="A2343" s="445"/>
      <c r="B2343" s="445"/>
      <c r="C2343" s="445"/>
      <c r="D2343" s="445"/>
      <c r="E2343" s="445" t="s">
        <v>1735</v>
      </c>
      <c r="F2343" s="506">
        <v>26.42</v>
      </c>
      <c r="G2343" s="445" t="s">
        <v>1736</v>
      </c>
      <c r="H2343" s="506">
        <v>0</v>
      </c>
      <c r="I2343" s="445" t="s">
        <v>1737</v>
      </c>
      <c r="J2343" s="506">
        <v>26.42</v>
      </c>
      <c r="K2343" s="70"/>
      <c r="L2343" s="70"/>
    </row>
    <row r="2344" spans="1:12" ht="17.25" thickBot="1" x14ac:dyDescent="0.3">
      <c r="A2344" s="445"/>
      <c r="B2344" s="445"/>
      <c r="C2344" s="445"/>
      <c r="D2344" s="445"/>
      <c r="E2344" s="445" t="s">
        <v>1738</v>
      </c>
      <c r="F2344" s="506">
        <v>25.47776</v>
      </c>
      <c r="G2344" s="445"/>
      <c r="H2344" s="606" t="s">
        <v>1739</v>
      </c>
      <c r="I2344" s="606"/>
      <c r="J2344" s="506">
        <v>128.87</v>
      </c>
      <c r="K2344" s="70"/>
      <c r="L2344" s="70"/>
    </row>
    <row r="2345" spans="1:12" ht="17.25" thickTop="1" x14ac:dyDescent="0.25">
      <c r="A2345" s="507"/>
      <c r="B2345" s="507"/>
      <c r="C2345" s="507"/>
      <c r="D2345" s="507"/>
      <c r="E2345" s="507"/>
      <c r="F2345" s="507"/>
      <c r="G2345" s="507"/>
      <c r="H2345" s="507"/>
      <c r="I2345" s="507"/>
      <c r="J2345" s="507"/>
      <c r="K2345" s="70"/>
      <c r="L2345" s="70"/>
    </row>
    <row r="2346" spans="1:12" ht="16.5" x14ac:dyDescent="0.25">
      <c r="A2346" s="419"/>
      <c r="B2346" s="421" t="s">
        <v>76</v>
      </c>
      <c r="C2346" s="419" t="s">
        <v>991</v>
      </c>
      <c r="D2346" s="419" t="s">
        <v>191</v>
      </c>
      <c r="E2346" s="603" t="s">
        <v>77</v>
      </c>
      <c r="F2346" s="603"/>
      <c r="G2346" s="420" t="s">
        <v>103</v>
      </c>
      <c r="H2346" s="421" t="s">
        <v>147</v>
      </c>
      <c r="I2346" s="421" t="s">
        <v>1731</v>
      </c>
      <c r="J2346" s="421" t="s">
        <v>1117</v>
      </c>
      <c r="K2346" s="421" t="s">
        <v>104</v>
      </c>
      <c r="L2346" s="70"/>
    </row>
    <row r="2347" spans="1:12" ht="25.5" x14ac:dyDescent="0.25">
      <c r="A2347" s="441" t="s">
        <v>79</v>
      </c>
      <c r="B2347" s="480" t="s">
        <v>2199</v>
      </c>
      <c r="C2347" s="441" t="s">
        <v>993</v>
      </c>
      <c r="D2347" s="441" t="s">
        <v>2200</v>
      </c>
      <c r="E2347" s="604">
        <v>503</v>
      </c>
      <c r="F2347" s="604"/>
      <c r="G2347" s="443" t="s">
        <v>130</v>
      </c>
      <c r="H2347" s="500">
        <v>1</v>
      </c>
      <c r="I2347" s="442"/>
      <c r="J2347" s="442">
        <v>50.14</v>
      </c>
      <c r="K2347" s="442">
        <v>50.14</v>
      </c>
      <c r="L2347" s="70"/>
    </row>
    <row r="2348" spans="1:12" ht="25.5" x14ac:dyDescent="0.25">
      <c r="A2348" s="501" t="s">
        <v>1732</v>
      </c>
      <c r="B2348" s="502" t="s">
        <v>992</v>
      </c>
      <c r="C2348" s="501" t="s">
        <v>993</v>
      </c>
      <c r="D2348" s="501" t="s">
        <v>994</v>
      </c>
      <c r="E2348" s="602" t="s">
        <v>972</v>
      </c>
      <c r="F2348" s="602"/>
      <c r="G2348" s="503" t="s">
        <v>81</v>
      </c>
      <c r="H2348" s="504">
        <v>1.5148999999999999</v>
      </c>
      <c r="I2348" s="504"/>
      <c r="J2348" s="505">
        <v>14.62</v>
      </c>
      <c r="K2348" s="505">
        <v>22.14</v>
      </c>
      <c r="L2348" s="70"/>
    </row>
    <row r="2349" spans="1:12" ht="25.5" x14ac:dyDescent="0.25">
      <c r="A2349" s="501" t="s">
        <v>1732</v>
      </c>
      <c r="B2349" s="502" t="s">
        <v>1023</v>
      </c>
      <c r="C2349" s="501" t="s">
        <v>993</v>
      </c>
      <c r="D2349" s="501" t="s">
        <v>1024</v>
      </c>
      <c r="E2349" s="602" t="s">
        <v>972</v>
      </c>
      <c r="F2349" s="602"/>
      <c r="G2349" s="503" t="s">
        <v>81</v>
      </c>
      <c r="H2349" s="504">
        <v>0.09</v>
      </c>
      <c r="I2349" s="504"/>
      <c r="J2349" s="505">
        <v>17.559999999999999</v>
      </c>
      <c r="K2349" s="505">
        <v>1.58</v>
      </c>
      <c r="L2349" s="70"/>
    </row>
    <row r="2350" spans="1:12" ht="25.5" x14ac:dyDescent="0.25">
      <c r="A2350" s="501" t="s">
        <v>1732</v>
      </c>
      <c r="B2350" s="502" t="s">
        <v>1003</v>
      </c>
      <c r="C2350" s="501" t="s">
        <v>993</v>
      </c>
      <c r="D2350" s="501" t="s">
        <v>1004</v>
      </c>
      <c r="E2350" s="602" t="s">
        <v>972</v>
      </c>
      <c r="F2350" s="602"/>
      <c r="G2350" s="503" t="s">
        <v>81</v>
      </c>
      <c r="H2350" s="504">
        <v>0.19639999999999999</v>
      </c>
      <c r="I2350" s="504"/>
      <c r="J2350" s="505">
        <v>23.41</v>
      </c>
      <c r="K2350" s="505">
        <v>4.59</v>
      </c>
      <c r="L2350" s="70"/>
    </row>
    <row r="2351" spans="1:12" ht="25.5" x14ac:dyDescent="0.25">
      <c r="A2351" s="501" t="s">
        <v>1732</v>
      </c>
      <c r="B2351" s="502" t="s">
        <v>1756</v>
      </c>
      <c r="C2351" s="501" t="s">
        <v>993</v>
      </c>
      <c r="D2351" s="501" t="s">
        <v>1757</v>
      </c>
      <c r="E2351" s="602" t="s">
        <v>1746</v>
      </c>
      <c r="F2351" s="602"/>
      <c r="G2351" s="503" t="s">
        <v>45</v>
      </c>
      <c r="H2351" s="504">
        <v>4.3999999999999997E-2</v>
      </c>
      <c r="I2351" s="504"/>
      <c r="J2351" s="505">
        <v>152.69</v>
      </c>
      <c r="K2351" s="505">
        <v>6.71</v>
      </c>
      <c r="L2351" s="70"/>
    </row>
    <row r="2352" spans="1:12" ht="25.5" x14ac:dyDescent="0.25">
      <c r="A2352" s="501" t="s">
        <v>1732</v>
      </c>
      <c r="B2352" s="502" t="s">
        <v>1854</v>
      </c>
      <c r="C2352" s="501" t="s">
        <v>993</v>
      </c>
      <c r="D2352" s="501" t="s">
        <v>1855</v>
      </c>
      <c r="E2352" s="602" t="s">
        <v>1746</v>
      </c>
      <c r="F2352" s="602"/>
      <c r="G2352" s="503" t="s">
        <v>1222</v>
      </c>
      <c r="H2352" s="504">
        <v>13.8462</v>
      </c>
      <c r="I2352" s="504"/>
      <c r="J2352" s="505">
        <v>0.65</v>
      </c>
      <c r="K2352" s="505">
        <v>9</v>
      </c>
      <c r="L2352" s="70"/>
    </row>
    <row r="2353" spans="1:12" ht="25.5" x14ac:dyDescent="0.25">
      <c r="A2353" s="501" t="s">
        <v>1732</v>
      </c>
      <c r="B2353" s="502" t="s">
        <v>1874</v>
      </c>
      <c r="C2353" s="501" t="s">
        <v>993</v>
      </c>
      <c r="D2353" s="501" t="s">
        <v>1875</v>
      </c>
      <c r="E2353" s="602" t="s">
        <v>1746</v>
      </c>
      <c r="F2353" s="602"/>
      <c r="G2353" s="503" t="s">
        <v>45</v>
      </c>
      <c r="H2353" s="504">
        <v>2.0500000000000001E-2</v>
      </c>
      <c r="I2353" s="504"/>
      <c r="J2353" s="505">
        <v>148.97999999999999</v>
      </c>
      <c r="K2353" s="505">
        <v>3.05</v>
      </c>
      <c r="L2353" s="70"/>
    </row>
    <row r="2354" spans="1:12" ht="25.5" x14ac:dyDescent="0.25">
      <c r="A2354" s="501" t="s">
        <v>1732</v>
      </c>
      <c r="B2354" s="502" t="s">
        <v>1872</v>
      </c>
      <c r="C2354" s="501" t="s">
        <v>993</v>
      </c>
      <c r="D2354" s="501" t="s">
        <v>1873</v>
      </c>
      <c r="E2354" s="602" t="s">
        <v>1746</v>
      </c>
      <c r="F2354" s="602"/>
      <c r="G2354" s="503" t="s">
        <v>45</v>
      </c>
      <c r="H2354" s="504">
        <v>2.0500000000000001E-2</v>
      </c>
      <c r="I2354" s="504"/>
      <c r="J2354" s="505">
        <v>149.94999999999999</v>
      </c>
      <c r="K2354" s="505">
        <v>3.07</v>
      </c>
      <c r="L2354" s="70"/>
    </row>
    <row r="2355" spans="1:12" ht="15.75" customHeight="1" x14ac:dyDescent="0.25">
      <c r="A2355" s="445"/>
      <c r="B2355" s="445"/>
      <c r="C2355" s="445"/>
      <c r="D2355" s="445"/>
      <c r="E2355" s="445" t="s">
        <v>1735</v>
      </c>
      <c r="F2355" s="506">
        <v>28.31</v>
      </c>
      <c r="G2355" s="445" t="s">
        <v>1736</v>
      </c>
      <c r="H2355" s="506">
        <v>0</v>
      </c>
      <c r="I2355" s="445" t="s">
        <v>1737</v>
      </c>
      <c r="J2355" s="506">
        <v>28.31</v>
      </c>
      <c r="K2355" s="70"/>
      <c r="L2355" s="70"/>
    </row>
    <row r="2356" spans="1:12" ht="17.25" thickBot="1" x14ac:dyDescent="0.3">
      <c r="A2356" s="445"/>
      <c r="B2356" s="445"/>
      <c r="C2356" s="445"/>
      <c r="D2356" s="445"/>
      <c r="E2356" s="445" t="s">
        <v>1738</v>
      </c>
      <c r="F2356" s="506">
        <v>12.354495999999999</v>
      </c>
      <c r="G2356" s="445"/>
      <c r="H2356" s="606" t="s">
        <v>1739</v>
      </c>
      <c r="I2356" s="606"/>
      <c r="J2356" s="506">
        <v>62.49</v>
      </c>
      <c r="K2356" s="70"/>
      <c r="L2356" s="70"/>
    </row>
    <row r="2357" spans="1:12" ht="17.25" thickTop="1" x14ac:dyDescent="0.25">
      <c r="A2357" s="507"/>
      <c r="B2357" s="507"/>
      <c r="C2357" s="507"/>
      <c r="D2357" s="507"/>
      <c r="E2357" s="507"/>
      <c r="F2357" s="507"/>
      <c r="G2357" s="507"/>
      <c r="H2357" s="507"/>
      <c r="I2357" s="507"/>
      <c r="J2357" s="507"/>
      <c r="K2357" s="70"/>
      <c r="L2357" s="70"/>
    </row>
    <row r="2358" spans="1:12" ht="16.5" x14ac:dyDescent="0.25">
      <c r="A2358" s="419"/>
      <c r="B2358" s="421" t="s">
        <v>76</v>
      </c>
      <c r="C2358" s="419" t="s">
        <v>991</v>
      </c>
      <c r="D2358" s="419" t="s">
        <v>191</v>
      </c>
      <c r="E2358" s="603" t="s">
        <v>77</v>
      </c>
      <c r="F2358" s="603"/>
      <c r="G2358" s="420" t="s">
        <v>103</v>
      </c>
      <c r="H2358" s="421" t="s">
        <v>147</v>
      </c>
      <c r="I2358" s="421" t="s">
        <v>1731</v>
      </c>
      <c r="J2358" s="421" t="s">
        <v>1117</v>
      </c>
      <c r="K2358" s="421" t="s">
        <v>104</v>
      </c>
      <c r="L2358" s="70"/>
    </row>
    <row r="2359" spans="1:12" ht="25.5" x14ac:dyDescent="0.25">
      <c r="A2359" s="441" t="s">
        <v>79</v>
      </c>
      <c r="B2359" s="480" t="s">
        <v>2201</v>
      </c>
      <c r="C2359" s="441" t="s">
        <v>993</v>
      </c>
      <c r="D2359" s="441" t="s">
        <v>2202</v>
      </c>
      <c r="E2359" s="604">
        <v>601</v>
      </c>
      <c r="F2359" s="604"/>
      <c r="G2359" s="443" t="s">
        <v>19</v>
      </c>
      <c r="H2359" s="500">
        <v>1</v>
      </c>
      <c r="I2359" s="442"/>
      <c r="J2359" s="442">
        <v>28.22</v>
      </c>
      <c r="K2359" s="442">
        <v>28.22</v>
      </c>
      <c r="L2359" s="70"/>
    </row>
    <row r="2360" spans="1:12" ht="25.5" x14ac:dyDescent="0.25">
      <c r="A2360" s="501" t="s">
        <v>1732</v>
      </c>
      <c r="B2360" s="502" t="s">
        <v>1009</v>
      </c>
      <c r="C2360" s="501" t="s">
        <v>993</v>
      </c>
      <c r="D2360" s="501" t="s">
        <v>1010</v>
      </c>
      <c r="E2360" s="602" t="s">
        <v>972</v>
      </c>
      <c r="F2360" s="602"/>
      <c r="G2360" s="503" t="s">
        <v>81</v>
      </c>
      <c r="H2360" s="504">
        <v>0.29930000000000001</v>
      </c>
      <c r="I2360" s="504"/>
      <c r="J2360" s="505">
        <v>23.41</v>
      </c>
      <c r="K2360" s="505">
        <v>7</v>
      </c>
      <c r="L2360" s="70"/>
    </row>
    <row r="2361" spans="1:12" ht="25.5" x14ac:dyDescent="0.25">
      <c r="A2361" s="501" t="s">
        <v>1732</v>
      </c>
      <c r="B2361" s="502" t="s">
        <v>999</v>
      </c>
      <c r="C2361" s="501" t="s">
        <v>993</v>
      </c>
      <c r="D2361" s="501" t="s">
        <v>1000</v>
      </c>
      <c r="E2361" s="602" t="s">
        <v>972</v>
      </c>
      <c r="F2361" s="602"/>
      <c r="G2361" s="503" t="s">
        <v>81</v>
      </c>
      <c r="H2361" s="504">
        <v>0.31240000000000001</v>
      </c>
      <c r="I2361" s="504"/>
      <c r="J2361" s="505">
        <v>16.04</v>
      </c>
      <c r="K2361" s="505">
        <v>5.01</v>
      </c>
      <c r="L2361" s="70"/>
    </row>
    <row r="2362" spans="1:12" ht="25.5" x14ac:dyDescent="0.25">
      <c r="A2362" s="501" t="s">
        <v>1732</v>
      </c>
      <c r="B2362" s="502" t="s">
        <v>1796</v>
      </c>
      <c r="C2362" s="501" t="s">
        <v>993</v>
      </c>
      <c r="D2362" s="501" t="s">
        <v>1797</v>
      </c>
      <c r="E2362" s="602" t="s">
        <v>1746</v>
      </c>
      <c r="F2362" s="602"/>
      <c r="G2362" s="503" t="s">
        <v>1222</v>
      </c>
      <c r="H2362" s="504">
        <v>5.57E-2</v>
      </c>
      <c r="I2362" s="504"/>
      <c r="J2362" s="505">
        <v>21.99</v>
      </c>
      <c r="K2362" s="505">
        <v>1.22</v>
      </c>
      <c r="L2362" s="70"/>
    </row>
    <row r="2363" spans="1:12" ht="25.5" x14ac:dyDescent="0.25">
      <c r="A2363" s="501" t="s">
        <v>1732</v>
      </c>
      <c r="B2363" s="502" t="s">
        <v>1936</v>
      </c>
      <c r="C2363" s="501" t="s">
        <v>993</v>
      </c>
      <c r="D2363" s="501" t="s">
        <v>1937</v>
      </c>
      <c r="E2363" s="602" t="s">
        <v>1746</v>
      </c>
      <c r="F2363" s="602"/>
      <c r="G2363" s="503" t="s">
        <v>41</v>
      </c>
      <c r="H2363" s="504">
        <v>1.1411</v>
      </c>
      <c r="I2363" s="504"/>
      <c r="J2363" s="505">
        <v>12.8</v>
      </c>
      <c r="K2363" s="505">
        <v>14.6</v>
      </c>
      <c r="L2363" s="70"/>
    </row>
    <row r="2364" spans="1:12" ht="25.5" x14ac:dyDescent="0.25">
      <c r="A2364" s="501" t="s">
        <v>1732</v>
      </c>
      <c r="B2364" s="502" t="s">
        <v>2028</v>
      </c>
      <c r="C2364" s="501" t="s">
        <v>993</v>
      </c>
      <c r="D2364" s="501" t="s">
        <v>2029</v>
      </c>
      <c r="E2364" s="602" t="s">
        <v>1746</v>
      </c>
      <c r="F2364" s="602"/>
      <c r="G2364" s="503" t="s">
        <v>1222</v>
      </c>
      <c r="H2364" s="504">
        <v>2.4500000000000001E-2</v>
      </c>
      <c r="I2364" s="504"/>
      <c r="J2364" s="505">
        <v>15.94</v>
      </c>
      <c r="K2364" s="505">
        <v>0.39</v>
      </c>
      <c r="L2364" s="70"/>
    </row>
    <row r="2365" spans="1:12" ht="15.75" customHeight="1" x14ac:dyDescent="0.25">
      <c r="A2365" s="445"/>
      <c r="B2365" s="445"/>
      <c r="C2365" s="445"/>
      <c r="D2365" s="445"/>
      <c r="E2365" s="445" t="s">
        <v>1735</v>
      </c>
      <c r="F2365" s="506">
        <v>12.01</v>
      </c>
      <c r="G2365" s="445" t="s">
        <v>1736</v>
      </c>
      <c r="H2365" s="506">
        <v>0</v>
      </c>
      <c r="I2365" s="445" t="s">
        <v>1737</v>
      </c>
      <c r="J2365" s="506">
        <v>12.01</v>
      </c>
      <c r="K2365" s="70"/>
      <c r="L2365" s="70"/>
    </row>
    <row r="2366" spans="1:12" ht="17.25" thickBot="1" x14ac:dyDescent="0.3">
      <c r="A2366" s="445"/>
      <c r="B2366" s="445"/>
      <c r="C2366" s="445"/>
      <c r="D2366" s="445"/>
      <c r="E2366" s="445" t="s">
        <v>1738</v>
      </c>
      <c r="F2366" s="506">
        <v>6.9534079999999996</v>
      </c>
      <c r="G2366" s="445"/>
      <c r="H2366" s="606" t="s">
        <v>1739</v>
      </c>
      <c r="I2366" s="606"/>
      <c r="J2366" s="506">
        <v>35.17</v>
      </c>
      <c r="K2366" s="70"/>
      <c r="L2366" s="70"/>
    </row>
    <row r="2367" spans="1:12" ht="17.25" thickTop="1" x14ac:dyDescent="0.25">
      <c r="A2367" s="507"/>
      <c r="B2367" s="507"/>
      <c r="C2367" s="507"/>
      <c r="D2367" s="507"/>
      <c r="E2367" s="507"/>
      <c r="F2367" s="507"/>
      <c r="G2367" s="507"/>
      <c r="H2367" s="507"/>
      <c r="I2367" s="507"/>
      <c r="J2367" s="507"/>
      <c r="K2367" s="70"/>
      <c r="L2367" s="70"/>
    </row>
    <row r="2368" spans="1:12" ht="16.5" x14ac:dyDescent="0.25">
      <c r="A2368" s="419"/>
      <c r="B2368" s="421" t="s">
        <v>76</v>
      </c>
      <c r="C2368" s="419" t="s">
        <v>991</v>
      </c>
      <c r="D2368" s="419" t="s">
        <v>191</v>
      </c>
      <c r="E2368" s="603" t="s">
        <v>77</v>
      </c>
      <c r="F2368" s="603"/>
      <c r="G2368" s="420" t="s">
        <v>103</v>
      </c>
      <c r="H2368" s="421" t="s">
        <v>147</v>
      </c>
      <c r="I2368" s="421" t="s">
        <v>1731</v>
      </c>
      <c r="J2368" s="421" t="s">
        <v>1117</v>
      </c>
      <c r="K2368" s="421" t="s">
        <v>104</v>
      </c>
      <c r="L2368" s="70"/>
    </row>
    <row r="2369" spans="1:12" ht="25.5" x14ac:dyDescent="0.25">
      <c r="A2369" s="441" t="s">
        <v>79</v>
      </c>
      <c r="B2369" s="480" t="s">
        <v>2204</v>
      </c>
      <c r="C2369" s="441" t="s">
        <v>993</v>
      </c>
      <c r="D2369" s="441" t="s">
        <v>2205</v>
      </c>
      <c r="E2369" s="604">
        <v>608</v>
      </c>
      <c r="F2369" s="604"/>
      <c r="G2369" s="443" t="s">
        <v>45</v>
      </c>
      <c r="H2369" s="500">
        <v>1</v>
      </c>
      <c r="I2369" s="442"/>
      <c r="J2369" s="442">
        <v>52.04</v>
      </c>
      <c r="K2369" s="442">
        <v>52.04</v>
      </c>
      <c r="L2369" s="70"/>
    </row>
    <row r="2370" spans="1:12" ht="25.5" x14ac:dyDescent="0.25">
      <c r="A2370" s="501" t="s">
        <v>1732</v>
      </c>
      <c r="B2370" s="502" t="s">
        <v>1013</v>
      </c>
      <c r="C2370" s="501" t="s">
        <v>993</v>
      </c>
      <c r="D2370" s="501" t="s">
        <v>1014</v>
      </c>
      <c r="E2370" s="602" t="s">
        <v>972</v>
      </c>
      <c r="F2370" s="602"/>
      <c r="G2370" s="503" t="s">
        <v>81</v>
      </c>
      <c r="H2370" s="504">
        <v>0.77349999999999997</v>
      </c>
      <c r="I2370" s="504"/>
      <c r="J2370" s="505">
        <v>23.41</v>
      </c>
      <c r="K2370" s="505">
        <v>18.100000000000001</v>
      </c>
      <c r="L2370" s="70"/>
    </row>
    <row r="2371" spans="1:12" ht="25.5" x14ac:dyDescent="0.25">
      <c r="A2371" s="501" t="s">
        <v>1732</v>
      </c>
      <c r="B2371" s="502" t="s">
        <v>992</v>
      </c>
      <c r="C2371" s="501" t="s">
        <v>993</v>
      </c>
      <c r="D2371" s="501" t="s">
        <v>994</v>
      </c>
      <c r="E2371" s="602" t="s">
        <v>972</v>
      </c>
      <c r="F2371" s="602"/>
      <c r="G2371" s="503" t="s">
        <v>81</v>
      </c>
      <c r="H2371" s="504">
        <v>2.3218000000000001</v>
      </c>
      <c r="I2371" s="504"/>
      <c r="J2371" s="505">
        <v>14.62</v>
      </c>
      <c r="K2371" s="505">
        <v>33.94</v>
      </c>
      <c r="L2371" s="70"/>
    </row>
    <row r="2372" spans="1:12" ht="15.75" customHeight="1" x14ac:dyDescent="0.25">
      <c r="A2372" s="445"/>
      <c r="B2372" s="445"/>
      <c r="C2372" s="445"/>
      <c r="D2372" s="445"/>
      <c r="E2372" s="445" t="s">
        <v>1735</v>
      </c>
      <c r="F2372" s="506">
        <v>52.04</v>
      </c>
      <c r="G2372" s="445" t="s">
        <v>1736</v>
      </c>
      <c r="H2372" s="506">
        <v>0</v>
      </c>
      <c r="I2372" s="445" t="s">
        <v>1737</v>
      </c>
      <c r="J2372" s="506">
        <v>52.04</v>
      </c>
      <c r="K2372" s="70"/>
      <c r="L2372" s="70"/>
    </row>
    <row r="2373" spans="1:12" ht="17.25" thickBot="1" x14ac:dyDescent="0.3">
      <c r="A2373" s="445"/>
      <c r="B2373" s="445"/>
      <c r="C2373" s="445"/>
      <c r="D2373" s="445"/>
      <c r="E2373" s="445" t="s">
        <v>1738</v>
      </c>
      <c r="F2373" s="506">
        <v>12.822656</v>
      </c>
      <c r="G2373" s="445"/>
      <c r="H2373" s="606" t="s">
        <v>1739</v>
      </c>
      <c r="I2373" s="606"/>
      <c r="J2373" s="506">
        <v>64.86</v>
      </c>
      <c r="K2373" s="70"/>
      <c r="L2373" s="70"/>
    </row>
    <row r="2374" spans="1:12" ht="17.25" thickTop="1" x14ac:dyDescent="0.25">
      <c r="A2374" s="507"/>
      <c r="B2374" s="507"/>
      <c r="C2374" s="507"/>
      <c r="D2374" s="507"/>
      <c r="E2374" s="507"/>
      <c r="F2374" s="507"/>
      <c r="G2374" s="507"/>
      <c r="H2374" s="507"/>
      <c r="I2374" s="507"/>
      <c r="J2374" s="507"/>
      <c r="K2374" s="70"/>
      <c r="L2374" s="70"/>
    </row>
    <row r="2375" spans="1:12" ht="16.5" x14ac:dyDescent="0.25">
      <c r="A2375" s="419"/>
      <c r="B2375" s="421" t="s">
        <v>76</v>
      </c>
      <c r="C2375" s="419" t="s">
        <v>991</v>
      </c>
      <c r="D2375" s="419" t="s">
        <v>191</v>
      </c>
      <c r="E2375" s="603" t="s">
        <v>77</v>
      </c>
      <c r="F2375" s="603"/>
      <c r="G2375" s="420" t="s">
        <v>103</v>
      </c>
      <c r="H2375" s="421" t="s">
        <v>147</v>
      </c>
      <c r="I2375" s="421" t="s">
        <v>1731</v>
      </c>
      <c r="J2375" s="421" t="s">
        <v>1117</v>
      </c>
      <c r="K2375" s="421" t="s">
        <v>104</v>
      </c>
      <c r="L2375" s="70"/>
    </row>
    <row r="2376" spans="1:12" ht="25.5" x14ac:dyDescent="0.25">
      <c r="A2376" s="441" t="s">
        <v>79</v>
      </c>
      <c r="B2376" s="480" t="s">
        <v>2180</v>
      </c>
      <c r="C2376" s="441" t="s">
        <v>993</v>
      </c>
      <c r="D2376" s="441" t="s">
        <v>2181</v>
      </c>
      <c r="E2376" s="604">
        <v>510</v>
      </c>
      <c r="F2376" s="604"/>
      <c r="G2376" s="443" t="s">
        <v>45</v>
      </c>
      <c r="H2376" s="500">
        <v>1</v>
      </c>
      <c r="I2376" s="442"/>
      <c r="J2376" s="442">
        <v>534.4</v>
      </c>
      <c r="K2376" s="442">
        <v>534.4</v>
      </c>
      <c r="L2376" s="70"/>
    </row>
    <row r="2377" spans="1:12" ht="25.5" x14ac:dyDescent="0.25">
      <c r="A2377" s="501" t="s">
        <v>1732</v>
      </c>
      <c r="B2377" s="502" t="s">
        <v>992</v>
      </c>
      <c r="C2377" s="501" t="s">
        <v>993</v>
      </c>
      <c r="D2377" s="501" t="s">
        <v>994</v>
      </c>
      <c r="E2377" s="602" t="s">
        <v>972</v>
      </c>
      <c r="F2377" s="602"/>
      <c r="G2377" s="503" t="s">
        <v>81</v>
      </c>
      <c r="H2377" s="504">
        <v>5.1585999999999999</v>
      </c>
      <c r="I2377" s="504"/>
      <c r="J2377" s="505">
        <v>14.62</v>
      </c>
      <c r="K2377" s="505">
        <v>75.41</v>
      </c>
      <c r="L2377" s="70"/>
    </row>
    <row r="2378" spans="1:12" ht="25.5" x14ac:dyDescent="0.25">
      <c r="A2378" s="501" t="s">
        <v>1732</v>
      </c>
      <c r="B2378" s="502" t="s">
        <v>1023</v>
      </c>
      <c r="C2378" s="501" t="s">
        <v>993</v>
      </c>
      <c r="D2378" s="501" t="s">
        <v>1024</v>
      </c>
      <c r="E2378" s="602" t="s">
        <v>972</v>
      </c>
      <c r="F2378" s="602"/>
      <c r="G2378" s="503" t="s">
        <v>81</v>
      </c>
      <c r="H2378" s="504">
        <v>0.64480000000000004</v>
      </c>
      <c r="I2378" s="504"/>
      <c r="J2378" s="505">
        <v>17.559999999999999</v>
      </c>
      <c r="K2378" s="505">
        <v>11.32</v>
      </c>
      <c r="L2378" s="70"/>
    </row>
    <row r="2379" spans="1:12" ht="25.5" x14ac:dyDescent="0.25">
      <c r="A2379" s="501" t="s">
        <v>1732</v>
      </c>
      <c r="B2379" s="502" t="s">
        <v>1756</v>
      </c>
      <c r="C2379" s="501" t="s">
        <v>993</v>
      </c>
      <c r="D2379" s="501" t="s">
        <v>1757</v>
      </c>
      <c r="E2379" s="602" t="s">
        <v>1746</v>
      </c>
      <c r="F2379" s="602"/>
      <c r="G2379" s="503" t="s">
        <v>45</v>
      </c>
      <c r="H2379" s="504">
        <v>0.92300000000000004</v>
      </c>
      <c r="I2379" s="504"/>
      <c r="J2379" s="505">
        <v>152.69</v>
      </c>
      <c r="K2379" s="505">
        <v>140.93</v>
      </c>
      <c r="L2379" s="70"/>
    </row>
    <row r="2380" spans="1:12" ht="25.5" x14ac:dyDescent="0.25">
      <c r="A2380" s="501" t="s">
        <v>1732</v>
      </c>
      <c r="B2380" s="502" t="s">
        <v>1854</v>
      </c>
      <c r="C2380" s="501" t="s">
        <v>993</v>
      </c>
      <c r="D2380" s="501" t="s">
        <v>1855</v>
      </c>
      <c r="E2380" s="602" t="s">
        <v>1746</v>
      </c>
      <c r="F2380" s="602"/>
      <c r="G2380" s="503" t="s">
        <v>1222</v>
      </c>
      <c r="H2380" s="504">
        <v>280</v>
      </c>
      <c r="I2380" s="504"/>
      <c r="J2380" s="505">
        <v>0.65</v>
      </c>
      <c r="K2380" s="505">
        <v>182</v>
      </c>
      <c r="L2380" s="70"/>
    </row>
    <row r="2381" spans="1:12" ht="25.5" x14ac:dyDescent="0.25">
      <c r="A2381" s="501" t="s">
        <v>1732</v>
      </c>
      <c r="B2381" s="502" t="s">
        <v>1872</v>
      </c>
      <c r="C2381" s="501" t="s">
        <v>993</v>
      </c>
      <c r="D2381" s="501" t="s">
        <v>1873</v>
      </c>
      <c r="E2381" s="602" t="s">
        <v>1746</v>
      </c>
      <c r="F2381" s="602"/>
      <c r="G2381" s="503" t="s">
        <v>45</v>
      </c>
      <c r="H2381" s="504">
        <v>0.20899999999999999</v>
      </c>
      <c r="I2381" s="504"/>
      <c r="J2381" s="505">
        <v>149.94999999999999</v>
      </c>
      <c r="K2381" s="505">
        <v>31.33</v>
      </c>
      <c r="L2381" s="70"/>
    </row>
    <row r="2382" spans="1:12" ht="25.5" x14ac:dyDescent="0.25">
      <c r="A2382" s="501" t="s">
        <v>1732</v>
      </c>
      <c r="B2382" s="502" t="s">
        <v>1874</v>
      </c>
      <c r="C2382" s="501" t="s">
        <v>993</v>
      </c>
      <c r="D2382" s="501" t="s">
        <v>1875</v>
      </c>
      <c r="E2382" s="602" t="s">
        <v>1746</v>
      </c>
      <c r="F2382" s="602"/>
      <c r="G2382" s="503" t="s">
        <v>45</v>
      </c>
      <c r="H2382" s="504">
        <v>0.627</v>
      </c>
      <c r="I2382" s="504"/>
      <c r="J2382" s="505">
        <v>148.97999999999999</v>
      </c>
      <c r="K2382" s="505">
        <v>93.41</v>
      </c>
      <c r="L2382" s="70"/>
    </row>
    <row r="2383" spans="1:12" ht="15.75" customHeight="1" x14ac:dyDescent="0.25">
      <c r="A2383" s="445"/>
      <c r="B2383" s="445"/>
      <c r="C2383" s="445"/>
      <c r="D2383" s="445"/>
      <c r="E2383" s="445" t="s">
        <v>1735</v>
      </c>
      <c r="F2383" s="506">
        <v>86.73</v>
      </c>
      <c r="G2383" s="445" t="s">
        <v>1736</v>
      </c>
      <c r="H2383" s="506">
        <v>0</v>
      </c>
      <c r="I2383" s="445" t="s">
        <v>1737</v>
      </c>
      <c r="J2383" s="506">
        <v>86.73</v>
      </c>
      <c r="K2383" s="70"/>
      <c r="L2383" s="70"/>
    </row>
    <row r="2384" spans="1:12" ht="17.25" thickBot="1" x14ac:dyDescent="0.3">
      <c r="A2384" s="445"/>
      <c r="B2384" s="445"/>
      <c r="C2384" s="445"/>
      <c r="D2384" s="445"/>
      <c r="E2384" s="445" t="s">
        <v>1738</v>
      </c>
      <c r="F2384" s="506">
        <v>131.67616000000001</v>
      </c>
      <c r="G2384" s="445"/>
      <c r="H2384" s="606" t="s">
        <v>1739</v>
      </c>
      <c r="I2384" s="606"/>
      <c r="J2384" s="506">
        <v>666.07</v>
      </c>
      <c r="K2384" s="70"/>
      <c r="L2384" s="70"/>
    </row>
    <row r="2385" spans="1:12" ht="17.25" thickTop="1" x14ac:dyDescent="0.25">
      <c r="A2385" s="507"/>
      <c r="B2385" s="507"/>
      <c r="C2385" s="507"/>
      <c r="D2385" s="507"/>
      <c r="E2385" s="507"/>
      <c r="F2385" s="507"/>
      <c r="G2385" s="507"/>
      <c r="H2385" s="507"/>
      <c r="I2385" s="507"/>
      <c r="J2385" s="507"/>
      <c r="K2385" s="70"/>
      <c r="L2385" s="70"/>
    </row>
    <row r="2386" spans="1:12" ht="16.5" x14ac:dyDescent="0.25">
      <c r="A2386" s="419"/>
      <c r="B2386" s="421" t="s">
        <v>76</v>
      </c>
      <c r="C2386" s="419" t="s">
        <v>991</v>
      </c>
      <c r="D2386" s="419" t="s">
        <v>191</v>
      </c>
      <c r="E2386" s="603" t="s">
        <v>77</v>
      </c>
      <c r="F2386" s="603"/>
      <c r="G2386" s="420" t="s">
        <v>103</v>
      </c>
      <c r="H2386" s="421" t="s">
        <v>147</v>
      </c>
      <c r="I2386" s="421" t="s">
        <v>1731</v>
      </c>
      <c r="J2386" s="421" t="s">
        <v>1117</v>
      </c>
      <c r="K2386" s="421" t="s">
        <v>104</v>
      </c>
      <c r="L2386" s="70"/>
    </row>
    <row r="2387" spans="1:12" ht="25.5" x14ac:dyDescent="0.25">
      <c r="A2387" s="441" t="s">
        <v>79</v>
      </c>
      <c r="B2387" s="480" t="s">
        <v>2321</v>
      </c>
      <c r="C2387" s="441" t="s">
        <v>993</v>
      </c>
      <c r="D2387" s="441" t="s">
        <v>2322</v>
      </c>
      <c r="E2387" s="604">
        <v>726</v>
      </c>
      <c r="F2387" s="604"/>
      <c r="G2387" s="443" t="s">
        <v>130</v>
      </c>
      <c r="H2387" s="500">
        <v>1</v>
      </c>
      <c r="I2387" s="442"/>
      <c r="J2387" s="442">
        <v>22.69</v>
      </c>
      <c r="K2387" s="442">
        <v>22.69</v>
      </c>
      <c r="L2387" s="70"/>
    </row>
    <row r="2388" spans="1:12" ht="25.5" x14ac:dyDescent="0.25">
      <c r="A2388" s="501" t="s">
        <v>1732</v>
      </c>
      <c r="B2388" s="502" t="s">
        <v>1021</v>
      </c>
      <c r="C2388" s="501" t="s">
        <v>993</v>
      </c>
      <c r="D2388" s="501" t="s">
        <v>1022</v>
      </c>
      <c r="E2388" s="602" t="s">
        <v>972</v>
      </c>
      <c r="F2388" s="602"/>
      <c r="G2388" s="503" t="s">
        <v>81</v>
      </c>
      <c r="H2388" s="504">
        <v>0.3</v>
      </c>
      <c r="I2388" s="504"/>
      <c r="J2388" s="505">
        <v>23.41</v>
      </c>
      <c r="K2388" s="505">
        <v>7.02</v>
      </c>
      <c r="L2388" s="70"/>
    </row>
    <row r="2389" spans="1:12" ht="25.5" x14ac:dyDescent="0.25">
      <c r="A2389" s="501" t="s">
        <v>1732</v>
      </c>
      <c r="B2389" s="502" t="s">
        <v>999</v>
      </c>
      <c r="C2389" s="501" t="s">
        <v>993</v>
      </c>
      <c r="D2389" s="501" t="s">
        <v>1000</v>
      </c>
      <c r="E2389" s="602" t="s">
        <v>972</v>
      </c>
      <c r="F2389" s="602"/>
      <c r="G2389" s="503" t="s">
        <v>81</v>
      </c>
      <c r="H2389" s="504">
        <v>0.3</v>
      </c>
      <c r="I2389" s="504"/>
      <c r="J2389" s="505">
        <v>16.04</v>
      </c>
      <c r="K2389" s="505">
        <v>4.8099999999999996</v>
      </c>
      <c r="L2389" s="70"/>
    </row>
    <row r="2390" spans="1:12" ht="25.5" x14ac:dyDescent="0.25">
      <c r="A2390" s="501" t="s">
        <v>1732</v>
      </c>
      <c r="B2390" s="502" t="s">
        <v>2615</v>
      </c>
      <c r="C2390" s="501" t="s">
        <v>993</v>
      </c>
      <c r="D2390" s="501" t="s">
        <v>2322</v>
      </c>
      <c r="E2390" s="602" t="s">
        <v>1746</v>
      </c>
      <c r="F2390" s="602"/>
      <c r="G2390" s="503" t="s">
        <v>41</v>
      </c>
      <c r="H2390" s="504">
        <v>1</v>
      </c>
      <c r="I2390" s="504"/>
      <c r="J2390" s="505">
        <v>10.86</v>
      </c>
      <c r="K2390" s="505">
        <v>10.86</v>
      </c>
      <c r="L2390" s="70"/>
    </row>
    <row r="2391" spans="1:12" ht="15.75" customHeight="1" x14ac:dyDescent="0.25">
      <c r="A2391" s="445"/>
      <c r="B2391" s="445"/>
      <c r="C2391" s="445"/>
      <c r="D2391" s="445"/>
      <c r="E2391" s="445" t="s">
        <v>1735</v>
      </c>
      <c r="F2391" s="506">
        <v>11.83</v>
      </c>
      <c r="G2391" s="445" t="s">
        <v>1736</v>
      </c>
      <c r="H2391" s="506">
        <v>0</v>
      </c>
      <c r="I2391" s="445" t="s">
        <v>1737</v>
      </c>
      <c r="J2391" s="506">
        <v>11.83</v>
      </c>
      <c r="K2391" s="70"/>
      <c r="L2391" s="70"/>
    </row>
    <row r="2392" spans="1:12" ht="17.25" thickBot="1" x14ac:dyDescent="0.3">
      <c r="A2392" s="445"/>
      <c r="B2392" s="445"/>
      <c r="C2392" s="445"/>
      <c r="D2392" s="445"/>
      <c r="E2392" s="445" t="s">
        <v>1738</v>
      </c>
      <c r="F2392" s="506">
        <v>5.5908160000000002</v>
      </c>
      <c r="G2392" s="445"/>
      <c r="H2392" s="606" t="s">
        <v>1739</v>
      </c>
      <c r="I2392" s="606"/>
      <c r="J2392" s="506">
        <v>28.28</v>
      </c>
      <c r="K2392" s="70"/>
      <c r="L2392" s="70"/>
    </row>
    <row r="2393" spans="1:12" ht="17.25" thickTop="1" x14ac:dyDescent="0.25">
      <c r="A2393" s="507"/>
      <c r="B2393" s="507"/>
      <c r="C2393" s="507"/>
      <c r="D2393" s="507"/>
      <c r="E2393" s="507"/>
      <c r="F2393" s="507"/>
      <c r="G2393" s="507"/>
      <c r="H2393" s="507"/>
      <c r="I2393" s="507"/>
      <c r="J2393" s="507"/>
      <c r="K2393" s="70"/>
      <c r="L2393" s="70"/>
    </row>
    <row r="2394" spans="1:12" ht="16.5" x14ac:dyDescent="0.25">
      <c r="A2394" s="419"/>
      <c r="B2394" s="421" t="s">
        <v>76</v>
      </c>
      <c r="C2394" s="419" t="s">
        <v>991</v>
      </c>
      <c r="D2394" s="419" t="s">
        <v>191</v>
      </c>
      <c r="E2394" s="603" t="s">
        <v>77</v>
      </c>
      <c r="F2394" s="603"/>
      <c r="G2394" s="420" t="s">
        <v>103</v>
      </c>
      <c r="H2394" s="421" t="s">
        <v>147</v>
      </c>
      <c r="I2394" s="421" t="s">
        <v>1731</v>
      </c>
      <c r="J2394" s="421" t="s">
        <v>1117</v>
      </c>
      <c r="K2394" s="421" t="s">
        <v>104</v>
      </c>
      <c r="L2394" s="70"/>
    </row>
    <row r="2395" spans="1:12" ht="38.25" x14ac:dyDescent="0.25">
      <c r="A2395" s="441" t="s">
        <v>79</v>
      </c>
      <c r="B2395" s="480" t="s">
        <v>2197</v>
      </c>
      <c r="C2395" s="441" t="s">
        <v>1168</v>
      </c>
      <c r="D2395" s="441" t="s">
        <v>2198</v>
      </c>
      <c r="E2395" s="604" t="s">
        <v>2196</v>
      </c>
      <c r="F2395" s="604"/>
      <c r="G2395" s="443" t="s">
        <v>19</v>
      </c>
      <c r="H2395" s="500">
        <v>1</v>
      </c>
      <c r="I2395" s="442"/>
      <c r="J2395" s="442">
        <v>112.28</v>
      </c>
      <c r="K2395" s="442">
        <v>112.28</v>
      </c>
      <c r="L2395" s="70"/>
    </row>
    <row r="2396" spans="1:12" ht="38.25" x14ac:dyDescent="0.25">
      <c r="A2396" s="510" t="s">
        <v>2123</v>
      </c>
      <c r="B2396" s="511" t="s">
        <v>2616</v>
      </c>
      <c r="C2396" s="510" t="s">
        <v>1168</v>
      </c>
      <c r="D2396" s="510" t="s">
        <v>2617</v>
      </c>
      <c r="E2396" s="605" t="s">
        <v>2582</v>
      </c>
      <c r="F2396" s="605"/>
      <c r="G2396" s="512" t="s">
        <v>45</v>
      </c>
      <c r="H2396" s="513">
        <v>1.0200000000000001E-2</v>
      </c>
      <c r="I2396" s="513"/>
      <c r="J2396" s="514">
        <v>581.72</v>
      </c>
      <c r="K2396" s="514">
        <v>5.93</v>
      </c>
      <c r="L2396" s="70"/>
    </row>
    <row r="2397" spans="1:12" ht="25.5" x14ac:dyDescent="0.25">
      <c r="A2397" s="501" t="s">
        <v>1732</v>
      </c>
      <c r="B2397" s="502" t="s">
        <v>2618</v>
      </c>
      <c r="C2397" s="501" t="s">
        <v>1115</v>
      </c>
      <c r="D2397" s="501" t="s">
        <v>2619</v>
      </c>
      <c r="E2397" s="602" t="s">
        <v>1746</v>
      </c>
      <c r="F2397" s="602"/>
      <c r="G2397" s="503" t="s">
        <v>130</v>
      </c>
      <c r="H2397" s="504">
        <v>0.42</v>
      </c>
      <c r="I2397" s="504"/>
      <c r="J2397" s="505">
        <v>3.33</v>
      </c>
      <c r="K2397" s="505">
        <v>1.39</v>
      </c>
      <c r="L2397" s="70"/>
    </row>
    <row r="2398" spans="1:12" ht="16.5" x14ac:dyDescent="0.25">
      <c r="A2398" s="501" t="s">
        <v>1732</v>
      </c>
      <c r="B2398" s="502" t="s">
        <v>2620</v>
      </c>
      <c r="C2398" s="501" t="s">
        <v>1115</v>
      </c>
      <c r="D2398" s="501" t="s">
        <v>2621</v>
      </c>
      <c r="E2398" s="602" t="s">
        <v>1746</v>
      </c>
      <c r="F2398" s="602"/>
      <c r="G2398" s="503" t="s">
        <v>2622</v>
      </c>
      <c r="H2398" s="504">
        <v>0.01</v>
      </c>
      <c r="I2398" s="504"/>
      <c r="J2398" s="505">
        <v>43.77</v>
      </c>
      <c r="K2398" s="505">
        <v>0.43</v>
      </c>
      <c r="L2398" s="70"/>
    </row>
    <row r="2399" spans="1:12" ht="25.5" x14ac:dyDescent="0.25">
      <c r="A2399" s="501" t="s">
        <v>1732</v>
      </c>
      <c r="B2399" s="502" t="s">
        <v>1003</v>
      </c>
      <c r="C2399" s="501" t="s">
        <v>993</v>
      </c>
      <c r="D2399" s="501" t="s">
        <v>1004</v>
      </c>
      <c r="E2399" s="602" t="s">
        <v>972</v>
      </c>
      <c r="F2399" s="602"/>
      <c r="G2399" s="503" t="s">
        <v>81</v>
      </c>
      <c r="H2399" s="504">
        <v>1.3</v>
      </c>
      <c r="I2399" s="504">
        <v>0</v>
      </c>
      <c r="J2399" s="505">
        <v>23.41</v>
      </c>
      <c r="K2399" s="505">
        <v>30.43</v>
      </c>
      <c r="L2399" s="70"/>
    </row>
    <row r="2400" spans="1:12" ht="25.5" x14ac:dyDescent="0.25">
      <c r="A2400" s="501" t="s">
        <v>1732</v>
      </c>
      <c r="B2400" s="502" t="s">
        <v>992</v>
      </c>
      <c r="C2400" s="501" t="s">
        <v>993</v>
      </c>
      <c r="D2400" s="501" t="s">
        <v>994</v>
      </c>
      <c r="E2400" s="602" t="s">
        <v>972</v>
      </c>
      <c r="F2400" s="602"/>
      <c r="G2400" s="503" t="s">
        <v>81</v>
      </c>
      <c r="H2400" s="504">
        <v>0.65</v>
      </c>
      <c r="I2400" s="504">
        <v>0</v>
      </c>
      <c r="J2400" s="505">
        <v>14.62</v>
      </c>
      <c r="K2400" s="505">
        <v>9.5</v>
      </c>
      <c r="L2400" s="70"/>
    </row>
    <row r="2401" spans="1:12" ht="25.5" x14ac:dyDescent="0.25">
      <c r="A2401" s="501" t="s">
        <v>1732</v>
      </c>
      <c r="B2401" s="502" t="s">
        <v>2623</v>
      </c>
      <c r="C2401" s="501" t="s">
        <v>993</v>
      </c>
      <c r="D2401" s="501" t="s">
        <v>2624</v>
      </c>
      <c r="E2401" s="602" t="s">
        <v>1746</v>
      </c>
      <c r="F2401" s="602"/>
      <c r="G2401" s="503" t="s">
        <v>49</v>
      </c>
      <c r="H2401" s="504">
        <v>13.6</v>
      </c>
      <c r="I2401" s="504">
        <v>0</v>
      </c>
      <c r="J2401" s="505">
        <v>4.75</v>
      </c>
      <c r="K2401" s="505">
        <v>64.599999999999994</v>
      </c>
      <c r="L2401" s="70"/>
    </row>
    <row r="2402" spans="1:12" ht="15.75" customHeight="1" x14ac:dyDescent="0.25">
      <c r="A2402" s="445"/>
      <c r="B2402" s="445"/>
      <c r="C2402" s="445"/>
      <c r="D2402" s="445"/>
      <c r="E2402" s="445" t="s">
        <v>1735</v>
      </c>
      <c r="F2402" s="506">
        <v>40.729999999999997</v>
      </c>
      <c r="G2402" s="445" t="s">
        <v>1736</v>
      </c>
      <c r="H2402" s="506">
        <v>0</v>
      </c>
      <c r="I2402" s="445" t="s">
        <v>1737</v>
      </c>
      <c r="J2402" s="506">
        <v>40.729999999999997</v>
      </c>
      <c r="K2402" s="70"/>
      <c r="L2402" s="70"/>
    </row>
    <row r="2403" spans="1:12" ht="17.25" thickBot="1" x14ac:dyDescent="0.3">
      <c r="A2403" s="445"/>
      <c r="B2403" s="445"/>
      <c r="C2403" s="445"/>
      <c r="D2403" s="445"/>
      <c r="E2403" s="445" t="s">
        <v>1738</v>
      </c>
      <c r="F2403" s="506">
        <v>27.665792</v>
      </c>
      <c r="G2403" s="445"/>
      <c r="H2403" s="606" t="s">
        <v>1739</v>
      </c>
      <c r="I2403" s="606"/>
      <c r="J2403" s="506">
        <v>139.94</v>
      </c>
      <c r="K2403" s="70"/>
      <c r="L2403" s="70"/>
    </row>
    <row r="2404" spans="1:12" ht="17.25" thickTop="1" x14ac:dyDescent="0.25">
      <c r="A2404" s="507"/>
      <c r="B2404" s="507"/>
      <c r="C2404" s="507"/>
      <c r="D2404" s="507"/>
      <c r="E2404" s="507"/>
      <c r="F2404" s="507"/>
      <c r="G2404" s="507"/>
      <c r="H2404" s="507"/>
      <c r="I2404" s="507"/>
      <c r="J2404" s="507"/>
      <c r="K2404" s="70"/>
      <c r="L2404" s="70"/>
    </row>
    <row r="2405" spans="1:12" ht="16.5" x14ac:dyDescent="0.25">
      <c r="A2405" s="419"/>
      <c r="B2405" s="421" t="s">
        <v>76</v>
      </c>
      <c r="C2405" s="419" t="s">
        <v>991</v>
      </c>
      <c r="D2405" s="419" t="s">
        <v>191</v>
      </c>
      <c r="E2405" s="603" t="s">
        <v>77</v>
      </c>
      <c r="F2405" s="603"/>
      <c r="G2405" s="420" t="s">
        <v>103</v>
      </c>
      <c r="H2405" s="421" t="s">
        <v>147</v>
      </c>
      <c r="I2405" s="421" t="s">
        <v>1731</v>
      </c>
      <c r="J2405" s="421" t="s">
        <v>1117</v>
      </c>
      <c r="K2405" s="421" t="s">
        <v>104</v>
      </c>
      <c r="L2405" s="70"/>
    </row>
    <row r="2406" spans="1:12" ht="38.25" customHeight="1" x14ac:dyDescent="0.25">
      <c r="A2406" s="441" t="s">
        <v>79</v>
      </c>
      <c r="B2406" s="480" t="s">
        <v>2616</v>
      </c>
      <c r="C2406" s="441" t="s">
        <v>1168</v>
      </c>
      <c r="D2406" s="441" t="s">
        <v>2617</v>
      </c>
      <c r="E2406" s="604" t="s">
        <v>2582</v>
      </c>
      <c r="F2406" s="604"/>
      <c r="G2406" s="443" t="s">
        <v>45</v>
      </c>
      <c r="H2406" s="500">
        <v>1</v>
      </c>
      <c r="I2406" s="442"/>
      <c r="J2406" s="442">
        <v>581.72</v>
      </c>
      <c r="K2406" s="442">
        <v>581.72</v>
      </c>
      <c r="L2406" s="70"/>
    </row>
    <row r="2407" spans="1:12" ht="38.25" customHeight="1" x14ac:dyDescent="0.25">
      <c r="A2407" s="510" t="s">
        <v>2123</v>
      </c>
      <c r="B2407" s="511" t="s">
        <v>2625</v>
      </c>
      <c r="C2407" s="510" t="s">
        <v>1115</v>
      </c>
      <c r="D2407" s="510" t="s">
        <v>2626</v>
      </c>
      <c r="E2407" s="605" t="s">
        <v>2126</v>
      </c>
      <c r="F2407" s="605"/>
      <c r="G2407" s="512" t="s">
        <v>2130</v>
      </c>
      <c r="H2407" s="513">
        <v>1.05</v>
      </c>
      <c r="I2407" s="513"/>
      <c r="J2407" s="514">
        <v>1.97</v>
      </c>
      <c r="K2407" s="514">
        <v>2.06</v>
      </c>
      <c r="L2407" s="70"/>
    </row>
    <row r="2408" spans="1:12" ht="38.25" customHeight="1" x14ac:dyDescent="0.25">
      <c r="A2408" s="510" t="s">
        <v>2123</v>
      </c>
      <c r="B2408" s="511" t="s">
        <v>2627</v>
      </c>
      <c r="C2408" s="510" t="s">
        <v>1115</v>
      </c>
      <c r="D2408" s="510" t="s">
        <v>2628</v>
      </c>
      <c r="E2408" s="605" t="s">
        <v>2126</v>
      </c>
      <c r="F2408" s="605"/>
      <c r="G2408" s="512" t="s">
        <v>2127</v>
      </c>
      <c r="H2408" s="513">
        <v>3.45</v>
      </c>
      <c r="I2408" s="513"/>
      <c r="J2408" s="514">
        <v>0.37</v>
      </c>
      <c r="K2408" s="514">
        <v>1.27</v>
      </c>
      <c r="L2408" s="70"/>
    </row>
    <row r="2409" spans="1:12" ht="25.5" x14ac:dyDescent="0.25">
      <c r="A2409" s="501" t="s">
        <v>1732</v>
      </c>
      <c r="B2409" s="502" t="s">
        <v>1023</v>
      </c>
      <c r="C2409" s="501" t="s">
        <v>993</v>
      </c>
      <c r="D2409" s="501" t="s">
        <v>1024</v>
      </c>
      <c r="E2409" s="602" t="s">
        <v>972</v>
      </c>
      <c r="F2409" s="602"/>
      <c r="G2409" s="503" t="s">
        <v>81</v>
      </c>
      <c r="H2409" s="504">
        <v>4.5</v>
      </c>
      <c r="I2409" s="504">
        <v>0</v>
      </c>
      <c r="J2409" s="505">
        <v>17.559999999999999</v>
      </c>
      <c r="K2409" s="505">
        <v>79.02</v>
      </c>
      <c r="L2409" s="70"/>
    </row>
    <row r="2410" spans="1:12" ht="25.5" x14ac:dyDescent="0.25">
      <c r="A2410" s="501" t="s">
        <v>1732</v>
      </c>
      <c r="B2410" s="502" t="s">
        <v>1974</v>
      </c>
      <c r="C2410" s="501" t="s">
        <v>993</v>
      </c>
      <c r="D2410" s="501" t="s">
        <v>1975</v>
      </c>
      <c r="E2410" s="602" t="s">
        <v>1746</v>
      </c>
      <c r="F2410" s="602"/>
      <c r="G2410" s="503" t="s">
        <v>45</v>
      </c>
      <c r="H2410" s="504">
        <v>1.1599999999999999</v>
      </c>
      <c r="I2410" s="504">
        <v>0</v>
      </c>
      <c r="J2410" s="505">
        <v>172.18</v>
      </c>
      <c r="K2410" s="505">
        <v>199.72</v>
      </c>
      <c r="L2410" s="70"/>
    </row>
    <row r="2411" spans="1:12" ht="25.5" x14ac:dyDescent="0.25">
      <c r="A2411" s="501" t="s">
        <v>1732</v>
      </c>
      <c r="B2411" s="502" t="s">
        <v>2022</v>
      </c>
      <c r="C2411" s="501" t="s">
        <v>993</v>
      </c>
      <c r="D2411" s="501" t="s">
        <v>2023</v>
      </c>
      <c r="E2411" s="602" t="s">
        <v>1746</v>
      </c>
      <c r="F2411" s="602"/>
      <c r="G2411" s="503" t="s">
        <v>1222</v>
      </c>
      <c r="H2411" s="504">
        <v>174.1</v>
      </c>
      <c r="I2411" s="504">
        <v>0</v>
      </c>
      <c r="J2411" s="505">
        <v>0.99</v>
      </c>
      <c r="K2411" s="505">
        <v>172.35</v>
      </c>
      <c r="L2411" s="70"/>
    </row>
    <row r="2412" spans="1:12" ht="25.5" x14ac:dyDescent="0.25">
      <c r="A2412" s="501" t="s">
        <v>1732</v>
      </c>
      <c r="B2412" s="502" t="s">
        <v>1854</v>
      </c>
      <c r="C2412" s="501" t="s">
        <v>993</v>
      </c>
      <c r="D2412" s="501" t="s">
        <v>1855</v>
      </c>
      <c r="E2412" s="602" t="s">
        <v>1746</v>
      </c>
      <c r="F2412" s="602"/>
      <c r="G2412" s="503" t="s">
        <v>1222</v>
      </c>
      <c r="H2412" s="504">
        <v>195.86</v>
      </c>
      <c r="I2412" s="504">
        <v>0</v>
      </c>
      <c r="J2412" s="505">
        <v>0.65</v>
      </c>
      <c r="K2412" s="505">
        <v>127.3</v>
      </c>
      <c r="L2412" s="70"/>
    </row>
    <row r="2413" spans="1:12" ht="15.75" customHeight="1" x14ac:dyDescent="0.25">
      <c r="A2413" s="445"/>
      <c r="B2413" s="445"/>
      <c r="C2413" s="445"/>
      <c r="D2413" s="445"/>
      <c r="E2413" s="445" t="s">
        <v>1735</v>
      </c>
      <c r="F2413" s="506">
        <v>79.02</v>
      </c>
      <c r="G2413" s="445" t="s">
        <v>1736</v>
      </c>
      <c r="H2413" s="506">
        <v>0</v>
      </c>
      <c r="I2413" s="445" t="s">
        <v>1737</v>
      </c>
      <c r="J2413" s="506">
        <v>79.02</v>
      </c>
      <c r="K2413" s="70"/>
      <c r="L2413" s="70"/>
    </row>
    <row r="2414" spans="1:12" ht="17.25" thickBot="1" x14ac:dyDescent="0.3">
      <c r="A2414" s="445"/>
      <c r="B2414" s="445"/>
      <c r="C2414" s="445"/>
      <c r="D2414" s="445"/>
      <c r="E2414" s="445" t="s">
        <v>1738</v>
      </c>
      <c r="F2414" s="506">
        <v>143.33580799999999</v>
      </c>
      <c r="G2414" s="445"/>
      <c r="H2414" s="606" t="s">
        <v>1739</v>
      </c>
      <c r="I2414" s="606"/>
      <c r="J2414" s="506">
        <v>725.05</v>
      </c>
      <c r="K2414" s="70"/>
      <c r="L2414" s="70"/>
    </row>
    <row r="2415" spans="1:12" ht="17.25" thickTop="1" x14ac:dyDescent="0.25">
      <c r="A2415" s="507"/>
      <c r="B2415" s="507"/>
      <c r="C2415" s="507"/>
      <c r="D2415" s="507"/>
      <c r="E2415" s="507"/>
      <c r="F2415" s="507"/>
      <c r="G2415" s="507"/>
      <c r="H2415" s="507"/>
      <c r="I2415" s="507"/>
      <c r="J2415" s="507"/>
      <c r="K2415" s="70"/>
      <c r="L2415" s="70"/>
    </row>
    <row r="2416" spans="1:12" ht="16.5" x14ac:dyDescent="0.25">
      <c r="A2416" s="419"/>
      <c r="B2416" s="421" t="s">
        <v>76</v>
      </c>
      <c r="C2416" s="419" t="s">
        <v>991</v>
      </c>
      <c r="D2416" s="419" t="s">
        <v>191</v>
      </c>
      <c r="E2416" s="603" t="s">
        <v>77</v>
      </c>
      <c r="F2416" s="603"/>
      <c r="G2416" s="420" t="s">
        <v>103</v>
      </c>
      <c r="H2416" s="421" t="s">
        <v>147</v>
      </c>
      <c r="I2416" s="421" t="s">
        <v>1731</v>
      </c>
      <c r="J2416" s="421" t="s">
        <v>1117</v>
      </c>
      <c r="K2416" s="421" t="s">
        <v>104</v>
      </c>
      <c r="L2416" s="70"/>
    </row>
    <row r="2417" spans="1:12" ht="25.5" x14ac:dyDescent="0.25">
      <c r="A2417" s="441" t="s">
        <v>79</v>
      </c>
      <c r="B2417" s="480" t="s">
        <v>2580</v>
      </c>
      <c r="C2417" s="441" t="s">
        <v>1168</v>
      </c>
      <c r="D2417" s="441" t="s">
        <v>2581</v>
      </c>
      <c r="E2417" s="604" t="s">
        <v>2582</v>
      </c>
      <c r="F2417" s="604"/>
      <c r="G2417" s="443" t="s">
        <v>45</v>
      </c>
      <c r="H2417" s="500">
        <v>1</v>
      </c>
      <c r="I2417" s="442"/>
      <c r="J2417" s="442">
        <v>623.44000000000005</v>
      </c>
      <c r="K2417" s="442">
        <v>623.44000000000005</v>
      </c>
      <c r="L2417" s="70"/>
    </row>
    <row r="2418" spans="1:12" ht="25.5" x14ac:dyDescent="0.25">
      <c r="A2418" s="501" t="s">
        <v>1732</v>
      </c>
      <c r="B2418" s="502" t="s">
        <v>992</v>
      </c>
      <c r="C2418" s="501" t="s">
        <v>993</v>
      </c>
      <c r="D2418" s="501" t="s">
        <v>994</v>
      </c>
      <c r="E2418" s="602" t="s">
        <v>972</v>
      </c>
      <c r="F2418" s="602"/>
      <c r="G2418" s="503" t="s">
        <v>81</v>
      </c>
      <c r="H2418" s="504">
        <v>8.57</v>
      </c>
      <c r="I2418" s="504">
        <v>0</v>
      </c>
      <c r="J2418" s="505">
        <v>14.62</v>
      </c>
      <c r="K2418" s="505">
        <v>125.29</v>
      </c>
      <c r="L2418" s="70"/>
    </row>
    <row r="2419" spans="1:12" ht="25.5" x14ac:dyDescent="0.25">
      <c r="A2419" s="501" t="s">
        <v>1732</v>
      </c>
      <c r="B2419" s="502" t="s">
        <v>1974</v>
      </c>
      <c r="C2419" s="501" t="s">
        <v>993</v>
      </c>
      <c r="D2419" s="501" t="s">
        <v>1975</v>
      </c>
      <c r="E2419" s="602" t="s">
        <v>1746</v>
      </c>
      <c r="F2419" s="602"/>
      <c r="G2419" s="503" t="s">
        <v>45</v>
      </c>
      <c r="H2419" s="504">
        <v>1.07</v>
      </c>
      <c r="I2419" s="504">
        <v>0</v>
      </c>
      <c r="J2419" s="505">
        <v>172.18</v>
      </c>
      <c r="K2419" s="505">
        <v>184.23</v>
      </c>
      <c r="L2419" s="70"/>
    </row>
    <row r="2420" spans="1:12" ht="25.5" x14ac:dyDescent="0.25">
      <c r="A2420" s="501" t="s">
        <v>1732</v>
      </c>
      <c r="B2420" s="502" t="s">
        <v>1854</v>
      </c>
      <c r="C2420" s="501" t="s">
        <v>993</v>
      </c>
      <c r="D2420" s="501" t="s">
        <v>1855</v>
      </c>
      <c r="E2420" s="602" t="s">
        <v>1746</v>
      </c>
      <c r="F2420" s="602"/>
      <c r="G2420" s="503" t="s">
        <v>1222</v>
      </c>
      <c r="H2420" s="504">
        <v>482.96</v>
      </c>
      <c r="I2420" s="504">
        <v>0</v>
      </c>
      <c r="J2420" s="505">
        <v>0.65</v>
      </c>
      <c r="K2420" s="505">
        <v>313.92</v>
      </c>
      <c r="L2420" s="70"/>
    </row>
    <row r="2421" spans="1:12" ht="15.75" customHeight="1" x14ac:dyDescent="0.25">
      <c r="A2421" s="445"/>
      <c r="B2421" s="445"/>
      <c r="C2421" s="445"/>
      <c r="D2421" s="445"/>
      <c r="E2421" s="445" t="s">
        <v>1735</v>
      </c>
      <c r="F2421" s="506">
        <v>125.29</v>
      </c>
      <c r="G2421" s="445" t="s">
        <v>1736</v>
      </c>
      <c r="H2421" s="506">
        <v>0</v>
      </c>
      <c r="I2421" s="445" t="s">
        <v>1737</v>
      </c>
      <c r="J2421" s="506">
        <v>125.29</v>
      </c>
      <c r="K2421" s="70"/>
      <c r="L2421" s="70"/>
    </row>
    <row r="2422" spans="1:12" ht="17.25" thickBot="1" x14ac:dyDescent="0.3">
      <c r="A2422" s="445"/>
      <c r="B2422" s="445"/>
      <c r="C2422" s="445"/>
      <c r="D2422" s="445"/>
      <c r="E2422" s="445" t="s">
        <v>1738</v>
      </c>
      <c r="F2422" s="506">
        <v>153.61561599999999</v>
      </c>
      <c r="G2422" s="445"/>
      <c r="H2422" s="606" t="s">
        <v>1739</v>
      </c>
      <c r="I2422" s="606"/>
      <c r="J2422" s="506">
        <v>777.05</v>
      </c>
      <c r="K2422" s="70"/>
      <c r="L2422" s="70"/>
    </row>
    <row r="2423" spans="1:12" ht="17.25" thickTop="1" x14ac:dyDescent="0.25">
      <c r="A2423" s="507"/>
      <c r="B2423" s="507"/>
      <c r="C2423" s="507"/>
      <c r="D2423" s="507"/>
      <c r="E2423" s="507"/>
      <c r="F2423" s="507"/>
      <c r="G2423" s="507"/>
      <c r="H2423" s="507"/>
      <c r="I2423" s="507"/>
      <c r="J2423" s="507"/>
      <c r="K2423" s="70"/>
      <c r="L2423" s="70"/>
    </row>
    <row r="2424" spans="1:12" ht="38.25" customHeight="1" x14ac:dyDescent="0.25">
      <c r="A2424" s="419"/>
      <c r="B2424" s="421" t="s">
        <v>76</v>
      </c>
      <c r="C2424" s="419" t="s">
        <v>991</v>
      </c>
      <c r="D2424" s="419" t="s">
        <v>191</v>
      </c>
      <c r="E2424" s="603" t="s">
        <v>77</v>
      </c>
      <c r="F2424" s="603"/>
      <c r="G2424" s="420" t="s">
        <v>103</v>
      </c>
      <c r="H2424" s="421" t="s">
        <v>147</v>
      </c>
      <c r="I2424" s="421" t="s">
        <v>1731</v>
      </c>
      <c r="J2424" s="421" t="s">
        <v>1117</v>
      </c>
      <c r="K2424" s="421" t="s">
        <v>104</v>
      </c>
      <c r="L2424" s="70"/>
    </row>
    <row r="2425" spans="1:12" ht="38.25" customHeight="1" x14ac:dyDescent="0.25">
      <c r="A2425" s="441" t="s">
        <v>79</v>
      </c>
      <c r="B2425" s="480" t="s">
        <v>2627</v>
      </c>
      <c r="C2425" s="441" t="s">
        <v>1115</v>
      </c>
      <c r="D2425" s="441" t="s">
        <v>2628</v>
      </c>
      <c r="E2425" s="604" t="s">
        <v>2126</v>
      </c>
      <c r="F2425" s="604"/>
      <c r="G2425" s="443" t="s">
        <v>2127</v>
      </c>
      <c r="H2425" s="500">
        <v>1</v>
      </c>
      <c r="I2425" s="442"/>
      <c r="J2425" s="442">
        <v>0.37</v>
      </c>
      <c r="K2425" s="442">
        <v>0.37</v>
      </c>
      <c r="L2425" s="70"/>
    </row>
    <row r="2426" spans="1:12" ht="38.25" customHeight="1" x14ac:dyDescent="0.25">
      <c r="A2426" s="510" t="s">
        <v>2123</v>
      </c>
      <c r="B2426" s="511" t="s">
        <v>2629</v>
      </c>
      <c r="C2426" s="510" t="s">
        <v>1115</v>
      </c>
      <c r="D2426" s="510" t="s">
        <v>2630</v>
      </c>
      <c r="E2426" s="605" t="s">
        <v>2126</v>
      </c>
      <c r="F2426" s="605"/>
      <c r="G2426" s="512" t="s">
        <v>81</v>
      </c>
      <c r="H2426" s="513">
        <v>1</v>
      </c>
      <c r="I2426" s="513"/>
      <c r="J2426" s="514">
        <v>0.3</v>
      </c>
      <c r="K2426" s="514">
        <v>0.3</v>
      </c>
      <c r="L2426" s="70"/>
    </row>
    <row r="2427" spans="1:12" ht="38.25" customHeight="1" x14ac:dyDescent="0.25">
      <c r="A2427" s="510" t="s">
        <v>2123</v>
      </c>
      <c r="B2427" s="511" t="s">
        <v>2631</v>
      </c>
      <c r="C2427" s="510" t="s">
        <v>1115</v>
      </c>
      <c r="D2427" s="510" t="s">
        <v>2632</v>
      </c>
      <c r="E2427" s="605" t="s">
        <v>2126</v>
      </c>
      <c r="F2427" s="605"/>
      <c r="G2427" s="512" t="s">
        <v>81</v>
      </c>
      <c r="H2427" s="513">
        <v>1</v>
      </c>
      <c r="I2427" s="513"/>
      <c r="J2427" s="514">
        <v>7.0000000000000007E-2</v>
      </c>
      <c r="K2427" s="514">
        <v>7.0000000000000007E-2</v>
      </c>
      <c r="L2427" s="70"/>
    </row>
    <row r="2428" spans="1:12" ht="15.75" customHeight="1" x14ac:dyDescent="0.25">
      <c r="A2428" s="445"/>
      <c r="B2428" s="445"/>
      <c r="C2428" s="445"/>
      <c r="D2428" s="445"/>
      <c r="E2428" s="445" t="s">
        <v>1735</v>
      </c>
      <c r="F2428" s="506">
        <v>0</v>
      </c>
      <c r="G2428" s="445" t="s">
        <v>1736</v>
      </c>
      <c r="H2428" s="506">
        <v>0</v>
      </c>
      <c r="I2428" s="445" t="s">
        <v>1737</v>
      </c>
      <c r="J2428" s="506">
        <v>0</v>
      </c>
      <c r="K2428" s="70"/>
      <c r="L2428" s="70"/>
    </row>
    <row r="2429" spans="1:12" ht="17.25" thickBot="1" x14ac:dyDescent="0.3">
      <c r="A2429" s="445"/>
      <c r="B2429" s="445"/>
      <c r="C2429" s="445"/>
      <c r="D2429" s="445"/>
      <c r="E2429" s="445" t="s">
        <v>1738</v>
      </c>
      <c r="F2429" s="506">
        <v>9.1167999999999999E-2</v>
      </c>
      <c r="G2429" s="445"/>
      <c r="H2429" s="606" t="s">
        <v>1739</v>
      </c>
      <c r="I2429" s="606"/>
      <c r="J2429" s="506">
        <v>0.46</v>
      </c>
      <c r="K2429" s="70"/>
      <c r="L2429" s="70"/>
    </row>
    <row r="2430" spans="1:12" ht="17.25" thickTop="1" x14ac:dyDescent="0.25">
      <c r="A2430" s="507"/>
      <c r="B2430" s="507"/>
      <c r="C2430" s="507"/>
      <c r="D2430" s="507"/>
      <c r="E2430" s="507"/>
      <c r="F2430" s="507"/>
      <c r="G2430" s="507"/>
      <c r="H2430" s="507"/>
      <c r="I2430" s="507"/>
      <c r="J2430" s="507"/>
      <c r="K2430" s="70"/>
      <c r="L2430" s="70"/>
    </row>
    <row r="2431" spans="1:12" ht="38.25" customHeight="1" x14ac:dyDescent="0.25">
      <c r="A2431" s="419"/>
      <c r="B2431" s="421" t="s">
        <v>76</v>
      </c>
      <c r="C2431" s="419" t="s">
        <v>991</v>
      </c>
      <c r="D2431" s="419" t="s">
        <v>191</v>
      </c>
      <c r="E2431" s="603" t="s">
        <v>77</v>
      </c>
      <c r="F2431" s="603"/>
      <c r="G2431" s="420" t="s">
        <v>103</v>
      </c>
      <c r="H2431" s="421" t="s">
        <v>147</v>
      </c>
      <c r="I2431" s="421" t="s">
        <v>1731</v>
      </c>
      <c r="J2431" s="421" t="s">
        <v>1117</v>
      </c>
      <c r="K2431" s="421" t="s">
        <v>104</v>
      </c>
      <c r="L2431" s="70"/>
    </row>
    <row r="2432" spans="1:12" ht="38.25" customHeight="1" x14ac:dyDescent="0.25">
      <c r="A2432" s="441" t="s">
        <v>79</v>
      </c>
      <c r="B2432" s="480" t="s">
        <v>2625</v>
      </c>
      <c r="C2432" s="441" t="s">
        <v>1115</v>
      </c>
      <c r="D2432" s="441" t="s">
        <v>2626</v>
      </c>
      <c r="E2432" s="604" t="s">
        <v>2126</v>
      </c>
      <c r="F2432" s="604"/>
      <c r="G2432" s="443" t="s">
        <v>2130</v>
      </c>
      <c r="H2432" s="500">
        <v>1</v>
      </c>
      <c r="I2432" s="442"/>
      <c r="J2432" s="442">
        <v>1.97</v>
      </c>
      <c r="K2432" s="442">
        <v>1.97</v>
      </c>
      <c r="L2432" s="70"/>
    </row>
    <row r="2433" spans="1:12" ht="38.25" customHeight="1" x14ac:dyDescent="0.25">
      <c r="A2433" s="510" t="s">
        <v>2123</v>
      </c>
      <c r="B2433" s="511" t="s">
        <v>2629</v>
      </c>
      <c r="C2433" s="510" t="s">
        <v>1115</v>
      </c>
      <c r="D2433" s="510" t="s">
        <v>2630</v>
      </c>
      <c r="E2433" s="605" t="s">
        <v>2126</v>
      </c>
      <c r="F2433" s="605"/>
      <c r="G2433" s="512" t="s">
        <v>81</v>
      </c>
      <c r="H2433" s="513">
        <v>1</v>
      </c>
      <c r="I2433" s="513"/>
      <c r="J2433" s="514">
        <v>0.3</v>
      </c>
      <c r="K2433" s="514">
        <v>0.3</v>
      </c>
      <c r="L2433" s="70"/>
    </row>
    <row r="2434" spans="1:12" ht="38.25" customHeight="1" x14ac:dyDescent="0.25">
      <c r="A2434" s="510" t="s">
        <v>2123</v>
      </c>
      <c r="B2434" s="511" t="s">
        <v>2631</v>
      </c>
      <c r="C2434" s="510" t="s">
        <v>1115</v>
      </c>
      <c r="D2434" s="510" t="s">
        <v>2632</v>
      </c>
      <c r="E2434" s="605" t="s">
        <v>2126</v>
      </c>
      <c r="F2434" s="605"/>
      <c r="G2434" s="512" t="s">
        <v>81</v>
      </c>
      <c r="H2434" s="513">
        <v>1</v>
      </c>
      <c r="I2434" s="513"/>
      <c r="J2434" s="514">
        <v>7.0000000000000007E-2</v>
      </c>
      <c r="K2434" s="514">
        <v>7.0000000000000007E-2</v>
      </c>
      <c r="L2434" s="70"/>
    </row>
    <row r="2435" spans="1:12" ht="38.25" customHeight="1" x14ac:dyDescent="0.25">
      <c r="A2435" s="510" t="s">
        <v>2123</v>
      </c>
      <c r="B2435" s="511" t="s">
        <v>2633</v>
      </c>
      <c r="C2435" s="510" t="s">
        <v>1115</v>
      </c>
      <c r="D2435" s="510" t="s">
        <v>2634</v>
      </c>
      <c r="E2435" s="605" t="s">
        <v>2126</v>
      </c>
      <c r="F2435" s="605"/>
      <c r="G2435" s="512" t="s">
        <v>81</v>
      </c>
      <c r="H2435" s="513">
        <v>1</v>
      </c>
      <c r="I2435" s="513"/>
      <c r="J2435" s="514">
        <v>0.35</v>
      </c>
      <c r="K2435" s="514">
        <v>0.35</v>
      </c>
      <c r="L2435" s="70"/>
    </row>
    <row r="2436" spans="1:12" ht="38.25" customHeight="1" x14ac:dyDescent="0.25">
      <c r="A2436" s="510" t="s">
        <v>2123</v>
      </c>
      <c r="B2436" s="511" t="s">
        <v>2635</v>
      </c>
      <c r="C2436" s="510" t="s">
        <v>1115</v>
      </c>
      <c r="D2436" s="510" t="s">
        <v>2636</v>
      </c>
      <c r="E2436" s="605" t="s">
        <v>2126</v>
      </c>
      <c r="F2436" s="605"/>
      <c r="G2436" s="512" t="s">
        <v>81</v>
      </c>
      <c r="H2436" s="513">
        <v>1</v>
      </c>
      <c r="I2436" s="513"/>
      <c r="J2436" s="514">
        <v>1.25</v>
      </c>
      <c r="K2436" s="514">
        <v>1.25</v>
      </c>
      <c r="L2436" s="70"/>
    </row>
    <row r="2437" spans="1:12" ht="15.75" customHeight="1" x14ac:dyDescent="0.25">
      <c r="A2437" s="445"/>
      <c r="B2437" s="445"/>
      <c r="C2437" s="445"/>
      <c r="D2437" s="445"/>
      <c r="E2437" s="445" t="s">
        <v>1735</v>
      </c>
      <c r="F2437" s="506">
        <v>0</v>
      </c>
      <c r="G2437" s="445" t="s">
        <v>1736</v>
      </c>
      <c r="H2437" s="506">
        <v>0</v>
      </c>
      <c r="I2437" s="445" t="s">
        <v>1737</v>
      </c>
      <c r="J2437" s="506">
        <v>0</v>
      </c>
      <c r="K2437" s="70"/>
      <c r="L2437" s="70"/>
    </row>
    <row r="2438" spans="1:12" ht="17.25" thickBot="1" x14ac:dyDescent="0.3">
      <c r="A2438" s="445"/>
      <c r="B2438" s="445"/>
      <c r="C2438" s="445"/>
      <c r="D2438" s="445"/>
      <c r="E2438" s="445" t="s">
        <v>1738</v>
      </c>
      <c r="F2438" s="506">
        <v>0.48540800000000001</v>
      </c>
      <c r="G2438" s="445"/>
      <c r="H2438" s="606" t="s">
        <v>1739</v>
      </c>
      <c r="I2438" s="606"/>
      <c r="J2438" s="506">
        <v>2.4500000000000002</v>
      </c>
      <c r="K2438" s="70"/>
      <c r="L2438" s="70"/>
    </row>
    <row r="2439" spans="1:12" ht="17.25" thickTop="1" x14ac:dyDescent="0.25">
      <c r="A2439" s="507"/>
      <c r="B2439" s="507"/>
      <c r="C2439" s="507"/>
      <c r="D2439" s="507"/>
      <c r="E2439" s="507"/>
      <c r="F2439" s="507"/>
      <c r="G2439" s="507"/>
      <c r="H2439" s="507"/>
      <c r="I2439" s="507"/>
      <c r="J2439" s="507"/>
      <c r="K2439" s="70"/>
      <c r="L2439" s="70"/>
    </row>
    <row r="2440" spans="1:12" ht="38.25" customHeight="1" x14ac:dyDescent="0.25">
      <c r="A2440" s="419"/>
      <c r="B2440" s="421" t="s">
        <v>76</v>
      </c>
      <c r="C2440" s="419" t="s">
        <v>991</v>
      </c>
      <c r="D2440" s="419" t="s">
        <v>191</v>
      </c>
      <c r="E2440" s="603" t="s">
        <v>77</v>
      </c>
      <c r="F2440" s="603"/>
      <c r="G2440" s="420" t="s">
        <v>103</v>
      </c>
      <c r="H2440" s="421" t="s">
        <v>147</v>
      </c>
      <c r="I2440" s="421" t="s">
        <v>1731</v>
      </c>
      <c r="J2440" s="421" t="s">
        <v>1117</v>
      </c>
      <c r="K2440" s="421" t="s">
        <v>104</v>
      </c>
      <c r="L2440" s="70"/>
    </row>
    <row r="2441" spans="1:12" ht="38.25" customHeight="1" x14ac:dyDescent="0.25">
      <c r="A2441" s="441" t="s">
        <v>79</v>
      </c>
      <c r="B2441" s="480" t="s">
        <v>2629</v>
      </c>
      <c r="C2441" s="441" t="s">
        <v>1115</v>
      </c>
      <c r="D2441" s="441" t="s">
        <v>2630</v>
      </c>
      <c r="E2441" s="604" t="s">
        <v>2126</v>
      </c>
      <c r="F2441" s="604"/>
      <c r="G2441" s="443" t="s">
        <v>81</v>
      </c>
      <c r="H2441" s="500">
        <v>1</v>
      </c>
      <c r="I2441" s="442"/>
      <c r="J2441" s="442">
        <v>0.3</v>
      </c>
      <c r="K2441" s="442">
        <v>0.3</v>
      </c>
      <c r="L2441" s="70"/>
    </row>
    <row r="2442" spans="1:12" ht="25.5" x14ac:dyDescent="0.25">
      <c r="A2442" s="501" t="s">
        <v>1732</v>
      </c>
      <c r="B2442" s="502" t="s">
        <v>2637</v>
      </c>
      <c r="C2442" s="501" t="s">
        <v>1115</v>
      </c>
      <c r="D2442" s="501" t="s">
        <v>2638</v>
      </c>
      <c r="E2442" s="602" t="s">
        <v>2639</v>
      </c>
      <c r="F2442" s="602"/>
      <c r="G2442" s="503" t="s">
        <v>38</v>
      </c>
      <c r="H2442" s="504">
        <v>6.0000000000000002E-5</v>
      </c>
      <c r="I2442" s="504"/>
      <c r="J2442" s="505">
        <v>5099.5</v>
      </c>
      <c r="K2442" s="505">
        <v>0.3</v>
      </c>
      <c r="L2442" s="70"/>
    </row>
    <row r="2443" spans="1:12" ht="15.75" customHeight="1" x14ac:dyDescent="0.25">
      <c r="A2443" s="445"/>
      <c r="B2443" s="445"/>
      <c r="C2443" s="445"/>
      <c r="D2443" s="445"/>
      <c r="E2443" s="445" t="s">
        <v>1735</v>
      </c>
      <c r="F2443" s="506">
        <v>0</v>
      </c>
      <c r="G2443" s="445" t="s">
        <v>1736</v>
      </c>
      <c r="H2443" s="506">
        <v>0</v>
      </c>
      <c r="I2443" s="445" t="s">
        <v>1737</v>
      </c>
      <c r="J2443" s="506">
        <v>0</v>
      </c>
      <c r="K2443" s="70"/>
      <c r="L2443" s="70"/>
    </row>
    <row r="2444" spans="1:12" ht="17.25" thickBot="1" x14ac:dyDescent="0.3">
      <c r="A2444" s="445"/>
      <c r="B2444" s="445"/>
      <c r="C2444" s="445"/>
      <c r="D2444" s="445"/>
      <c r="E2444" s="445" t="s">
        <v>1738</v>
      </c>
      <c r="F2444" s="506">
        <v>7.392E-2</v>
      </c>
      <c r="G2444" s="445"/>
      <c r="H2444" s="606" t="s">
        <v>1739</v>
      </c>
      <c r="I2444" s="606"/>
      <c r="J2444" s="506">
        <v>0.37</v>
      </c>
      <c r="K2444" s="70"/>
      <c r="L2444" s="70"/>
    </row>
    <row r="2445" spans="1:12" ht="17.25" thickTop="1" x14ac:dyDescent="0.25">
      <c r="A2445" s="507"/>
      <c r="B2445" s="507"/>
      <c r="C2445" s="507"/>
      <c r="D2445" s="507"/>
      <c r="E2445" s="507"/>
      <c r="F2445" s="507"/>
      <c r="G2445" s="507"/>
      <c r="H2445" s="507"/>
      <c r="I2445" s="507"/>
      <c r="J2445" s="507"/>
      <c r="K2445" s="70"/>
      <c r="L2445" s="70"/>
    </row>
    <row r="2446" spans="1:12" ht="38.25" customHeight="1" x14ac:dyDescent="0.25">
      <c r="A2446" s="419"/>
      <c r="B2446" s="421" t="s">
        <v>76</v>
      </c>
      <c r="C2446" s="419" t="s">
        <v>991</v>
      </c>
      <c r="D2446" s="419" t="s">
        <v>191</v>
      </c>
      <c r="E2446" s="603" t="s">
        <v>77</v>
      </c>
      <c r="F2446" s="603"/>
      <c r="G2446" s="420" t="s">
        <v>103</v>
      </c>
      <c r="H2446" s="421" t="s">
        <v>147</v>
      </c>
      <c r="I2446" s="421" t="s">
        <v>1731</v>
      </c>
      <c r="J2446" s="421" t="s">
        <v>1117</v>
      </c>
      <c r="K2446" s="421" t="s">
        <v>104</v>
      </c>
      <c r="L2446" s="70"/>
    </row>
    <row r="2447" spans="1:12" ht="38.25" customHeight="1" x14ac:dyDescent="0.25">
      <c r="A2447" s="441" t="s">
        <v>79</v>
      </c>
      <c r="B2447" s="480" t="s">
        <v>2631</v>
      </c>
      <c r="C2447" s="441" t="s">
        <v>1115</v>
      </c>
      <c r="D2447" s="441" t="s">
        <v>2632</v>
      </c>
      <c r="E2447" s="604" t="s">
        <v>2126</v>
      </c>
      <c r="F2447" s="604"/>
      <c r="G2447" s="443" t="s">
        <v>81</v>
      </c>
      <c r="H2447" s="500">
        <v>1</v>
      </c>
      <c r="I2447" s="442"/>
      <c r="J2447" s="442">
        <v>7.0000000000000007E-2</v>
      </c>
      <c r="K2447" s="442">
        <v>7.0000000000000007E-2</v>
      </c>
      <c r="L2447" s="70"/>
    </row>
    <row r="2448" spans="1:12" ht="25.5" x14ac:dyDescent="0.25">
      <c r="A2448" s="501" t="s">
        <v>1732</v>
      </c>
      <c r="B2448" s="502" t="s">
        <v>2637</v>
      </c>
      <c r="C2448" s="501" t="s">
        <v>1115</v>
      </c>
      <c r="D2448" s="501" t="s">
        <v>2638</v>
      </c>
      <c r="E2448" s="602" t="s">
        <v>2639</v>
      </c>
      <c r="F2448" s="602"/>
      <c r="G2448" s="503" t="s">
        <v>38</v>
      </c>
      <c r="H2448" s="504">
        <v>1.4800000000000001E-5</v>
      </c>
      <c r="I2448" s="504"/>
      <c r="J2448" s="505">
        <v>5099.5</v>
      </c>
      <c r="K2448" s="505">
        <v>7.0000000000000007E-2</v>
      </c>
      <c r="L2448" s="70"/>
    </row>
    <row r="2449" spans="1:12" ht="15.75" customHeight="1" x14ac:dyDescent="0.25">
      <c r="A2449" s="445"/>
      <c r="B2449" s="445"/>
      <c r="C2449" s="445"/>
      <c r="D2449" s="445"/>
      <c r="E2449" s="445" t="s">
        <v>1735</v>
      </c>
      <c r="F2449" s="506">
        <v>0</v>
      </c>
      <c r="G2449" s="445" t="s">
        <v>1736</v>
      </c>
      <c r="H2449" s="506">
        <v>0</v>
      </c>
      <c r="I2449" s="445" t="s">
        <v>1737</v>
      </c>
      <c r="J2449" s="506">
        <v>0</v>
      </c>
      <c r="K2449" s="70"/>
      <c r="L2449" s="70"/>
    </row>
    <row r="2450" spans="1:12" ht="17.25" thickBot="1" x14ac:dyDescent="0.3">
      <c r="A2450" s="445"/>
      <c r="B2450" s="445"/>
      <c r="C2450" s="445"/>
      <c r="D2450" s="445"/>
      <c r="E2450" s="445" t="s">
        <v>1738</v>
      </c>
      <c r="F2450" s="506">
        <v>1.7247999999999999E-2</v>
      </c>
      <c r="G2450" s="445"/>
      <c r="H2450" s="606" t="s">
        <v>1739</v>
      </c>
      <c r="I2450" s="606"/>
      <c r="J2450" s="506">
        <v>0.08</v>
      </c>
      <c r="K2450" s="70"/>
      <c r="L2450" s="70"/>
    </row>
    <row r="2451" spans="1:12" ht="17.25" thickTop="1" x14ac:dyDescent="0.25">
      <c r="A2451" s="507"/>
      <c r="B2451" s="507"/>
      <c r="C2451" s="507"/>
      <c r="D2451" s="507"/>
      <c r="E2451" s="507"/>
      <c r="F2451" s="507"/>
      <c r="G2451" s="507"/>
      <c r="H2451" s="507"/>
      <c r="I2451" s="507"/>
      <c r="J2451" s="507"/>
      <c r="K2451" s="70"/>
      <c r="L2451" s="70"/>
    </row>
    <row r="2452" spans="1:12" ht="38.25" customHeight="1" x14ac:dyDescent="0.25">
      <c r="A2452" s="419"/>
      <c r="B2452" s="421" t="s">
        <v>76</v>
      </c>
      <c r="C2452" s="419" t="s">
        <v>991</v>
      </c>
      <c r="D2452" s="419" t="s">
        <v>191</v>
      </c>
      <c r="E2452" s="603" t="s">
        <v>77</v>
      </c>
      <c r="F2452" s="603"/>
      <c r="G2452" s="420" t="s">
        <v>103</v>
      </c>
      <c r="H2452" s="421" t="s">
        <v>147</v>
      </c>
      <c r="I2452" s="421" t="s">
        <v>1731</v>
      </c>
      <c r="J2452" s="421" t="s">
        <v>1117</v>
      </c>
      <c r="K2452" s="421" t="s">
        <v>104</v>
      </c>
      <c r="L2452" s="70"/>
    </row>
    <row r="2453" spans="1:12" ht="38.25" customHeight="1" x14ac:dyDescent="0.25">
      <c r="A2453" s="441" t="s">
        <v>79</v>
      </c>
      <c r="B2453" s="480" t="s">
        <v>2633</v>
      </c>
      <c r="C2453" s="441" t="s">
        <v>1115</v>
      </c>
      <c r="D2453" s="441" t="s">
        <v>2634</v>
      </c>
      <c r="E2453" s="604" t="s">
        <v>2126</v>
      </c>
      <c r="F2453" s="604"/>
      <c r="G2453" s="443" t="s">
        <v>81</v>
      </c>
      <c r="H2453" s="500">
        <v>1</v>
      </c>
      <c r="I2453" s="442"/>
      <c r="J2453" s="442">
        <v>0.35</v>
      </c>
      <c r="K2453" s="442">
        <v>0.35</v>
      </c>
      <c r="L2453" s="70"/>
    </row>
    <row r="2454" spans="1:12" ht="25.5" x14ac:dyDescent="0.25">
      <c r="A2454" s="501" t="s">
        <v>1732</v>
      </c>
      <c r="B2454" s="502" t="s">
        <v>2637</v>
      </c>
      <c r="C2454" s="501" t="s">
        <v>1115</v>
      </c>
      <c r="D2454" s="501" t="s">
        <v>2638</v>
      </c>
      <c r="E2454" s="602" t="s">
        <v>2639</v>
      </c>
      <c r="F2454" s="602"/>
      <c r="G2454" s="503" t="s">
        <v>38</v>
      </c>
      <c r="H2454" s="504">
        <v>6.9999999999999994E-5</v>
      </c>
      <c r="I2454" s="504"/>
      <c r="J2454" s="505">
        <v>5099.5</v>
      </c>
      <c r="K2454" s="505">
        <v>0.35</v>
      </c>
      <c r="L2454" s="70"/>
    </row>
    <row r="2455" spans="1:12" ht="15.75" customHeight="1" x14ac:dyDescent="0.25">
      <c r="A2455" s="445"/>
      <c r="B2455" s="445"/>
      <c r="C2455" s="445"/>
      <c r="D2455" s="445"/>
      <c r="E2455" s="445" t="s">
        <v>1735</v>
      </c>
      <c r="F2455" s="506">
        <v>0</v>
      </c>
      <c r="G2455" s="445" t="s">
        <v>1736</v>
      </c>
      <c r="H2455" s="506">
        <v>0</v>
      </c>
      <c r="I2455" s="445" t="s">
        <v>1737</v>
      </c>
      <c r="J2455" s="506">
        <v>0</v>
      </c>
      <c r="K2455" s="70"/>
      <c r="L2455" s="70"/>
    </row>
    <row r="2456" spans="1:12" ht="17.25" thickBot="1" x14ac:dyDescent="0.3">
      <c r="A2456" s="445"/>
      <c r="B2456" s="445"/>
      <c r="C2456" s="445"/>
      <c r="D2456" s="445"/>
      <c r="E2456" s="445" t="s">
        <v>1738</v>
      </c>
      <c r="F2456" s="506">
        <v>8.6239999999999997E-2</v>
      </c>
      <c r="G2456" s="445"/>
      <c r="H2456" s="606" t="s">
        <v>1739</v>
      </c>
      <c r="I2456" s="606"/>
      <c r="J2456" s="506">
        <v>0.43</v>
      </c>
      <c r="K2456" s="70"/>
      <c r="L2456" s="70"/>
    </row>
    <row r="2457" spans="1:12" ht="17.25" thickTop="1" x14ac:dyDescent="0.25">
      <c r="A2457" s="507"/>
      <c r="B2457" s="507"/>
      <c r="C2457" s="507"/>
      <c r="D2457" s="507"/>
      <c r="E2457" s="507"/>
      <c r="F2457" s="507"/>
      <c r="G2457" s="507"/>
      <c r="H2457" s="507"/>
      <c r="I2457" s="507"/>
      <c r="J2457" s="507"/>
      <c r="K2457" s="70"/>
      <c r="L2457" s="70"/>
    </row>
    <row r="2458" spans="1:12" ht="38.25" customHeight="1" x14ac:dyDescent="0.25">
      <c r="A2458" s="419"/>
      <c r="B2458" s="421" t="s">
        <v>76</v>
      </c>
      <c r="C2458" s="419" t="s">
        <v>991</v>
      </c>
      <c r="D2458" s="419" t="s">
        <v>191</v>
      </c>
      <c r="E2458" s="603" t="s">
        <v>77</v>
      </c>
      <c r="F2458" s="603"/>
      <c r="G2458" s="420" t="s">
        <v>103</v>
      </c>
      <c r="H2458" s="421" t="s">
        <v>147</v>
      </c>
      <c r="I2458" s="421" t="s">
        <v>1731</v>
      </c>
      <c r="J2458" s="421" t="s">
        <v>1117</v>
      </c>
      <c r="K2458" s="421" t="s">
        <v>104</v>
      </c>
      <c r="L2458" s="70"/>
    </row>
    <row r="2459" spans="1:12" ht="38.25" customHeight="1" x14ac:dyDescent="0.25">
      <c r="A2459" s="441" t="s">
        <v>79</v>
      </c>
      <c r="B2459" s="480" t="s">
        <v>2635</v>
      </c>
      <c r="C2459" s="441" t="s">
        <v>1115</v>
      </c>
      <c r="D2459" s="441" t="s">
        <v>2636</v>
      </c>
      <c r="E2459" s="604" t="s">
        <v>2126</v>
      </c>
      <c r="F2459" s="604"/>
      <c r="G2459" s="443" t="s">
        <v>81</v>
      </c>
      <c r="H2459" s="500">
        <v>1</v>
      </c>
      <c r="I2459" s="442"/>
      <c r="J2459" s="442">
        <v>1.25</v>
      </c>
      <c r="K2459" s="442">
        <v>1.25</v>
      </c>
      <c r="L2459" s="70"/>
    </row>
    <row r="2460" spans="1:12" ht="16.5" x14ac:dyDescent="0.25">
      <c r="A2460" s="501" t="s">
        <v>1732</v>
      </c>
      <c r="B2460" s="502" t="s">
        <v>2640</v>
      </c>
      <c r="C2460" s="501" t="s">
        <v>1115</v>
      </c>
      <c r="D2460" s="501" t="s">
        <v>2641</v>
      </c>
      <c r="E2460" s="602" t="s">
        <v>2642</v>
      </c>
      <c r="F2460" s="602"/>
      <c r="G2460" s="503" t="s">
        <v>2643</v>
      </c>
      <c r="H2460" s="504">
        <v>1.2512000000000001</v>
      </c>
      <c r="I2460" s="504"/>
      <c r="J2460" s="505">
        <v>1</v>
      </c>
      <c r="K2460" s="505">
        <v>1.25</v>
      </c>
      <c r="L2460" s="70"/>
    </row>
    <row r="2461" spans="1:12" ht="15.75" customHeight="1" x14ac:dyDescent="0.25">
      <c r="A2461" s="445"/>
      <c r="B2461" s="445"/>
      <c r="C2461" s="445"/>
      <c r="D2461" s="445"/>
      <c r="E2461" s="445" t="s">
        <v>1735</v>
      </c>
      <c r="F2461" s="506">
        <v>0</v>
      </c>
      <c r="G2461" s="445" t="s">
        <v>1736</v>
      </c>
      <c r="H2461" s="506">
        <v>0</v>
      </c>
      <c r="I2461" s="445" t="s">
        <v>1737</v>
      </c>
      <c r="J2461" s="506">
        <v>0</v>
      </c>
      <c r="K2461" s="70"/>
      <c r="L2461" s="70"/>
    </row>
    <row r="2462" spans="1:12" ht="17.25" thickBot="1" x14ac:dyDescent="0.3">
      <c r="A2462" s="445"/>
      <c r="B2462" s="445"/>
      <c r="C2462" s="445"/>
      <c r="D2462" s="445"/>
      <c r="E2462" s="445" t="s">
        <v>1738</v>
      </c>
      <c r="F2462" s="506">
        <v>0.308</v>
      </c>
      <c r="G2462" s="445"/>
      <c r="H2462" s="606" t="s">
        <v>1739</v>
      </c>
      <c r="I2462" s="606"/>
      <c r="J2462" s="506">
        <v>1.55</v>
      </c>
      <c r="K2462" s="70"/>
      <c r="L2462" s="70"/>
    </row>
    <row r="2463" spans="1:12" ht="17.25" thickTop="1" x14ac:dyDescent="0.25">
      <c r="A2463" s="507"/>
      <c r="B2463" s="507"/>
      <c r="C2463" s="507"/>
      <c r="D2463" s="507"/>
      <c r="E2463" s="507"/>
      <c r="F2463" s="507"/>
      <c r="G2463" s="507"/>
      <c r="H2463" s="507"/>
      <c r="I2463" s="507"/>
      <c r="J2463" s="507"/>
      <c r="K2463" s="70"/>
      <c r="L2463" s="70"/>
    </row>
    <row r="2464" spans="1:12" ht="38.25" customHeight="1" x14ac:dyDescent="0.25">
      <c r="A2464" s="419"/>
      <c r="B2464" s="421" t="s">
        <v>76</v>
      </c>
      <c r="C2464" s="419" t="s">
        <v>991</v>
      </c>
      <c r="D2464" s="419" t="s">
        <v>191</v>
      </c>
      <c r="E2464" s="603" t="s">
        <v>77</v>
      </c>
      <c r="F2464" s="603"/>
      <c r="G2464" s="420" t="s">
        <v>103</v>
      </c>
      <c r="H2464" s="421" t="s">
        <v>147</v>
      </c>
      <c r="I2464" s="421" t="s">
        <v>1731</v>
      </c>
      <c r="J2464" s="421" t="s">
        <v>1117</v>
      </c>
      <c r="K2464" s="421" t="s">
        <v>104</v>
      </c>
      <c r="L2464" s="70"/>
    </row>
    <row r="2465" spans="1:12" ht="38.25" customHeight="1" x14ac:dyDescent="0.25">
      <c r="A2465" s="441" t="s">
        <v>79</v>
      </c>
      <c r="B2465" s="480" t="s">
        <v>2131</v>
      </c>
      <c r="C2465" s="441" t="s">
        <v>1115</v>
      </c>
      <c r="D2465" s="441" t="s">
        <v>2132</v>
      </c>
      <c r="E2465" s="604" t="s">
        <v>2126</v>
      </c>
      <c r="F2465" s="604"/>
      <c r="G2465" s="443" t="s">
        <v>2127</v>
      </c>
      <c r="H2465" s="500">
        <v>1</v>
      </c>
      <c r="I2465" s="442"/>
      <c r="J2465" s="442">
        <v>0.89</v>
      </c>
      <c r="K2465" s="442">
        <v>0.89</v>
      </c>
      <c r="L2465" s="70"/>
    </row>
    <row r="2466" spans="1:12" ht="38.25" customHeight="1" x14ac:dyDescent="0.25">
      <c r="A2466" s="510" t="s">
        <v>2123</v>
      </c>
      <c r="B2466" s="511" t="s">
        <v>2644</v>
      </c>
      <c r="C2466" s="510" t="s">
        <v>1115</v>
      </c>
      <c r="D2466" s="510" t="s">
        <v>2645</v>
      </c>
      <c r="E2466" s="605" t="s">
        <v>2126</v>
      </c>
      <c r="F2466" s="605"/>
      <c r="G2466" s="512" t="s">
        <v>81</v>
      </c>
      <c r="H2466" s="513">
        <v>1</v>
      </c>
      <c r="I2466" s="513"/>
      <c r="J2466" s="514">
        <v>0.73</v>
      </c>
      <c r="K2466" s="514">
        <v>0.73</v>
      </c>
      <c r="L2466" s="70"/>
    </row>
    <row r="2467" spans="1:12" ht="38.25" customHeight="1" x14ac:dyDescent="0.25">
      <c r="A2467" s="510" t="s">
        <v>2123</v>
      </c>
      <c r="B2467" s="511" t="s">
        <v>2646</v>
      </c>
      <c r="C2467" s="510" t="s">
        <v>1115</v>
      </c>
      <c r="D2467" s="510" t="s">
        <v>2647</v>
      </c>
      <c r="E2467" s="605" t="s">
        <v>2126</v>
      </c>
      <c r="F2467" s="605"/>
      <c r="G2467" s="512" t="s">
        <v>81</v>
      </c>
      <c r="H2467" s="513">
        <v>1</v>
      </c>
      <c r="I2467" s="513"/>
      <c r="J2467" s="514">
        <v>0.16</v>
      </c>
      <c r="K2467" s="514">
        <v>0.16</v>
      </c>
      <c r="L2467" s="70"/>
    </row>
    <row r="2468" spans="1:12" ht="15.75" customHeight="1" x14ac:dyDescent="0.25">
      <c r="A2468" s="445"/>
      <c r="B2468" s="445"/>
      <c r="C2468" s="445"/>
      <c r="D2468" s="445"/>
      <c r="E2468" s="445" t="s">
        <v>1735</v>
      </c>
      <c r="F2468" s="506">
        <v>0</v>
      </c>
      <c r="G2468" s="445" t="s">
        <v>1736</v>
      </c>
      <c r="H2468" s="506">
        <v>0</v>
      </c>
      <c r="I2468" s="445" t="s">
        <v>1737</v>
      </c>
      <c r="J2468" s="506">
        <v>0</v>
      </c>
      <c r="K2468" s="70"/>
      <c r="L2468" s="70"/>
    </row>
    <row r="2469" spans="1:12" ht="17.25" thickBot="1" x14ac:dyDescent="0.3">
      <c r="A2469" s="445"/>
      <c r="B2469" s="445"/>
      <c r="C2469" s="445"/>
      <c r="D2469" s="445"/>
      <c r="E2469" s="445" t="s">
        <v>1738</v>
      </c>
      <c r="F2469" s="506">
        <v>0.21929599999999999</v>
      </c>
      <c r="G2469" s="445"/>
      <c r="H2469" s="606" t="s">
        <v>1739</v>
      </c>
      <c r="I2469" s="606"/>
      <c r="J2469" s="506">
        <v>1.1000000000000001</v>
      </c>
      <c r="K2469" s="70"/>
      <c r="L2469" s="70"/>
    </row>
    <row r="2470" spans="1:12" ht="17.25" thickTop="1" x14ac:dyDescent="0.25">
      <c r="A2470" s="507"/>
      <c r="B2470" s="507"/>
      <c r="C2470" s="507"/>
      <c r="D2470" s="507"/>
      <c r="E2470" s="507"/>
      <c r="F2470" s="507"/>
      <c r="G2470" s="507"/>
      <c r="H2470" s="507"/>
      <c r="I2470" s="507"/>
      <c r="J2470" s="507"/>
      <c r="K2470" s="70"/>
      <c r="L2470" s="70"/>
    </row>
    <row r="2471" spans="1:12" ht="38.25" customHeight="1" x14ac:dyDescent="0.25">
      <c r="A2471" s="419"/>
      <c r="B2471" s="421" t="s">
        <v>76</v>
      </c>
      <c r="C2471" s="419" t="s">
        <v>991</v>
      </c>
      <c r="D2471" s="419" t="s">
        <v>191</v>
      </c>
      <c r="E2471" s="603" t="s">
        <v>77</v>
      </c>
      <c r="F2471" s="603"/>
      <c r="G2471" s="420" t="s">
        <v>103</v>
      </c>
      <c r="H2471" s="421" t="s">
        <v>147</v>
      </c>
      <c r="I2471" s="421" t="s">
        <v>1731</v>
      </c>
      <c r="J2471" s="421" t="s">
        <v>1117</v>
      </c>
      <c r="K2471" s="421" t="s">
        <v>104</v>
      </c>
      <c r="L2471" s="70"/>
    </row>
    <row r="2472" spans="1:12" ht="38.25" customHeight="1" x14ac:dyDescent="0.25">
      <c r="A2472" s="441" t="s">
        <v>79</v>
      </c>
      <c r="B2472" s="480" t="s">
        <v>2135</v>
      </c>
      <c r="C2472" s="441" t="s">
        <v>1168</v>
      </c>
      <c r="D2472" s="441" t="s">
        <v>2136</v>
      </c>
      <c r="E2472" s="604" t="s">
        <v>2126</v>
      </c>
      <c r="F2472" s="604"/>
      <c r="G2472" s="443" t="s">
        <v>2130</v>
      </c>
      <c r="H2472" s="500">
        <v>1</v>
      </c>
      <c r="I2472" s="442"/>
      <c r="J2472" s="442">
        <v>9.23</v>
      </c>
      <c r="K2472" s="442">
        <v>9.23</v>
      </c>
      <c r="L2472" s="70"/>
    </row>
    <row r="2473" spans="1:12" ht="38.25" customHeight="1" x14ac:dyDescent="0.25">
      <c r="A2473" s="510" t="s">
        <v>2123</v>
      </c>
      <c r="B2473" s="511" t="s">
        <v>2644</v>
      </c>
      <c r="C2473" s="510" t="s">
        <v>1115</v>
      </c>
      <c r="D2473" s="510" t="s">
        <v>2645</v>
      </c>
      <c r="E2473" s="605" t="s">
        <v>2126</v>
      </c>
      <c r="F2473" s="605"/>
      <c r="G2473" s="512" t="s">
        <v>81</v>
      </c>
      <c r="H2473" s="513">
        <v>1</v>
      </c>
      <c r="I2473" s="513"/>
      <c r="J2473" s="514">
        <v>0.73</v>
      </c>
      <c r="K2473" s="514">
        <v>0.73</v>
      </c>
      <c r="L2473" s="70"/>
    </row>
    <row r="2474" spans="1:12" ht="38.25" customHeight="1" x14ac:dyDescent="0.25">
      <c r="A2474" s="510" t="s">
        <v>2123</v>
      </c>
      <c r="B2474" s="511" t="s">
        <v>2646</v>
      </c>
      <c r="C2474" s="510" t="s">
        <v>1115</v>
      </c>
      <c r="D2474" s="510" t="s">
        <v>2647</v>
      </c>
      <c r="E2474" s="605" t="s">
        <v>2126</v>
      </c>
      <c r="F2474" s="605"/>
      <c r="G2474" s="512" t="s">
        <v>81</v>
      </c>
      <c r="H2474" s="513">
        <v>1</v>
      </c>
      <c r="I2474" s="513"/>
      <c r="J2474" s="514">
        <v>0.16</v>
      </c>
      <c r="K2474" s="514">
        <v>0.16</v>
      </c>
      <c r="L2474" s="70"/>
    </row>
    <row r="2475" spans="1:12" ht="38.25" customHeight="1" x14ac:dyDescent="0.25">
      <c r="A2475" s="510" t="s">
        <v>2123</v>
      </c>
      <c r="B2475" s="511" t="s">
        <v>2648</v>
      </c>
      <c r="C2475" s="510" t="s">
        <v>1115</v>
      </c>
      <c r="D2475" s="510" t="s">
        <v>2649</v>
      </c>
      <c r="E2475" s="605" t="s">
        <v>2126</v>
      </c>
      <c r="F2475" s="605"/>
      <c r="G2475" s="512" t="s">
        <v>81</v>
      </c>
      <c r="H2475" s="513">
        <v>1</v>
      </c>
      <c r="I2475" s="513"/>
      <c r="J2475" s="514">
        <v>0.91</v>
      </c>
      <c r="K2475" s="514">
        <v>0.91</v>
      </c>
      <c r="L2475" s="70"/>
    </row>
    <row r="2476" spans="1:12" ht="38.25" customHeight="1" x14ac:dyDescent="0.25">
      <c r="A2476" s="510" t="s">
        <v>2123</v>
      </c>
      <c r="B2476" s="511" t="s">
        <v>2650</v>
      </c>
      <c r="C2476" s="510" t="s">
        <v>1168</v>
      </c>
      <c r="D2476" s="510" t="s">
        <v>2651</v>
      </c>
      <c r="E2476" s="605" t="s">
        <v>2126</v>
      </c>
      <c r="F2476" s="605"/>
      <c r="G2476" s="512" t="s">
        <v>81</v>
      </c>
      <c r="H2476" s="513">
        <v>1</v>
      </c>
      <c r="I2476" s="513"/>
      <c r="J2476" s="514">
        <v>7.43</v>
      </c>
      <c r="K2476" s="514">
        <v>7.43</v>
      </c>
      <c r="L2476" s="70"/>
    </row>
    <row r="2477" spans="1:12" ht="15.75" customHeight="1" x14ac:dyDescent="0.25">
      <c r="A2477" s="445"/>
      <c r="B2477" s="445"/>
      <c r="C2477" s="445"/>
      <c r="D2477" s="445"/>
      <c r="E2477" s="445" t="s">
        <v>1735</v>
      </c>
      <c r="F2477" s="506">
        <v>0</v>
      </c>
      <c r="G2477" s="445" t="s">
        <v>1736</v>
      </c>
      <c r="H2477" s="506">
        <v>0</v>
      </c>
      <c r="I2477" s="445" t="s">
        <v>1737</v>
      </c>
      <c r="J2477" s="506">
        <v>0</v>
      </c>
      <c r="K2477" s="70"/>
      <c r="L2477" s="70"/>
    </row>
    <row r="2478" spans="1:12" ht="17.25" thickBot="1" x14ac:dyDescent="0.3">
      <c r="A2478" s="445"/>
      <c r="B2478" s="445"/>
      <c r="C2478" s="445"/>
      <c r="D2478" s="445"/>
      <c r="E2478" s="445" t="s">
        <v>1738</v>
      </c>
      <c r="F2478" s="506">
        <v>2.2742719999999998</v>
      </c>
      <c r="G2478" s="445"/>
      <c r="H2478" s="606" t="s">
        <v>1739</v>
      </c>
      <c r="I2478" s="606"/>
      <c r="J2478" s="506">
        <v>11.5</v>
      </c>
      <c r="K2478" s="70"/>
      <c r="L2478" s="70"/>
    </row>
    <row r="2479" spans="1:12" ht="17.25" thickTop="1" x14ac:dyDescent="0.25">
      <c r="A2479" s="507"/>
      <c r="B2479" s="507"/>
      <c r="C2479" s="507"/>
      <c r="D2479" s="507"/>
      <c r="E2479" s="507"/>
      <c r="F2479" s="507"/>
      <c r="G2479" s="507"/>
      <c r="H2479" s="507"/>
      <c r="I2479" s="507"/>
      <c r="J2479" s="507"/>
      <c r="K2479" s="70"/>
      <c r="L2479" s="70"/>
    </row>
    <row r="2480" spans="1:12" ht="38.25" customHeight="1" x14ac:dyDescent="0.25">
      <c r="A2480" s="419"/>
      <c r="B2480" s="421" t="s">
        <v>76</v>
      </c>
      <c r="C2480" s="419" t="s">
        <v>991</v>
      </c>
      <c r="D2480" s="419" t="s">
        <v>191</v>
      </c>
      <c r="E2480" s="603" t="s">
        <v>77</v>
      </c>
      <c r="F2480" s="603"/>
      <c r="G2480" s="420" t="s">
        <v>103</v>
      </c>
      <c r="H2480" s="421" t="s">
        <v>147</v>
      </c>
      <c r="I2480" s="421" t="s">
        <v>1731</v>
      </c>
      <c r="J2480" s="421" t="s">
        <v>1117</v>
      </c>
      <c r="K2480" s="421" t="s">
        <v>104</v>
      </c>
      <c r="L2480" s="70"/>
    </row>
    <row r="2481" spans="1:12" ht="38.25" customHeight="1" x14ac:dyDescent="0.25">
      <c r="A2481" s="441" t="s">
        <v>79</v>
      </c>
      <c r="B2481" s="480" t="s">
        <v>2644</v>
      </c>
      <c r="C2481" s="441" t="s">
        <v>1115</v>
      </c>
      <c r="D2481" s="441" t="s">
        <v>2645</v>
      </c>
      <c r="E2481" s="604" t="s">
        <v>2126</v>
      </c>
      <c r="F2481" s="604"/>
      <c r="G2481" s="443" t="s">
        <v>81</v>
      </c>
      <c r="H2481" s="500">
        <v>1</v>
      </c>
      <c r="I2481" s="442"/>
      <c r="J2481" s="442">
        <v>0.73</v>
      </c>
      <c r="K2481" s="442">
        <v>0.73</v>
      </c>
      <c r="L2481" s="70"/>
    </row>
    <row r="2482" spans="1:12" ht="38.25" x14ac:dyDescent="0.25">
      <c r="A2482" s="501" t="s">
        <v>1732</v>
      </c>
      <c r="B2482" s="502" t="s">
        <v>2652</v>
      </c>
      <c r="C2482" s="501" t="s">
        <v>1115</v>
      </c>
      <c r="D2482" s="501" t="s">
        <v>2653</v>
      </c>
      <c r="E2482" s="602" t="s">
        <v>2639</v>
      </c>
      <c r="F2482" s="602"/>
      <c r="G2482" s="503" t="s">
        <v>38</v>
      </c>
      <c r="H2482" s="504">
        <v>6.3999999999999997E-5</v>
      </c>
      <c r="I2482" s="504"/>
      <c r="J2482" s="505">
        <v>11120.14</v>
      </c>
      <c r="K2482" s="505">
        <v>0.71</v>
      </c>
      <c r="L2482" s="70"/>
    </row>
    <row r="2483" spans="1:12" ht="25.5" x14ac:dyDescent="0.25">
      <c r="A2483" s="501" t="s">
        <v>1732</v>
      </c>
      <c r="B2483" s="502" t="s">
        <v>2654</v>
      </c>
      <c r="C2483" s="501" t="s">
        <v>1115</v>
      </c>
      <c r="D2483" s="501" t="s">
        <v>2655</v>
      </c>
      <c r="E2483" s="602" t="s">
        <v>1746</v>
      </c>
      <c r="F2483" s="602"/>
      <c r="G2483" s="503" t="s">
        <v>38</v>
      </c>
      <c r="H2483" s="504">
        <v>6.3999999999999997E-5</v>
      </c>
      <c r="I2483" s="504"/>
      <c r="J2483" s="505">
        <v>461.44</v>
      </c>
      <c r="K2483" s="505">
        <v>0.02</v>
      </c>
      <c r="L2483" s="70"/>
    </row>
    <row r="2484" spans="1:12" ht="15.75" customHeight="1" x14ac:dyDescent="0.25">
      <c r="A2484" s="445"/>
      <c r="B2484" s="445"/>
      <c r="C2484" s="445"/>
      <c r="D2484" s="445"/>
      <c r="E2484" s="445" t="s">
        <v>1735</v>
      </c>
      <c r="F2484" s="506">
        <v>0</v>
      </c>
      <c r="G2484" s="445" t="s">
        <v>1736</v>
      </c>
      <c r="H2484" s="506">
        <v>0</v>
      </c>
      <c r="I2484" s="445" t="s">
        <v>1737</v>
      </c>
      <c r="J2484" s="506">
        <v>0</v>
      </c>
      <c r="K2484" s="70"/>
      <c r="L2484" s="70"/>
    </row>
    <row r="2485" spans="1:12" ht="17.25" thickBot="1" x14ac:dyDescent="0.3">
      <c r="A2485" s="445"/>
      <c r="B2485" s="445"/>
      <c r="C2485" s="445"/>
      <c r="D2485" s="445"/>
      <c r="E2485" s="445" t="s">
        <v>1738</v>
      </c>
      <c r="F2485" s="506">
        <v>0.179872</v>
      </c>
      <c r="G2485" s="445"/>
      <c r="H2485" s="606" t="s">
        <v>1739</v>
      </c>
      <c r="I2485" s="606"/>
      <c r="J2485" s="506">
        <v>0.9</v>
      </c>
      <c r="K2485" s="70"/>
      <c r="L2485" s="70"/>
    </row>
    <row r="2486" spans="1:12" ht="17.25" thickTop="1" x14ac:dyDescent="0.25">
      <c r="A2486" s="507"/>
      <c r="B2486" s="507"/>
      <c r="C2486" s="507"/>
      <c r="D2486" s="507"/>
      <c r="E2486" s="507"/>
      <c r="F2486" s="507"/>
      <c r="G2486" s="507"/>
      <c r="H2486" s="507"/>
      <c r="I2486" s="507"/>
      <c r="J2486" s="507"/>
      <c r="K2486" s="70"/>
      <c r="L2486" s="70"/>
    </row>
    <row r="2487" spans="1:12" ht="38.25" customHeight="1" x14ac:dyDescent="0.25">
      <c r="A2487" s="419"/>
      <c r="B2487" s="421" t="s">
        <v>76</v>
      </c>
      <c r="C2487" s="419" t="s">
        <v>991</v>
      </c>
      <c r="D2487" s="419" t="s">
        <v>191</v>
      </c>
      <c r="E2487" s="603" t="s">
        <v>77</v>
      </c>
      <c r="F2487" s="603"/>
      <c r="G2487" s="420" t="s">
        <v>103</v>
      </c>
      <c r="H2487" s="421" t="s">
        <v>147</v>
      </c>
      <c r="I2487" s="421" t="s">
        <v>1731</v>
      </c>
      <c r="J2487" s="421" t="s">
        <v>1117</v>
      </c>
      <c r="K2487" s="421" t="s">
        <v>104</v>
      </c>
      <c r="L2487" s="70"/>
    </row>
    <row r="2488" spans="1:12" ht="38.25" customHeight="1" x14ac:dyDescent="0.25">
      <c r="A2488" s="441" t="s">
        <v>79</v>
      </c>
      <c r="B2488" s="480" t="s">
        <v>2646</v>
      </c>
      <c r="C2488" s="441" t="s">
        <v>1115</v>
      </c>
      <c r="D2488" s="441" t="s">
        <v>2647</v>
      </c>
      <c r="E2488" s="604" t="s">
        <v>2126</v>
      </c>
      <c r="F2488" s="604"/>
      <c r="G2488" s="443" t="s">
        <v>81</v>
      </c>
      <c r="H2488" s="500">
        <v>1</v>
      </c>
      <c r="I2488" s="442"/>
      <c r="J2488" s="442">
        <v>0.16</v>
      </c>
      <c r="K2488" s="442">
        <v>0.16</v>
      </c>
      <c r="L2488" s="70"/>
    </row>
    <row r="2489" spans="1:12" ht="38.25" x14ac:dyDescent="0.25">
      <c r="A2489" s="501" t="s">
        <v>1732</v>
      </c>
      <c r="B2489" s="502" t="s">
        <v>2652</v>
      </c>
      <c r="C2489" s="501" t="s">
        <v>1115</v>
      </c>
      <c r="D2489" s="501" t="s">
        <v>2653</v>
      </c>
      <c r="E2489" s="602" t="s">
        <v>2639</v>
      </c>
      <c r="F2489" s="602"/>
      <c r="G2489" s="503" t="s">
        <v>38</v>
      </c>
      <c r="H2489" s="504">
        <v>1.4800000000000001E-5</v>
      </c>
      <c r="I2489" s="504"/>
      <c r="J2489" s="505">
        <v>11120.14</v>
      </c>
      <c r="K2489" s="505">
        <v>0.16</v>
      </c>
      <c r="L2489" s="70"/>
    </row>
    <row r="2490" spans="1:12" ht="15.75" customHeight="1" x14ac:dyDescent="0.25">
      <c r="A2490" s="445"/>
      <c r="B2490" s="445"/>
      <c r="C2490" s="445"/>
      <c r="D2490" s="445"/>
      <c r="E2490" s="445" t="s">
        <v>1735</v>
      </c>
      <c r="F2490" s="506">
        <v>0</v>
      </c>
      <c r="G2490" s="445" t="s">
        <v>1736</v>
      </c>
      <c r="H2490" s="506">
        <v>0</v>
      </c>
      <c r="I2490" s="445" t="s">
        <v>1737</v>
      </c>
      <c r="J2490" s="506">
        <v>0</v>
      </c>
      <c r="K2490" s="70"/>
      <c r="L2490" s="70"/>
    </row>
    <row r="2491" spans="1:12" ht="17.25" thickBot="1" x14ac:dyDescent="0.3">
      <c r="A2491" s="445"/>
      <c r="B2491" s="445"/>
      <c r="C2491" s="445"/>
      <c r="D2491" s="445"/>
      <c r="E2491" s="445" t="s">
        <v>1738</v>
      </c>
      <c r="F2491" s="506">
        <v>3.9424000000000001E-2</v>
      </c>
      <c r="G2491" s="445"/>
      <c r="H2491" s="606" t="s">
        <v>1739</v>
      </c>
      <c r="I2491" s="606"/>
      <c r="J2491" s="506">
        <v>0.19</v>
      </c>
      <c r="K2491" s="70"/>
      <c r="L2491" s="70"/>
    </row>
    <row r="2492" spans="1:12" ht="17.25" thickTop="1" x14ac:dyDescent="0.25">
      <c r="A2492" s="507"/>
      <c r="B2492" s="507"/>
      <c r="C2492" s="507"/>
      <c r="D2492" s="507"/>
      <c r="E2492" s="507"/>
      <c r="F2492" s="507"/>
      <c r="G2492" s="507"/>
      <c r="H2492" s="507"/>
      <c r="I2492" s="507"/>
      <c r="J2492" s="507"/>
      <c r="K2492" s="70"/>
      <c r="L2492" s="70"/>
    </row>
    <row r="2493" spans="1:12" ht="38.25" customHeight="1" x14ac:dyDescent="0.25">
      <c r="A2493" s="419"/>
      <c r="B2493" s="421" t="s">
        <v>76</v>
      </c>
      <c r="C2493" s="419" t="s">
        <v>991</v>
      </c>
      <c r="D2493" s="419" t="s">
        <v>191</v>
      </c>
      <c r="E2493" s="603" t="s">
        <v>77</v>
      </c>
      <c r="F2493" s="603"/>
      <c r="G2493" s="420" t="s">
        <v>103</v>
      </c>
      <c r="H2493" s="421" t="s">
        <v>147</v>
      </c>
      <c r="I2493" s="421" t="s">
        <v>1731</v>
      </c>
      <c r="J2493" s="421" t="s">
        <v>1117</v>
      </c>
      <c r="K2493" s="421" t="s">
        <v>104</v>
      </c>
      <c r="L2493" s="70"/>
    </row>
    <row r="2494" spans="1:12" ht="38.25" customHeight="1" x14ac:dyDescent="0.25">
      <c r="A2494" s="441" t="s">
        <v>79</v>
      </c>
      <c r="B2494" s="480" t="s">
        <v>2648</v>
      </c>
      <c r="C2494" s="441" t="s">
        <v>1115</v>
      </c>
      <c r="D2494" s="441" t="s">
        <v>2649</v>
      </c>
      <c r="E2494" s="604" t="s">
        <v>2126</v>
      </c>
      <c r="F2494" s="604"/>
      <c r="G2494" s="443" t="s">
        <v>81</v>
      </c>
      <c r="H2494" s="500">
        <v>1</v>
      </c>
      <c r="I2494" s="442"/>
      <c r="J2494" s="442">
        <v>0.91</v>
      </c>
      <c r="K2494" s="442">
        <v>0.91</v>
      </c>
      <c r="L2494" s="70"/>
    </row>
    <row r="2495" spans="1:12" ht="38.25" x14ac:dyDescent="0.25">
      <c r="A2495" s="501" t="s">
        <v>1732</v>
      </c>
      <c r="B2495" s="502" t="s">
        <v>2652</v>
      </c>
      <c r="C2495" s="501" t="s">
        <v>1115</v>
      </c>
      <c r="D2495" s="501" t="s">
        <v>2653</v>
      </c>
      <c r="E2495" s="602" t="s">
        <v>2639</v>
      </c>
      <c r="F2495" s="602"/>
      <c r="G2495" s="503" t="s">
        <v>38</v>
      </c>
      <c r="H2495" s="504">
        <v>8.0000000000000007E-5</v>
      </c>
      <c r="I2495" s="504"/>
      <c r="J2495" s="505">
        <v>11120.14</v>
      </c>
      <c r="K2495" s="505">
        <v>0.88</v>
      </c>
      <c r="L2495" s="70"/>
    </row>
    <row r="2496" spans="1:12" ht="25.5" x14ac:dyDescent="0.25">
      <c r="A2496" s="501" t="s">
        <v>1732</v>
      </c>
      <c r="B2496" s="502" t="s">
        <v>2654</v>
      </c>
      <c r="C2496" s="501" t="s">
        <v>1115</v>
      </c>
      <c r="D2496" s="501" t="s">
        <v>2655</v>
      </c>
      <c r="E2496" s="602" t="s">
        <v>1746</v>
      </c>
      <c r="F2496" s="602"/>
      <c r="G2496" s="503" t="s">
        <v>38</v>
      </c>
      <c r="H2496" s="504">
        <v>8.0000000000000007E-5</v>
      </c>
      <c r="I2496" s="504"/>
      <c r="J2496" s="505">
        <v>461.44</v>
      </c>
      <c r="K2496" s="505">
        <v>0.03</v>
      </c>
      <c r="L2496" s="70"/>
    </row>
    <row r="2497" spans="1:12" ht="15.75" customHeight="1" x14ac:dyDescent="0.25">
      <c r="A2497" s="445"/>
      <c r="B2497" s="445"/>
      <c r="C2497" s="445"/>
      <c r="D2497" s="445"/>
      <c r="E2497" s="445" t="s">
        <v>1735</v>
      </c>
      <c r="F2497" s="506">
        <v>0</v>
      </c>
      <c r="G2497" s="445" t="s">
        <v>1736</v>
      </c>
      <c r="H2497" s="506">
        <v>0</v>
      </c>
      <c r="I2497" s="445" t="s">
        <v>1737</v>
      </c>
      <c r="J2497" s="506">
        <v>0</v>
      </c>
      <c r="K2497" s="70"/>
      <c r="L2497" s="70"/>
    </row>
    <row r="2498" spans="1:12" ht="17.25" thickBot="1" x14ac:dyDescent="0.3">
      <c r="A2498" s="445"/>
      <c r="B2498" s="445"/>
      <c r="C2498" s="445"/>
      <c r="D2498" s="445"/>
      <c r="E2498" s="445" t="s">
        <v>1738</v>
      </c>
      <c r="F2498" s="506">
        <v>0.22422400000000001</v>
      </c>
      <c r="G2498" s="445"/>
      <c r="H2498" s="606" t="s">
        <v>1739</v>
      </c>
      <c r="I2498" s="606"/>
      <c r="J2498" s="506">
        <v>1.1299999999999999</v>
      </c>
      <c r="K2498" s="70"/>
      <c r="L2498" s="70"/>
    </row>
    <row r="2499" spans="1:12" ht="17.25" thickTop="1" x14ac:dyDescent="0.25">
      <c r="A2499" s="507"/>
      <c r="B2499" s="507"/>
      <c r="C2499" s="507"/>
      <c r="D2499" s="507"/>
      <c r="E2499" s="507"/>
      <c r="F2499" s="507"/>
      <c r="G2499" s="507"/>
      <c r="H2499" s="507"/>
      <c r="I2499" s="507"/>
      <c r="J2499" s="507"/>
      <c r="K2499" s="70"/>
      <c r="L2499" s="70"/>
    </row>
    <row r="2500" spans="1:12" ht="38.25" customHeight="1" x14ac:dyDescent="0.25">
      <c r="A2500" s="419"/>
      <c r="B2500" s="421" t="s">
        <v>76</v>
      </c>
      <c r="C2500" s="419" t="s">
        <v>991</v>
      </c>
      <c r="D2500" s="419" t="s">
        <v>191</v>
      </c>
      <c r="E2500" s="603" t="s">
        <v>77</v>
      </c>
      <c r="F2500" s="603"/>
      <c r="G2500" s="420" t="s">
        <v>103</v>
      </c>
      <c r="H2500" s="421" t="s">
        <v>147</v>
      </c>
      <c r="I2500" s="421" t="s">
        <v>1731</v>
      </c>
      <c r="J2500" s="421" t="s">
        <v>1117</v>
      </c>
      <c r="K2500" s="421" t="s">
        <v>104</v>
      </c>
      <c r="L2500" s="70"/>
    </row>
    <row r="2501" spans="1:12" ht="38.25" customHeight="1" x14ac:dyDescent="0.25">
      <c r="A2501" s="441" t="s">
        <v>79</v>
      </c>
      <c r="B2501" s="480" t="s">
        <v>2650</v>
      </c>
      <c r="C2501" s="441" t="s">
        <v>1168</v>
      </c>
      <c r="D2501" s="441" t="s">
        <v>2651</v>
      </c>
      <c r="E2501" s="604" t="s">
        <v>2126</v>
      </c>
      <c r="F2501" s="604"/>
      <c r="G2501" s="443" t="s">
        <v>81</v>
      </c>
      <c r="H2501" s="500">
        <v>1</v>
      </c>
      <c r="I2501" s="442"/>
      <c r="J2501" s="442">
        <v>7.43</v>
      </c>
      <c r="K2501" s="442">
        <v>7.43</v>
      </c>
      <c r="L2501" s="70"/>
    </row>
    <row r="2502" spans="1:12" ht="25.5" x14ac:dyDescent="0.25">
      <c r="A2502" s="501" t="s">
        <v>1732</v>
      </c>
      <c r="B2502" s="502" t="s">
        <v>1749</v>
      </c>
      <c r="C2502" s="501" t="s">
        <v>993</v>
      </c>
      <c r="D2502" s="501" t="s">
        <v>1750</v>
      </c>
      <c r="E2502" s="602" t="s">
        <v>1746</v>
      </c>
      <c r="F2502" s="602"/>
      <c r="G2502" s="503" t="s">
        <v>1751</v>
      </c>
      <c r="H2502" s="504">
        <v>1.45</v>
      </c>
      <c r="I2502" s="504">
        <v>0</v>
      </c>
      <c r="J2502" s="505">
        <v>5.13</v>
      </c>
      <c r="K2502" s="505">
        <v>7.43</v>
      </c>
      <c r="L2502" s="70"/>
    </row>
    <row r="2503" spans="1:12" ht="15.75" customHeight="1" x14ac:dyDescent="0.25">
      <c r="A2503" s="445"/>
      <c r="B2503" s="445"/>
      <c r="C2503" s="445"/>
      <c r="D2503" s="445"/>
      <c r="E2503" s="445" t="s">
        <v>1735</v>
      </c>
      <c r="F2503" s="506">
        <v>0</v>
      </c>
      <c r="G2503" s="445" t="s">
        <v>1736</v>
      </c>
      <c r="H2503" s="506">
        <v>0</v>
      </c>
      <c r="I2503" s="445" t="s">
        <v>1737</v>
      </c>
      <c r="J2503" s="506">
        <v>0</v>
      </c>
      <c r="K2503" s="70"/>
      <c r="L2503" s="70"/>
    </row>
    <row r="2504" spans="1:12" ht="17.25" thickBot="1" x14ac:dyDescent="0.3">
      <c r="A2504" s="445"/>
      <c r="B2504" s="445"/>
      <c r="C2504" s="445"/>
      <c r="D2504" s="445"/>
      <c r="E2504" s="445" t="s">
        <v>1738</v>
      </c>
      <c r="F2504" s="506">
        <v>1.8307519999999999</v>
      </c>
      <c r="G2504" s="445"/>
      <c r="H2504" s="606" t="s">
        <v>1739</v>
      </c>
      <c r="I2504" s="606"/>
      <c r="J2504" s="506">
        <v>9.26</v>
      </c>
      <c r="K2504" s="70"/>
      <c r="L2504" s="70"/>
    </row>
    <row r="2505" spans="1:12" ht="17.25" thickTop="1" x14ac:dyDescent="0.25">
      <c r="A2505" s="507"/>
      <c r="B2505" s="507"/>
      <c r="C2505" s="507"/>
      <c r="D2505" s="507"/>
      <c r="E2505" s="507"/>
      <c r="F2505" s="507"/>
      <c r="G2505" s="507"/>
      <c r="H2505" s="507"/>
      <c r="I2505" s="507"/>
      <c r="J2505" s="507"/>
      <c r="K2505" s="70"/>
      <c r="L2505" s="70"/>
    </row>
    <row r="2506" spans="1:12" ht="38.25" customHeight="1" x14ac:dyDescent="0.25">
      <c r="A2506" s="419"/>
      <c r="B2506" s="421" t="s">
        <v>76</v>
      </c>
      <c r="C2506" s="419" t="s">
        <v>991</v>
      </c>
      <c r="D2506" s="419" t="s">
        <v>191</v>
      </c>
      <c r="E2506" s="603" t="s">
        <v>77</v>
      </c>
      <c r="F2506" s="603"/>
      <c r="G2506" s="420" t="s">
        <v>103</v>
      </c>
      <c r="H2506" s="421" t="s">
        <v>147</v>
      </c>
      <c r="I2506" s="421" t="s">
        <v>1731</v>
      </c>
      <c r="J2506" s="421" t="s">
        <v>1117</v>
      </c>
      <c r="K2506" s="421" t="s">
        <v>104</v>
      </c>
      <c r="L2506" s="70"/>
    </row>
    <row r="2507" spans="1:12" ht="38.25" customHeight="1" x14ac:dyDescent="0.25">
      <c r="A2507" s="441" t="s">
        <v>79</v>
      </c>
      <c r="B2507" s="480" t="s">
        <v>2137</v>
      </c>
      <c r="C2507" s="441" t="s">
        <v>1168</v>
      </c>
      <c r="D2507" s="441" t="s">
        <v>2138</v>
      </c>
      <c r="E2507" s="604" t="s">
        <v>2126</v>
      </c>
      <c r="F2507" s="604"/>
      <c r="G2507" s="443" t="s">
        <v>2127</v>
      </c>
      <c r="H2507" s="500">
        <v>1</v>
      </c>
      <c r="I2507" s="442"/>
      <c r="J2507" s="442">
        <v>89.95</v>
      </c>
      <c r="K2507" s="442">
        <v>89.95</v>
      </c>
      <c r="L2507" s="70"/>
    </row>
    <row r="2508" spans="1:12" ht="38.25" customHeight="1" x14ac:dyDescent="0.25">
      <c r="A2508" s="510" t="s">
        <v>2123</v>
      </c>
      <c r="B2508" s="511" t="s">
        <v>2656</v>
      </c>
      <c r="C2508" s="510" t="s">
        <v>1115</v>
      </c>
      <c r="D2508" s="510" t="s">
        <v>2657</v>
      </c>
      <c r="E2508" s="605" t="s">
        <v>2126</v>
      </c>
      <c r="F2508" s="605"/>
      <c r="G2508" s="512" t="s">
        <v>81</v>
      </c>
      <c r="H2508" s="513">
        <v>1</v>
      </c>
      <c r="I2508" s="513"/>
      <c r="J2508" s="514">
        <v>45.36</v>
      </c>
      <c r="K2508" s="514">
        <v>45.36</v>
      </c>
      <c r="L2508" s="70"/>
    </row>
    <row r="2509" spans="1:12" ht="25.5" customHeight="1" x14ac:dyDescent="0.25">
      <c r="A2509" s="510" t="s">
        <v>2123</v>
      </c>
      <c r="B2509" s="511" t="s">
        <v>2658</v>
      </c>
      <c r="C2509" s="510" t="s">
        <v>1115</v>
      </c>
      <c r="D2509" s="510" t="s">
        <v>2659</v>
      </c>
      <c r="E2509" s="605" t="s">
        <v>2126</v>
      </c>
      <c r="F2509" s="605"/>
      <c r="G2509" s="512" t="s">
        <v>81</v>
      </c>
      <c r="H2509" s="513">
        <v>1</v>
      </c>
      <c r="I2509" s="513"/>
      <c r="J2509" s="514">
        <v>11.98</v>
      </c>
      <c r="K2509" s="514">
        <v>11.98</v>
      </c>
      <c r="L2509" s="70"/>
    </row>
    <row r="2510" spans="1:12" ht="25.5" x14ac:dyDescent="0.25">
      <c r="A2510" s="501" t="s">
        <v>1732</v>
      </c>
      <c r="B2510" s="502" t="s">
        <v>1072</v>
      </c>
      <c r="C2510" s="501" t="s">
        <v>1071</v>
      </c>
      <c r="D2510" s="501" t="s">
        <v>1073</v>
      </c>
      <c r="E2510" s="602" t="s">
        <v>972</v>
      </c>
      <c r="F2510" s="602"/>
      <c r="G2510" s="503" t="s">
        <v>80</v>
      </c>
      <c r="H2510" s="504">
        <v>1</v>
      </c>
      <c r="I2510" s="504">
        <v>0</v>
      </c>
      <c r="J2510" s="505">
        <v>32.61</v>
      </c>
      <c r="K2510" s="505">
        <v>32.61</v>
      </c>
      <c r="L2510" s="70"/>
    </row>
    <row r="2511" spans="1:12" ht="15.75" customHeight="1" x14ac:dyDescent="0.25">
      <c r="A2511" s="445"/>
      <c r="B2511" s="445"/>
      <c r="C2511" s="445"/>
      <c r="D2511" s="445"/>
      <c r="E2511" s="445" t="s">
        <v>1735</v>
      </c>
      <c r="F2511" s="506">
        <v>32.61</v>
      </c>
      <c r="G2511" s="445" t="s">
        <v>1736</v>
      </c>
      <c r="H2511" s="506">
        <v>0</v>
      </c>
      <c r="I2511" s="445" t="s">
        <v>1737</v>
      </c>
      <c r="J2511" s="506">
        <v>32.61</v>
      </c>
      <c r="K2511" s="70"/>
      <c r="L2511" s="70"/>
    </row>
    <row r="2512" spans="1:12" ht="17.25" thickBot="1" x14ac:dyDescent="0.3">
      <c r="A2512" s="445"/>
      <c r="B2512" s="445"/>
      <c r="C2512" s="445"/>
      <c r="D2512" s="445"/>
      <c r="E2512" s="445" t="s">
        <v>1738</v>
      </c>
      <c r="F2512" s="506">
        <v>22.163679999999999</v>
      </c>
      <c r="G2512" s="445"/>
      <c r="H2512" s="606" t="s">
        <v>1739</v>
      </c>
      <c r="I2512" s="606"/>
      <c r="J2512" s="506">
        <v>112.11</v>
      </c>
      <c r="K2512" s="70"/>
      <c r="L2512" s="70"/>
    </row>
    <row r="2513" spans="1:12" ht="17.25" thickTop="1" x14ac:dyDescent="0.25">
      <c r="A2513" s="507"/>
      <c r="B2513" s="507"/>
      <c r="C2513" s="507"/>
      <c r="D2513" s="507"/>
      <c r="E2513" s="507"/>
      <c r="F2513" s="507"/>
      <c r="G2513" s="507"/>
      <c r="H2513" s="507"/>
      <c r="I2513" s="507"/>
      <c r="J2513" s="507"/>
      <c r="K2513" s="70"/>
      <c r="L2513" s="70"/>
    </row>
    <row r="2514" spans="1:12" ht="38.25" customHeight="1" x14ac:dyDescent="0.25">
      <c r="A2514" s="419"/>
      <c r="B2514" s="421" t="s">
        <v>76</v>
      </c>
      <c r="C2514" s="419" t="s">
        <v>991</v>
      </c>
      <c r="D2514" s="419" t="s">
        <v>191</v>
      </c>
      <c r="E2514" s="603" t="s">
        <v>77</v>
      </c>
      <c r="F2514" s="603"/>
      <c r="G2514" s="420" t="s">
        <v>103</v>
      </c>
      <c r="H2514" s="421" t="s">
        <v>147</v>
      </c>
      <c r="I2514" s="421" t="s">
        <v>1731</v>
      </c>
      <c r="J2514" s="421" t="s">
        <v>1117</v>
      </c>
      <c r="K2514" s="421" t="s">
        <v>104</v>
      </c>
      <c r="L2514" s="70"/>
    </row>
    <row r="2515" spans="1:12" ht="38.25" customHeight="1" x14ac:dyDescent="0.25">
      <c r="A2515" s="441" t="s">
        <v>79</v>
      </c>
      <c r="B2515" s="480" t="s">
        <v>2133</v>
      </c>
      <c r="C2515" s="441" t="s">
        <v>1168</v>
      </c>
      <c r="D2515" s="441" t="s">
        <v>2134</v>
      </c>
      <c r="E2515" s="604" t="s">
        <v>2126</v>
      </c>
      <c r="F2515" s="604"/>
      <c r="G2515" s="443" t="s">
        <v>2130</v>
      </c>
      <c r="H2515" s="500">
        <v>1</v>
      </c>
      <c r="I2515" s="442"/>
      <c r="J2515" s="442">
        <v>209.43</v>
      </c>
      <c r="K2515" s="442">
        <v>209.43</v>
      </c>
      <c r="L2515" s="70"/>
    </row>
    <row r="2516" spans="1:12" ht="38.25" customHeight="1" x14ac:dyDescent="0.25">
      <c r="A2516" s="510" t="s">
        <v>2123</v>
      </c>
      <c r="B2516" s="511" t="s">
        <v>2656</v>
      </c>
      <c r="C2516" s="510" t="s">
        <v>1115</v>
      </c>
      <c r="D2516" s="510" t="s">
        <v>2657</v>
      </c>
      <c r="E2516" s="605" t="s">
        <v>2126</v>
      </c>
      <c r="F2516" s="605"/>
      <c r="G2516" s="512" t="s">
        <v>81</v>
      </c>
      <c r="H2516" s="513">
        <v>1</v>
      </c>
      <c r="I2516" s="513"/>
      <c r="J2516" s="514">
        <v>45.36</v>
      </c>
      <c r="K2516" s="514">
        <v>45.36</v>
      </c>
      <c r="L2516" s="70"/>
    </row>
    <row r="2517" spans="1:12" ht="38.25" customHeight="1" x14ac:dyDescent="0.25">
      <c r="A2517" s="510" t="s">
        <v>2123</v>
      </c>
      <c r="B2517" s="511" t="s">
        <v>2658</v>
      </c>
      <c r="C2517" s="510" t="s">
        <v>1115</v>
      </c>
      <c r="D2517" s="510" t="s">
        <v>2659</v>
      </c>
      <c r="E2517" s="605" t="s">
        <v>2126</v>
      </c>
      <c r="F2517" s="605"/>
      <c r="G2517" s="512" t="s">
        <v>81</v>
      </c>
      <c r="H2517" s="513">
        <v>1</v>
      </c>
      <c r="I2517" s="513"/>
      <c r="J2517" s="514">
        <v>11.98</v>
      </c>
      <c r="K2517" s="514">
        <v>11.98</v>
      </c>
      <c r="L2517" s="70"/>
    </row>
    <row r="2518" spans="1:12" ht="38.25" customHeight="1" x14ac:dyDescent="0.25">
      <c r="A2518" s="510" t="s">
        <v>2123</v>
      </c>
      <c r="B2518" s="511" t="s">
        <v>2660</v>
      </c>
      <c r="C2518" s="510" t="s">
        <v>1115</v>
      </c>
      <c r="D2518" s="510" t="s">
        <v>2661</v>
      </c>
      <c r="E2518" s="605" t="s">
        <v>2126</v>
      </c>
      <c r="F2518" s="605"/>
      <c r="G2518" s="512" t="s">
        <v>81</v>
      </c>
      <c r="H2518" s="513">
        <v>1</v>
      </c>
      <c r="I2518" s="513"/>
      <c r="J2518" s="514">
        <v>56.7</v>
      </c>
      <c r="K2518" s="514">
        <v>56.7</v>
      </c>
      <c r="L2518" s="70"/>
    </row>
    <row r="2519" spans="1:12" ht="25.5" customHeight="1" x14ac:dyDescent="0.25">
      <c r="A2519" s="510" t="s">
        <v>2123</v>
      </c>
      <c r="B2519" s="511" t="s">
        <v>2662</v>
      </c>
      <c r="C2519" s="510" t="s">
        <v>1115</v>
      </c>
      <c r="D2519" s="510" t="s">
        <v>2663</v>
      </c>
      <c r="E2519" s="605" t="s">
        <v>2126</v>
      </c>
      <c r="F2519" s="605"/>
      <c r="G2519" s="512" t="s">
        <v>81</v>
      </c>
      <c r="H2519" s="513">
        <v>1</v>
      </c>
      <c r="I2519" s="513"/>
      <c r="J2519" s="514">
        <v>62.78</v>
      </c>
      <c r="K2519" s="514">
        <v>62.78</v>
      </c>
      <c r="L2519" s="70"/>
    </row>
    <row r="2520" spans="1:12" ht="25.5" x14ac:dyDescent="0.25">
      <c r="A2520" s="501" t="s">
        <v>1732</v>
      </c>
      <c r="B2520" s="502" t="s">
        <v>1072</v>
      </c>
      <c r="C2520" s="501" t="s">
        <v>1071</v>
      </c>
      <c r="D2520" s="501" t="s">
        <v>1073</v>
      </c>
      <c r="E2520" s="602" t="s">
        <v>972</v>
      </c>
      <c r="F2520" s="602"/>
      <c r="G2520" s="503" t="s">
        <v>80</v>
      </c>
      <c r="H2520" s="504">
        <v>1</v>
      </c>
      <c r="I2520" s="504">
        <v>0</v>
      </c>
      <c r="J2520" s="505">
        <v>32.61</v>
      </c>
      <c r="K2520" s="505">
        <v>32.61</v>
      </c>
      <c r="L2520" s="70"/>
    </row>
    <row r="2521" spans="1:12" ht="15.75" customHeight="1" x14ac:dyDescent="0.25">
      <c r="A2521" s="445"/>
      <c r="B2521" s="445"/>
      <c r="C2521" s="445"/>
      <c r="D2521" s="445"/>
      <c r="E2521" s="445" t="s">
        <v>1735</v>
      </c>
      <c r="F2521" s="506">
        <v>32.61</v>
      </c>
      <c r="G2521" s="445" t="s">
        <v>1736</v>
      </c>
      <c r="H2521" s="506">
        <v>0</v>
      </c>
      <c r="I2521" s="445" t="s">
        <v>1737</v>
      </c>
      <c r="J2521" s="506">
        <v>32.61</v>
      </c>
      <c r="K2521" s="70"/>
      <c r="L2521" s="70"/>
    </row>
    <row r="2522" spans="1:12" ht="17.25" thickBot="1" x14ac:dyDescent="0.3">
      <c r="A2522" s="445"/>
      <c r="B2522" s="445"/>
      <c r="C2522" s="445"/>
      <c r="D2522" s="445"/>
      <c r="E2522" s="445" t="s">
        <v>1738</v>
      </c>
      <c r="F2522" s="506">
        <v>51.603552000000001</v>
      </c>
      <c r="G2522" s="445"/>
      <c r="H2522" s="606" t="s">
        <v>1739</v>
      </c>
      <c r="I2522" s="606"/>
      <c r="J2522" s="506">
        <v>261.02999999999997</v>
      </c>
      <c r="K2522" s="70"/>
      <c r="L2522" s="70"/>
    </row>
    <row r="2523" spans="1:12" ht="17.25" thickTop="1" x14ac:dyDescent="0.25">
      <c r="A2523" s="507"/>
      <c r="B2523" s="507"/>
      <c r="C2523" s="507"/>
      <c r="D2523" s="507"/>
      <c r="E2523" s="507"/>
      <c r="F2523" s="507"/>
      <c r="G2523" s="507"/>
      <c r="H2523" s="507"/>
      <c r="I2523" s="507"/>
      <c r="J2523" s="507"/>
      <c r="K2523" s="70"/>
      <c r="L2523" s="70"/>
    </row>
    <row r="2524" spans="1:12" ht="38.25" customHeight="1" x14ac:dyDescent="0.25">
      <c r="A2524" s="419"/>
      <c r="B2524" s="421" t="s">
        <v>76</v>
      </c>
      <c r="C2524" s="419" t="s">
        <v>991</v>
      </c>
      <c r="D2524" s="419" t="s">
        <v>191</v>
      </c>
      <c r="E2524" s="603" t="s">
        <v>77</v>
      </c>
      <c r="F2524" s="603"/>
      <c r="G2524" s="420" t="s">
        <v>103</v>
      </c>
      <c r="H2524" s="421" t="s">
        <v>147</v>
      </c>
      <c r="I2524" s="421" t="s">
        <v>1731</v>
      </c>
      <c r="J2524" s="421" t="s">
        <v>1117</v>
      </c>
      <c r="K2524" s="421" t="s">
        <v>104</v>
      </c>
      <c r="L2524" s="70"/>
    </row>
    <row r="2525" spans="1:12" ht="25.5" customHeight="1" x14ac:dyDescent="0.25">
      <c r="A2525" s="441" t="s">
        <v>79</v>
      </c>
      <c r="B2525" s="480" t="s">
        <v>2656</v>
      </c>
      <c r="C2525" s="441" t="s">
        <v>1115</v>
      </c>
      <c r="D2525" s="441" t="s">
        <v>2657</v>
      </c>
      <c r="E2525" s="604" t="s">
        <v>2126</v>
      </c>
      <c r="F2525" s="604"/>
      <c r="G2525" s="443" t="s">
        <v>81</v>
      </c>
      <c r="H2525" s="500">
        <v>1</v>
      </c>
      <c r="I2525" s="442"/>
      <c r="J2525" s="442">
        <v>45.36</v>
      </c>
      <c r="K2525" s="442">
        <v>45.36</v>
      </c>
      <c r="L2525" s="70"/>
    </row>
    <row r="2526" spans="1:12" ht="25.5" x14ac:dyDescent="0.25">
      <c r="A2526" s="501" t="s">
        <v>1732</v>
      </c>
      <c r="B2526" s="502" t="s">
        <v>2664</v>
      </c>
      <c r="C2526" s="501" t="s">
        <v>1115</v>
      </c>
      <c r="D2526" s="501" t="s">
        <v>2665</v>
      </c>
      <c r="E2526" s="602" t="s">
        <v>2639</v>
      </c>
      <c r="F2526" s="602"/>
      <c r="G2526" s="503" t="s">
        <v>38</v>
      </c>
      <c r="H2526" s="504">
        <v>5.5999999999999999E-5</v>
      </c>
      <c r="I2526" s="504"/>
      <c r="J2526" s="505">
        <v>810000</v>
      </c>
      <c r="K2526" s="505">
        <v>45.36</v>
      </c>
      <c r="L2526" s="70"/>
    </row>
    <row r="2527" spans="1:12" ht="15.75" customHeight="1" x14ac:dyDescent="0.25">
      <c r="A2527" s="445"/>
      <c r="B2527" s="445"/>
      <c r="C2527" s="445"/>
      <c r="D2527" s="445"/>
      <c r="E2527" s="445" t="s">
        <v>1735</v>
      </c>
      <c r="F2527" s="506">
        <v>0</v>
      </c>
      <c r="G2527" s="445" t="s">
        <v>1736</v>
      </c>
      <c r="H2527" s="506">
        <v>0</v>
      </c>
      <c r="I2527" s="445" t="s">
        <v>1737</v>
      </c>
      <c r="J2527" s="506">
        <v>0</v>
      </c>
      <c r="K2527" s="70"/>
      <c r="L2527" s="70"/>
    </row>
    <row r="2528" spans="1:12" ht="17.25" thickBot="1" x14ac:dyDescent="0.3">
      <c r="A2528" s="445"/>
      <c r="B2528" s="445"/>
      <c r="C2528" s="445"/>
      <c r="D2528" s="445"/>
      <c r="E2528" s="445" t="s">
        <v>1738</v>
      </c>
      <c r="F2528" s="506">
        <v>11.176704000000001</v>
      </c>
      <c r="G2528" s="445"/>
      <c r="H2528" s="606" t="s">
        <v>1739</v>
      </c>
      <c r="I2528" s="606"/>
      <c r="J2528" s="506">
        <v>56.53</v>
      </c>
      <c r="K2528" s="70"/>
      <c r="L2528" s="70"/>
    </row>
    <row r="2529" spans="1:12" ht="17.25" thickTop="1" x14ac:dyDescent="0.25">
      <c r="A2529" s="507"/>
      <c r="B2529" s="507"/>
      <c r="C2529" s="507"/>
      <c r="D2529" s="507"/>
      <c r="E2529" s="507"/>
      <c r="F2529" s="507"/>
      <c r="G2529" s="507"/>
      <c r="H2529" s="507"/>
      <c r="I2529" s="507"/>
      <c r="J2529" s="507"/>
      <c r="K2529" s="70"/>
      <c r="L2529" s="70"/>
    </row>
    <row r="2530" spans="1:12" ht="38.25" customHeight="1" x14ac:dyDescent="0.25">
      <c r="A2530" s="419"/>
      <c r="B2530" s="421" t="s">
        <v>76</v>
      </c>
      <c r="C2530" s="419" t="s">
        <v>991</v>
      </c>
      <c r="D2530" s="419" t="s">
        <v>191</v>
      </c>
      <c r="E2530" s="603" t="s">
        <v>77</v>
      </c>
      <c r="F2530" s="603"/>
      <c r="G2530" s="420" t="s">
        <v>103</v>
      </c>
      <c r="H2530" s="421" t="s">
        <v>147</v>
      </c>
      <c r="I2530" s="421" t="s">
        <v>1731</v>
      </c>
      <c r="J2530" s="421" t="s">
        <v>1117</v>
      </c>
      <c r="K2530" s="421" t="s">
        <v>104</v>
      </c>
      <c r="L2530" s="70"/>
    </row>
    <row r="2531" spans="1:12" ht="25.5" customHeight="1" x14ac:dyDescent="0.25">
      <c r="A2531" s="441" t="s">
        <v>79</v>
      </c>
      <c r="B2531" s="480" t="s">
        <v>2658</v>
      </c>
      <c r="C2531" s="441" t="s">
        <v>1115</v>
      </c>
      <c r="D2531" s="441" t="s">
        <v>2659</v>
      </c>
      <c r="E2531" s="604" t="s">
        <v>2126</v>
      </c>
      <c r="F2531" s="604"/>
      <c r="G2531" s="443" t="s">
        <v>81</v>
      </c>
      <c r="H2531" s="500">
        <v>1</v>
      </c>
      <c r="I2531" s="442"/>
      <c r="J2531" s="442">
        <v>11.98</v>
      </c>
      <c r="K2531" s="442">
        <v>11.98</v>
      </c>
      <c r="L2531" s="70"/>
    </row>
    <row r="2532" spans="1:12" ht="25.5" x14ac:dyDescent="0.25">
      <c r="A2532" s="501" t="s">
        <v>1732</v>
      </c>
      <c r="B2532" s="502" t="s">
        <v>2664</v>
      </c>
      <c r="C2532" s="501" t="s">
        <v>1115</v>
      </c>
      <c r="D2532" s="501" t="s">
        <v>2665</v>
      </c>
      <c r="E2532" s="602" t="s">
        <v>2639</v>
      </c>
      <c r="F2532" s="602"/>
      <c r="G2532" s="503" t="s">
        <v>38</v>
      </c>
      <c r="H2532" s="504">
        <v>1.4800000000000001E-5</v>
      </c>
      <c r="I2532" s="504"/>
      <c r="J2532" s="505">
        <v>810000</v>
      </c>
      <c r="K2532" s="505">
        <v>11.98</v>
      </c>
      <c r="L2532" s="70"/>
    </row>
    <row r="2533" spans="1:12" ht="15.75" customHeight="1" x14ac:dyDescent="0.25">
      <c r="A2533" s="445"/>
      <c r="B2533" s="445"/>
      <c r="C2533" s="445"/>
      <c r="D2533" s="445"/>
      <c r="E2533" s="445" t="s">
        <v>1735</v>
      </c>
      <c r="F2533" s="506">
        <v>0</v>
      </c>
      <c r="G2533" s="445" t="s">
        <v>1736</v>
      </c>
      <c r="H2533" s="506">
        <v>0</v>
      </c>
      <c r="I2533" s="445" t="s">
        <v>1737</v>
      </c>
      <c r="J2533" s="506">
        <v>0</v>
      </c>
      <c r="K2533" s="70"/>
      <c r="L2533" s="70"/>
    </row>
    <row r="2534" spans="1:12" ht="17.25" thickBot="1" x14ac:dyDescent="0.3">
      <c r="A2534" s="445"/>
      <c r="B2534" s="445"/>
      <c r="C2534" s="445"/>
      <c r="D2534" s="445"/>
      <c r="E2534" s="445" t="s">
        <v>1738</v>
      </c>
      <c r="F2534" s="506">
        <v>2.9518719999999998</v>
      </c>
      <c r="G2534" s="445"/>
      <c r="H2534" s="606" t="s">
        <v>1739</v>
      </c>
      <c r="I2534" s="606"/>
      <c r="J2534" s="506">
        <v>14.93</v>
      </c>
      <c r="K2534" s="70"/>
      <c r="L2534" s="70"/>
    </row>
    <row r="2535" spans="1:12" ht="17.25" thickTop="1" x14ac:dyDescent="0.25">
      <c r="A2535" s="507"/>
      <c r="B2535" s="507"/>
      <c r="C2535" s="507"/>
      <c r="D2535" s="507"/>
      <c r="E2535" s="507"/>
      <c r="F2535" s="507"/>
      <c r="G2535" s="507"/>
      <c r="H2535" s="507"/>
      <c r="I2535" s="507"/>
      <c r="J2535" s="507"/>
      <c r="K2535" s="70"/>
      <c r="L2535" s="70"/>
    </row>
    <row r="2536" spans="1:12" ht="38.25" customHeight="1" x14ac:dyDescent="0.25">
      <c r="A2536" s="419"/>
      <c r="B2536" s="421" t="s">
        <v>76</v>
      </c>
      <c r="C2536" s="419" t="s">
        <v>991</v>
      </c>
      <c r="D2536" s="419" t="s">
        <v>191</v>
      </c>
      <c r="E2536" s="603" t="s">
        <v>77</v>
      </c>
      <c r="F2536" s="603"/>
      <c r="G2536" s="420" t="s">
        <v>103</v>
      </c>
      <c r="H2536" s="421" t="s">
        <v>147</v>
      </c>
      <c r="I2536" s="421" t="s">
        <v>1731</v>
      </c>
      <c r="J2536" s="421" t="s">
        <v>1117</v>
      </c>
      <c r="K2536" s="421" t="s">
        <v>104</v>
      </c>
      <c r="L2536" s="70"/>
    </row>
    <row r="2537" spans="1:12" ht="25.5" customHeight="1" x14ac:dyDescent="0.25">
      <c r="A2537" s="441" t="s">
        <v>79</v>
      </c>
      <c r="B2537" s="480" t="s">
        <v>2660</v>
      </c>
      <c r="C2537" s="441" t="s">
        <v>1115</v>
      </c>
      <c r="D2537" s="441" t="s">
        <v>2661</v>
      </c>
      <c r="E2537" s="604" t="s">
        <v>2126</v>
      </c>
      <c r="F2537" s="604"/>
      <c r="G2537" s="443" t="s">
        <v>81</v>
      </c>
      <c r="H2537" s="500">
        <v>1</v>
      </c>
      <c r="I2537" s="442"/>
      <c r="J2537" s="442">
        <v>56.7</v>
      </c>
      <c r="K2537" s="442">
        <v>56.7</v>
      </c>
      <c r="L2537" s="70"/>
    </row>
    <row r="2538" spans="1:12" ht="25.5" x14ac:dyDescent="0.25">
      <c r="A2538" s="501" t="s">
        <v>1732</v>
      </c>
      <c r="B2538" s="502" t="s">
        <v>2664</v>
      </c>
      <c r="C2538" s="501" t="s">
        <v>1115</v>
      </c>
      <c r="D2538" s="501" t="s">
        <v>2665</v>
      </c>
      <c r="E2538" s="602" t="s">
        <v>2639</v>
      </c>
      <c r="F2538" s="602"/>
      <c r="G2538" s="503" t="s">
        <v>38</v>
      </c>
      <c r="H2538" s="504">
        <v>6.9999999999999994E-5</v>
      </c>
      <c r="I2538" s="504"/>
      <c r="J2538" s="505">
        <v>810000</v>
      </c>
      <c r="K2538" s="505">
        <v>56.7</v>
      </c>
      <c r="L2538" s="70"/>
    </row>
    <row r="2539" spans="1:12" ht="15.75" customHeight="1" x14ac:dyDescent="0.25">
      <c r="A2539" s="445"/>
      <c r="B2539" s="445"/>
      <c r="C2539" s="445"/>
      <c r="D2539" s="445"/>
      <c r="E2539" s="445" t="s">
        <v>1735</v>
      </c>
      <c r="F2539" s="506">
        <v>0</v>
      </c>
      <c r="G2539" s="445" t="s">
        <v>1736</v>
      </c>
      <c r="H2539" s="506">
        <v>0</v>
      </c>
      <c r="I2539" s="445" t="s">
        <v>1737</v>
      </c>
      <c r="J2539" s="506">
        <v>0</v>
      </c>
      <c r="K2539" s="70"/>
      <c r="L2539" s="70"/>
    </row>
    <row r="2540" spans="1:12" ht="17.25" thickBot="1" x14ac:dyDescent="0.3">
      <c r="A2540" s="445"/>
      <c r="B2540" s="445"/>
      <c r="C2540" s="445"/>
      <c r="D2540" s="445"/>
      <c r="E2540" s="445" t="s">
        <v>1738</v>
      </c>
      <c r="F2540" s="506">
        <v>13.970879999999999</v>
      </c>
      <c r="G2540" s="445"/>
      <c r="H2540" s="606" t="s">
        <v>1739</v>
      </c>
      <c r="I2540" s="606"/>
      <c r="J2540" s="506">
        <v>70.67</v>
      </c>
      <c r="K2540" s="70"/>
      <c r="L2540" s="70"/>
    </row>
    <row r="2541" spans="1:12" ht="17.25" thickTop="1" x14ac:dyDescent="0.25">
      <c r="A2541" s="507"/>
      <c r="B2541" s="507"/>
      <c r="C2541" s="507"/>
      <c r="D2541" s="507"/>
      <c r="E2541" s="507"/>
      <c r="F2541" s="507"/>
      <c r="G2541" s="507"/>
      <c r="H2541" s="507"/>
      <c r="I2541" s="507"/>
      <c r="J2541" s="507"/>
      <c r="K2541" s="70"/>
      <c r="L2541" s="70"/>
    </row>
    <row r="2542" spans="1:12" ht="38.25" customHeight="1" x14ac:dyDescent="0.25">
      <c r="A2542" s="419"/>
      <c r="B2542" s="421" t="s">
        <v>76</v>
      </c>
      <c r="C2542" s="419" t="s">
        <v>991</v>
      </c>
      <c r="D2542" s="419" t="s">
        <v>191</v>
      </c>
      <c r="E2542" s="603" t="s">
        <v>77</v>
      </c>
      <c r="F2542" s="603"/>
      <c r="G2542" s="420" t="s">
        <v>103</v>
      </c>
      <c r="H2542" s="421" t="s">
        <v>147</v>
      </c>
      <c r="I2542" s="421" t="s">
        <v>1731</v>
      </c>
      <c r="J2542" s="421" t="s">
        <v>1117</v>
      </c>
      <c r="K2542" s="421" t="s">
        <v>104</v>
      </c>
      <c r="L2542" s="70"/>
    </row>
    <row r="2543" spans="1:12" ht="25.5" customHeight="1" x14ac:dyDescent="0.25">
      <c r="A2543" s="441" t="s">
        <v>79</v>
      </c>
      <c r="B2543" s="480" t="s">
        <v>2662</v>
      </c>
      <c r="C2543" s="441" t="s">
        <v>1115</v>
      </c>
      <c r="D2543" s="441" t="s">
        <v>2663</v>
      </c>
      <c r="E2543" s="604" t="s">
        <v>2126</v>
      </c>
      <c r="F2543" s="604"/>
      <c r="G2543" s="443" t="s">
        <v>81</v>
      </c>
      <c r="H2543" s="500">
        <v>1</v>
      </c>
      <c r="I2543" s="442"/>
      <c r="J2543" s="442">
        <v>62.78</v>
      </c>
      <c r="K2543" s="442">
        <v>62.78</v>
      </c>
      <c r="L2543" s="70"/>
    </row>
    <row r="2544" spans="1:12" ht="16.5" x14ac:dyDescent="0.25">
      <c r="A2544" s="501" t="s">
        <v>1732</v>
      </c>
      <c r="B2544" s="502" t="s">
        <v>2666</v>
      </c>
      <c r="C2544" s="501" t="s">
        <v>1115</v>
      </c>
      <c r="D2544" s="501" t="s">
        <v>2667</v>
      </c>
      <c r="E2544" s="602" t="s">
        <v>1746</v>
      </c>
      <c r="F2544" s="602"/>
      <c r="G2544" s="503" t="s">
        <v>2556</v>
      </c>
      <c r="H2544" s="504">
        <v>10.77</v>
      </c>
      <c r="I2544" s="504"/>
      <c r="J2544" s="505">
        <v>5.83</v>
      </c>
      <c r="K2544" s="505">
        <v>62.78</v>
      </c>
      <c r="L2544" s="70"/>
    </row>
    <row r="2545" spans="1:12" ht="15.75" customHeight="1" x14ac:dyDescent="0.25">
      <c r="A2545" s="445"/>
      <c r="B2545" s="445"/>
      <c r="C2545" s="445"/>
      <c r="D2545" s="445"/>
      <c r="E2545" s="445" t="s">
        <v>1735</v>
      </c>
      <c r="F2545" s="506">
        <v>0</v>
      </c>
      <c r="G2545" s="445" t="s">
        <v>1736</v>
      </c>
      <c r="H2545" s="506">
        <v>0</v>
      </c>
      <c r="I2545" s="445" t="s">
        <v>1737</v>
      </c>
      <c r="J2545" s="506">
        <v>0</v>
      </c>
      <c r="K2545" s="70"/>
      <c r="L2545" s="70"/>
    </row>
    <row r="2546" spans="1:12" ht="17.25" thickBot="1" x14ac:dyDescent="0.3">
      <c r="A2546" s="445"/>
      <c r="B2546" s="445"/>
      <c r="C2546" s="445"/>
      <c r="D2546" s="445"/>
      <c r="E2546" s="445" t="s">
        <v>1738</v>
      </c>
      <c r="F2546" s="506">
        <v>15.468992</v>
      </c>
      <c r="G2546" s="445"/>
      <c r="H2546" s="606" t="s">
        <v>1739</v>
      </c>
      <c r="I2546" s="606"/>
      <c r="J2546" s="506">
        <v>78.239999999999995</v>
      </c>
      <c r="K2546" s="70"/>
      <c r="L2546" s="70"/>
    </row>
    <row r="2547" spans="1:12" ht="17.25" thickTop="1" x14ac:dyDescent="0.25">
      <c r="A2547" s="507"/>
      <c r="B2547" s="507"/>
      <c r="C2547" s="507"/>
      <c r="D2547" s="507"/>
      <c r="E2547" s="507"/>
      <c r="F2547" s="507"/>
      <c r="G2547" s="507"/>
      <c r="H2547" s="507"/>
      <c r="I2547" s="507"/>
      <c r="J2547" s="507"/>
      <c r="K2547" s="70"/>
      <c r="L2547" s="70"/>
    </row>
    <row r="2548" spans="1:12" ht="38.25" customHeight="1" x14ac:dyDescent="0.25">
      <c r="A2548" s="419"/>
      <c r="B2548" s="421" t="s">
        <v>76</v>
      </c>
      <c r="C2548" s="419" t="s">
        <v>991</v>
      </c>
      <c r="D2548" s="419" t="s">
        <v>191</v>
      </c>
      <c r="E2548" s="603" t="s">
        <v>77</v>
      </c>
      <c r="F2548" s="603"/>
      <c r="G2548" s="420" t="s">
        <v>103</v>
      </c>
      <c r="H2548" s="421" t="s">
        <v>147</v>
      </c>
      <c r="I2548" s="421" t="s">
        <v>1731</v>
      </c>
      <c r="J2548" s="421" t="s">
        <v>1117</v>
      </c>
      <c r="K2548" s="421" t="s">
        <v>104</v>
      </c>
      <c r="L2548" s="70"/>
    </row>
    <row r="2549" spans="1:12" ht="25.5" customHeight="1" x14ac:dyDescent="0.25">
      <c r="A2549" s="441" t="s">
        <v>79</v>
      </c>
      <c r="B2549" s="480" t="s">
        <v>2124</v>
      </c>
      <c r="C2549" s="441" t="s">
        <v>1168</v>
      </c>
      <c r="D2549" s="441" t="s">
        <v>2125</v>
      </c>
      <c r="E2549" s="604" t="s">
        <v>2126</v>
      </c>
      <c r="F2549" s="604"/>
      <c r="G2549" s="443" t="s">
        <v>2127</v>
      </c>
      <c r="H2549" s="500">
        <v>1</v>
      </c>
      <c r="I2549" s="442"/>
      <c r="J2549" s="442">
        <v>24.35</v>
      </c>
      <c r="K2549" s="442">
        <v>24.35</v>
      </c>
      <c r="L2549" s="70"/>
    </row>
    <row r="2550" spans="1:12" ht="25.5" customHeight="1" x14ac:dyDescent="0.25">
      <c r="A2550" s="510" t="s">
        <v>2123</v>
      </c>
      <c r="B2550" s="511" t="s">
        <v>2668</v>
      </c>
      <c r="C2550" s="510" t="s">
        <v>1115</v>
      </c>
      <c r="D2550" s="510" t="s">
        <v>2669</v>
      </c>
      <c r="E2550" s="605" t="s">
        <v>2126</v>
      </c>
      <c r="F2550" s="605"/>
      <c r="G2550" s="512" t="s">
        <v>81</v>
      </c>
      <c r="H2550" s="513">
        <v>1</v>
      </c>
      <c r="I2550" s="513"/>
      <c r="J2550" s="514">
        <v>0.77</v>
      </c>
      <c r="K2550" s="514">
        <v>0.77</v>
      </c>
      <c r="L2550" s="70"/>
    </row>
    <row r="2551" spans="1:12" ht="25.5" customHeight="1" x14ac:dyDescent="0.25">
      <c r="A2551" s="510" t="s">
        <v>2123</v>
      </c>
      <c r="B2551" s="511" t="s">
        <v>2670</v>
      </c>
      <c r="C2551" s="510" t="s">
        <v>1115</v>
      </c>
      <c r="D2551" s="510" t="s">
        <v>2671</v>
      </c>
      <c r="E2551" s="605" t="s">
        <v>2126</v>
      </c>
      <c r="F2551" s="605"/>
      <c r="G2551" s="512" t="s">
        <v>81</v>
      </c>
      <c r="H2551" s="513">
        <v>1</v>
      </c>
      <c r="I2551" s="513"/>
      <c r="J2551" s="514">
        <v>0.17</v>
      </c>
      <c r="K2551" s="514">
        <v>0.17</v>
      </c>
      <c r="L2551" s="70"/>
    </row>
    <row r="2552" spans="1:12" ht="25.5" x14ac:dyDescent="0.25">
      <c r="A2552" s="501" t="s">
        <v>1732</v>
      </c>
      <c r="B2552" s="502" t="s">
        <v>1013</v>
      </c>
      <c r="C2552" s="501" t="s">
        <v>993</v>
      </c>
      <c r="D2552" s="501" t="s">
        <v>1014</v>
      </c>
      <c r="E2552" s="602" t="s">
        <v>972</v>
      </c>
      <c r="F2552" s="602"/>
      <c r="G2552" s="503" t="s">
        <v>81</v>
      </c>
      <c r="H2552" s="504">
        <v>1</v>
      </c>
      <c r="I2552" s="504">
        <v>0</v>
      </c>
      <c r="J2552" s="505">
        <v>23.41</v>
      </c>
      <c r="K2552" s="505">
        <v>23.41</v>
      </c>
      <c r="L2552" s="70"/>
    </row>
    <row r="2553" spans="1:12" ht="15.75" customHeight="1" x14ac:dyDescent="0.25">
      <c r="A2553" s="445"/>
      <c r="B2553" s="445"/>
      <c r="C2553" s="445"/>
      <c r="D2553" s="445"/>
      <c r="E2553" s="445" t="s">
        <v>1735</v>
      </c>
      <c r="F2553" s="506">
        <v>23.41</v>
      </c>
      <c r="G2553" s="445" t="s">
        <v>1736</v>
      </c>
      <c r="H2553" s="506">
        <v>0</v>
      </c>
      <c r="I2553" s="445" t="s">
        <v>1737</v>
      </c>
      <c r="J2553" s="506">
        <v>23.41</v>
      </c>
      <c r="K2553" s="70"/>
      <c r="L2553" s="70"/>
    </row>
    <row r="2554" spans="1:12" ht="17.25" thickBot="1" x14ac:dyDescent="0.3">
      <c r="A2554" s="445"/>
      <c r="B2554" s="445"/>
      <c r="C2554" s="445"/>
      <c r="D2554" s="445"/>
      <c r="E2554" s="445" t="s">
        <v>1738</v>
      </c>
      <c r="F2554" s="506">
        <v>5.9998399999999998</v>
      </c>
      <c r="G2554" s="445"/>
      <c r="H2554" s="606" t="s">
        <v>1739</v>
      </c>
      <c r="I2554" s="606"/>
      <c r="J2554" s="506">
        <v>30.34</v>
      </c>
      <c r="K2554" s="70"/>
      <c r="L2554" s="70"/>
    </row>
    <row r="2555" spans="1:12" ht="17.25" thickTop="1" x14ac:dyDescent="0.25">
      <c r="A2555" s="507"/>
      <c r="B2555" s="507"/>
      <c r="C2555" s="507"/>
      <c r="D2555" s="507"/>
      <c r="E2555" s="507"/>
      <c r="F2555" s="507"/>
      <c r="G2555" s="507"/>
      <c r="H2555" s="507"/>
      <c r="I2555" s="507"/>
      <c r="J2555" s="507"/>
      <c r="K2555" s="70"/>
      <c r="L2555" s="70"/>
    </row>
    <row r="2556" spans="1:12" ht="38.25" customHeight="1" x14ac:dyDescent="0.25">
      <c r="A2556" s="419"/>
      <c r="B2556" s="421" t="s">
        <v>76</v>
      </c>
      <c r="C2556" s="419" t="s">
        <v>991</v>
      </c>
      <c r="D2556" s="419" t="s">
        <v>191</v>
      </c>
      <c r="E2556" s="603" t="s">
        <v>77</v>
      </c>
      <c r="F2556" s="603"/>
      <c r="G2556" s="420" t="s">
        <v>103</v>
      </c>
      <c r="H2556" s="421" t="s">
        <v>147</v>
      </c>
      <c r="I2556" s="421" t="s">
        <v>1731</v>
      </c>
      <c r="J2556" s="421" t="s">
        <v>1117</v>
      </c>
      <c r="K2556" s="421" t="s">
        <v>104</v>
      </c>
      <c r="L2556" s="70"/>
    </row>
    <row r="2557" spans="1:12" ht="25.5" customHeight="1" x14ac:dyDescent="0.25">
      <c r="A2557" s="441" t="s">
        <v>79</v>
      </c>
      <c r="B2557" s="480" t="s">
        <v>2176</v>
      </c>
      <c r="C2557" s="441" t="s">
        <v>1168</v>
      </c>
      <c r="D2557" s="441" t="s">
        <v>2177</v>
      </c>
      <c r="E2557" s="604" t="s">
        <v>2126</v>
      </c>
      <c r="F2557" s="604"/>
      <c r="G2557" s="443" t="s">
        <v>2127</v>
      </c>
      <c r="H2557" s="500">
        <v>1</v>
      </c>
      <c r="I2557" s="442"/>
      <c r="J2557" s="442">
        <v>24.35</v>
      </c>
      <c r="K2557" s="442">
        <v>24.35</v>
      </c>
      <c r="L2557" s="70"/>
    </row>
    <row r="2558" spans="1:12" ht="25.5" customHeight="1" x14ac:dyDescent="0.25">
      <c r="A2558" s="510" t="s">
        <v>2123</v>
      </c>
      <c r="B2558" s="511" t="s">
        <v>2668</v>
      </c>
      <c r="C2558" s="510" t="s">
        <v>1115</v>
      </c>
      <c r="D2558" s="510" t="s">
        <v>2669</v>
      </c>
      <c r="E2558" s="605" t="s">
        <v>2126</v>
      </c>
      <c r="F2558" s="605"/>
      <c r="G2558" s="512" t="s">
        <v>81</v>
      </c>
      <c r="H2558" s="513">
        <v>1</v>
      </c>
      <c r="I2558" s="513"/>
      <c r="J2558" s="514">
        <v>0.77</v>
      </c>
      <c r="K2558" s="514">
        <v>0.77</v>
      </c>
      <c r="L2558" s="70"/>
    </row>
    <row r="2559" spans="1:12" ht="25.5" customHeight="1" x14ac:dyDescent="0.25">
      <c r="A2559" s="510" t="s">
        <v>2123</v>
      </c>
      <c r="B2559" s="511" t="s">
        <v>2670</v>
      </c>
      <c r="C2559" s="510" t="s">
        <v>1115</v>
      </c>
      <c r="D2559" s="510" t="s">
        <v>2671</v>
      </c>
      <c r="E2559" s="605" t="s">
        <v>2126</v>
      </c>
      <c r="F2559" s="605"/>
      <c r="G2559" s="512" t="s">
        <v>81</v>
      </c>
      <c r="H2559" s="513">
        <v>1</v>
      </c>
      <c r="I2559" s="513"/>
      <c r="J2559" s="514">
        <v>0.17</v>
      </c>
      <c r="K2559" s="514">
        <v>0.17</v>
      </c>
      <c r="L2559" s="70"/>
    </row>
    <row r="2560" spans="1:12" ht="25.5" x14ac:dyDescent="0.25">
      <c r="A2560" s="501" t="s">
        <v>1732</v>
      </c>
      <c r="B2560" s="502" t="s">
        <v>1003</v>
      </c>
      <c r="C2560" s="501" t="s">
        <v>993</v>
      </c>
      <c r="D2560" s="501" t="s">
        <v>1004</v>
      </c>
      <c r="E2560" s="602" t="s">
        <v>972</v>
      </c>
      <c r="F2560" s="602"/>
      <c r="G2560" s="503" t="s">
        <v>81</v>
      </c>
      <c r="H2560" s="504">
        <v>1</v>
      </c>
      <c r="I2560" s="504">
        <v>0</v>
      </c>
      <c r="J2560" s="505">
        <v>23.41</v>
      </c>
      <c r="K2560" s="505">
        <v>23.41</v>
      </c>
      <c r="L2560" s="70"/>
    </row>
    <row r="2561" spans="1:12" ht="15.75" customHeight="1" x14ac:dyDescent="0.25">
      <c r="A2561" s="445"/>
      <c r="B2561" s="445"/>
      <c r="C2561" s="445"/>
      <c r="D2561" s="445"/>
      <c r="E2561" s="445" t="s">
        <v>1735</v>
      </c>
      <c r="F2561" s="506">
        <v>23.41</v>
      </c>
      <c r="G2561" s="445" t="s">
        <v>1736</v>
      </c>
      <c r="H2561" s="506">
        <v>0</v>
      </c>
      <c r="I2561" s="445" t="s">
        <v>1737</v>
      </c>
      <c r="J2561" s="506">
        <v>23.41</v>
      </c>
      <c r="K2561" s="70"/>
      <c r="L2561" s="70"/>
    </row>
    <row r="2562" spans="1:12" ht="17.25" thickBot="1" x14ac:dyDescent="0.3">
      <c r="A2562" s="445"/>
      <c r="B2562" s="445"/>
      <c r="C2562" s="445"/>
      <c r="D2562" s="445"/>
      <c r="E2562" s="445" t="s">
        <v>1738</v>
      </c>
      <c r="F2562" s="506">
        <v>5.9998399999999998</v>
      </c>
      <c r="G2562" s="445"/>
      <c r="H2562" s="606" t="s">
        <v>1739</v>
      </c>
      <c r="I2562" s="606"/>
      <c r="J2562" s="506">
        <v>30.34</v>
      </c>
      <c r="K2562" s="70"/>
      <c r="L2562" s="70"/>
    </row>
    <row r="2563" spans="1:12" ht="17.25" thickTop="1" x14ac:dyDescent="0.25">
      <c r="A2563" s="507"/>
      <c r="B2563" s="507"/>
      <c r="C2563" s="507"/>
      <c r="D2563" s="507"/>
      <c r="E2563" s="507"/>
      <c r="F2563" s="507"/>
      <c r="G2563" s="507"/>
      <c r="H2563" s="507"/>
      <c r="I2563" s="507"/>
      <c r="J2563" s="507"/>
      <c r="K2563" s="70"/>
      <c r="L2563" s="70"/>
    </row>
    <row r="2564" spans="1:12" ht="38.25" customHeight="1" x14ac:dyDescent="0.25">
      <c r="A2564" s="419"/>
      <c r="B2564" s="421" t="s">
        <v>76</v>
      </c>
      <c r="C2564" s="419" t="s">
        <v>991</v>
      </c>
      <c r="D2564" s="419" t="s">
        <v>191</v>
      </c>
      <c r="E2564" s="603" t="s">
        <v>77</v>
      </c>
      <c r="F2564" s="603"/>
      <c r="G2564" s="420" t="s">
        <v>103</v>
      </c>
      <c r="H2564" s="421" t="s">
        <v>147</v>
      </c>
      <c r="I2564" s="421" t="s">
        <v>1731</v>
      </c>
      <c r="J2564" s="421" t="s">
        <v>1117</v>
      </c>
      <c r="K2564" s="421" t="s">
        <v>104</v>
      </c>
      <c r="L2564" s="70"/>
    </row>
    <row r="2565" spans="1:12" ht="25.5" customHeight="1" x14ac:dyDescent="0.25">
      <c r="A2565" s="441" t="s">
        <v>79</v>
      </c>
      <c r="B2565" s="480" t="s">
        <v>2128</v>
      </c>
      <c r="C2565" s="441" t="s">
        <v>1168</v>
      </c>
      <c r="D2565" s="441" t="s">
        <v>2129</v>
      </c>
      <c r="E2565" s="604" t="s">
        <v>2126</v>
      </c>
      <c r="F2565" s="604"/>
      <c r="G2565" s="443" t="s">
        <v>2130</v>
      </c>
      <c r="H2565" s="500">
        <v>1</v>
      </c>
      <c r="I2565" s="442"/>
      <c r="J2565" s="442">
        <v>27.01</v>
      </c>
      <c r="K2565" s="442">
        <v>27.01</v>
      </c>
      <c r="L2565" s="70"/>
    </row>
    <row r="2566" spans="1:12" ht="25.5" customHeight="1" x14ac:dyDescent="0.25">
      <c r="A2566" s="510" t="s">
        <v>2123</v>
      </c>
      <c r="B2566" s="511" t="s">
        <v>2668</v>
      </c>
      <c r="C2566" s="510" t="s">
        <v>1115</v>
      </c>
      <c r="D2566" s="510" t="s">
        <v>2669</v>
      </c>
      <c r="E2566" s="605" t="s">
        <v>2126</v>
      </c>
      <c r="F2566" s="605"/>
      <c r="G2566" s="512" t="s">
        <v>81</v>
      </c>
      <c r="H2566" s="513">
        <v>1</v>
      </c>
      <c r="I2566" s="513"/>
      <c r="J2566" s="514">
        <v>0.77</v>
      </c>
      <c r="K2566" s="514">
        <v>0.77</v>
      </c>
      <c r="L2566" s="70"/>
    </row>
    <row r="2567" spans="1:12" ht="25.5" customHeight="1" x14ac:dyDescent="0.25">
      <c r="A2567" s="510" t="s">
        <v>2123</v>
      </c>
      <c r="B2567" s="511" t="s">
        <v>2670</v>
      </c>
      <c r="C2567" s="510" t="s">
        <v>1115</v>
      </c>
      <c r="D2567" s="510" t="s">
        <v>2671</v>
      </c>
      <c r="E2567" s="605" t="s">
        <v>2126</v>
      </c>
      <c r="F2567" s="605"/>
      <c r="G2567" s="512" t="s">
        <v>81</v>
      </c>
      <c r="H2567" s="513">
        <v>1</v>
      </c>
      <c r="I2567" s="513"/>
      <c r="J2567" s="514">
        <v>0.17</v>
      </c>
      <c r="K2567" s="514">
        <v>0.17</v>
      </c>
      <c r="L2567" s="70"/>
    </row>
    <row r="2568" spans="1:12" ht="38.25" customHeight="1" x14ac:dyDescent="0.25">
      <c r="A2568" s="510" t="s">
        <v>2123</v>
      </c>
      <c r="B2568" s="511" t="s">
        <v>2672</v>
      </c>
      <c r="C2568" s="510" t="s">
        <v>1115</v>
      </c>
      <c r="D2568" s="510" t="s">
        <v>2673</v>
      </c>
      <c r="E2568" s="605" t="s">
        <v>2126</v>
      </c>
      <c r="F2568" s="605"/>
      <c r="G2568" s="512" t="s">
        <v>81</v>
      </c>
      <c r="H2568" s="513">
        <v>1</v>
      </c>
      <c r="I2568" s="513"/>
      <c r="J2568" s="514">
        <v>0.96</v>
      </c>
      <c r="K2568" s="514">
        <v>0.96</v>
      </c>
      <c r="L2568" s="70"/>
    </row>
    <row r="2569" spans="1:12" ht="25.5" customHeight="1" x14ac:dyDescent="0.25">
      <c r="A2569" s="510" t="s">
        <v>2123</v>
      </c>
      <c r="B2569" s="511" t="s">
        <v>2674</v>
      </c>
      <c r="C2569" s="510" t="s">
        <v>1115</v>
      </c>
      <c r="D2569" s="510" t="s">
        <v>2675</v>
      </c>
      <c r="E2569" s="605" t="s">
        <v>2126</v>
      </c>
      <c r="F2569" s="605"/>
      <c r="G2569" s="512" t="s">
        <v>81</v>
      </c>
      <c r="H2569" s="513">
        <v>1</v>
      </c>
      <c r="I2569" s="513"/>
      <c r="J2569" s="514">
        <v>1.7</v>
      </c>
      <c r="K2569" s="514">
        <v>1.7</v>
      </c>
      <c r="L2569" s="70"/>
    </row>
    <row r="2570" spans="1:12" ht="25.5" x14ac:dyDescent="0.25">
      <c r="A2570" s="501" t="s">
        <v>1732</v>
      </c>
      <c r="B2570" s="502" t="s">
        <v>1013</v>
      </c>
      <c r="C2570" s="501" t="s">
        <v>993</v>
      </c>
      <c r="D2570" s="501" t="s">
        <v>1014</v>
      </c>
      <c r="E2570" s="602" t="s">
        <v>972</v>
      </c>
      <c r="F2570" s="602"/>
      <c r="G2570" s="503" t="s">
        <v>81</v>
      </c>
      <c r="H2570" s="504">
        <v>1</v>
      </c>
      <c r="I2570" s="504">
        <v>0</v>
      </c>
      <c r="J2570" s="505">
        <v>23.41</v>
      </c>
      <c r="K2570" s="505">
        <v>23.41</v>
      </c>
      <c r="L2570" s="70"/>
    </row>
    <row r="2571" spans="1:12" ht="15.75" customHeight="1" x14ac:dyDescent="0.25">
      <c r="A2571" s="445"/>
      <c r="B2571" s="445"/>
      <c r="C2571" s="445"/>
      <c r="D2571" s="445"/>
      <c r="E2571" s="445" t="s">
        <v>1735</v>
      </c>
      <c r="F2571" s="506">
        <v>23.41</v>
      </c>
      <c r="G2571" s="445" t="s">
        <v>1736</v>
      </c>
      <c r="H2571" s="506">
        <v>0</v>
      </c>
      <c r="I2571" s="445" t="s">
        <v>1737</v>
      </c>
      <c r="J2571" s="506">
        <v>23.41</v>
      </c>
      <c r="K2571" s="70"/>
      <c r="L2571" s="70"/>
    </row>
    <row r="2572" spans="1:12" ht="17.25" thickBot="1" x14ac:dyDescent="0.3">
      <c r="A2572" s="445"/>
      <c r="B2572" s="445"/>
      <c r="C2572" s="445"/>
      <c r="D2572" s="445"/>
      <c r="E2572" s="445" t="s">
        <v>1738</v>
      </c>
      <c r="F2572" s="506">
        <v>6.6552639999999998</v>
      </c>
      <c r="G2572" s="445"/>
      <c r="H2572" s="606" t="s">
        <v>1739</v>
      </c>
      <c r="I2572" s="606"/>
      <c r="J2572" s="506">
        <v>33.659999999999997</v>
      </c>
      <c r="K2572" s="70"/>
      <c r="L2572" s="70"/>
    </row>
    <row r="2573" spans="1:12" ht="17.25" thickTop="1" x14ac:dyDescent="0.25">
      <c r="A2573" s="507"/>
      <c r="B2573" s="507"/>
      <c r="C2573" s="507"/>
      <c r="D2573" s="507"/>
      <c r="E2573" s="507"/>
      <c r="F2573" s="507"/>
      <c r="G2573" s="507"/>
      <c r="H2573" s="507"/>
      <c r="I2573" s="507"/>
      <c r="J2573" s="507"/>
      <c r="K2573" s="70"/>
      <c r="L2573" s="70"/>
    </row>
    <row r="2574" spans="1:12" ht="38.25" customHeight="1" x14ac:dyDescent="0.25">
      <c r="A2574" s="419"/>
      <c r="B2574" s="421" t="s">
        <v>76</v>
      </c>
      <c r="C2574" s="419" t="s">
        <v>991</v>
      </c>
      <c r="D2574" s="419" t="s">
        <v>191</v>
      </c>
      <c r="E2574" s="603" t="s">
        <v>77</v>
      </c>
      <c r="F2574" s="603"/>
      <c r="G2574" s="420" t="s">
        <v>103</v>
      </c>
      <c r="H2574" s="421" t="s">
        <v>147</v>
      </c>
      <c r="I2574" s="421" t="s">
        <v>1731</v>
      </c>
      <c r="J2574" s="421" t="s">
        <v>1117</v>
      </c>
      <c r="K2574" s="421" t="s">
        <v>104</v>
      </c>
      <c r="L2574" s="70"/>
    </row>
    <row r="2575" spans="1:12" ht="25.5" customHeight="1" x14ac:dyDescent="0.25">
      <c r="A2575" s="441" t="s">
        <v>79</v>
      </c>
      <c r="B2575" s="480" t="s">
        <v>2174</v>
      </c>
      <c r="C2575" s="441" t="s">
        <v>1168</v>
      </c>
      <c r="D2575" s="441" t="s">
        <v>2175</v>
      </c>
      <c r="E2575" s="604" t="s">
        <v>2126</v>
      </c>
      <c r="F2575" s="604"/>
      <c r="G2575" s="443" t="s">
        <v>2130</v>
      </c>
      <c r="H2575" s="500">
        <v>1</v>
      </c>
      <c r="I2575" s="442"/>
      <c r="J2575" s="442">
        <v>26.89</v>
      </c>
      <c r="K2575" s="442">
        <v>26.89</v>
      </c>
      <c r="L2575" s="70"/>
    </row>
    <row r="2576" spans="1:12" ht="25.5" customHeight="1" x14ac:dyDescent="0.25">
      <c r="A2576" s="510" t="s">
        <v>2123</v>
      </c>
      <c r="B2576" s="511" t="s">
        <v>2668</v>
      </c>
      <c r="C2576" s="510" t="s">
        <v>1115</v>
      </c>
      <c r="D2576" s="510" t="s">
        <v>2669</v>
      </c>
      <c r="E2576" s="605" t="s">
        <v>2126</v>
      </c>
      <c r="F2576" s="605"/>
      <c r="G2576" s="512" t="s">
        <v>81</v>
      </c>
      <c r="H2576" s="513">
        <v>1</v>
      </c>
      <c r="I2576" s="513"/>
      <c r="J2576" s="514">
        <v>0.77</v>
      </c>
      <c r="K2576" s="514">
        <v>0.77</v>
      </c>
      <c r="L2576" s="70"/>
    </row>
    <row r="2577" spans="1:12" ht="25.5" customHeight="1" x14ac:dyDescent="0.25">
      <c r="A2577" s="510" t="s">
        <v>2123</v>
      </c>
      <c r="B2577" s="511" t="s">
        <v>2670</v>
      </c>
      <c r="C2577" s="510" t="s">
        <v>1115</v>
      </c>
      <c r="D2577" s="510" t="s">
        <v>2671</v>
      </c>
      <c r="E2577" s="605" t="s">
        <v>2126</v>
      </c>
      <c r="F2577" s="605"/>
      <c r="G2577" s="512" t="s">
        <v>81</v>
      </c>
      <c r="H2577" s="513">
        <v>1</v>
      </c>
      <c r="I2577" s="513"/>
      <c r="J2577" s="514">
        <v>0.17</v>
      </c>
      <c r="K2577" s="514">
        <v>0.17</v>
      </c>
      <c r="L2577" s="70"/>
    </row>
    <row r="2578" spans="1:12" ht="38.25" customHeight="1" x14ac:dyDescent="0.25">
      <c r="A2578" s="510" t="s">
        <v>2123</v>
      </c>
      <c r="B2578" s="511" t="s">
        <v>2672</v>
      </c>
      <c r="C2578" s="510" t="s">
        <v>1115</v>
      </c>
      <c r="D2578" s="510" t="s">
        <v>2673</v>
      </c>
      <c r="E2578" s="605" t="s">
        <v>2126</v>
      </c>
      <c r="F2578" s="605"/>
      <c r="G2578" s="512" t="s">
        <v>81</v>
      </c>
      <c r="H2578" s="513">
        <v>1</v>
      </c>
      <c r="I2578" s="513"/>
      <c r="J2578" s="514">
        <v>0.96</v>
      </c>
      <c r="K2578" s="514">
        <v>0.96</v>
      </c>
      <c r="L2578" s="70"/>
    </row>
    <row r="2579" spans="1:12" ht="25.5" customHeight="1" x14ac:dyDescent="0.25">
      <c r="A2579" s="510" t="s">
        <v>2123</v>
      </c>
      <c r="B2579" s="511" t="s">
        <v>2676</v>
      </c>
      <c r="C2579" s="510" t="s">
        <v>1168</v>
      </c>
      <c r="D2579" s="510" t="s">
        <v>2677</v>
      </c>
      <c r="E2579" s="605" t="s">
        <v>2126</v>
      </c>
      <c r="F2579" s="605"/>
      <c r="G2579" s="512" t="s">
        <v>81</v>
      </c>
      <c r="H2579" s="513">
        <v>1</v>
      </c>
      <c r="I2579" s="513"/>
      <c r="J2579" s="514">
        <v>1.58</v>
      </c>
      <c r="K2579" s="514">
        <v>1.58</v>
      </c>
      <c r="L2579" s="70"/>
    </row>
    <row r="2580" spans="1:12" ht="25.5" x14ac:dyDescent="0.25">
      <c r="A2580" s="501" t="s">
        <v>1732</v>
      </c>
      <c r="B2580" s="502" t="s">
        <v>1003</v>
      </c>
      <c r="C2580" s="501" t="s">
        <v>993</v>
      </c>
      <c r="D2580" s="501" t="s">
        <v>1004</v>
      </c>
      <c r="E2580" s="602" t="s">
        <v>972</v>
      </c>
      <c r="F2580" s="602"/>
      <c r="G2580" s="503" t="s">
        <v>81</v>
      </c>
      <c r="H2580" s="504">
        <v>1</v>
      </c>
      <c r="I2580" s="504">
        <v>0</v>
      </c>
      <c r="J2580" s="505">
        <v>23.41</v>
      </c>
      <c r="K2580" s="505">
        <v>23.41</v>
      </c>
      <c r="L2580" s="70"/>
    </row>
    <row r="2581" spans="1:12" ht="15.75" customHeight="1" x14ac:dyDescent="0.25">
      <c r="A2581" s="445"/>
      <c r="B2581" s="445"/>
      <c r="C2581" s="445"/>
      <c r="D2581" s="445"/>
      <c r="E2581" s="445" t="s">
        <v>1735</v>
      </c>
      <c r="F2581" s="506">
        <v>23.41</v>
      </c>
      <c r="G2581" s="445" t="s">
        <v>1736</v>
      </c>
      <c r="H2581" s="506">
        <v>0</v>
      </c>
      <c r="I2581" s="445" t="s">
        <v>1737</v>
      </c>
      <c r="J2581" s="506">
        <v>23.41</v>
      </c>
      <c r="K2581" s="70"/>
      <c r="L2581" s="70"/>
    </row>
    <row r="2582" spans="1:12" ht="17.25" thickBot="1" x14ac:dyDescent="0.3">
      <c r="A2582" s="445"/>
      <c r="B2582" s="445"/>
      <c r="C2582" s="445"/>
      <c r="D2582" s="445"/>
      <c r="E2582" s="445" t="s">
        <v>1738</v>
      </c>
      <c r="F2582" s="506">
        <v>6.6256959999999996</v>
      </c>
      <c r="G2582" s="445"/>
      <c r="H2582" s="606" t="s">
        <v>1739</v>
      </c>
      <c r="I2582" s="606"/>
      <c r="J2582" s="506">
        <v>33.51</v>
      </c>
      <c r="K2582" s="70"/>
      <c r="L2582" s="70"/>
    </row>
    <row r="2583" spans="1:12" ht="17.25" thickTop="1" x14ac:dyDescent="0.25">
      <c r="A2583" s="507"/>
      <c r="B2583" s="507"/>
      <c r="C2583" s="507"/>
      <c r="D2583" s="507"/>
      <c r="E2583" s="507"/>
      <c r="F2583" s="507"/>
      <c r="G2583" s="507"/>
      <c r="H2583" s="507"/>
      <c r="I2583" s="507"/>
      <c r="J2583" s="507"/>
      <c r="K2583" s="70"/>
      <c r="L2583" s="70"/>
    </row>
    <row r="2584" spans="1:12" ht="25.5" customHeight="1" x14ac:dyDescent="0.25">
      <c r="A2584" s="419"/>
      <c r="B2584" s="421" t="s">
        <v>76</v>
      </c>
      <c r="C2584" s="419" t="s">
        <v>991</v>
      </c>
      <c r="D2584" s="419" t="s">
        <v>191</v>
      </c>
      <c r="E2584" s="603" t="s">
        <v>77</v>
      </c>
      <c r="F2584" s="603"/>
      <c r="G2584" s="420" t="s">
        <v>103</v>
      </c>
      <c r="H2584" s="421" t="s">
        <v>147</v>
      </c>
      <c r="I2584" s="421" t="s">
        <v>1731</v>
      </c>
      <c r="J2584" s="421" t="s">
        <v>1117</v>
      </c>
      <c r="K2584" s="421" t="s">
        <v>104</v>
      </c>
      <c r="L2584" s="70"/>
    </row>
    <row r="2585" spans="1:12" ht="25.5" customHeight="1" x14ac:dyDescent="0.25">
      <c r="A2585" s="441" t="s">
        <v>79</v>
      </c>
      <c r="B2585" s="480" t="s">
        <v>2668</v>
      </c>
      <c r="C2585" s="441" t="s">
        <v>1115</v>
      </c>
      <c r="D2585" s="441" t="s">
        <v>2669</v>
      </c>
      <c r="E2585" s="604" t="s">
        <v>2126</v>
      </c>
      <c r="F2585" s="604"/>
      <c r="G2585" s="443" t="s">
        <v>81</v>
      </c>
      <c r="H2585" s="500">
        <v>1</v>
      </c>
      <c r="I2585" s="442"/>
      <c r="J2585" s="442">
        <v>0.77</v>
      </c>
      <c r="K2585" s="442">
        <v>0.77</v>
      </c>
      <c r="L2585" s="70"/>
    </row>
    <row r="2586" spans="1:12" ht="25.5" x14ac:dyDescent="0.25">
      <c r="A2586" s="501" t="s">
        <v>1732</v>
      </c>
      <c r="B2586" s="502" t="s">
        <v>2678</v>
      </c>
      <c r="C2586" s="501" t="s">
        <v>1115</v>
      </c>
      <c r="D2586" s="501" t="s">
        <v>2679</v>
      </c>
      <c r="E2586" s="602" t="s">
        <v>2639</v>
      </c>
      <c r="F2586" s="602"/>
      <c r="G2586" s="503" t="s">
        <v>38</v>
      </c>
      <c r="H2586" s="504">
        <v>6.3999999999999997E-5</v>
      </c>
      <c r="I2586" s="504"/>
      <c r="J2586" s="505">
        <v>12046.67</v>
      </c>
      <c r="K2586" s="505">
        <v>0.77</v>
      </c>
      <c r="L2586" s="70"/>
    </row>
    <row r="2587" spans="1:12" ht="15.75" customHeight="1" x14ac:dyDescent="0.25">
      <c r="A2587" s="445"/>
      <c r="B2587" s="445"/>
      <c r="C2587" s="445"/>
      <c r="D2587" s="445"/>
      <c r="E2587" s="445" t="s">
        <v>1735</v>
      </c>
      <c r="F2587" s="506">
        <v>0</v>
      </c>
      <c r="G2587" s="445" t="s">
        <v>1736</v>
      </c>
      <c r="H2587" s="506">
        <v>0</v>
      </c>
      <c r="I2587" s="445" t="s">
        <v>1737</v>
      </c>
      <c r="J2587" s="506">
        <v>0</v>
      </c>
      <c r="K2587" s="70"/>
      <c r="L2587" s="70"/>
    </row>
    <row r="2588" spans="1:12" ht="17.25" thickBot="1" x14ac:dyDescent="0.3">
      <c r="A2588" s="445"/>
      <c r="B2588" s="445"/>
      <c r="C2588" s="445"/>
      <c r="D2588" s="445"/>
      <c r="E2588" s="445" t="s">
        <v>1738</v>
      </c>
      <c r="F2588" s="506">
        <v>0.18972800000000001</v>
      </c>
      <c r="G2588" s="445"/>
      <c r="H2588" s="606" t="s">
        <v>1739</v>
      </c>
      <c r="I2588" s="606"/>
      <c r="J2588" s="506">
        <v>0.95</v>
      </c>
      <c r="K2588" s="70"/>
      <c r="L2588" s="70"/>
    </row>
    <row r="2589" spans="1:12" ht="17.25" thickTop="1" x14ac:dyDescent="0.25">
      <c r="A2589" s="507"/>
      <c r="B2589" s="507"/>
      <c r="C2589" s="507"/>
      <c r="D2589" s="507"/>
      <c r="E2589" s="507"/>
      <c r="F2589" s="507"/>
      <c r="G2589" s="507"/>
      <c r="H2589" s="507"/>
      <c r="I2589" s="507"/>
      <c r="J2589" s="507"/>
      <c r="K2589" s="70"/>
      <c r="L2589" s="70"/>
    </row>
    <row r="2590" spans="1:12" ht="25.5" customHeight="1" x14ac:dyDescent="0.25">
      <c r="A2590" s="419"/>
      <c r="B2590" s="421" t="s">
        <v>76</v>
      </c>
      <c r="C2590" s="419" t="s">
        <v>991</v>
      </c>
      <c r="D2590" s="419" t="s">
        <v>191</v>
      </c>
      <c r="E2590" s="603" t="s">
        <v>77</v>
      </c>
      <c r="F2590" s="603"/>
      <c r="G2590" s="420" t="s">
        <v>103</v>
      </c>
      <c r="H2590" s="421" t="s">
        <v>147</v>
      </c>
      <c r="I2590" s="421" t="s">
        <v>1731</v>
      </c>
      <c r="J2590" s="421" t="s">
        <v>1117</v>
      </c>
      <c r="K2590" s="421" t="s">
        <v>104</v>
      </c>
      <c r="L2590" s="70"/>
    </row>
    <row r="2591" spans="1:12" ht="25.5" customHeight="1" x14ac:dyDescent="0.25">
      <c r="A2591" s="441" t="s">
        <v>79</v>
      </c>
      <c r="B2591" s="480" t="s">
        <v>2670</v>
      </c>
      <c r="C2591" s="441" t="s">
        <v>1115</v>
      </c>
      <c r="D2591" s="441" t="s">
        <v>2671</v>
      </c>
      <c r="E2591" s="604" t="s">
        <v>2126</v>
      </c>
      <c r="F2591" s="604"/>
      <c r="G2591" s="443" t="s">
        <v>81</v>
      </c>
      <c r="H2591" s="500">
        <v>1</v>
      </c>
      <c r="I2591" s="442"/>
      <c r="J2591" s="442">
        <v>0.17</v>
      </c>
      <c r="K2591" s="442">
        <v>0.17</v>
      </c>
      <c r="L2591" s="70"/>
    </row>
    <row r="2592" spans="1:12" ht="25.5" x14ac:dyDescent="0.25">
      <c r="A2592" s="501" t="s">
        <v>1732</v>
      </c>
      <c r="B2592" s="502" t="s">
        <v>2678</v>
      </c>
      <c r="C2592" s="501" t="s">
        <v>1115</v>
      </c>
      <c r="D2592" s="501" t="s">
        <v>2679</v>
      </c>
      <c r="E2592" s="602" t="s">
        <v>2639</v>
      </c>
      <c r="F2592" s="602"/>
      <c r="G2592" s="503" t="s">
        <v>38</v>
      </c>
      <c r="H2592" s="504">
        <v>1.4800000000000001E-5</v>
      </c>
      <c r="I2592" s="504"/>
      <c r="J2592" s="505">
        <v>12046.67</v>
      </c>
      <c r="K2592" s="505">
        <v>0.17</v>
      </c>
      <c r="L2592" s="70"/>
    </row>
    <row r="2593" spans="1:12" ht="15.75" customHeight="1" x14ac:dyDescent="0.25">
      <c r="A2593" s="445"/>
      <c r="B2593" s="445"/>
      <c r="C2593" s="445"/>
      <c r="D2593" s="445"/>
      <c r="E2593" s="445" t="s">
        <v>1735</v>
      </c>
      <c r="F2593" s="506">
        <v>0</v>
      </c>
      <c r="G2593" s="445" t="s">
        <v>1736</v>
      </c>
      <c r="H2593" s="506">
        <v>0</v>
      </c>
      <c r="I2593" s="445" t="s">
        <v>1737</v>
      </c>
      <c r="J2593" s="506">
        <v>0</v>
      </c>
      <c r="K2593" s="70"/>
      <c r="L2593" s="70"/>
    </row>
    <row r="2594" spans="1:12" ht="17.25" thickBot="1" x14ac:dyDescent="0.3">
      <c r="A2594" s="445"/>
      <c r="B2594" s="445"/>
      <c r="C2594" s="445"/>
      <c r="D2594" s="445"/>
      <c r="E2594" s="445" t="s">
        <v>1738</v>
      </c>
      <c r="F2594" s="506">
        <v>4.1888000000000002E-2</v>
      </c>
      <c r="G2594" s="445"/>
      <c r="H2594" s="606" t="s">
        <v>1739</v>
      </c>
      <c r="I2594" s="606"/>
      <c r="J2594" s="506">
        <v>0.21</v>
      </c>
      <c r="K2594" s="70"/>
      <c r="L2594" s="70"/>
    </row>
    <row r="2595" spans="1:12" ht="17.25" thickTop="1" x14ac:dyDescent="0.25">
      <c r="A2595" s="507"/>
      <c r="B2595" s="507"/>
      <c r="C2595" s="507"/>
      <c r="D2595" s="507"/>
      <c r="E2595" s="507"/>
      <c r="F2595" s="507"/>
      <c r="G2595" s="507"/>
      <c r="H2595" s="507"/>
      <c r="I2595" s="507"/>
      <c r="J2595" s="507"/>
      <c r="K2595" s="70"/>
      <c r="L2595" s="70"/>
    </row>
    <row r="2596" spans="1:12" ht="25.5" customHeight="1" x14ac:dyDescent="0.25">
      <c r="A2596" s="419"/>
      <c r="B2596" s="421" t="s">
        <v>76</v>
      </c>
      <c r="C2596" s="419" t="s">
        <v>991</v>
      </c>
      <c r="D2596" s="419" t="s">
        <v>191</v>
      </c>
      <c r="E2596" s="603" t="s">
        <v>77</v>
      </c>
      <c r="F2596" s="603"/>
      <c r="G2596" s="420" t="s">
        <v>103</v>
      </c>
      <c r="H2596" s="421" t="s">
        <v>147</v>
      </c>
      <c r="I2596" s="421" t="s">
        <v>1731</v>
      </c>
      <c r="J2596" s="421" t="s">
        <v>1117</v>
      </c>
      <c r="K2596" s="421" t="s">
        <v>104</v>
      </c>
      <c r="L2596" s="70"/>
    </row>
    <row r="2597" spans="1:12" ht="25.5" customHeight="1" x14ac:dyDescent="0.25">
      <c r="A2597" s="441" t="s">
        <v>79</v>
      </c>
      <c r="B2597" s="480" t="s">
        <v>2672</v>
      </c>
      <c r="C2597" s="441" t="s">
        <v>1115</v>
      </c>
      <c r="D2597" s="441" t="s">
        <v>2673</v>
      </c>
      <c r="E2597" s="604" t="s">
        <v>2126</v>
      </c>
      <c r="F2597" s="604"/>
      <c r="G2597" s="443" t="s">
        <v>81</v>
      </c>
      <c r="H2597" s="500">
        <v>1</v>
      </c>
      <c r="I2597" s="442"/>
      <c r="J2597" s="442">
        <v>0.96</v>
      </c>
      <c r="K2597" s="442">
        <v>0.96</v>
      </c>
      <c r="L2597" s="70"/>
    </row>
    <row r="2598" spans="1:12" ht="25.5" x14ac:dyDescent="0.25">
      <c r="A2598" s="501" t="s">
        <v>1732</v>
      </c>
      <c r="B2598" s="502" t="s">
        <v>2678</v>
      </c>
      <c r="C2598" s="501" t="s">
        <v>1115</v>
      </c>
      <c r="D2598" s="501" t="s">
        <v>2679</v>
      </c>
      <c r="E2598" s="602" t="s">
        <v>2639</v>
      </c>
      <c r="F2598" s="602"/>
      <c r="G2598" s="503" t="s">
        <v>38</v>
      </c>
      <c r="H2598" s="504">
        <v>8.0000000000000007E-5</v>
      </c>
      <c r="I2598" s="504"/>
      <c r="J2598" s="505">
        <v>12046.67</v>
      </c>
      <c r="K2598" s="505">
        <v>0.96</v>
      </c>
      <c r="L2598" s="70"/>
    </row>
    <row r="2599" spans="1:12" ht="15.75" customHeight="1" x14ac:dyDescent="0.25">
      <c r="A2599" s="445"/>
      <c r="B2599" s="445"/>
      <c r="C2599" s="445"/>
      <c r="D2599" s="445"/>
      <c r="E2599" s="445" t="s">
        <v>1735</v>
      </c>
      <c r="F2599" s="506">
        <v>0</v>
      </c>
      <c r="G2599" s="445" t="s">
        <v>1736</v>
      </c>
      <c r="H2599" s="506">
        <v>0</v>
      </c>
      <c r="I2599" s="445" t="s">
        <v>1737</v>
      </c>
      <c r="J2599" s="506">
        <v>0</v>
      </c>
      <c r="K2599" s="70"/>
      <c r="L2599" s="70"/>
    </row>
    <row r="2600" spans="1:12" ht="17.25" thickBot="1" x14ac:dyDescent="0.3">
      <c r="A2600" s="445"/>
      <c r="B2600" s="445"/>
      <c r="C2600" s="445"/>
      <c r="D2600" s="445"/>
      <c r="E2600" s="445" t="s">
        <v>1738</v>
      </c>
      <c r="F2600" s="506">
        <v>0.236544</v>
      </c>
      <c r="G2600" s="445"/>
      <c r="H2600" s="606" t="s">
        <v>1739</v>
      </c>
      <c r="I2600" s="606"/>
      <c r="J2600" s="506">
        <v>1.19</v>
      </c>
      <c r="K2600" s="70"/>
      <c r="L2600" s="70"/>
    </row>
    <row r="2601" spans="1:12" ht="17.25" thickTop="1" x14ac:dyDescent="0.25">
      <c r="A2601" s="507"/>
      <c r="B2601" s="507"/>
      <c r="C2601" s="507"/>
      <c r="D2601" s="507"/>
      <c r="E2601" s="507"/>
      <c r="F2601" s="507"/>
      <c r="G2601" s="507"/>
      <c r="H2601" s="507"/>
      <c r="I2601" s="507"/>
      <c r="J2601" s="507"/>
      <c r="K2601" s="70"/>
      <c r="L2601" s="70"/>
    </row>
    <row r="2602" spans="1:12" ht="38.25" customHeight="1" x14ac:dyDescent="0.25">
      <c r="A2602" s="419"/>
      <c r="B2602" s="421" t="s">
        <v>76</v>
      </c>
      <c r="C2602" s="419" t="s">
        <v>991</v>
      </c>
      <c r="D2602" s="419" t="s">
        <v>191</v>
      </c>
      <c r="E2602" s="603" t="s">
        <v>77</v>
      </c>
      <c r="F2602" s="603"/>
      <c r="G2602" s="420" t="s">
        <v>103</v>
      </c>
      <c r="H2602" s="421" t="s">
        <v>147</v>
      </c>
      <c r="I2602" s="421" t="s">
        <v>1731</v>
      </c>
      <c r="J2602" s="421" t="s">
        <v>1117</v>
      </c>
      <c r="K2602" s="421" t="s">
        <v>104</v>
      </c>
      <c r="L2602" s="70"/>
    </row>
    <row r="2603" spans="1:12" ht="25.5" customHeight="1" x14ac:dyDescent="0.25">
      <c r="A2603" s="441" t="s">
        <v>79</v>
      </c>
      <c r="B2603" s="480" t="s">
        <v>2676</v>
      </c>
      <c r="C2603" s="441" t="s">
        <v>1168</v>
      </c>
      <c r="D2603" s="441" t="s">
        <v>2677</v>
      </c>
      <c r="E2603" s="604" t="s">
        <v>2126</v>
      </c>
      <c r="F2603" s="604"/>
      <c r="G2603" s="443" t="s">
        <v>81</v>
      </c>
      <c r="H2603" s="500">
        <v>1</v>
      </c>
      <c r="I2603" s="442"/>
      <c r="J2603" s="442">
        <v>1.58</v>
      </c>
      <c r="K2603" s="442">
        <v>1.58</v>
      </c>
      <c r="L2603" s="70"/>
    </row>
    <row r="2604" spans="1:12" ht="25.5" x14ac:dyDescent="0.25">
      <c r="A2604" s="501" t="s">
        <v>1732</v>
      </c>
      <c r="B2604" s="502" t="s">
        <v>2680</v>
      </c>
      <c r="C2604" s="501" t="s">
        <v>993</v>
      </c>
      <c r="D2604" s="501" t="s">
        <v>2681</v>
      </c>
      <c r="E2604" s="602" t="s">
        <v>1746</v>
      </c>
      <c r="F2604" s="602"/>
      <c r="G2604" s="503" t="s">
        <v>2682</v>
      </c>
      <c r="H2604" s="504">
        <v>1.7</v>
      </c>
      <c r="I2604" s="504">
        <v>0</v>
      </c>
      <c r="J2604" s="505">
        <v>0.93</v>
      </c>
      <c r="K2604" s="505">
        <v>1.58</v>
      </c>
      <c r="L2604" s="70"/>
    </row>
    <row r="2605" spans="1:12" ht="15.75" customHeight="1" x14ac:dyDescent="0.25">
      <c r="A2605" s="445"/>
      <c r="B2605" s="445"/>
      <c r="C2605" s="445"/>
      <c r="D2605" s="445"/>
      <c r="E2605" s="445" t="s">
        <v>1735</v>
      </c>
      <c r="F2605" s="506">
        <v>0</v>
      </c>
      <c r="G2605" s="445" t="s">
        <v>1736</v>
      </c>
      <c r="H2605" s="506">
        <v>0</v>
      </c>
      <c r="I2605" s="445" t="s">
        <v>1737</v>
      </c>
      <c r="J2605" s="506">
        <v>0</v>
      </c>
      <c r="K2605" s="70"/>
      <c r="L2605" s="70"/>
    </row>
    <row r="2606" spans="1:12" ht="17.25" thickBot="1" x14ac:dyDescent="0.3">
      <c r="A2606" s="445"/>
      <c r="B2606" s="445"/>
      <c r="C2606" s="445"/>
      <c r="D2606" s="445"/>
      <c r="E2606" s="445" t="s">
        <v>1738</v>
      </c>
      <c r="F2606" s="506">
        <v>0.38931199999999999</v>
      </c>
      <c r="G2606" s="445"/>
      <c r="H2606" s="606" t="s">
        <v>1739</v>
      </c>
      <c r="I2606" s="606"/>
      <c r="J2606" s="506">
        <v>1.96</v>
      </c>
      <c r="K2606" s="70"/>
      <c r="L2606" s="70"/>
    </row>
    <row r="2607" spans="1:12" ht="17.25" thickTop="1" x14ac:dyDescent="0.25">
      <c r="A2607" s="507"/>
      <c r="B2607" s="507"/>
      <c r="C2607" s="507"/>
      <c r="D2607" s="507"/>
      <c r="E2607" s="507"/>
      <c r="F2607" s="507"/>
      <c r="G2607" s="507"/>
      <c r="H2607" s="507"/>
      <c r="I2607" s="507"/>
      <c r="J2607" s="507"/>
      <c r="K2607" s="70"/>
      <c r="L2607" s="70"/>
    </row>
    <row r="2608" spans="1:12" ht="38.25" customHeight="1" x14ac:dyDescent="0.25">
      <c r="A2608" s="419"/>
      <c r="B2608" s="421" t="s">
        <v>76</v>
      </c>
      <c r="C2608" s="419" t="s">
        <v>991</v>
      </c>
      <c r="D2608" s="419" t="s">
        <v>191</v>
      </c>
      <c r="E2608" s="603" t="s">
        <v>77</v>
      </c>
      <c r="F2608" s="603"/>
      <c r="G2608" s="420" t="s">
        <v>103</v>
      </c>
      <c r="H2608" s="421" t="s">
        <v>147</v>
      </c>
      <c r="I2608" s="421" t="s">
        <v>1731</v>
      </c>
      <c r="J2608" s="421" t="s">
        <v>1117</v>
      </c>
      <c r="K2608" s="421" t="s">
        <v>104</v>
      </c>
      <c r="L2608" s="70"/>
    </row>
    <row r="2609" spans="1:12" ht="25.5" customHeight="1" x14ac:dyDescent="0.25">
      <c r="A2609" s="441" t="s">
        <v>79</v>
      </c>
      <c r="B2609" s="480" t="s">
        <v>2674</v>
      </c>
      <c r="C2609" s="441" t="s">
        <v>1115</v>
      </c>
      <c r="D2609" s="441" t="s">
        <v>2675</v>
      </c>
      <c r="E2609" s="604" t="s">
        <v>2126</v>
      </c>
      <c r="F2609" s="604"/>
      <c r="G2609" s="443" t="s">
        <v>81</v>
      </c>
      <c r="H2609" s="500">
        <v>1</v>
      </c>
      <c r="I2609" s="442"/>
      <c r="J2609" s="442">
        <v>1.7</v>
      </c>
      <c r="K2609" s="442">
        <v>1.7</v>
      </c>
      <c r="L2609" s="70"/>
    </row>
    <row r="2610" spans="1:12" ht="16.5" x14ac:dyDescent="0.25">
      <c r="A2610" s="501" t="s">
        <v>1732</v>
      </c>
      <c r="B2610" s="502" t="s">
        <v>2640</v>
      </c>
      <c r="C2610" s="501" t="s">
        <v>1115</v>
      </c>
      <c r="D2610" s="501" t="s">
        <v>2641</v>
      </c>
      <c r="E2610" s="602" t="s">
        <v>2642</v>
      </c>
      <c r="F2610" s="602"/>
      <c r="G2610" s="503" t="s">
        <v>2643</v>
      </c>
      <c r="H2610" s="504">
        <v>1.7</v>
      </c>
      <c r="I2610" s="504"/>
      <c r="J2610" s="505">
        <v>1</v>
      </c>
      <c r="K2610" s="505">
        <v>1.7</v>
      </c>
      <c r="L2610" s="70"/>
    </row>
    <row r="2611" spans="1:12" ht="15.75" customHeight="1" x14ac:dyDescent="0.25">
      <c r="A2611" s="445"/>
      <c r="B2611" s="445"/>
      <c r="C2611" s="445"/>
      <c r="D2611" s="445"/>
      <c r="E2611" s="445" t="s">
        <v>1735</v>
      </c>
      <c r="F2611" s="506">
        <v>0</v>
      </c>
      <c r="G2611" s="445" t="s">
        <v>1736</v>
      </c>
      <c r="H2611" s="506">
        <v>0</v>
      </c>
      <c r="I2611" s="445" t="s">
        <v>1737</v>
      </c>
      <c r="J2611" s="506">
        <v>0</v>
      </c>
      <c r="K2611" s="70"/>
      <c r="L2611" s="70"/>
    </row>
    <row r="2612" spans="1:12" ht="17.25" thickBot="1" x14ac:dyDescent="0.3">
      <c r="A2612" s="445"/>
      <c r="B2612" s="445"/>
      <c r="C2612" s="445"/>
      <c r="D2612" s="445"/>
      <c r="E2612" s="445" t="s">
        <v>1738</v>
      </c>
      <c r="F2612" s="506">
        <v>0.41887999999999997</v>
      </c>
      <c r="G2612" s="445"/>
      <c r="H2612" s="606" t="s">
        <v>1739</v>
      </c>
      <c r="I2612" s="606"/>
      <c r="J2612" s="506">
        <v>2.11</v>
      </c>
      <c r="K2612" s="70"/>
      <c r="L2612" s="70"/>
    </row>
    <row r="2613" spans="1:12" ht="17.25" thickTop="1" x14ac:dyDescent="0.25">
      <c r="A2613" s="507"/>
      <c r="B2613" s="507"/>
      <c r="C2613" s="507"/>
      <c r="D2613" s="507"/>
      <c r="E2613" s="507"/>
      <c r="F2613" s="507"/>
      <c r="G2613" s="507"/>
      <c r="H2613" s="507"/>
      <c r="I2613" s="507"/>
      <c r="J2613" s="507"/>
      <c r="K2613" s="70"/>
      <c r="L2613" s="70"/>
    </row>
    <row r="2614" spans="1:12" ht="16.5" x14ac:dyDescent="0.25">
      <c r="A2614" s="419"/>
      <c r="B2614" s="421" t="s">
        <v>76</v>
      </c>
      <c r="C2614" s="419" t="s">
        <v>991</v>
      </c>
      <c r="D2614" s="419" t="s">
        <v>191</v>
      </c>
      <c r="E2614" s="603" t="s">
        <v>77</v>
      </c>
      <c r="F2614" s="603"/>
      <c r="G2614" s="420" t="s">
        <v>103</v>
      </c>
      <c r="H2614" s="421" t="s">
        <v>147</v>
      </c>
      <c r="I2614" s="421" t="s">
        <v>1731</v>
      </c>
      <c r="J2614" s="421" t="s">
        <v>1117</v>
      </c>
      <c r="K2614" s="421" t="s">
        <v>104</v>
      </c>
      <c r="L2614" s="70"/>
    </row>
    <row r="2615" spans="1:12" ht="15" customHeight="1" x14ac:dyDescent="0.25">
      <c r="A2615" s="441" t="s">
        <v>79</v>
      </c>
      <c r="B2615" s="480" t="s">
        <v>2683</v>
      </c>
      <c r="C2615" s="441" t="s">
        <v>1071</v>
      </c>
      <c r="D2615" s="441" t="s">
        <v>2280</v>
      </c>
      <c r="E2615" s="604">
        <v>4249</v>
      </c>
      <c r="F2615" s="604"/>
      <c r="G2615" s="443" t="s">
        <v>45</v>
      </c>
      <c r="H2615" s="500">
        <v>1</v>
      </c>
      <c r="I2615" s="442"/>
      <c r="J2615" s="442">
        <v>168.21</v>
      </c>
      <c r="K2615" s="442">
        <v>168.21</v>
      </c>
      <c r="L2615" s="70"/>
    </row>
    <row r="2616" spans="1:12" ht="16.5" customHeight="1" x14ac:dyDescent="0.25">
      <c r="A2616" s="603" t="s">
        <v>198</v>
      </c>
      <c r="B2616" s="607" t="s">
        <v>76</v>
      </c>
      <c r="C2616" s="603" t="s">
        <v>991</v>
      </c>
      <c r="D2616" s="603" t="s">
        <v>2267</v>
      </c>
      <c r="E2616" s="607" t="s">
        <v>78</v>
      </c>
      <c r="F2616" s="612" t="s">
        <v>2268</v>
      </c>
      <c r="G2616" s="607"/>
      <c r="H2616" s="612" t="s">
        <v>2269</v>
      </c>
      <c r="I2616" s="607"/>
      <c r="J2616" s="607" t="s">
        <v>2120</v>
      </c>
      <c r="K2616" s="70"/>
      <c r="L2616" s="70"/>
    </row>
    <row r="2617" spans="1:12" ht="16.5" x14ac:dyDescent="0.25">
      <c r="A2617" s="607"/>
      <c r="B2617" s="607"/>
      <c r="C2617" s="607"/>
      <c r="D2617" s="607"/>
      <c r="E2617" s="607"/>
      <c r="F2617" s="421" t="s">
        <v>2270</v>
      </c>
      <c r="G2617" s="421" t="s">
        <v>2271</v>
      </c>
      <c r="H2617" s="421" t="s">
        <v>2270</v>
      </c>
      <c r="I2617" s="421" t="s">
        <v>2271</v>
      </c>
      <c r="J2617" s="607"/>
      <c r="K2617" s="70"/>
      <c r="L2617" s="70"/>
    </row>
    <row r="2618" spans="1:12" ht="25.5" x14ac:dyDescent="0.25">
      <c r="A2618" s="501" t="s">
        <v>1732</v>
      </c>
      <c r="B2618" s="502">
        <v>30007</v>
      </c>
      <c r="C2618" s="501" t="s">
        <v>1071</v>
      </c>
      <c r="D2618" s="501" t="s">
        <v>2684</v>
      </c>
      <c r="E2618" s="504">
        <v>1</v>
      </c>
      <c r="F2618" s="505">
        <v>0.41</v>
      </c>
      <c r="G2618" s="505">
        <v>0.59</v>
      </c>
      <c r="H2618" s="509">
        <v>434.55</v>
      </c>
      <c r="I2618" s="509">
        <v>201.84</v>
      </c>
      <c r="J2618" s="509">
        <v>297.25110000000001</v>
      </c>
      <c r="K2618" s="70"/>
      <c r="L2618" s="70"/>
    </row>
    <row r="2619" spans="1:12" ht="25.5" x14ac:dyDescent="0.25">
      <c r="A2619" s="501" t="s">
        <v>1732</v>
      </c>
      <c r="B2619" s="502">
        <v>30043</v>
      </c>
      <c r="C2619" s="501" t="s">
        <v>1071</v>
      </c>
      <c r="D2619" s="501" t="s">
        <v>2685</v>
      </c>
      <c r="E2619" s="504">
        <v>1</v>
      </c>
      <c r="F2619" s="505">
        <v>1</v>
      </c>
      <c r="G2619" s="505">
        <v>0</v>
      </c>
      <c r="H2619" s="509">
        <v>129.18</v>
      </c>
      <c r="I2619" s="509">
        <v>8.02</v>
      </c>
      <c r="J2619" s="509">
        <v>129.18</v>
      </c>
      <c r="K2619" s="70"/>
      <c r="L2619" s="70"/>
    </row>
    <row r="2620" spans="1:12" ht="25.5" x14ac:dyDescent="0.25">
      <c r="A2620" s="501" t="s">
        <v>1732</v>
      </c>
      <c r="B2620" s="502">
        <v>30020</v>
      </c>
      <c r="C2620" s="501" t="s">
        <v>1071</v>
      </c>
      <c r="D2620" s="501" t="s">
        <v>960</v>
      </c>
      <c r="E2620" s="504">
        <v>2</v>
      </c>
      <c r="F2620" s="505">
        <v>1</v>
      </c>
      <c r="G2620" s="505">
        <v>0</v>
      </c>
      <c r="H2620" s="509">
        <v>52.63</v>
      </c>
      <c r="I2620" s="509">
        <v>35.44</v>
      </c>
      <c r="J2620" s="509">
        <v>105.26</v>
      </c>
      <c r="K2620" s="70"/>
      <c r="L2620" s="70"/>
    </row>
    <row r="2621" spans="1:12" ht="15" customHeight="1" x14ac:dyDescent="0.25">
      <c r="A2621" s="501" t="s">
        <v>1732</v>
      </c>
      <c r="B2621" s="502">
        <v>30024</v>
      </c>
      <c r="C2621" s="501" t="s">
        <v>1071</v>
      </c>
      <c r="D2621" s="501" t="s">
        <v>969</v>
      </c>
      <c r="E2621" s="504">
        <v>1</v>
      </c>
      <c r="F2621" s="505">
        <v>1</v>
      </c>
      <c r="G2621" s="505">
        <v>0</v>
      </c>
      <c r="H2621" s="509">
        <v>61.46</v>
      </c>
      <c r="I2621" s="509">
        <v>49.6</v>
      </c>
      <c r="J2621" s="509">
        <v>61.46</v>
      </c>
      <c r="K2621" s="70"/>
      <c r="L2621" s="70"/>
    </row>
    <row r="2622" spans="1:12" ht="16.5" customHeight="1" x14ac:dyDescent="0.25">
      <c r="A2622" s="595"/>
      <c r="B2622" s="595"/>
      <c r="C2622" s="595"/>
      <c r="D2622" s="595"/>
      <c r="E2622" s="595"/>
      <c r="F2622" s="595"/>
      <c r="G2622" s="595" t="s">
        <v>2273</v>
      </c>
      <c r="H2622" s="595"/>
      <c r="I2622" s="595"/>
      <c r="J2622" s="508">
        <v>593.15110000000004</v>
      </c>
      <c r="K2622" s="70"/>
      <c r="L2622" s="70"/>
    </row>
    <row r="2623" spans="1:12" ht="16.5" x14ac:dyDescent="0.25">
      <c r="A2623" s="419" t="s">
        <v>199</v>
      </c>
      <c r="B2623" s="421" t="s">
        <v>76</v>
      </c>
      <c r="C2623" s="419" t="s">
        <v>991</v>
      </c>
      <c r="D2623" s="419" t="s">
        <v>972</v>
      </c>
      <c r="E2623" s="421" t="s">
        <v>78</v>
      </c>
      <c r="F2623" s="607" t="s">
        <v>2274</v>
      </c>
      <c r="G2623" s="607"/>
      <c r="H2623" s="607"/>
      <c r="I2623" s="607"/>
      <c r="J2623" s="421" t="s">
        <v>2120</v>
      </c>
      <c r="K2623" s="70"/>
      <c r="L2623" s="70"/>
    </row>
    <row r="2624" spans="1:12" ht="25.5" x14ac:dyDescent="0.25">
      <c r="A2624" s="501" t="s">
        <v>1732</v>
      </c>
      <c r="B2624" s="502">
        <v>20002</v>
      </c>
      <c r="C2624" s="501" t="s">
        <v>1071</v>
      </c>
      <c r="D2624" s="501" t="s">
        <v>1075</v>
      </c>
      <c r="E2624" s="504">
        <v>0.6</v>
      </c>
      <c r="F2624" s="501"/>
      <c r="G2624" s="501"/>
      <c r="H2624" s="501"/>
      <c r="I2624" s="509">
        <v>25.04</v>
      </c>
      <c r="J2624" s="509">
        <v>15.02</v>
      </c>
      <c r="K2624" s="70"/>
      <c r="L2624" s="70"/>
    </row>
    <row r="2625" spans="1:12" ht="15" customHeight="1" x14ac:dyDescent="0.25">
      <c r="A2625" s="501" t="s">
        <v>1732</v>
      </c>
      <c r="B2625" s="502">
        <v>20031</v>
      </c>
      <c r="C2625" s="501" t="s">
        <v>1071</v>
      </c>
      <c r="D2625" s="501" t="s">
        <v>994</v>
      </c>
      <c r="E2625" s="504">
        <v>3</v>
      </c>
      <c r="F2625" s="501"/>
      <c r="G2625" s="501"/>
      <c r="H2625" s="501"/>
      <c r="I2625" s="509">
        <v>13.72</v>
      </c>
      <c r="J2625" s="509">
        <v>41.16</v>
      </c>
      <c r="K2625" s="70"/>
      <c r="L2625" s="70"/>
    </row>
    <row r="2626" spans="1:12" ht="15" customHeight="1" x14ac:dyDescent="0.25">
      <c r="A2626" s="595"/>
      <c r="B2626" s="595"/>
      <c r="C2626" s="595"/>
      <c r="D2626" s="595"/>
      <c r="E2626" s="595"/>
      <c r="F2626" s="595"/>
      <c r="G2626" s="595" t="s">
        <v>2275</v>
      </c>
      <c r="H2626" s="595"/>
      <c r="I2626" s="595"/>
      <c r="J2626" s="508">
        <v>56.18</v>
      </c>
      <c r="K2626" s="70"/>
      <c r="L2626" s="70"/>
    </row>
    <row r="2627" spans="1:12" ht="15" customHeight="1" x14ac:dyDescent="0.25">
      <c r="A2627" s="595"/>
      <c r="B2627" s="595"/>
      <c r="C2627" s="595"/>
      <c r="D2627" s="595"/>
      <c r="E2627" s="595"/>
      <c r="F2627" s="595"/>
      <c r="G2627" s="595" t="s">
        <v>2276</v>
      </c>
      <c r="H2627" s="595"/>
      <c r="I2627" s="595"/>
      <c r="J2627" s="508">
        <v>0</v>
      </c>
      <c r="K2627" s="70"/>
      <c r="L2627" s="70"/>
    </row>
    <row r="2628" spans="1:12" ht="15" customHeight="1" x14ac:dyDescent="0.25">
      <c r="A2628" s="595"/>
      <c r="B2628" s="595"/>
      <c r="C2628" s="595"/>
      <c r="D2628" s="595"/>
      <c r="E2628" s="595"/>
      <c r="F2628" s="595"/>
      <c r="G2628" s="595" t="s">
        <v>2113</v>
      </c>
      <c r="H2628" s="595"/>
      <c r="I2628" s="595"/>
      <c r="J2628" s="508">
        <v>660.83109999999999</v>
      </c>
      <c r="K2628" s="70"/>
      <c r="L2628" s="70"/>
    </row>
    <row r="2629" spans="1:12" ht="15" customHeight="1" x14ac:dyDescent="0.25">
      <c r="A2629" s="595"/>
      <c r="B2629" s="595"/>
      <c r="C2629" s="595"/>
      <c r="D2629" s="595"/>
      <c r="E2629" s="595"/>
      <c r="F2629" s="595"/>
      <c r="G2629" s="595" t="s">
        <v>2114</v>
      </c>
      <c r="H2629" s="595"/>
      <c r="I2629" s="595"/>
      <c r="J2629" s="508">
        <v>0</v>
      </c>
      <c r="K2629" s="70"/>
      <c r="L2629" s="70"/>
    </row>
    <row r="2630" spans="1:12" ht="15" customHeight="1" x14ac:dyDescent="0.25">
      <c r="A2630" s="595"/>
      <c r="B2630" s="595"/>
      <c r="C2630" s="595"/>
      <c r="D2630" s="595"/>
      <c r="E2630" s="595"/>
      <c r="F2630" s="595"/>
      <c r="G2630" s="595" t="s">
        <v>2115</v>
      </c>
      <c r="H2630" s="595"/>
      <c r="I2630" s="595"/>
      <c r="J2630" s="508">
        <v>0</v>
      </c>
      <c r="K2630" s="70"/>
      <c r="L2630" s="70"/>
    </row>
    <row r="2631" spans="1:12" ht="15" customHeight="1" x14ac:dyDescent="0.25">
      <c r="A2631" s="595"/>
      <c r="B2631" s="595"/>
      <c r="C2631" s="595"/>
      <c r="D2631" s="595"/>
      <c r="E2631" s="595"/>
      <c r="F2631" s="595"/>
      <c r="G2631" s="595" t="s">
        <v>2116</v>
      </c>
      <c r="H2631" s="595"/>
      <c r="I2631" s="595"/>
      <c r="J2631" s="508">
        <v>21.65</v>
      </c>
      <c r="K2631" s="70"/>
      <c r="L2631" s="70"/>
    </row>
    <row r="2632" spans="1:12" ht="15" customHeight="1" x14ac:dyDescent="0.25">
      <c r="A2632" s="595"/>
      <c r="B2632" s="595"/>
      <c r="C2632" s="595"/>
      <c r="D2632" s="595"/>
      <c r="E2632" s="595"/>
      <c r="F2632" s="595"/>
      <c r="G2632" s="595" t="s">
        <v>2117</v>
      </c>
      <c r="H2632" s="595"/>
      <c r="I2632" s="595"/>
      <c r="J2632" s="508">
        <v>30.52</v>
      </c>
      <c r="K2632" s="70"/>
      <c r="L2632" s="70"/>
    </row>
    <row r="2633" spans="1:12" ht="16.5" x14ac:dyDescent="0.25">
      <c r="A2633" s="419" t="s">
        <v>2686</v>
      </c>
      <c r="B2633" s="421" t="s">
        <v>991</v>
      </c>
      <c r="C2633" s="419" t="s">
        <v>76</v>
      </c>
      <c r="D2633" s="419" t="s">
        <v>1746</v>
      </c>
      <c r="E2633" s="421" t="s">
        <v>78</v>
      </c>
      <c r="F2633" s="421" t="s">
        <v>1111</v>
      </c>
      <c r="G2633" s="607" t="s">
        <v>1112</v>
      </c>
      <c r="H2633" s="607"/>
      <c r="I2633" s="607"/>
      <c r="J2633" s="421" t="s">
        <v>2120</v>
      </c>
      <c r="K2633" s="70"/>
      <c r="L2633" s="70"/>
    </row>
    <row r="2634" spans="1:12" ht="25.5" x14ac:dyDescent="0.25">
      <c r="A2634" s="501" t="s">
        <v>1732</v>
      </c>
      <c r="B2634" s="502" t="s">
        <v>1071</v>
      </c>
      <c r="C2634" s="501">
        <v>10082</v>
      </c>
      <c r="D2634" s="501" t="s">
        <v>2687</v>
      </c>
      <c r="E2634" s="504">
        <v>0.61299999999999999</v>
      </c>
      <c r="F2634" s="503" t="s">
        <v>45</v>
      </c>
      <c r="G2634" s="608">
        <v>95.59</v>
      </c>
      <c r="H2634" s="608"/>
      <c r="I2634" s="602"/>
      <c r="J2634" s="509">
        <v>58.59</v>
      </c>
      <c r="K2634" s="70"/>
      <c r="L2634" s="70"/>
    </row>
    <row r="2635" spans="1:12" ht="15" customHeight="1" x14ac:dyDescent="0.25">
      <c r="A2635" s="501" t="s">
        <v>1732</v>
      </c>
      <c r="B2635" s="502" t="s">
        <v>1071</v>
      </c>
      <c r="C2635" s="501">
        <v>10093</v>
      </c>
      <c r="D2635" s="501" t="s">
        <v>2688</v>
      </c>
      <c r="E2635" s="504">
        <v>0.92</v>
      </c>
      <c r="F2635" s="503" t="s">
        <v>45</v>
      </c>
      <c r="G2635" s="608">
        <v>85.98</v>
      </c>
      <c r="H2635" s="608"/>
      <c r="I2635" s="602"/>
      <c r="J2635" s="509">
        <v>79.099999999999994</v>
      </c>
      <c r="K2635" s="70"/>
      <c r="L2635" s="70"/>
    </row>
    <row r="2636" spans="1:12" ht="16.5" customHeight="1" x14ac:dyDescent="0.25">
      <c r="A2636" s="595"/>
      <c r="B2636" s="595"/>
      <c r="C2636" s="595"/>
      <c r="D2636" s="595"/>
      <c r="E2636" s="595"/>
      <c r="F2636" s="595"/>
      <c r="G2636" s="595" t="s">
        <v>2689</v>
      </c>
      <c r="H2636" s="595"/>
      <c r="I2636" s="595"/>
      <c r="J2636" s="508">
        <v>137.69</v>
      </c>
      <c r="K2636" s="70"/>
      <c r="L2636" s="70"/>
    </row>
    <row r="2637" spans="1:12" ht="15.75" customHeight="1" x14ac:dyDescent="0.25">
      <c r="A2637" s="445"/>
      <c r="B2637" s="445"/>
      <c r="C2637" s="445"/>
      <c r="D2637" s="445"/>
      <c r="E2637" s="445" t="s">
        <v>1735</v>
      </c>
      <c r="F2637" s="506">
        <v>2.5951038999999998</v>
      </c>
      <c r="G2637" s="445" t="s">
        <v>1736</v>
      </c>
      <c r="H2637" s="506">
        <v>0</v>
      </c>
      <c r="I2637" s="445" t="s">
        <v>1737</v>
      </c>
      <c r="J2637" s="506">
        <v>2.5951039260969977</v>
      </c>
      <c r="K2637" s="70"/>
      <c r="L2637" s="70"/>
    </row>
    <row r="2638" spans="1:12" ht="17.25" thickBot="1" x14ac:dyDescent="0.3">
      <c r="A2638" s="445"/>
      <c r="B2638" s="445"/>
      <c r="C2638" s="445"/>
      <c r="D2638" s="445"/>
      <c r="E2638" s="445" t="s">
        <v>1738</v>
      </c>
      <c r="F2638" s="506">
        <v>41.44</v>
      </c>
      <c r="G2638" s="445"/>
      <c r="H2638" s="606" t="s">
        <v>1739</v>
      </c>
      <c r="I2638" s="606"/>
      <c r="J2638" s="506">
        <v>209.65</v>
      </c>
      <c r="K2638" s="70"/>
      <c r="L2638" s="70"/>
    </row>
    <row r="2639" spans="1:12" ht="17.25" thickTop="1" x14ac:dyDescent="0.25">
      <c r="A2639" s="507"/>
      <c r="B2639" s="507"/>
      <c r="C2639" s="507"/>
      <c r="D2639" s="507"/>
      <c r="E2639" s="507"/>
      <c r="F2639" s="507"/>
      <c r="G2639" s="507"/>
      <c r="H2639" s="507"/>
      <c r="I2639" s="507"/>
      <c r="J2639" s="507"/>
      <c r="K2639" s="70"/>
      <c r="L2639" s="70"/>
    </row>
    <row r="2640" spans="1:12" ht="25.5" customHeight="1" x14ac:dyDescent="0.25">
      <c r="A2640" s="419"/>
      <c r="B2640" s="421" t="s">
        <v>76</v>
      </c>
      <c r="C2640" s="419" t="s">
        <v>991</v>
      </c>
      <c r="D2640" s="419" t="s">
        <v>191</v>
      </c>
      <c r="E2640" s="603" t="s">
        <v>77</v>
      </c>
      <c r="F2640" s="603"/>
      <c r="G2640" s="420" t="s">
        <v>103</v>
      </c>
      <c r="H2640" s="421" t="s">
        <v>147</v>
      </c>
      <c r="I2640" s="421" t="s">
        <v>1731</v>
      </c>
      <c r="J2640" s="421" t="s">
        <v>1117</v>
      </c>
      <c r="K2640" s="421" t="s">
        <v>104</v>
      </c>
      <c r="L2640" s="70"/>
    </row>
    <row r="2641" spans="1:12" ht="25.5" customHeight="1" x14ac:dyDescent="0.25">
      <c r="A2641" s="441" t="s">
        <v>79</v>
      </c>
      <c r="B2641" s="480" t="s">
        <v>2178</v>
      </c>
      <c r="C2641" s="441" t="s">
        <v>1115</v>
      </c>
      <c r="D2641" s="441" t="s">
        <v>2179</v>
      </c>
      <c r="E2641" s="604" t="s">
        <v>2126</v>
      </c>
      <c r="F2641" s="604"/>
      <c r="G2641" s="443" t="s">
        <v>2127</v>
      </c>
      <c r="H2641" s="500">
        <v>1</v>
      </c>
      <c r="I2641" s="442"/>
      <c r="J2641" s="442">
        <v>0.53</v>
      </c>
      <c r="K2641" s="442">
        <v>0.53</v>
      </c>
      <c r="L2641" s="70"/>
    </row>
    <row r="2642" spans="1:12" ht="25.5" customHeight="1" x14ac:dyDescent="0.25">
      <c r="A2642" s="510" t="s">
        <v>2123</v>
      </c>
      <c r="B2642" s="511" t="s">
        <v>2690</v>
      </c>
      <c r="C2642" s="510" t="s">
        <v>1115</v>
      </c>
      <c r="D2642" s="510" t="s">
        <v>2691</v>
      </c>
      <c r="E2642" s="605" t="s">
        <v>2126</v>
      </c>
      <c r="F2642" s="605"/>
      <c r="G2642" s="512" t="s">
        <v>81</v>
      </c>
      <c r="H2642" s="513">
        <v>1</v>
      </c>
      <c r="I2642" s="513"/>
      <c r="J2642" s="514">
        <v>0.43</v>
      </c>
      <c r="K2642" s="514">
        <v>0.43</v>
      </c>
      <c r="L2642" s="70"/>
    </row>
    <row r="2643" spans="1:12" ht="25.5" customHeight="1" x14ac:dyDescent="0.25">
      <c r="A2643" s="510" t="s">
        <v>2123</v>
      </c>
      <c r="B2643" s="511" t="s">
        <v>2692</v>
      </c>
      <c r="C2643" s="510" t="s">
        <v>1115</v>
      </c>
      <c r="D2643" s="510" t="s">
        <v>2693</v>
      </c>
      <c r="E2643" s="605" t="s">
        <v>2126</v>
      </c>
      <c r="F2643" s="605"/>
      <c r="G2643" s="512" t="s">
        <v>81</v>
      </c>
      <c r="H2643" s="513">
        <v>1</v>
      </c>
      <c r="I2643" s="513"/>
      <c r="J2643" s="514">
        <v>0.1</v>
      </c>
      <c r="K2643" s="514">
        <v>0.1</v>
      </c>
      <c r="L2643" s="70"/>
    </row>
    <row r="2644" spans="1:12" ht="15.75" customHeight="1" x14ac:dyDescent="0.25">
      <c r="A2644" s="445"/>
      <c r="B2644" s="445"/>
      <c r="C2644" s="445"/>
      <c r="D2644" s="445"/>
      <c r="E2644" s="445" t="s">
        <v>1735</v>
      </c>
      <c r="F2644" s="506">
        <v>0</v>
      </c>
      <c r="G2644" s="445" t="s">
        <v>1736</v>
      </c>
      <c r="H2644" s="506">
        <v>0</v>
      </c>
      <c r="I2644" s="445" t="s">
        <v>1737</v>
      </c>
      <c r="J2644" s="506">
        <v>0</v>
      </c>
      <c r="K2644" s="70"/>
      <c r="L2644" s="70"/>
    </row>
    <row r="2645" spans="1:12" ht="17.25" thickBot="1" x14ac:dyDescent="0.3">
      <c r="A2645" s="445"/>
      <c r="B2645" s="445"/>
      <c r="C2645" s="445"/>
      <c r="D2645" s="445"/>
      <c r="E2645" s="445" t="s">
        <v>1738</v>
      </c>
      <c r="F2645" s="506">
        <v>0.13059200000000001</v>
      </c>
      <c r="G2645" s="445"/>
      <c r="H2645" s="606" t="s">
        <v>1739</v>
      </c>
      <c r="I2645" s="606"/>
      <c r="J2645" s="506">
        <v>0.66</v>
      </c>
      <c r="K2645" s="70"/>
      <c r="L2645" s="70"/>
    </row>
    <row r="2646" spans="1:12" ht="17.25" thickTop="1" x14ac:dyDescent="0.25">
      <c r="A2646" s="507"/>
      <c r="B2646" s="507"/>
      <c r="C2646" s="507"/>
      <c r="D2646" s="507"/>
      <c r="E2646" s="507"/>
      <c r="F2646" s="507"/>
      <c r="G2646" s="507"/>
      <c r="H2646" s="507"/>
      <c r="I2646" s="507"/>
      <c r="J2646" s="507"/>
      <c r="K2646" s="70"/>
      <c r="L2646" s="70"/>
    </row>
    <row r="2647" spans="1:12" ht="38.25" customHeight="1" x14ac:dyDescent="0.25">
      <c r="A2647" s="419"/>
      <c r="B2647" s="421" t="s">
        <v>76</v>
      </c>
      <c r="C2647" s="419" t="s">
        <v>991</v>
      </c>
      <c r="D2647" s="419" t="s">
        <v>191</v>
      </c>
      <c r="E2647" s="603" t="s">
        <v>77</v>
      </c>
      <c r="F2647" s="603"/>
      <c r="G2647" s="420" t="s">
        <v>103</v>
      </c>
      <c r="H2647" s="421" t="s">
        <v>147</v>
      </c>
      <c r="I2647" s="421" t="s">
        <v>1731</v>
      </c>
      <c r="J2647" s="421" t="s">
        <v>1117</v>
      </c>
      <c r="K2647" s="421" t="s">
        <v>104</v>
      </c>
      <c r="L2647" s="70"/>
    </row>
    <row r="2648" spans="1:12" ht="25.5" customHeight="1" x14ac:dyDescent="0.25">
      <c r="A2648" s="441" t="s">
        <v>79</v>
      </c>
      <c r="B2648" s="480" t="s">
        <v>2182</v>
      </c>
      <c r="C2648" s="441" t="s">
        <v>1168</v>
      </c>
      <c r="D2648" s="441" t="s">
        <v>2183</v>
      </c>
      <c r="E2648" s="604" t="s">
        <v>2126</v>
      </c>
      <c r="F2648" s="604"/>
      <c r="G2648" s="443" t="s">
        <v>2130</v>
      </c>
      <c r="H2648" s="500">
        <v>1</v>
      </c>
      <c r="I2648" s="442"/>
      <c r="J2648" s="442">
        <v>1.34</v>
      </c>
      <c r="K2648" s="442">
        <v>1.34</v>
      </c>
      <c r="L2648" s="70"/>
    </row>
    <row r="2649" spans="1:12" ht="25.5" customHeight="1" x14ac:dyDescent="0.25">
      <c r="A2649" s="510" t="s">
        <v>2123</v>
      </c>
      <c r="B2649" s="511" t="s">
        <v>2690</v>
      </c>
      <c r="C2649" s="510" t="s">
        <v>1115</v>
      </c>
      <c r="D2649" s="510" t="s">
        <v>2691</v>
      </c>
      <c r="E2649" s="605" t="s">
        <v>2126</v>
      </c>
      <c r="F2649" s="605"/>
      <c r="G2649" s="512" t="s">
        <v>81</v>
      </c>
      <c r="H2649" s="513">
        <v>1</v>
      </c>
      <c r="I2649" s="513"/>
      <c r="J2649" s="514">
        <v>0.43</v>
      </c>
      <c r="K2649" s="514">
        <v>0.43</v>
      </c>
      <c r="L2649" s="70"/>
    </row>
    <row r="2650" spans="1:12" ht="25.5" customHeight="1" x14ac:dyDescent="0.25">
      <c r="A2650" s="510" t="s">
        <v>2123</v>
      </c>
      <c r="B2650" s="511" t="s">
        <v>2692</v>
      </c>
      <c r="C2650" s="510" t="s">
        <v>1115</v>
      </c>
      <c r="D2650" s="510" t="s">
        <v>2693</v>
      </c>
      <c r="E2650" s="605" t="s">
        <v>2126</v>
      </c>
      <c r="F2650" s="605"/>
      <c r="G2650" s="512" t="s">
        <v>81</v>
      </c>
      <c r="H2650" s="513">
        <v>1</v>
      </c>
      <c r="I2650" s="513"/>
      <c r="J2650" s="514">
        <v>0.1</v>
      </c>
      <c r="K2650" s="514">
        <v>0.1</v>
      </c>
      <c r="L2650" s="70"/>
    </row>
    <row r="2651" spans="1:12" ht="38.25" customHeight="1" x14ac:dyDescent="0.25">
      <c r="A2651" s="510" t="s">
        <v>2123</v>
      </c>
      <c r="B2651" s="511" t="s">
        <v>2694</v>
      </c>
      <c r="C2651" s="510" t="s">
        <v>1115</v>
      </c>
      <c r="D2651" s="510" t="s">
        <v>2695</v>
      </c>
      <c r="E2651" s="605" t="s">
        <v>2126</v>
      </c>
      <c r="F2651" s="605"/>
      <c r="G2651" s="512" t="s">
        <v>81</v>
      </c>
      <c r="H2651" s="513">
        <v>1</v>
      </c>
      <c r="I2651" s="513"/>
      <c r="J2651" s="514">
        <v>0.33</v>
      </c>
      <c r="K2651" s="514">
        <v>0.33</v>
      </c>
      <c r="L2651" s="70"/>
    </row>
    <row r="2652" spans="1:12" ht="38.25" customHeight="1" x14ac:dyDescent="0.25">
      <c r="A2652" s="510" t="s">
        <v>2123</v>
      </c>
      <c r="B2652" s="511" t="s">
        <v>2696</v>
      </c>
      <c r="C2652" s="510" t="s">
        <v>1168</v>
      </c>
      <c r="D2652" s="510" t="s">
        <v>2697</v>
      </c>
      <c r="E2652" s="605" t="s">
        <v>2126</v>
      </c>
      <c r="F2652" s="605"/>
      <c r="G2652" s="512" t="s">
        <v>81</v>
      </c>
      <c r="H2652" s="513">
        <v>1</v>
      </c>
      <c r="I2652" s="513"/>
      <c r="J2652" s="514">
        <v>0.48</v>
      </c>
      <c r="K2652" s="514">
        <v>0.48</v>
      </c>
      <c r="L2652" s="70"/>
    </row>
    <row r="2653" spans="1:12" ht="15.75" customHeight="1" x14ac:dyDescent="0.25">
      <c r="A2653" s="445"/>
      <c r="B2653" s="445"/>
      <c r="C2653" s="445"/>
      <c r="D2653" s="445"/>
      <c r="E2653" s="445" t="s">
        <v>1735</v>
      </c>
      <c r="F2653" s="506">
        <v>0</v>
      </c>
      <c r="G2653" s="445" t="s">
        <v>1736</v>
      </c>
      <c r="H2653" s="506">
        <v>0</v>
      </c>
      <c r="I2653" s="445" t="s">
        <v>1737</v>
      </c>
      <c r="J2653" s="506">
        <v>0</v>
      </c>
      <c r="K2653" s="70"/>
      <c r="L2653" s="70"/>
    </row>
    <row r="2654" spans="1:12" ht="17.25" thickBot="1" x14ac:dyDescent="0.3">
      <c r="A2654" s="445"/>
      <c r="B2654" s="445"/>
      <c r="C2654" s="445"/>
      <c r="D2654" s="445"/>
      <c r="E2654" s="445" t="s">
        <v>1738</v>
      </c>
      <c r="F2654" s="506">
        <v>0.33017600000000003</v>
      </c>
      <c r="G2654" s="445"/>
      <c r="H2654" s="606" t="s">
        <v>1739</v>
      </c>
      <c r="I2654" s="606"/>
      <c r="J2654" s="506">
        <v>1.67</v>
      </c>
      <c r="K2654" s="70"/>
      <c r="L2654" s="70"/>
    </row>
    <row r="2655" spans="1:12" ht="17.25" thickTop="1" x14ac:dyDescent="0.25">
      <c r="A2655" s="507"/>
      <c r="B2655" s="507"/>
      <c r="C2655" s="507"/>
      <c r="D2655" s="507"/>
      <c r="E2655" s="507"/>
      <c r="F2655" s="507"/>
      <c r="G2655" s="507"/>
      <c r="H2655" s="507"/>
      <c r="I2655" s="507"/>
      <c r="J2655" s="507"/>
      <c r="K2655" s="70"/>
      <c r="L2655" s="70"/>
    </row>
    <row r="2656" spans="1:12" ht="25.5" customHeight="1" x14ac:dyDescent="0.25">
      <c r="A2656" s="419"/>
      <c r="B2656" s="421" t="s">
        <v>76</v>
      </c>
      <c r="C2656" s="419" t="s">
        <v>991</v>
      </c>
      <c r="D2656" s="419" t="s">
        <v>191</v>
      </c>
      <c r="E2656" s="603" t="s">
        <v>77</v>
      </c>
      <c r="F2656" s="603"/>
      <c r="G2656" s="420" t="s">
        <v>103</v>
      </c>
      <c r="H2656" s="421" t="s">
        <v>147</v>
      </c>
      <c r="I2656" s="421" t="s">
        <v>1731</v>
      </c>
      <c r="J2656" s="421" t="s">
        <v>1117</v>
      </c>
      <c r="K2656" s="421" t="s">
        <v>104</v>
      </c>
      <c r="L2656" s="70"/>
    </row>
    <row r="2657" spans="1:12" ht="25.5" customHeight="1" x14ac:dyDescent="0.25">
      <c r="A2657" s="441" t="s">
        <v>79</v>
      </c>
      <c r="B2657" s="480" t="s">
        <v>2690</v>
      </c>
      <c r="C2657" s="441" t="s">
        <v>1115</v>
      </c>
      <c r="D2657" s="441" t="s">
        <v>2691</v>
      </c>
      <c r="E2657" s="604" t="s">
        <v>2126</v>
      </c>
      <c r="F2657" s="604"/>
      <c r="G2657" s="443" t="s">
        <v>81</v>
      </c>
      <c r="H2657" s="500">
        <v>1</v>
      </c>
      <c r="I2657" s="442"/>
      <c r="J2657" s="442">
        <v>0.43</v>
      </c>
      <c r="K2657" s="442">
        <v>0.43</v>
      </c>
      <c r="L2657" s="70"/>
    </row>
    <row r="2658" spans="1:12" ht="25.5" x14ac:dyDescent="0.25">
      <c r="A2658" s="501" t="s">
        <v>1732</v>
      </c>
      <c r="B2658" s="502" t="s">
        <v>2698</v>
      </c>
      <c r="C2658" s="501" t="s">
        <v>1115</v>
      </c>
      <c r="D2658" s="501" t="s">
        <v>2699</v>
      </c>
      <c r="E2658" s="602" t="s">
        <v>2639</v>
      </c>
      <c r="F2658" s="602"/>
      <c r="G2658" s="503" t="s">
        <v>38</v>
      </c>
      <c r="H2658" s="504">
        <v>1.2799999999999999E-4</v>
      </c>
      <c r="I2658" s="504"/>
      <c r="J2658" s="505">
        <v>3390.99</v>
      </c>
      <c r="K2658" s="505">
        <v>0.43</v>
      </c>
      <c r="L2658" s="70"/>
    </row>
    <row r="2659" spans="1:12" ht="15.75" customHeight="1" x14ac:dyDescent="0.25">
      <c r="A2659" s="445"/>
      <c r="B2659" s="445"/>
      <c r="C2659" s="445"/>
      <c r="D2659" s="445"/>
      <c r="E2659" s="445" t="s">
        <v>1735</v>
      </c>
      <c r="F2659" s="506">
        <v>0</v>
      </c>
      <c r="G2659" s="445" t="s">
        <v>1736</v>
      </c>
      <c r="H2659" s="506">
        <v>0</v>
      </c>
      <c r="I2659" s="445" t="s">
        <v>1737</v>
      </c>
      <c r="J2659" s="506">
        <v>0</v>
      </c>
      <c r="K2659" s="70"/>
      <c r="L2659" s="70"/>
    </row>
    <row r="2660" spans="1:12" ht="17.25" thickBot="1" x14ac:dyDescent="0.3">
      <c r="A2660" s="445"/>
      <c r="B2660" s="445"/>
      <c r="C2660" s="445"/>
      <c r="D2660" s="445"/>
      <c r="E2660" s="445" t="s">
        <v>1738</v>
      </c>
      <c r="F2660" s="506">
        <v>0.105952</v>
      </c>
      <c r="G2660" s="445"/>
      <c r="H2660" s="606" t="s">
        <v>1739</v>
      </c>
      <c r="I2660" s="606"/>
      <c r="J2660" s="506">
        <v>0.53</v>
      </c>
      <c r="K2660" s="70"/>
      <c r="L2660" s="70"/>
    </row>
    <row r="2661" spans="1:12" ht="17.25" thickTop="1" x14ac:dyDescent="0.25">
      <c r="A2661" s="507"/>
      <c r="B2661" s="507"/>
      <c r="C2661" s="507"/>
      <c r="D2661" s="507"/>
      <c r="E2661" s="507"/>
      <c r="F2661" s="507"/>
      <c r="G2661" s="507"/>
      <c r="H2661" s="507"/>
      <c r="I2661" s="507"/>
      <c r="J2661" s="507"/>
      <c r="K2661" s="70"/>
      <c r="L2661" s="70"/>
    </row>
    <row r="2662" spans="1:12" ht="25.5" customHeight="1" x14ac:dyDescent="0.25">
      <c r="A2662" s="419"/>
      <c r="B2662" s="421" t="s">
        <v>76</v>
      </c>
      <c r="C2662" s="419" t="s">
        <v>991</v>
      </c>
      <c r="D2662" s="419" t="s">
        <v>191</v>
      </c>
      <c r="E2662" s="603" t="s">
        <v>77</v>
      </c>
      <c r="F2662" s="603"/>
      <c r="G2662" s="420" t="s">
        <v>103</v>
      </c>
      <c r="H2662" s="421" t="s">
        <v>147</v>
      </c>
      <c r="I2662" s="421" t="s">
        <v>1731</v>
      </c>
      <c r="J2662" s="421" t="s">
        <v>1117</v>
      </c>
      <c r="K2662" s="421" t="s">
        <v>104</v>
      </c>
      <c r="L2662" s="70"/>
    </row>
    <row r="2663" spans="1:12" ht="25.5" customHeight="1" x14ac:dyDescent="0.25">
      <c r="A2663" s="441" t="s">
        <v>79</v>
      </c>
      <c r="B2663" s="480" t="s">
        <v>2692</v>
      </c>
      <c r="C2663" s="441" t="s">
        <v>1115</v>
      </c>
      <c r="D2663" s="441" t="s">
        <v>2693</v>
      </c>
      <c r="E2663" s="604" t="s">
        <v>2126</v>
      </c>
      <c r="F2663" s="604"/>
      <c r="G2663" s="443" t="s">
        <v>81</v>
      </c>
      <c r="H2663" s="500">
        <v>1</v>
      </c>
      <c r="I2663" s="442"/>
      <c r="J2663" s="442">
        <v>0.1</v>
      </c>
      <c r="K2663" s="442">
        <v>0.1</v>
      </c>
      <c r="L2663" s="70"/>
    </row>
    <row r="2664" spans="1:12" ht="25.5" x14ac:dyDescent="0.25">
      <c r="A2664" s="501" t="s">
        <v>1732</v>
      </c>
      <c r="B2664" s="502" t="s">
        <v>2698</v>
      </c>
      <c r="C2664" s="501" t="s">
        <v>1115</v>
      </c>
      <c r="D2664" s="501" t="s">
        <v>2699</v>
      </c>
      <c r="E2664" s="602" t="s">
        <v>2639</v>
      </c>
      <c r="F2664" s="602"/>
      <c r="G2664" s="503" t="s">
        <v>38</v>
      </c>
      <c r="H2664" s="504">
        <v>2.9600000000000001E-5</v>
      </c>
      <c r="I2664" s="504"/>
      <c r="J2664" s="505">
        <v>3390.99</v>
      </c>
      <c r="K2664" s="505">
        <v>0.1</v>
      </c>
      <c r="L2664" s="70"/>
    </row>
    <row r="2665" spans="1:12" ht="15.75" customHeight="1" x14ac:dyDescent="0.25">
      <c r="A2665" s="445"/>
      <c r="B2665" s="445"/>
      <c r="C2665" s="445"/>
      <c r="D2665" s="445"/>
      <c r="E2665" s="445" t="s">
        <v>1735</v>
      </c>
      <c r="F2665" s="506">
        <v>0</v>
      </c>
      <c r="G2665" s="445" t="s">
        <v>1736</v>
      </c>
      <c r="H2665" s="506">
        <v>0</v>
      </c>
      <c r="I2665" s="445" t="s">
        <v>1737</v>
      </c>
      <c r="J2665" s="506">
        <v>0</v>
      </c>
      <c r="K2665" s="70"/>
      <c r="L2665" s="70"/>
    </row>
    <row r="2666" spans="1:12" ht="17.25" thickBot="1" x14ac:dyDescent="0.3">
      <c r="A2666" s="445"/>
      <c r="B2666" s="445"/>
      <c r="C2666" s="445"/>
      <c r="D2666" s="445"/>
      <c r="E2666" s="445" t="s">
        <v>1738</v>
      </c>
      <c r="F2666" s="506">
        <v>2.4639999999999999E-2</v>
      </c>
      <c r="G2666" s="445"/>
      <c r="H2666" s="606" t="s">
        <v>1739</v>
      </c>
      <c r="I2666" s="606"/>
      <c r="J2666" s="506">
        <v>0.12</v>
      </c>
      <c r="K2666" s="70"/>
      <c r="L2666" s="70"/>
    </row>
    <row r="2667" spans="1:12" ht="17.25" thickTop="1" x14ac:dyDescent="0.25">
      <c r="A2667" s="507"/>
      <c r="B2667" s="507"/>
      <c r="C2667" s="507"/>
      <c r="D2667" s="507"/>
      <c r="E2667" s="507"/>
      <c r="F2667" s="507"/>
      <c r="G2667" s="507"/>
      <c r="H2667" s="507"/>
      <c r="I2667" s="507"/>
      <c r="J2667" s="507"/>
      <c r="K2667" s="70"/>
      <c r="L2667" s="70"/>
    </row>
    <row r="2668" spans="1:12" ht="25.5" customHeight="1" x14ac:dyDescent="0.25">
      <c r="A2668" s="419"/>
      <c r="B2668" s="421" t="s">
        <v>76</v>
      </c>
      <c r="C2668" s="419" t="s">
        <v>991</v>
      </c>
      <c r="D2668" s="419" t="s">
        <v>191</v>
      </c>
      <c r="E2668" s="603" t="s">
        <v>77</v>
      </c>
      <c r="F2668" s="603"/>
      <c r="G2668" s="420" t="s">
        <v>103</v>
      </c>
      <c r="H2668" s="421" t="s">
        <v>147</v>
      </c>
      <c r="I2668" s="421" t="s">
        <v>1731</v>
      </c>
      <c r="J2668" s="421" t="s">
        <v>1117</v>
      </c>
      <c r="K2668" s="421" t="s">
        <v>104</v>
      </c>
      <c r="L2668" s="70"/>
    </row>
    <row r="2669" spans="1:12" ht="25.5" customHeight="1" x14ac:dyDescent="0.25">
      <c r="A2669" s="441" t="s">
        <v>79</v>
      </c>
      <c r="B2669" s="480" t="s">
        <v>2694</v>
      </c>
      <c r="C2669" s="441" t="s">
        <v>1115</v>
      </c>
      <c r="D2669" s="441" t="s">
        <v>2695</v>
      </c>
      <c r="E2669" s="604" t="s">
        <v>2126</v>
      </c>
      <c r="F2669" s="604"/>
      <c r="G2669" s="443" t="s">
        <v>81</v>
      </c>
      <c r="H2669" s="500">
        <v>1</v>
      </c>
      <c r="I2669" s="442"/>
      <c r="J2669" s="442">
        <v>0.33</v>
      </c>
      <c r="K2669" s="442">
        <v>0.33</v>
      </c>
      <c r="L2669" s="70"/>
    </row>
    <row r="2670" spans="1:12" ht="25.5" x14ac:dyDescent="0.25">
      <c r="A2670" s="501" t="s">
        <v>1732</v>
      </c>
      <c r="B2670" s="502" t="s">
        <v>2698</v>
      </c>
      <c r="C2670" s="501" t="s">
        <v>1115</v>
      </c>
      <c r="D2670" s="501" t="s">
        <v>2699</v>
      </c>
      <c r="E2670" s="602" t="s">
        <v>2639</v>
      </c>
      <c r="F2670" s="602"/>
      <c r="G2670" s="503" t="s">
        <v>38</v>
      </c>
      <c r="H2670" s="504">
        <v>1E-4</v>
      </c>
      <c r="I2670" s="504"/>
      <c r="J2670" s="505">
        <v>3390.99</v>
      </c>
      <c r="K2670" s="505">
        <v>0.33</v>
      </c>
      <c r="L2670" s="70"/>
    </row>
    <row r="2671" spans="1:12" ht="15.75" customHeight="1" x14ac:dyDescent="0.25">
      <c r="A2671" s="445"/>
      <c r="B2671" s="445"/>
      <c r="C2671" s="445"/>
      <c r="D2671" s="445"/>
      <c r="E2671" s="445" t="s">
        <v>1735</v>
      </c>
      <c r="F2671" s="506">
        <v>0</v>
      </c>
      <c r="G2671" s="445" t="s">
        <v>1736</v>
      </c>
      <c r="H2671" s="506">
        <v>0</v>
      </c>
      <c r="I2671" s="445" t="s">
        <v>1737</v>
      </c>
      <c r="J2671" s="506">
        <v>0</v>
      </c>
      <c r="K2671" s="70"/>
      <c r="L2671" s="70"/>
    </row>
    <row r="2672" spans="1:12" ht="17.25" thickBot="1" x14ac:dyDescent="0.3">
      <c r="A2672" s="445"/>
      <c r="B2672" s="445"/>
      <c r="C2672" s="445"/>
      <c r="D2672" s="445"/>
      <c r="E2672" s="445" t="s">
        <v>1738</v>
      </c>
      <c r="F2672" s="506">
        <v>8.1311999999999995E-2</v>
      </c>
      <c r="G2672" s="445"/>
      <c r="H2672" s="606" t="s">
        <v>1739</v>
      </c>
      <c r="I2672" s="606"/>
      <c r="J2672" s="506">
        <v>0.41</v>
      </c>
      <c r="K2672" s="70"/>
      <c r="L2672" s="70"/>
    </row>
    <row r="2673" spans="1:12" ht="17.25" thickTop="1" x14ac:dyDescent="0.25">
      <c r="A2673" s="507"/>
      <c r="B2673" s="507"/>
      <c r="C2673" s="507"/>
      <c r="D2673" s="507"/>
      <c r="E2673" s="507"/>
      <c r="F2673" s="507"/>
      <c r="G2673" s="507"/>
      <c r="H2673" s="507"/>
      <c r="I2673" s="507"/>
      <c r="J2673" s="507"/>
      <c r="K2673" s="70"/>
      <c r="L2673" s="70"/>
    </row>
    <row r="2674" spans="1:12" ht="38.25" customHeight="1" x14ac:dyDescent="0.25">
      <c r="A2674" s="419"/>
      <c r="B2674" s="421" t="s">
        <v>76</v>
      </c>
      <c r="C2674" s="419" t="s">
        <v>991</v>
      </c>
      <c r="D2674" s="419" t="s">
        <v>191</v>
      </c>
      <c r="E2674" s="603" t="s">
        <v>77</v>
      </c>
      <c r="F2674" s="603"/>
      <c r="G2674" s="420" t="s">
        <v>103</v>
      </c>
      <c r="H2674" s="421" t="s">
        <v>147</v>
      </c>
      <c r="I2674" s="421" t="s">
        <v>1731</v>
      </c>
      <c r="J2674" s="421" t="s">
        <v>1117</v>
      </c>
      <c r="K2674" s="421" t="s">
        <v>104</v>
      </c>
      <c r="L2674" s="70"/>
    </row>
    <row r="2675" spans="1:12" ht="38.25" customHeight="1" x14ac:dyDescent="0.25">
      <c r="A2675" s="441" t="s">
        <v>79</v>
      </c>
      <c r="B2675" s="480" t="s">
        <v>2696</v>
      </c>
      <c r="C2675" s="441" t="s">
        <v>1168</v>
      </c>
      <c r="D2675" s="441" t="s">
        <v>2697</v>
      </c>
      <c r="E2675" s="604" t="s">
        <v>2126</v>
      </c>
      <c r="F2675" s="604"/>
      <c r="G2675" s="443" t="s">
        <v>81</v>
      </c>
      <c r="H2675" s="500">
        <v>1</v>
      </c>
      <c r="I2675" s="442"/>
      <c r="J2675" s="442">
        <v>0.48</v>
      </c>
      <c r="K2675" s="442">
        <v>0.48</v>
      </c>
      <c r="L2675" s="70"/>
    </row>
    <row r="2676" spans="1:12" ht="25.5" x14ac:dyDescent="0.25">
      <c r="A2676" s="501" t="s">
        <v>1732</v>
      </c>
      <c r="B2676" s="502" t="s">
        <v>2680</v>
      </c>
      <c r="C2676" s="501" t="s">
        <v>993</v>
      </c>
      <c r="D2676" s="501" t="s">
        <v>2681</v>
      </c>
      <c r="E2676" s="602" t="s">
        <v>1746</v>
      </c>
      <c r="F2676" s="602"/>
      <c r="G2676" s="503" t="s">
        <v>2682</v>
      </c>
      <c r="H2676" s="504">
        <v>0.52</v>
      </c>
      <c r="I2676" s="504">
        <v>0</v>
      </c>
      <c r="J2676" s="505">
        <v>0.93</v>
      </c>
      <c r="K2676" s="505">
        <v>0.48</v>
      </c>
      <c r="L2676" s="70"/>
    </row>
    <row r="2677" spans="1:12" ht="15.75" customHeight="1" x14ac:dyDescent="0.25">
      <c r="A2677" s="445"/>
      <c r="B2677" s="445"/>
      <c r="C2677" s="445"/>
      <c r="D2677" s="445"/>
      <c r="E2677" s="445" t="s">
        <v>1735</v>
      </c>
      <c r="F2677" s="506">
        <v>0</v>
      </c>
      <c r="G2677" s="445" t="s">
        <v>1736</v>
      </c>
      <c r="H2677" s="506">
        <v>0</v>
      </c>
      <c r="I2677" s="445" t="s">
        <v>1737</v>
      </c>
      <c r="J2677" s="506">
        <v>0</v>
      </c>
      <c r="K2677" s="70"/>
      <c r="L2677" s="70"/>
    </row>
    <row r="2678" spans="1:12" ht="0.95" customHeight="1" thickBot="1" x14ac:dyDescent="0.3">
      <c r="A2678" s="445"/>
      <c r="B2678" s="445"/>
      <c r="C2678" s="445"/>
      <c r="D2678" s="445"/>
      <c r="E2678" s="445" t="s">
        <v>1738</v>
      </c>
      <c r="F2678" s="506">
        <v>0.118272</v>
      </c>
      <c r="G2678" s="445"/>
      <c r="H2678" s="606" t="s">
        <v>1739</v>
      </c>
      <c r="I2678" s="606"/>
      <c r="J2678" s="506">
        <v>0.59</v>
      </c>
      <c r="K2678" s="70"/>
    </row>
    <row r="2679" spans="1:12" ht="17.25" thickTop="1" x14ac:dyDescent="0.25">
      <c r="A2679" s="507"/>
      <c r="B2679" s="507"/>
      <c r="C2679" s="507"/>
      <c r="D2679" s="507"/>
      <c r="E2679" s="507"/>
      <c r="F2679" s="507"/>
      <c r="G2679" s="507"/>
      <c r="H2679" s="507"/>
      <c r="I2679" s="507"/>
      <c r="J2679" s="507"/>
      <c r="K2679" s="70"/>
    </row>
  </sheetData>
  <mergeCells count="2172">
    <mergeCell ref="H2672:I2672"/>
    <mergeCell ref="E2676:F2676"/>
    <mergeCell ref="H2678:I2678"/>
    <mergeCell ref="J2616:J2617"/>
    <mergeCell ref="A2622:F2622"/>
    <mergeCell ref="G2622:I2622"/>
    <mergeCell ref="F2623:I2623"/>
    <mergeCell ref="A2632:F2632"/>
    <mergeCell ref="A2636:F2636"/>
    <mergeCell ref="G2636:I2636"/>
    <mergeCell ref="H2638:I2638"/>
    <mergeCell ref="E2643:F2643"/>
    <mergeCell ref="H2645:I2645"/>
    <mergeCell ref="E2652:F2652"/>
    <mergeCell ref="H2654:I2654"/>
    <mergeCell ref="E2658:F2658"/>
    <mergeCell ref="H2660:I2660"/>
    <mergeCell ref="E2664:F2664"/>
    <mergeCell ref="H2666:I2666"/>
    <mergeCell ref="E2670:F2670"/>
    <mergeCell ref="H2572:I2572"/>
    <mergeCell ref="E2580:F2580"/>
    <mergeCell ref="H2582:I2582"/>
    <mergeCell ref="E2586:F2586"/>
    <mergeCell ref="H2588:I2588"/>
    <mergeCell ref="E2592:F2592"/>
    <mergeCell ref="H2594:I2594"/>
    <mergeCell ref="E2598:F2598"/>
    <mergeCell ref="H2600:I2600"/>
    <mergeCell ref="E2604:F2604"/>
    <mergeCell ref="H2606:I2606"/>
    <mergeCell ref="E2610:F2610"/>
    <mergeCell ref="H2612:I2612"/>
    <mergeCell ref="E2615:F2615"/>
    <mergeCell ref="A2616:A2617"/>
    <mergeCell ref="B2616:B2617"/>
    <mergeCell ref="C2616:C2617"/>
    <mergeCell ref="D2616:D2617"/>
    <mergeCell ref="E2616:E2617"/>
    <mergeCell ref="F2616:G2616"/>
    <mergeCell ref="H2616:I2616"/>
    <mergeCell ref="H2478:I2478"/>
    <mergeCell ref="E2483:F2483"/>
    <mergeCell ref="H2485:I2485"/>
    <mergeCell ref="E2489:F2489"/>
    <mergeCell ref="H2491:I2491"/>
    <mergeCell ref="E2496:F2496"/>
    <mergeCell ref="H2498:I2498"/>
    <mergeCell ref="E2502:F2502"/>
    <mergeCell ref="H2504:I2504"/>
    <mergeCell ref="E2510:F2510"/>
    <mergeCell ref="H2512:I2512"/>
    <mergeCell ref="E2520:F2520"/>
    <mergeCell ref="H2522:I2522"/>
    <mergeCell ref="E2526:F2526"/>
    <mergeCell ref="H2528:I2528"/>
    <mergeCell ref="E2532:F2532"/>
    <mergeCell ref="H2534:I2534"/>
    <mergeCell ref="E2412:F2412"/>
    <mergeCell ref="H2414:I2414"/>
    <mergeCell ref="E2420:F2420"/>
    <mergeCell ref="H2422:I2422"/>
    <mergeCell ref="E2427:F2427"/>
    <mergeCell ref="H2429:I2429"/>
    <mergeCell ref="E2436:F2436"/>
    <mergeCell ref="H2438:I2438"/>
    <mergeCell ref="E2442:F2442"/>
    <mergeCell ref="H2444:I2444"/>
    <mergeCell ref="E2448:F2448"/>
    <mergeCell ref="H2450:I2450"/>
    <mergeCell ref="E2454:F2454"/>
    <mergeCell ref="H2456:I2456"/>
    <mergeCell ref="E2460:F2460"/>
    <mergeCell ref="H2462:I2462"/>
    <mergeCell ref="E2467:F2467"/>
    <mergeCell ref="E2452:F2452"/>
    <mergeCell ref="E2431:F2431"/>
    <mergeCell ref="E2432:F2432"/>
    <mergeCell ref="E2433:F2433"/>
    <mergeCell ref="E2434:F2434"/>
    <mergeCell ref="E2416:F2416"/>
    <mergeCell ref="E2417:F2417"/>
    <mergeCell ref="E2418:F2418"/>
    <mergeCell ref="E2419:F2419"/>
    <mergeCell ref="H2326:I2326"/>
    <mergeCell ref="E2333:F2333"/>
    <mergeCell ref="H2335:I2335"/>
    <mergeCell ref="A2337:K2337"/>
    <mergeCell ref="E2342:F2342"/>
    <mergeCell ref="H2344:I2344"/>
    <mergeCell ref="E2354:F2354"/>
    <mergeCell ref="H2356:I2356"/>
    <mergeCell ref="E2364:F2364"/>
    <mergeCell ref="H2366:I2366"/>
    <mergeCell ref="E2371:F2371"/>
    <mergeCell ref="H2373:I2373"/>
    <mergeCell ref="E2382:F2382"/>
    <mergeCell ref="H2384:I2384"/>
    <mergeCell ref="E2390:F2390"/>
    <mergeCell ref="H2392:I2392"/>
    <mergeCell ref="E2368:F2368"/>
    <mergeCell ref="E2358:F2358"/>
    <mergeCell ref="E2359:F2359"/>
    <mergeCell ref="E2352:F2352"/>
    <mergeCell ref="E2353:F2353"/>
    <mergeCell ref="E2340:F2340"/>
    <mergeCell ref="E2341:F2341"/>
    <mergeCell ref="E2338:F2338"/>
    <mergeCell ref="E2339:F2339"/>
    <mergeCell ref="E2328:F2328"/>
    <mergeCell ref="E2329:F2329"/>
    <mergeCell ref="E2369:F2369"/>
    <mergeCell ref="E2370:F2370"/>
    <mergeCell ref="E2375:F2375"/>
    <mergeCell ref="E2376:F2376"/>
    <mergeCell ref="E2224:F2224"/>
    <mergeCell ref="H2226:I2226"/>
    <mergeCell ref="E2231:F2231"/>
    <mergeCell ref="H2233:I2233"/>
    <mergeCell ref="E2238:F2238"/>
    <mergeCell ref="H2240:I2240"/>
    <mergeCell ref="E2246:F2246"/>
    <mergeCell ref="H2248:I2248"/>
    <mergeCell ref="E2254:F2254"/>
    <mergeCell ref="H2256:I2256"/>
    <mergeCell ref="E2265:F2265"/>
    <mergeCell ref="H2267:I2267"/>
    <mergeCell ref="E2276:F2276"/>
    <mergeCell ref="H2278:I2278"/>
    <mergeCell ref="E2287:F2287"/>
    <mergeCell ref="E2283:F2283"/>
    <mergeCell ref="E2230:F2230"/>
    <mergeCell ref="E2235:F2235"/>
    <mergeCell ref="E2236:F2236"/>
    <mergeCell ref="E2237:F2237"/>
    <mergeCell ref="E2269:F2269"/>
    <mergeCell ref="E2270:F2270"/>
    <mergeCell ref="E2271:F2271"/>
    <mergeCell ref="H2122:I2122"/>
    <mergeCell ref="E2129:F2129"/>
    <mergeCell ref="H2131:I2131"/>
    <mergeCell ref="E2138:F2138"/>
    <mergeCell ref="H2140:I2140"/>
    <mergeCell ref="E2146:F2146"/>
    <mergeCell ref="H2148:I2148"/>
    <mergeCell ref="E2154:F2154"/>
    <mergeCell ref="H2156:I2156"/>
    <mergeCell ref="E2162:F2162"/>
    <mergeCell ref="H2164:I2164"/>
    <mergeCell ref="E2172:F2172"/>
    <mergeCell ref="E2116:F2116"/>
    <mergeCell ref="E2117:F2117"/>
    <mergeCell ref="E2118:F2118"/>
    <mergeCell ref="E2217:F2217"/>
    <mergeCell ref="H2219:I2219"/>
    <mergeCell ref="E1948:F1948"/>
    <mergeCell ref="H1950:I1950"/>
    <mergeCell ref="E1958:F1958"/>
    <mergeCell ref="H1960:I1960"/>
    <mergeCell ref="E1968:F1968"/>
    <mergeCell ref="H1970:I1970"/>
    <mergeCell ref="E1978:F1978"/>
    <mergeCell ref="H1980:I1980"/>
    <mergeCell ref="E1988:F1988"/>
    <mergeCell ref="H1990:I1990"/>
    <mergeCell ref="E1998:F1998"/>
    <mergeCell ref="H2000:I2000"/>
    <mergeCell ref="E2007:F2007"/>
    <mergeCell ref="H2009:I2009"/>
    <mergeCell ref="E2015:F2015"/>
    <mergeCell ref="H2017:I2017"/>
    <mergeCell ref="E2025:F2025"/>
    <mergeCell ref="E1884:F1884"/>
    <mergeCell ref="H1886:I1886"/>
    <mergeCell ref="E1892:F1892"/>
    <mergeCell ref="H1894:I1894"/>
    <mergeCell ref="E1900:F1900"/>
    <mergeCell ref="H1902:I1902"/>
    <mergeCell ref="E1910:F1910"/>
    <mergeCell ref="H1912:I1912"/>
    <mergeCell ref="E1919:F1919"/>
    <mergeCell ref="H1921:I1921"/>
    <mergeCell ref="E1888:F1888"/>
    <mergeCell ref="E1889:F1889"/>
    <mergeCell ref="E1890:F1890"/>
    <mergeCell ref="E1883:F1883"/>
    <mergeCell ref="E1872:F1872"/>
    <mergeCell ref="E1873:F1873"/>
    <mergeCell ref="E1874:F1874"/>
    <mergeCell ref="E1879:F1879"/>
    <mergeCell ref="E1880:F1880"/>
    <mergeCell ref="H1819:I1819"/>
    <mergeCell ref="E1825:F1825"/>
    <mergeCell ref="H1827:I1827"/>
    <mergeCell ref="E1831:F1831"/>
    <mergeCell ref="E1768:F1768"/>
    <mergeCell ref="E1769:F1769"/>
    <mergeCell ref="E1774:F1774"/>
    <mergeCell ref="E1764:F1764"/>
    <mergeCell ref="E1765:F1765"/>
    <mergeCell ref="E1766:F1766"/>
    <mergeCell ref="H1847:I1847"/>
    <mergeCell ref="E1855:F1855"/>
    <mergeCell ref="H1857:I1857"/>
    <mergeCell ref="E1865:F1865"/>
    <mergeCell ref="H1867:I1867"/>
    <mergeCell ref="E1875:F1875"/>
    <mergeCell ref="H1877:I1877"/>
    <mergeCell ref="E1869:F1869"/>
    <mergeCell ref="E1870:F1870"/>
    <mergeCell ref="E1871:F1871"/>
    <mergeCell ref="E1859:F1859"/>
    <mergeCell ref="E1860:F1860"/>
    <mergeCell ref="E1854:F1854"/>
    <mergeCell ref="H1532:I1532"/>
    <mergeCell ref="E1540:F1540"/>
    <mergeCell ref="H1542:I1542"/>
    <mergeCell ref="E1551:F1551"/>
    <mergeCell ref="H1553:I1553"/>
    <mergeCell ref="E1561:F1561"/>
    <mergeCell ref="H1563:I1563"/>
    <mergeCell ref="E1570:F1570"/>
    <mergeCell ref="H1572:I1572"/>
    <mergeCell ref="E1580:F1580"/>
    <mergeCell ref="H1582:I1582"/>
    <mergeCell ref="E1591:F1591"/>
    <mergeCell ref="H1593:I1593"/>
    <mergeCell ref="E1600:F1600"/>
    <mergeCell ref="H1602:I1602"/>
    <mergeCell ref="E1610:F1610"/>
    <mergeCell ref="H1612:I1612"/>
    <mergeCell ref="E1595:F1595"/>
    <mergeCell ref="E1596:F1596"/>
    <mergeCell ref="E1597:F1597"/>
    <mergeCell ref="E1598:F1598"/>
    <mergeCell ref="E1577:F1577"/>
    <mergeCell ref="E1578:F1578"/>
    <mergeCell ref="E1579:F1579"/>
    <mergeCell ref="E1584:F1584"/>
    <mergeCell ref="E1565:F1565"/>
    <mergeCell ref="E1566:F1566"/>
    <mergeCell ref="E1567:F1567"/>
    <mergeCell ref="E1568:F1568"/>
    <mergeCell ref="E1569:F1569"/>
    <mergeCell ref="E1588:F1588"/>
    <mergeCell ref="E1589:F1589"/>
    <mergeCell ref="H1494:I1494"/>
    <mergeCell ref="E1500:F1500"/>
    <mergeCell ref="H1502:I1502"/>
    <mergeCell ref="E1510:F1510"/>
    <mergeCell ref="H1512:I1512"/>
    <mergeCell ref="E1520:F1520"/>
    <mergeCell ref="H1522:I1522"/>
    <mergeCell ref="E1530:F1530"/>
    <mergeCell ref="E1481:F1481"/>
    <mergeCell ref="E1482:F1482"/>
    <mergeCell ref="E1483:F1483"/>
    <mergeCell ref="E1488:F1488"/>
    <mergeCell ref="E1473:F1473"/>
    <mergeCell ref="E1474:F1474"/>
    <mergeCell ref="E1475:F1475"/>
    <mergeCell ref="E1480:F1480"/>
    <mergeCell ref="E1517:F1517"/>
    <mergeCell ref="E1518:F1518"/>
    <mergeCell ref="E1519:F1519"/>
    <mergeCell ref="E1524:F1524"/>
    <mergeCell ref="E1505:F1505"/>
    <mergeCell ref="E1506:F1506"/>
    <mergeCell ref="E1507:F1507"/>
    <mergeCell ref="H1429:I1429"/>
    <mergeCell ref="E1370:F1370"/>
    <mergeCell ref="E1371:F1371"/>
    <mergeCell ref="E1372:F1372"/>
    <mergeCell ref="E1373:F1373"/>
    <mergeCell ref="E1374:F1374"/>
    <mergeCell ref="E1375:F1375"/>
    <mergeCell ref="E1426:F1426"/>
    <mergeCell ref="E1460:F1460"/>
    <mergeCell ref="H1462:I1462"/>
    <mergeCell ref="E1468:F1468"/>
    <mergeCell ref="H1470:I1470"/>
    <mergeCell ref="E1476:F1476"/>
    <mergeCell ref="H1478:I1478"/>
    <mergeCell ref="E1484:F1484"/>
    <mergeCell ref="H1486:I1486"/>
    <mergeCell ref="E1492:F1492"/>
    <mergeCell ref="E1228:F1228"/>
    <mergeCell ref="H1342:I1342"/>
    <mergeCell ref="E1346:F1346"/>
    <mergeCell ref="H1348:I1348"/>
    <mergeCell ref="E1378:F1378"/>
    <mergeCell ref="H1380:I1380"/>
    <mergeCell ref="E1386:F1386"/>
    <mergeCell ref="H1388:I1388"/>
    <mergeCell ref="E1394:F1394"/>
    <mergeCell ref="H1396:I1396"/>
    <mergeCell ref="E1402:F1402"/>
    <mergeCell ref="H1404:I1404"/>
    <mergeCell ref="E1410:F1410"/>
    <mergeCell ref="H1412:I1412"/>
    <mergeCell ref="E1418:F1418"/>
    <mergeCell ref="H1420:I1420"/>
    <mergeCell ref="E1427:F1427"/>
    <mergeCell ref="H1234:I1234"/>
    <mergeCell ref="E1242:F1242"/>
    <mergeCell ref="H1244:I1244"/>
    <mergeCell ref="E1250:F1250"/>
    <mergeCell ref="H1252:I1252"/>
    <mergeCell ref="E1258:F1258"/>
    <mergeCell ref="H1260:I1260"/>
    <mergeCell ref="E1266:F1266"/>
    <mergeCell ref="H1268:I1268"/>
    <mergeCell ref="E1274:F1274"/>
    <mergeCell ref="H1276:I1276"/>
    <mergeCell ref="E1282:F1282"/>
    <mergeCell ref="E1262:F1262"/>
    <mergeCell ref="E1263:F1263"/>
    <mergeCell ref="E1264:F1264"/>
    <mergeCell ref="E1257:F1257"/>
    <mergeCell ref="E1246:F1246"/>
    <mergeCell ref="E1247:F1247"/>
    <mergeCell ref="E1248:F1248"/>
    <mergeCell ref="H1137:I1137"/>
    <mergeCell ref="E1144:F1144"/>
    <mergeCell ref="H1146:I1146"/>
    <mergeCell ref="E1152:F1152"/>
    <mergeCell ref="H1154:I1154"/>
    <mergeCell ref="E1160:F1160"/>
    <mergeCell ref="H1162:I1162"/>
    <mergeCell ref="E1168:F1168"/>
    <mergeCell ref="H1170:I1170"/>
    <mergeCell ref="E1176:F1176"/>
    <mergeCell ref="H1178:I1178"/>
    <mergeCell ref="E1191:F1191"/>
    <mergeCell ref="H1193:I1193"/>
    <mergeCell ref="E1199:F1199"/>
    <mergeCell ref="H1201:I1201"/>
    <mergeCell ref="E1207:F1207"/>
    <mergeCell ref="E1184:F1184"/>
    <mergeCell ref="E1185:F1185"/>
    <mergeCell ref="E1186:F1186"/>
    <mergeCell ref="E1187:F1187"/>
    <mergeCell ref="E1182:F1182"/>
    <mergeCell ref="E1183:F1183"/>
    <mergeCell ref="E1172:F1172"/>
    <mergeCell ref="E1173:F1173"/>
    <mergeCell ref="E1166:F1166"/>
    <mergeCell ref="E1167:F1167"/>
    <mergeCell ref="E1156:F1156"/>
    <mergeCell ref="E1157:F1157"/>
    <mergeCell ref="E1149:F1149"/>
    <mergeCell ref="E1150:F1150"/>
    <mergeCell ref="E1151:F1151"/>
    <mergeCell ref="E1046:F1046"/>
    <mergeCell ref="H1048:I1048"/>
    <mergeCell ref="E1054:F1054"/>
    <mergeCell ref="H1056:I1056"/>
    <mergeCell ref="E1062:F1062"/>
    <mergeCell ref="H1064:I1064"/>
    <mergeCell ref="E1070:F1070"/>
    <mergeCell ref="H1072:I1072"/>
    <mergeCell ref="E1078:F1078"/>
    <mergeCell ref="H1080:I1080"/>
    <mergeCell ref="E1086:F1086"/>
    <mergeCell ref="H1088:I1088"/>
    <mergeCell ref="E1094:F1094"/>
    <mergeCell ref="H1096:I1096"/>
    <mergeCell ref="E1102:F1102"/>
    <mergeCell ref="H1104:I1104"/>
    <mergeCell ref="E1110:F1110"/>
    <mergeCell ref="E1090:F1090"/>
    <mergeCell ref="E1091:F1091"/>
    <mergeCell ref="E1092:F1092"/>
    <mergeCell ref="E1085:F1085"/>
    <mergeCell ref="E1074:F1074"/>
    <mergeCell ref="E1075:F1075"/>
    <mergeCell ref="E1076:F1076"/>
    <mergeCell ref="E1069:F1069"/>
    <mergeCell ref="E1058:F1058"/>
    <mergeCell ref="E1059:F1059"/>
    <mergeCell ref="E1060:F1060"/>
    <mergeCell ref="E1093:F1093"/>
    <mergeCell ref="E1098:F1098"/>
    <mergeCell ref="E1099:F1099"/>
    <mergeCell ref="E1100:F1100"/>
    <mergeCell ref="C995:C996"/>
    <mergeCell ref="D995:D996"/>
    <mergeCell ref="E995:E996"/>
    <mergeCell ref="F995:G995"/>
    <mergeCell ref="H995:I995"/>
    <mergeCell ref="J995:J996"/>
    <mergeCell ref="A1002:F1002"/>
    <mergeCell ref="G1002:I1002"/>
    <mergeCell ref="F1003:I1003"/>
    <mergeCell ref="A1012:F1012"/>
    <mergeCell ref="A1015:F1015"/>
    <mergeCell ref="G1015:I1015"/>
    <mergeCell ref="H1017:I1017"/>
    <mergeCell ref="E1024:F1024"/>
    <mergeCell ref="H1026:I1026"/>
    <mergeCell ref="E1034:F1034"/>
    <mergeCell ref="H1036:I1036"/>
    <mergeCell ref="H951:I951"/>
    <mergeCell ref="E967:F967"/>
    <mergeCell ref="H969:I969"/>
    <mergeCell ref="E972:F972"/>
    <mergeCell ref="A973:A974"/>
    <mergeCell ref="B973:B974"/>
    <mergeCell ref="C973:C974"/>
    <mergeCell ref="D973:D974"/>
    <mergeCell ref="E973:E974"/>
    <mergeCell ref="F973:G973"/>
    <mergeCell ref="H973:I973"/>
    <mergeCell ref="J973:J974"/>
    <mergeCell ref="A979:F979"/>
    <mergeCell ref="G979:I979"/>
    <mergeCell ref="F980:I980"/>
    <mergeCell ref="A989:F989"/>
    <mergeCell ref="G989:I989"/>
    <mergeCell ref="E953:F953"/>
    <mergeCell ref="H850:I850"/>
    <mergeCell ref="E867:F867"/>
    <mergeCell ref="H869:I869"/>
    <mergeCell ref="E876:F876"/>
    <mergeCell ref="H878:I878"/>
    <mergeCell ref="E885:F885"/>
    <mergeCell ref="H887:I887"/>
    <mergeCell ref="E895:F895"/>
    <mergeCell ref="H897:I897"/>
    <mergeCell ref="E904:F904"/>
    <mergeCell ref="H906:I906"/>
    <mergeCell ref="E913:F913"/>
    <mergeCell ref="H915:I915"/>
    <mergeCell ref="E922:F922"/>
    <mergeCell ref="H924:I924"/>
    <mergeCell ref="E932:F932"/>
    <mergeCell ref="H934:I934"/>
    <mergeCell ref="E874:F874"/>
    <mergeCell ref="E875:F875"/>
    <mergeCell ref="E872:F872"/>
    <mergeCell ref="E873:F873"/>
    <mergeCell ref="E926:F926"/>
    <mergeCell ref="E912:F912"/>
    <mergeCell ref="E917:F917"/>
    <mergeCell ref="E909:F909"/>
    <mergeCell ref="E910:F910"/>
    <mergeCell ref="E911:F911"/>
    <mergeCell ref="E899:F899"/>
    <mergeCell ref="E900:F900"/>
    <mergeCell ref="E894:F894"/>
    <mergeCell ref="E880:F880"/>
    <mergeCell ref="E881:F881"/>
    <mergeCell ref="H719:I719"/>
    <mergeCell ref="E734:F734"/>
    <mergeCell ref="H736:I736"/>
    <mergeCell ref="E745:F745"/>
    <mergeCell ref="H747:I747"/>
    <mergeCell ref="E759:F759"/>
    <mergeCell ref="H761:I761"/>
    <mergeCell ref="E770:F770"/>
    <mergeCell ref="H772:I772"/>
    <mergeCell ref="E778:F778"/>
    <mergeCell ref="H780:I780"/>
    <mergeCell ref="E785:F785"/>
    <mergeCell ref="H787:I787"/>
    <mergeCell ref="E807:F807"/>
    <mergeCell ref="H809:I809"/>
    <mergeCell ref="E830:F830"/>
    <mergeCell ref="H832:I832"/>
    <mergeCell ref="E789:F789"/>
    <mergeCell ref="E790:F790"/>
    <mergeCell ref="E784:F784"/>
    <mergeCell ref="E774:F774"/>
    <mergeCell ref="E775:F775"/>
    <mergeCell ref="E804:F804"/>
    <mergeCell ref="E805:F805"/>
    <mergeCell ref="E806:F806"/>
    <mergeCell ref="E811:F811"/>
    <mergeCell ref="E791:F791"/>
    <mergeCell ref="E792:F792"/>
    <mergeCell ref="E793:F793"/>
    <mergeCell ref="E794:F794"/>
    <mergeCell ref="E795:F795"/>
    <mergeCell ref="E796:F796"/>
    <mergeCell ref="E611:F611"/>
    <mergeCell ref="H613:I613"/>
    <mergeCell ref="E619:F619"/>
    <mergeCell ref="H621:I621"/>
    <mergeCell ref="E630:F630"/>
    <mergeCell ref="H632:I632"/>
    <mergeCell ref="E645:F645"/>
    <mergeCell ref="H647:I647"/>
    <mergeCell ref="E654:F654"/>
    <mergeCell ref="H656:I656"/>
    <mergeCell ref="E663:F663"/>
    <mergeCell ref="H665:I665"/>
    <mergeCell ref="E672:F672"/>
    <mergeCell ref="H674:I674"/>
    <mergeCell ref="E681:F681"/>
    <mergeCell ref="H683:I683"/>
    <mergeCell ref="E690:F690"/>
    <mergeCell ref="E615:F615"/>
    <mergeCell ref="E616:F616"/>
    <mergeCell ref="E617:F617"/>
    <mergeCell ref="E618:F618"/>
    <mergeCell ref="E650:F650"/>
    <mergeCell ref="E651:F651"/>
    <mergeCell ref="E652:F652"/>
    <mergeCell ref="E653:F653"/>
    <mergeCell ref="E636:F636"/>
    <mergeCell ref="E637:F637"/>
    <mergeCell ref="E638:F638"/>
    <mergeCell ref="E639:F639"/>
    <mergeCell ref="E640:F640"/>
    <mergeCell ref="E641:F641"/>
    <mergeCell ref="E623:F623"/>
    <mergeCell ref="H534:I534"/>
    <mergeCell ref="E541:F541"/>
    <mergeCell ref="H543:I543"/>
    <mergeCell ref="E550:F550"/>
    <mergeCell ref="H552:I552"/>
    <mergeCell ref="E559:F559"/>
    <mergeCell ref="H561:I561"/>
    <mergeCell ref="E568:F568"/>
    <mergeCell ref="H570:I570"/>
    <mergeCell ref="E578:F578"/>
    <mergeCell ref="H580:I580"/>
    <mergeCell ref="E585:F585"/>
    <mergeCell ref="H587:I587"/>
    <mergeCell ref="E595:F595"/>
    <mergeCell ref="H597:I597"/>
    <mergeCell ref="E602:F602"/>
    <mergeCell ref="H604:I604"/>
    <mergeCell ref="E536:F536"/>
    <mergeCell ref="E465:F465"/>
    <mergeCell ref="H467:I467"/>
    <mergeCell ref="E471:F471"/>
    <mergeCell ref="H473:I473"/>
    <mergeCell ref="E479:F479"/>
    <mergeCell ref="H481:I481"/>
    <mergeCell ref="E486:F486"/>
    <mergeCell ref="H488:I488"/>
    <mergeCell ref="E494:F494"/>
    <mergeCell ref="H496:I496"/>
    <mergeCell ref="E500:F500"/>
    <mergeCell ref="H502:I502"/>
    <mergeCell ref="E510:F510"/>
    <mergeCell ref="H512:I512"/>
    <mergeCell ref="E521:F521"/>
    <mergeCell ref="H523:I523"/>
    <mergeCell ref="E532:F532"/>
    <mergeCell ref="E525:F525"/>
    <mergeCell ref="E526:F526"/>
    <mergeCell ref="E520:F520"/>
    <mergeCell ref="E508:F508"/>
    <mergeCell ref="E509:F509"/>
    <mergeCell ref="E507:F507"/>
    <mergeCell ref="E490:F490"/>
    <mergeCell ref="E469:F469"/>
    <mergeCell ref="E470:F470"/>
    <mergeCell ref="E491:F491"/>
    <mergeCell ref="E492:F492"/>
    <mergeCell ref="E493:F493"/>
    <mergeCell ref="E498:F498"/>
    <mergeCell ref="E483:F483"/>
    <mergeCell ref="E484:F484"/>
    <mergeCell ref="B3:E3"/>
    <mergeCell ref="A8:K8"/>
    <mergeCell ref="E11:F11"/>
    <mergeCell ref="H13:I13"/>
    <mergeCell ref="E17:F17"/>
    <mergeCell ref="H19:I19"/>
    <mergeCell ref="E23:F23"/>
    <mergeCell ref="H25:I25"/>
    <mergeCell ref="E29:F29"/>
    <mergeCell ref="H31:I31"/>
    <mergeCell ref="E160:F160"/>
    <mergeCell ref="H162:I162"/>
    <mergeCell ref="E203:F203"/>
    <mergeCell ref="H205:I205"/>
    <mergeCell ref="E251:F251"/>
    <mergeCell ref="H253:I253"/>
    <mergeCell ref="E293:F293"/>
    <mergeCell ref="E33:F33"/>
    <mergeCell ref="E75:F75"/>
    <mergeCell ref="E76:F76"/>
    <mergeCell ref="E65:F65"/>
    <mergeCell ref="E66:F66"/>
    <mergeCell ref="E67:F67"/>
    <mergeCell ref="E68:F68"/>
    <mergeCell ref="E63:F63"/>
    <mergeCell ref="E64:F64"/>
    <mergeCell ref="E53:F53"/>
    <mergeCell ref="E54:F54"/>
    <mergeCell ref="E55:F55"/>
    <mergeCell ref="E56:F56"/>
    <mergeCell ref="E51:F51"/>
    <mergeCell ref="E52:F52"/>
    <mergeCell ref="E41:F41"/>
    <mergeCell ref="E42:F42"/>
    <mergeCell ref="E43:F43"/>
    <mergeCell ref="E44:F44"/>
    <mergeCell ref="E34:F34"/>
    <mergeCell ref="E35:F35"/>
    <mergeCell ref="E36:F36"/>
    <mergeCell ref="E37:F37"/>
    <mergeCell ref="E38:F38"/>
    <mergeCell ref="E39:F39"/>
    <mergeCell ref="E74:F74"/>
    <mergeCell ref="E91:F91"/>
    <mergeCell ref="E92:F92"/>
    <mergeCell ref="E87:F87"/>
    <mergeCell ref="E88:F88"/>
    <mergeCell ref="E77:F77"/>
    <mergeCell ref="E78:F78"/>
    <mergeCell ref="E79:F79"/>
    <mergeCell ref="E80:F80"/>
    <mergeCell ref="E59:F59"/>
    <mergeCell ref="E60:F60"/>
    <mergeCell ref="E61:F61"/>
    <mergeCell ref="E62:F62"/>
    <mergeCell ref="E45:F45"/>
    <mergeCell ref="E46:F46"/>
    <mergeCell ref="E47:F47"/>
    <mergeCell ref="E48:F48"/>
    <mergeCell ref="E49:F49"/>
    <mergeCell ref="E50:F50"/>
    <mergeCell ref="E40:F40"/>
    <mergeCell ref="E90:F90"/>
    <mergeCell ref="E105:F105"/>
    <mergeCell ref="E106:F106"/>
    <mergeCell ref="E107:F107"/>
    <mergeCell ref="E108:F108"/>
    <mergeCell ref="E109:F109"/>
    <mergeCell ref="E110:F110"/>
    <mergeCell ref="E93:F93"/>
    <mergeCell ref="E94:F94"/>
    <mergeCell ref="E95:F95"/>
    <mergeCell ref="E96:F96"/>
    <mergeCell ref="E97:F97"/>
    <mergeCell ref="E98:F98"/>
    <mergeCell ref="E81:F81"/>
    <mergeCell ref="E82:F82"/>
    <mergeCell ref="E147:F147"/>
    <mergeCell ref="E148:F148"/>
    <mergeCell ref="E137:F137"/>
    <mergeCell ref="E138:F138"/>
    <mergeCell ref="E139:F139"/>
    <mergeCell ref="E140:F140"/>
    <mergeCell ref="E135:F135"/>
    <mergeCell ref="E136:F136"/>
    <mergeCell ref="E125:F125"/>
    <mergeCell ref="E126:F126"/>
    <mergeCell ref="E127:F127"/>
    <mergeCell ref="E128:F128"/>
    <mergeCell ref="E123:F123"/>
    <mergeCell ref="E124:F124"/>
    <mergeCell ref="E113:F113"/>
    <mergeCell ref="E114:F114"/>
    <mergeCell ref="E115:F115"/>
    <mergeCell ref="E116:F116"/>
    <mergeCell ref="E164:F164"/>
    <mergeCell ref="E165:F165"/>
    <mergeCell ref="E159:F159"/>
    <mergeCell ref="E149:F149"/>
    <mergeCell ref="E150:F150"/>
    <mergeCell ref="E151:F151"/>
    <mergeCell ref="E152:F152"/>
    <mergeCell ref="E179:F179"/>
    <mergeCell ref="E180:F180"/>
    <mergeCell ref="E181:F181"/>
    <mergeCell ref="E182:F182"/>
    <mergeCell ref="E183:F183"/>
    <mergeCell ref="E184:F184"/>
    <mergeCell ref="E166:F166"/>
    <mergeCell ref="E167:F167"/>
    <mergeCell ref="E168:F168"/>
    <mergeCell ref="E169:F169"/>
    <mergeCell ref="E170:F170"/>
    <mergeCell ref="E171:F171"/>
    <mergeCell ref="E153:F153"/>
    <mergeCell ref="E154:F154"/>
    <mergeCell ref="E155:F155"/>
    <mergeCell ref="E156:F156"/>
    <mergeCell ref="E157:F157"/>
    <mergeCell ref="E158:F158"/>
    <mergeCell ref="E223:F223"/>
    <mergeCell ref="E224:F224"/>
    <mergeCell ref="E213:F213"/>
    <mergeCell ref="E214:F214"/>
    <mergeCell ref="E215:F215"/>
    <mergeCell ref="E216:F216"/>
    <mergeCell ref="E211:F211"/>
    <mergeCell ref="E212:F212"/>
    <mergeCell ref="E199:F199"/>
    <mergeCell ref="E200:F200"/>
    <mergeCell ref="E201:F201"/>
    <mergeCell ref="E202:F202"/>
    <mergeCell ref="E197:F197"/>
    <mergeCell ref="E198:F198"/>
    <mergeCell ref="E187:F187"/>
    <mergeCell ref="E188:F188"/>
    <mergeCell ref="E189:F189"/>
    <mergeCell ref="E190:F190"/>
    <mergeCell ref="E217:F217"/>
    <mergeCell ref="E218:F218"/>
    <mergeCell ref="E219:F219"/>
    <mergeCell ref="E220:F220"/>
    <mergeCell ref="E221:F221"/>
    <mergeCell ref="E222:F222"/>
    <mergeCell ref="E207:F207"/>
    <mergeCell ref="E208:F208"/>
    <mergeCell ref="E209:F209"/>
    <mergeCell ref="E210:F210"/>
    <mergeCell ref="E191:F191"/>
    <mergeCell ref="E192:F192"/>
    <mergeCell ref="E193:F193"/>
    <mergeCell ref="E194:F194"/>
    <mergeCell ref="E248:F248"/>
    <mergeCell ref="E237:F237"/>
    <mergeCell ref="E238:F238"/>
    <mergeCell ref="E239:F239"/>
    <mergeCell ref="E240:F240"/>
    <mergeCell ref="E235:F235"/>
    <mergeCell ref="E236:F236"/>
    <mergeCell ref="E225:F225"/>
    <mergeCell ref="E226:F226"/>
    <mergeCell ref="E227:F227"/>
    <mergeCell ref="E228:F228"/>
    <mergeCell ref="E255:F255"/>
    <mergeCell ref="E256:F256"/>
    <mergeCell ref="E257:F257"/>
    <mergeCell ref="E258:F258"/>
    <mergeCell ref="E259:F259"/>
    <mergeCell ref="E260:F260"/>
    <mergeCell ref="E241:F241"/>
    <mergeCell ref="E242:F242"/>
    <mergeCell ref="E243:F243"/>
    <mergeCell ref="E244:F244"/>
    <mergeCell ref="E245:F245"/>
    <mergeCell ref="E246:F246"/>
    <mergeCell ref="E229:F229"/>
    <mergeCell ref="E230:F230"/>
    <mergeCell ref="H295:I295"/>
    <mergeCell ref="E299:F299"/>
    <mergeCell ref="H301:I301"/>
    <mergeCell ref="E305:F305"/>
    <mergeCell ref="H307:I307"/>
    <mergeCell ref="E320:F320"/>
    <mergeCell ref="H322:I322"/>
    <mergeCell ref="E326:F326"/>
    <mergeCell ref="H328:I328"/>
    <mergeCell ref="E332:F332"/>
    <mergeCell ref="H334:I334"/>
    <mergeCell ref="E338:F338"/>
    <mergeCell ref="H340:I340"/>
    <mergeCell ref="E336:F336"/>
    <mergeCell ref="E337:F337"/>
    <mergeCell ref="E330:F330"/>
    <mergeCell ref="E331:F331"/>
    <mergeCell ref="E317:F317"/>
    <mergeCell ref="E318:F318"/>
    <mergeCell ref="E319:F319"/>
    <mergeCell ref="E303:F303"/>
    <mergeCell ref="E304:F304"/>
    <mergeCell ref="E403:F403"/>
    <mergeCell ref="E404:F404"/>
    <mergeCell ref="E409:F409"/>
    <mergeCell ref="E410:F410"/>
    <mergeCell ref="E391:F391"/>
    <mergeCell ref="E392:F392"/>
    <mergeCell ref="E393:F393"/>
    <mergeCell ref="E394:F394"/>
    <mergeCell ref="E395:F395"/>
    <mergeCell ref="A382:F382"/>
    <mergeCell ref="G382:I382"/>
    <mergeCell ref="E346:F346"/>
    <mergeCell ref="E347:F347"/>
    <mergeCell ref="E348:F348"/>
    <mergeCell ref="E350:F350"/>
    <mergeCell ref="H352:I352"/>
    <mergeCell ref="E356:F356"/>
    <mergeCell ref="H358:I358"/>
    <mergeCell ref="E362:F362"/>
    <mergeCell ref="H364:I364"/>
    <mergeCell ref="E368:F368"/>
    <mergeCell ref="H370:I370"/>
    <mergeCell ref="E374:F374"/>
    <mergeCell ref="H376:I376"/>
    <mergeCell ref="E379:F379"/>
    <mergeCell ref="A384:F384"/>
    <mergeCell ref="A387:F387"/>
    <mergeCell ref="E342:F342"/>
    <mergeCell ref="E343:F343"/>
    <mergeCell ref="E344:F344"/>
    <mergeCell ref="E537:F537"/>
    <mergeCell ref="E538:F538"/>
    <mergeCell ref="E539:F539"/>
    <mergeCell ref="E540:F540"/>
    <mergeCell ref="E576:F576"/>
    <mergeCell ref="G387:I387"/>
    <mergeCell ref="H389:I389"/>
    <mergeCell ref="E463:F463"/>
    <mergeCell ref="E464:F464"/>
    <mergeCell ref="E451:F451"/>
    <mergeCell ref="E452:F452"/>
    <mergeCell ref="E445:F445"/>
    <mergeCell ref="E446:F446"/>
    <mergeCell ref="E433:F433"/>
    <mergeCell ref="E434:F434"/>
    <mergeCell ref="E427:F427"/>
    <mergeCell ref="E428:F428"/>
    <mergeCell ref="E416:F416"/>
    <mergeCell ref="E417:F417"/>
    <mergeCell ref="E418:F418"/>
    <mergeCell ref="H455:I455"/>
    <mergeCell ref="E459:F459"/>
    <mergeCell ref="H461:I461"/>
    <mergeCell ref="E396:F396"/>
    <mergeCell ref="H398:I398"/>
    <mergeCell ref="E405:F405"/>
    <mergeCell ref="H407:I407"/>
    <mergeCell ref="E412:F412"/>
    <mergeCell ref="H414:I414"/>
    <mergeCell ref="E422:F422"/>
    <mergeCell ref="H424:I424"/>
    <mergeCell ref="E429:F429"/>
    <mergeCell ref="E577:F577"/>
    <mergeCell ref="E573:F573"/>
    <mergeCell ref="E574:F574"/>
    <mergeCell ref="E575:F575"/>
    <mergeCell ref="E563:F563"/>
    <mergeCell ref="E564:F564"/>
    <mergeCell ref="E557:F557"/>
    <mergeCell ref="E558:F558"/>
    <mergeCell ref="E545:F545"/>
    <mergeCell ref="E546:F546"/>
    <mergeCell ref="E547:F547"/>
    <mergeCell ref="E548:F548"/>
    <mergeCell ref="E565:F565"/>
    <mergeCell ref="E566:F566"/>
    <mergeCell ref="E567:F567"/>
    <mergeCell ref="E572:F572"/>
    <mergeCell ref="E549:F549"/>
    <mergeCell ref="E554:F554"/>
    <mergeCell ref="E555:F555"/>
    <mergeCell ref="E556:F556"/>
    <mergeCell ref="E713:F713"/>
    <mergeCell ref="E714:F714"/>
    <mergeCell ref="E715:F715"/>
    <mergeCell ref="E716:F716"/>
    <mergeCell ref="E704:F704"/>
    <mergeCell ref="E658:F658"/>
    <mergeCell ref="E644:F644"/>
    <mergeCell ref="E649:F649"/>
    <mergeCell ref="E642:F642"/>
    <mergeCell ref="E643:F643"/>
    <mergeCell ref="E634:F634"/>
    <mergeCell ref="E635:F635"/>
    <mergeCell ref="H692:I692"/>
    <mergeCell ref="E699:F699"/>
    <mergeCell ref="H701:I701"/>
    <mergeCell ref="E709:F709"/>
    <mergeCell ref="H711:I711"/>
    <mergeCell ref="E705:F705"/>
    <mergeCell ref="E706:F706"/>
    <mergeCell ref="E707:F707"/>
    <mergeCell ref="E708:F708"/>
    <mergeCell ref="E782:F782"/>
    <mergeCell ref="E783:F783"/>
    <mergeCell ref="E844:F844"/>
    <mergeCell ref="E845:F845"/>
    <mergeCell ref="E846:F846"/>
    <mergeCell ref="E847:F847"/>
    <mergeCell ref="E834:F834"/>
    <mergeCell ref="E835:F835"/>
    <mergeCell ref="E836:F836"/>
    <mergeCell ref="E837:F837"/>
    <mergeCell ref="E818:F818"/>
    <mergeCell ref="E819:F819"/>
    <mergeCell ref="E717:F717"/>
    <mergeCell ref="E698:F698"/>
    <mergeCell ref="E703:F703"/>
    <mergeCell ref="E695:F695"/>
    <mergeCell ref="E696:F696"/>
    <mergeCell ref="E697:F697"/>
    <mergeCell ref="E767:F767"/>
    <mergeCell ref="E768:F768"/>
    <mergeCell ref="E769:F769"/>
    <mergeCell ref="E756:F756"/>
    <mergeCell ref="E757:F757"/>
    <mergeCell ref="E758:F758"/>
    <mergeCell ref="E753:F753"/>
    <mergeCell ref="E754:F754"/>
    <mergeCell ref="E755:F755"/>
    <mergeCell ref="E742:F742"/>
    <mergeCell ref="E743:F743"/>
    <mergeCell ref="E744:F744"/>
    <mergeCell ref="E740:F740"/>
    <mergeCell ref="E741:F741"/>
    <mergeCell ref="E938:F938"/>
    <mergeCell ref="E954:F954"/>
    <mergeCell ref="E955:F955"/>
    <mergeCell ref="E956:F956"/>
    <mergeCell ref="E957:F957"/>
    <mergeCell ref="E958:F958"/>
    <mergeCell ref="E959:F959"/>
    <mergeCell ref="E939:F939"/>
    <mergeCell ref="E940:F940"/>
    <mergeCell ref="E941:F941"/>
    <mergeCell ref="E942:F942"/>
    <mergeCell ref="E943:F943"/>
    <mergeCell ref="E944:F944"/>
    <mergeCell ref="E949:F949"/>
    <mergeCell ref="E776:F776"/>
    <mergeCell ref="E777:F777"/>
    <mergeCell ref="E852:F852"/>
    <mergeCell ref="E840:F840"/>
    <mergeCell ref="E841:F841"/>
    <mergeCell ref="E842:F842"/>
    <mergeCell ref="E843:F843"/>
    <mergeCell ref="E838:F838"/>
    <mergeCell ref="E839:F839"/>
    <mergeCell ref="E826:F826"/>
    <mergeCell ref="E827:F827"/>
    <mergeCell ref="E828:F828"/>
    <mergeCell ref="E829:F829"/>
    <mergeCell ref="E824:F824"/>
    <mergeCell ref="E825:F825"/>
    <mergeCell ref="E814:F814"/>
    <mergeCell ref="E815:F815"/>
    <mergeCell ref="E816:F816"/>
    <mergeCell ref="E1028:F1028"/>
    <mergeCell ref="E1029:F1029"/>
    <mergeCell ref="E1030:F1030"/>
    <mergeCell ref="G1014:I1014"/>
    <mergeCell ref="A1011:F1011"/>
    <mergeCell ref="G1011:I1011"/>
    <mergeCell ref="G1012:I1012"/>
    <mergeCell ref="G1013:I1013"/>
    <mergeCell ref="E1031:F1031"/>
    <mergeCell ref="E1032:F1032"/>
    <mergeCell ref="E1033:F1033"/>
    <mergeCell ref="E1038:F1038"/>
    <mergeCell ref="E1019:F1019"/>
    <mergeCell ref="E1020:F1020"/>
    <mergeCell ref="E1021:F1021"/>
    <mergeCell ref="E1022:F1022"/>
    <mergeCell ref="E1023:F1023"/>
    <mergeCell ref="E1117:F1117"/>
    <mergeCell ref="E1106:F1106"/>
    <mergeCell ref="E1107:F1107"/>
    <mergeCell ref="E1108:F1108"/>
    <mergeCell ref="E1101:F1101"/>
    <mergeCell ref="E1125:F1125"/>
    <mergeCell ref="E1130:F1130"/>
    <mergeCell ref="E1131:F1131"/>
    <mergeCell ref="E1132:F1132"/>
    <mergeCell ref="E1109:F1109"/>
    <mergeCell ref="E1114:F1114"/>
    <mergeCell ref="E1115:F1115"/>
    <mergeCell ref="E1116:F1116"/>
    <mergeCell ref="H1112:I1112"/>
    <mergeCell ref="E1118:F1118"/>
    <mergeCell ref="H1120:I1120"/>
    <mergeCell ref="E1126:F1126"/>
    <mergeCell ref="H1128:I1128"/>
    <mergeCell ref="E1249:F1249"/>
    <mergeCell ref="E1254:F1254"/>
    <mergeCell ref="E1255:F1255"/>
    <mergeCell ref="E1256:F1256"/>
    <mergeCell ref="E1237:F1237"/>
    <mergeCell ref="E1238:F1238"/>
    <mergeCell ref="E1239:F1239"/>
    <mergeCell ref="E1338:F1338"/>
    <mergeCell ref="E1339:F1339"/>
    <mergeCell ref="E1324:F1324"/>
    <mergeCell ref="E1325:F1325"/>
    <mergeCell ref="E1318:F1318"/>
    <mergeCell ref="E1319:F1319"/>
    <mergeCell ref="E1300:F1300"/>
    <mergeCell ref="E1301:F1301"/>
    <mergeCell ref="E1302:F1302"/>
    <mergeCell ref="E1303:F1303"/>
    <mergeCell ref="E1299:F1299"/>
    <mergeCell ref="E1292:F1292"/>
    <mergeCell ref="E1309:F1309"/>
    <mergeCell ref="E1293:F1293"/>
    <mergeCell ref="E1294:F1294"/>
    <mergeCell ref="E1295:F1295"/>
    <mergeCell ref="E1296:F1296"/>
    <mergeCell ref="H1311:I1311"/>
    <mergeCell ref="E1320:F1320"/>
    <mergeCell ref="H1322:I1322"/>
    <mergeCell ref="E1328:F1328"/>
    <mergeCell ref="H1330:I1330"/>
    <mergeCell ref="E1334:F1334"/>
    <mergeCell ref="H1336:I1336"/>
    <mergeCell ref="E1340:F1340"/>
    <mergeCell ref="E1368:F1368"/>
    <mergeCell ref="E1369:F1369"/>
    <mergeCell ref="E1364:F1364"/>
    <mergeCell ref="E1365:F1365"/>
    <mergeCell ref="E1354:F1354"/>
    <mergeCell ref="E1355:F1355"/>
    <mergeCell ref="E1356:F1356"/>
    <mergeCell ref="E1357:F1357"/>
    <mergeCell ref="E1351:F1351"/>
    <mergeCell ref="E1352:F1352"/>
    <mergeCell ref="E1353:F1353"/>
    <mergeCell ref="E1358:F1358"/>
    <mergeCell ref="E1359:F1359"/>
    <mergeCell ref="E1360:F1360"/>
    <mergeCell ref="E1361:F1361"/>
    <mergeCell ref="E1362:F1362"/>
    <mergeCell ref="E1363:F1363"/>
    <mergeCell ref="E1392:F1392"/>
    <mergeCell ref="E1393:F1393"/>
    <mergeCell ref="E1528:F1528"/>
    <mergeCell ref="E1529:F1529"/>
    <mergeCell ref="E1525:F1525"/>
    <mergeCell ref="E1526:F1526"/>
    <mergeCell ref="E1527:F1527"/>
    <mergeCell ref="E1514:F1514"/>
    <mergeCell ref="E1515:F1515"/>
    <mergeCell ref="E1516:F1516"/>
    <mergeCell ref="E1472:F1472"/>
    <mergeCell ref="E1458:F1458"/>
    <mergeCell ref="E1459:F1459"/>
    <mergeCell ref="E1456:F1456"/>
    <mergeCell ref="E1457:F1457"/>
    <mergeCell ref="E1464:F1464"/>
    <mergeCell ref="E1465:F1465"/>
    <mergeCell ref="E1466:F1466"/>
    <mergeCell ref="E1467:F1467"/>
    <mergeCell ref="E1489:F1489"/>
    <mergeCell ref="E1490:F1490"/>
    <mergeCell ref="E1491:F1491"/>
    <mergeCell ref="E1496:F1496"/>
    <mergeCell ref="E1599:F1599"/>
    <mergeCell ref="E1634:F1634"/>
    <mergeCell ref="E1635:F1635"/>
    <mergeCell ref="E1636:F1636"/>
    <mergeCell ref="E1637:F1637"/>
    <mergeCell ref="E1624:F1624"/>
    <mergeCell ref="E1625:F1625"/>
    <mergeCell ref="E1626:F1626"/>
    <mergeCell ref="E1627:F1627"/>
    <mergeCell ref="E1628:F1628"/>
    <mergeCell ref="E1629:F1629"/>
    <mergeCell ref="E1607:F1607"/>
    <mergeCell ref="E1608:F1608"/>
    <mergeCell ref="E1620:F1620"/>
    <mergeCell ref="E1431:F1431"/>
    <mergeCell ref="E1424:F1424"/>
    <mergeCell ref="E1425:F1425"/>
    <mergeCell ref="H1622:I1622"/>
    <mergeCell ref="E1630:F1630"/>
    <mergeCell ref="H1632:I1632"/>
    <mergeCell ref="E1686:F1686"/>
    <mergeCell ref="E1691:F1691"/>
    <mergeCell ref="E1683:F1683"/>
    <mergeCell ref="E1684:F1684"/>
    <mergeCell ref="E1685:F1685"/>
    <mergeCell ref="E1673:F1673"/>
    <mergeCell ref="E1674:F1674"/>
    <mergeCell ref="E1667:F1667"/>
    <mergeCell ref="E1668:F1668"/>
    <mergeCell ref="E1656:F1656"/>
    <mergeCell ref="E1657:F1657"/>
    <mergeCell ref="E1658:F1658"/>
    <mergeCell ref="E1653:F1653"/>
    <mergeCell ref="E1654:F1654"/>
    <mergeCell ref="E1655:F1655"/>
    <mergeCell ref="E1639:F1639"/>
    <mergeCell ref="H1641:I1641"/>
    <mergeCell ref="E1649:F1649"/>
    <mergeCell ref="H1651:I1651"/>
    <mergeCell ref="E1659:F1659"/>
    <mergeCell ref="H1661:I1661"/>
    <mergeCell ref="E1669:F1669"/>
    <mergeCell ref="H1671:I1671"/>
    <mergeCell ref="E1678:F1678"/>
    <mergeCell ref="H1680:I1680"/>
    <mergeCell ref="E1687:F1687"/>
    <mergeCell ref="H1689:I1689"/>
    <mergeCell ref="E1734:F1734"/>
    <mergeCell ref="E1798:F1798"/>
    <mergeCell ref="E1799:F1799"/>
    <mergeCell ref="E1800:F1800"/>
    <mergeCell ref="E1805:F1805"/>
    <mergeCell ref="E1782:F1782"/>
    <mergeCell ref="E1783:F1783"/>
    <mergeCell ref="E1788:F1788"/>
    <mergeCell ref="E1789:F1789"/>
    <mergeCell ref="E1767:F1767"/>
    <mergeCell ref="E1724:F1724"/>
    <mergeCell ref="E1729:F1729"/>
    <mergeCell ref="E1721:F1721"/>
    <mergeCell ref="E1722:F1722"/>
    <mergeCell ref="E1723:F1723"/>
    <mergeCell ref="E1751:F1751"/>
    <mergeCell ref="E1756:F1756"/>
    <mergeCell ref="E1757:F1757"/>
    <mergeCell ref="E1758:F1758"/>
    <mergeCell ref="E1739:F1739"/>
    <mergeCell ref="E1740:F1740"/>
    <mergeCell ref="E1741:F1741"/>
    <mergeCell ref="E1742:F1742"/>
    <mergeCell ref="E1743:F1743"/>
    <mergeCell ref="E1730:F1730"/>
    <mergeCell ref="E1731:F1731"/>
    <mergeCell ref="E1725:F1725"/>
    <mergeCell ref="E1760:F1760"/>
    <mergeCell ref="E1770:F1770"/>
    <mergeCell ref="E1784:F1784"/>
    <mergeCell ref="E1792:F1792"/>
    <mergeCell ref="E1801:F1801"/>
    <mergeCell ref="E1735:F1735"/>
    <mergeCell ref="H1737:I1737"/>
    <mergeCell ref="E1744:F1744"/>
    <mergeCell ref="H1746:I1746"/>
    <mergeCell ref="E1752:F1752"/>
    <mergeCell ref="H1754:I1754"/>
    <mergeCell ref="E1808:F1808"/>
    <mergeCell ref="E1813:F1813"/>
    <mergeCell ref="E1806:F1806"/>
    <mergeCell ref="E1807:F1807"/>
    <mergeCell ref="E1796:F1796"/>
    <mergeCell ref="E1797:F1797"/>
    <mergeCell ref="E1790:F1790"/>
    <mergeCell ref="E1791:F1791"/>
    <mergeCell ref="E1778:F1778"/>
    <mergeCell ref="E1779:F1779"/>
    <mergeCell ref="E1780:F1780"/>
    <mergeCell ref="E1781:F1781"/>
    <mergeCell ref="E1775:F1775"/>
    <mergeCell ref="E1776:F1776"/>
    <mergeCell ref="E1777:F1777"/>
    <mergeCell ref="H1762:I1762"/>
    <mergeCell ref="H1772:I1772"/>
    <mergeCell ref="H1786:I1786"/>
    <mergeCell ref="H1794:I1794"/>
    <mergeCell ref="H1803:I1803"/>
    <mergeCell ref="E1809:F1809"/>
    <mergeCell ref="H1811:I1811"/>
    <mergeCell ref="E1881:F1881"/>
    <mergeCell ref="E1882:F1882"/>
    <mergeCell ref="E1861:F1861"/>
    <mergeCell ref="E1862:F1862"/>
    <mergeCell ref="E1863:F1863"/>
    <mergeCell ref="E1864:F1864"/>
    <mergeCell ref="E1977:F1977"/>
    <mergeCell ref="E1956:F1956"/>
    <mergeCell ref="E1957:F1957"/>
    <mergeCell ref="E1953:F1953"/>
    <mergeCell ref="E1954:F1954"/>
    <mergeCell ref="E1955:F1955"/>
    <mergeCell ref="E1993:F1993"/>
    <mergeCell ref="E1994:F1994"/>
    <mergeCell ref="E1995:F1995"/>
    <mergeCell ref="E1996:F1996"/>
    <mergeCell ref="E1997:F1997"/>
    <mergeCell ref="E1984:F1984"/>
    <mergeCell ref="E1985:F1985"/>
    <mergeCell ref="E1986:F1986"/>
    <mergeCell ref="E1987:F1987"/>
    <mergeCell ref="E1962:F1962"/>
    <mergeCell ref="E1963:F1963"/>
    <mergeCell ref="E1964:F1964"/>
    <mergeCell ref="E1965:F1965"/>
    <mergeCell ref="E1966:F1966"/>
    <mergeCell ref="E1967:F1967"/>
    <mergeCell ref="E1945:F1945"/>
    <mergeCell ref="E1946:F1946"/>
    <mergeCell ref="E1947:F1947"/>
    <mergeCell ref="E1952:F1952"/>
    <mergeCell ref="E1934:F1934"/>
    <mergeCell ref="E2048:F2048"/>
    <mergeCell ref="E2049:F2049"/>
    <mergeCell ref="E2050:F2050"/>
    <mergeCell ref="E2032:F2032"/>
    <mergeCell ref="E2033:F2033"/>
    <mergeCell ref="E2034:F2034"/>
    <mergeCell ref="E2035:F2035"/>
    <mergeCell ref="E2029:F2029"/>
    <mergeCell ref="E2030:F2030"/>
    <mergeCell ref="E2031:F2031"/>
    <mergeCell ref="E2019:F2019"/>
    <mergeCell ref="E2020:F2020"/>
    <mergeCell ref="E2013:F2013"/>
    <mergeCell ref="E2014:F2014"/>
    <mergeCell ref="H2027:I2027"/>
    <mergeCell ref="E2036:F2036"/>
    <mergeCell ref="H2038:I2038"/>
    <mergeCell ref="E2044:F2044"/>
    <mergeCell ref="H2046:I2046"/>
    <mergeCell ref="E2043:F2043"/>
    <mergeCell ref="E2150:F2150"/>
    <mergeCell ref="E2151:F2151"/>
    <mergeCell ref="E2143:F2143"/>
    <mergeCell ref="E2144:F2144"/>
    <mergeCell ref="E2145:F2145"/>
    <mergeCell ref="E2152:F2152"/>
    <mergeCell ref="E2153:F2153"/>
    <mergeCell ref="E2158:F2158"/>
    <mergeCell ref="E2159:F2159"/>
    <mergeCell ref="E2193:F2193"/>
    <mergeCell ref="E2194:F2194"/>
    <mergeCell ref="E2177:F2177"/>
    <mergeCell ref="H2174:I2174"/>
    <mergeCell ref="E2181:F2181"/>
    <mergeCell ref="H2183:I2183"/>
    <mergeCell ref="E2189:F2189"/>
    <mergeCell ref="H2191:I2191"/>
    <mergeCell ref="E2185:F2185"/>
    <mergeCell ref="E2186:F2186"/>
    <mergeCell ref="E2187:F2187"/>
    <mergeCell ref="E2188:F2188"/>
    <mergeCell ref="E2176:F2176"/>
    <mergeCell ref="E2166:F2166"/>
    <mergeCell ref="E2167:F2167"/>
    <mergeCell ref="E2160:F2160"/>
    <mergeCell ref="E2161:F2161"/>
    <mergeCell ref="E2195:F2195"/>
    <mergeCell ref="E2196:F2196"/>
    <mergeCell ref="E2197:F2197"/>
    <mergeCell ref="H2199:I2199"/>
    <mergeCell ref="E2207:F2207"/>
    <mergeCell ref="H2209:I2209"/>
    <mergeCell ref="E2178:F2178"/>
    <mergeCell ref="E2179:F2179"/>
    <mergeCell ref="E2180:F2180"/>
    <mergeCell ref="E2168:F2168"/>
    <mergeCell ref="E2169:F2169"/>
    <mergeCell ref="E2170:F2170"/>
    <mergeCell ref="E2171:F2171"/>
    <mergeCell ref="H2289:I2289"/>
    <mergeCell ref="E2297:F2297"/>
    <mergeCell ref="H2299:I2299"/>
    <mergeCell ref="E2308:F2308"/>
    <mergeCell ref="H2310:I2310"/>
    <mergeCell ref="E2314:F2314"/>
    <mergeCell ref="H2316:I2316"/>
    <mergeCell ref="E2312:F2312"/>
    <mergeCell ref="E2313:F2313"/>
    <mergeCell ref="E2306:F2306"/>
    <mergeCell ref="E2307:F2307"/>
    <mergeCell ref="E2286:F2286"/>
    <mergeCell ref="E2291:F2291"/>
    <mergeCell ref="E2284:F2284"/>
    <mergeCell ref="E2285:F2285"/>
    <mergeCell ref="E2272:F2272"/>
    <mergeCell ref="E2273:F2273"/>
    <mergeCell ref="E2274:F2274"/>
    <mergeCell ref="E2275:F2275"/>
    <mergeCell ref="E2280:F2280"/>
    <mergeCell ref="E2281:F2281"/>
    <mergeCell ref="E2282:F2282"/>
    <mergeCell ref="E2394:F2394"/>
    <mergeCell ref="E2395:F2395"/>
    <mergeCell ref="E2396:F2396"/>
    <mergeCell ref="E2378:F2378"/>
    <mergeCell ref="E2379:F2379"/>
    <mergeCell ref="E2380:F2380"/>
    <mergeCell ref="E2381:F2381"/>
    <mergeCell ref="E2377:F2377"/>
    <mergeCell ref="E2397:F2397"/>
    <mergeCell ref="E2398:F2398"/>
    <mergeCell ref="E2399:F2399"/>
    <mergeCell ref="E2400:F2400"/>
    <mergeCell ref="E2386:F2386"/>
    <mergeCell ref="E2387:F2387"/>
    <mergeCell ref="E2388:F2388"/>
    <mergeCell ref="E2389:F2389"/>
    <mergeCell ref="E2401:F2401"/>
    <mergeCell ref="H2403:I2403"/>
    <mergeCell ref="E2458:F2458"/>
    <mergeCell ref="E2459:F2459"/>
    <mergeCell ref="E2453:F2453"/>
    <mergeCell ref="E2440:F2440"/>
    <mergeCell ref="E2441:F2441"/>
    <mergeCell ref="E2435:F2435"/>
    <mergeCell ref="E2424:F2424"/>
    <mergeCell ref="E2425:F2425"/>
    <mergeCell ref="E2426:F2426"/>
    <mergeCell ref="E2574:F2574"/>
    <mergeCell ref="E2575:F2575"/>
    <mergeCell ref="E2576:F2576"/>
    <mergeCell ref="E2556:F2556"/>
    <mergeCell ref="E2542:F2542"/>
    <mergeCell ref="E2543:F2543"/>
    <mergeCell ref="E2537:F2537"/>
    <mergeCell ref="E2524:F2524"/>
    <mergeCell ref="E2525:F2525"/>
    <mergeCell ref="E2506:F2506"/>
    <mergeCell ref="E2530:F2530"/>
    <mergeCell ref="E2531:F2531"/>
    <mergeCell ref="E2536:F2536"/>
    <mergeCell ref="E2515:F2515"/>
    <mergeCell ref="E2516:F2516"/>
    <mergeCell ref="E2517:F2517"/>
    <mergeCell ref="E2518:F2518"/>
    <mergeCell ref="E2519:F2519"/>
    <mergeCell ref="E2507:F2507"/>
    <mergeCell ref="E2508:F2508"/>
    <mergeCell ref="E2446:F2446"/>
    <mergeCell ref="E2447:F2447"/>
    <mergeCell ref="E9:F9"/>
    <mergeCell ref="E2668:F2668"/>
    <mergeCell ref="E2669:F2669"/>
    <mergeCell ref="E2650:F2650"/>
    <mergeCell ref="E2651:F2651"/>
    <mergeCell ref="E2648:F2648"/>
    <mergeCell ref="E2649:F2649"/>
    <mergeCell ref="G2635:I2635"/>
    <mergeCell ref="G2632:I2632"/>
    <mergeCell ref="G2633:I2633"/>
    <mergeCell ref="G2634:I2634"/>
    <mergeCell ref="A2631:F2631"/>
    <mergeCell ref="G2631:I2631"/>
    <mergeCell ref="A2626:F2626"/>
    <mergeCell ref="G2626:I2626"/>
    <mergeCell ref="A2627:F2627"/>
    <mergeCell ref="E2608:F2608"/>
    <mergeCell ref="E2609:F2609"/>
    <mergeCell ref="E2603:F2603"/>
    <mergeCell ref="E21:F21"/>
    <mergeCell ref="E22:F22"/>
    <mergeCell ref="E27:F27"/>
    <mergeCell ref="E10:F10"/>
    <mergeCell ref="E15:F15"/>
    <mergeCell ref="E16:F16"/>
    <mergeCell ref="E69:F69"/>
    <mergeCell ref="E70:F70"/>
    <mergeCell ref="E71:F71"/>
    <mergeCell ref="E72:F72"/>
    <mergeCell ref="E73:F73"/>
    <mergeCell ref="E57:F57"/>
    <mergeCell ref="E58:F58"/>
    <mergeCell ref="E28:F28"/>
    <mergeCell ref="E83:F83"/>
    <mergeCell ref="E84:F84"/>
    <mergeCell ref="E85:F85"/>
    <mergeCell ref="E86:F86"/>
    <mergeCell ref="E141:F141"/>
    <mergeCell ref="E142:F142"/>
    <mergeCell ref="E143:F143"/>
    <mergeCell ref="E144:F144"/>
    <mergeCell ref="E145:F145"/>
    <mergeCell ref="E146:F146"/>
    <mergeCell ref="E129:F129"/>
    <mergeCell ref="E130:F130"/>
    <mergeCell ref="E131:F131"/>
    <mergeCell ref="E132:F132"/>
    <mergeCell ref="E133:F133"/>
    <mergeCell ref="E134:F134"/>
    <mergeCell ref="E117:F117"/>
    <mergeCell ref="E118:F118"/>
    <mergeCell ref="E119:F119"/>
    <mergeCell ref="E120:F120"/>
    <mergeCell ref="E121:F121"/>
    <mergeCell ref="E122:F122"/>
    <mergeCell ref="E111:F111"/>
    <mergeCell ref="E112:F112"/>
    <mergeCell ref="E101:F101"/>
    <mergeCell ref="E102:F102"/>
    <mergeCell ref="E103:F103"/>
    <mergeCell ref="E104:F104"/>
    <mergeCell ref="E99:F99"/>
    <mergeCell ref="E100:F100"/>
    <mergeCell ref="E89:F89"/>
    <mergeCell ref="E195:F195"/>
    <mergeCell ref="E196:F196"/>
    <mergeCell ref="E185:F185"/>
    <mergeCell ref="E186:F186"/>
    <mergeCell ref="E175:F175"/>
    <mergeCell ref="E176:F176"/>
    <mergeCell ref="E177:F177"/>
    <mergeCell ref="E178:F178"/>
    <mergeCell ref="E172:F172"/>
    <mergeCell ref="E173:F173"/>
    <mergeCell ref="E174:F174"/>
    <mergeCell ref="E231:F231"/>
    <mergeCell ref="E232:F232"/>
    <mergeCell ref="E233:F233"/>
    <mergeCell ref="E234:F234"/>
    <mergeCell ref="E291:F291"/>
    <mergeCell ref="E292:F292"/>
    <mergeCell ref="E263:F263"/>
    <mergeCell ref="E264:F264"/>
    <mergeCell ref="E265:F265"/>
    <mergeCell ref="E266:F266"/>
    <mergeCell ref="E287:F287"/>
    <mergeCell ref="E288:F288"/>
    <mergeCell ref="E289:F289"/>
    <mergeCell ref="E290:F290"/>
    <mergeCell ref="E285:F285"/>
    <mergeCell ref="E286:F286"/>
    <mergeCell ref="E261:F261"/>
    <mergeCell ref="E262:F262"/>
    <mergeCell ref="E249:F249"/>
    <mergeCell ref="E250:F250"/>
    <mergeCell ref="E247:F247"/>
    <mergeCell ref="E297:F297"/>
    <mergeCell ref="E298:F298"/>
    <mergeCell ref="E279:F279"/>
    <mergeCell ref="E280:F280"/>
    <mergeCell ref="E281:F281"/>
    <mergeCell ref="E282:F282"/>
    <mergeCell ref="E283:F283"/>
    <mergeCell ref="E284:F284"/>
    <mergeCell ref="E267:F267"/>
    <mergeCell ref="E268:F268"/>
    <mergeCell ref="E269:F269"/>
    <mergeCell ref="E270:F270"/>
    <mergeCell ref="E271:F271"/>
    <mergeCell ref="E272:F272"/>
    <mergeCell ref="E275:F275"/>
    <mergeCell ref="E276:F276"/>
    <mergeCell ref="E277:F277"/>
    <mergeCell ref="E278:F278"/>
    <mergeCell ref="E273:F273"/>
    <mergeCell ref="E274:F274"/>
    <mergeCell ref="E309:F309"/>
    <mergeCell ref="E310:F310"/>
    <mergeCell ref="E311:F311"/>
    <mergeCell ref="E312:F312"/>
    <mergeCell ref="E313:F313"/>
    <mergeCell ref="A380:F380"/>
    <mergeCell ref="G380:I380"/>
    <mergeCell ref="A381:F381"/>
    <mergeCell ref="G381:I381"/>
    <mergeCell ref="E366:F366"/>
    <mergeCell ref="E367:F367"/>
    <mergeCell ref="E372:F372"/>
    <mergeCell ref="E355:F355"/>
    <mergeCell ref="E360:F360"/>
    <mergeCell ref="E361:F361"/>
    <mergeCell ref="E378:F378"/>
    <mergeCell ref="E373:F373"/>
    <mergeCell ref="E349:F349"/>
    <mergeCell ref="E354:F354"/>
    <mergeCell ref="E314:F314"/>
    <mergeCell ref="E315:F315"/>
    <mergeCell ref="E316:F316"/>
    <mergeCell ref="E345:F345"/>
    <mergeCell ref="E324:F324"/>
    <mergeCell ref="E325:F325"/>
    <mergeCell ref="A383:F383"/>
    <mergeCell ref="G383:I383"/>
    <mergeCell ref="G384:I384"/>
    <mergeCell ref="G385:I385"/>
    <mergeCell ref="E457:F457"/>
    <mergeCell ref="E458:F458"/>
    <mergeCell ref="E439:F439"/>
    <mergeCell ref="E440:F440"/>
    <mergeCell ref="E419:F419"/>
    <mergeCell ref="E420:F420"/>
    <mergeCell ref="E421:F421"/>
    <mergeCell ref="E426:F426"/>
    <mergeCell ref="E411:F411"/>
    <mergeCell ref="E400:F400"/>
    <mergeCell ref="E401:F401"/>
    <mergeCell ref="E402:F402"/>
    <mergeCell ref="G386:I386"/>
    <mergeCell ref="H431:I431"/>
    <mergeCell ref="E435:F435"/>
    <mergeCell ref="H437:I437"/>
    <mergeCell ref="E441:F441"/>
    <mergeCell ref="H443:I443"/>
    <mergeCell ref="E447:F447"/>
    <mergeCell ref="H449:I449"/>
    <mergeCell ref="E453:F453"/>
    <mergeCell ref="E475:F475"/>
    <mergeCell ref="E476:F476"/>
    <mergeCell ref="E477:F477"/>
    <mergeCell ref="E478:F478"/>
    <mergeCell ref="E527:F527"/>
    <mergeCell ref="E528:F528"/>
    <mergeCell ref="E529:F529"/>
    <mergeCell ref="E530:F530"/>
    <mergeCell ref="E531:F531"/>
    <mergeCell ref="E514:F514"/>
    <mergeCell ref="E515:F515"/>
    <mergeCell ref="E516:F516"/>
    <mergeCell ref="E517:F517"/>
    <mergeCell ref="E518:F518"/>
    <mergeCell ref="E519:F519"/>
    <mergeCell ref="E499:F499"/>
    <mergeCell ref="E504:F504"/>
    <mergeCell ref="E505:F505"/>
    <mergeCell ref="E506:F506"/>
    <mergeCell ref="E485:F485"/>
    <mergeCell ref="E607:F607"/>
    <mergeCell ref="E608:F608"/>
    <mergeCell ref="E609:F609"/>
    <mergeCell ref="E610:F610"/>
    <mergeCell ref="E599:F599"/>
    <mergeCell ref="E600:F600"/>
    <mergeCell ref="E601:F601"/>
    <mergeCell ref="E582:F582"/>
    <mergeCell ref="E583:F583"/>
    <mergeCell ref="E584:F584"/>
    <mergeCell ref="E589:F589"/>
    <mergeCell ref="E606:F606"/>
    <mergeCell ref="E592:F592"/>
    <mergeCell ref="E593:F593"/>
    <mergeCell ref="E594:F594"/>
    <mergeCell ref="E590:F590"/>
    <mergeCell ref="E591:F591"/>
    <mergeCell ref="E624:F624"/>
    <mergeCell ref="E625:F625"/>
    <mergeCell ref="E626:F626"/>
    <mergeCell ref="E687:F687"/>
    <mergeCell ref="E688:F688"/>
    <mergeCell ref="E689:F689"/>
    <mergeCell ref="E694:F694"/>
    <mergeCell ref="E671:F671"/>
    <mergeCell ref="E676:F676"/>
    <mergeCell ref="E677:F677"/>
    <mergeCell ref="E678:F678"/>
    <mergeCell ref="E659:F659"/>
    <mergeCell ref="E660:F660"/>
    <mergeCell ref="E661:F661"/>
    <mergeCell ref="E662:F662"/>
    <mergeCell ref="E627:F627"/>
    <mergeCell ref="E628:F628"/>
    <mergeCell ref="E629:F629"/>
    <mergeCell ref="E685:F685"/>
    <mergeCell ref="E686:F686"/>
    <mergeCell ref="E679:F679"/>
    <mergeCell ref="E680:F680"/>
    <mergeCell ref="E667:F667"/>
    <mergeCell ref="E668:F668"/>
    <mergeCell ref="E669:F669"/>
    <mergeCell ref="E670:F670"/>
    <mergeCell ref="E763:F763"/>
    <mergeCell ref="E764:F764"/>
    <mergeCell ref="E765:F765"/>
    <mergeCell ref="E766:F766"/>
    <mergeCell ref="E749:F749"/>
    <mergeCell ref="E750:F750"/>
    <mergeCell ref="E751:F751"/>
    <mergeCell ref="E752:F752"/>
    <mergeCell ref="E732:F732"/>
    <mergeCell ref="E733:F733"/>
    <mergeCell ref="E738:F738"/>
    <mergeCell ref="E739:F739"/>
    <mergeCell ref="E726:F726"/>
    <mergeCell ref="E727:F727"/>
    <mergeCell ref="E721:F721"/>
    <mergeCell ref="E722:F722"/>
    <mergeCell ref="E723:F723"/>
    <mergeCell ref="E724:F724"/>
    <mergeCell ref="E725:F725"/>
    <mergeCell ref="E728:F728"/>
    <mergeCell ref="E729:F729"/>
    <mergeCell ref="E730:F730"/>
    <mergeCell ref="E731:F731"/>
    <mergeCell ref="E820:F820"/>
    <mergeCell ref="E821:F821"/>
    <mergeCell ref="E822:F822"/>
    <mergeCell ref="E823:F823"/>
    <mergeCell ref="E812:F812"/>
    <mergeCell ref="E813:F813"/>
    <mergeCell ref="E800:F800"/>
    <mergeCell ref="E801:F801"/>
    <mergeCell ref="E802:F802"/>
    <mergeCell ref="E803:F803"/>
    <mergeCell ref="E797:F797"/>
    <mergeCell ref="E798:F798"/>
    <mergeCell ref="E799:F799"/>
    <mergeCell ref="E864:F864"/>
    <mergeCell ref="E865:F865"/>
    <mergeCell ref="E866:F866"/>
    <mergeCell ref="E871:F871"/>
    <mergeCell ref="E853:F853"/>
    <mergeCell ref="E854:F854"/>
    <mergeCell ref="E855:F855"/>
    <mergeCell ref="E856:F856"/>
    <mergeCell ref="E857:F857"/>
    <mergeCell ref="E858:F858"/>
    <mergeCell ref="E860:F860"/>
    <mergeCell ref="E861:F861"/>
    <mergeCell ref="E862:F862"/>
    <mergeCell ref="E863:F863"/>
    <mergeCell ref="E859:F859"/>
    <mergeCell ref="E817:F817"/>
    <mergeCell ref="E848:F848"/>
    <mergeCell ref="E882:F882"/>
    <mergeCell ref="E883:F883"/>
    <mergeCell ref="E884:F884"/>
    <mergeCell ref="E918:F918"/>
    <mergeCell ref="E919:F919"/>
    <mergeCell ref="E920:F920"/>
    <mergeCell ref="E921:F921"/>
    <mergeCell ref="E901:F901"/>
    <mergeCell ref="E902:F902"/>
    <mergeCell ref="E903:F903"/>
    <mergeCell ref="E908:F908"/>
    <mergeCell ref="E889:F889"/>
    <mergeCell ref="E890:F890"/>
    <mergeCell ref="E891:F891"/>
    <mergeCell ref="E892:F892"/>
    <mergeCell ref="E893:F893"/>
    <mergeCell ref="E927:F927"/>
    <mergeCell ref="E928:F928"/>
    <mergeCell ref="E929:F929"/>
    <mergeCell ref="E930:F930"/>
    <mergeCell ref="E931:F931"/>
    <mergeCell ref="E966:F966"/>
    <mergeCell ref="E971:F971"/>
    <mergeCell ref="E962:F962"/>
    <mergeCell ref="E963:F963"/>
    <mergeCell ref="E964:F964"/>
    <mergeCell ref="E965:F965"/>
    <mergeCell ref="E960:F960"/>
    <mergeCell ref="E961:F961"/>
    <mergeCell ref="E948:F948"/>
    <mergeCell ref="E993:F993"/>
    <mergeCell ref="A983:F983"/>
    <mergeCell ref="G983:I983"/>
    <mergeCell ref="A984:F984"/>
    <mergeCell ref="G984:I984"/>
    <mergeCell ref="A985:F985"/>
    <mergeCell ref="G985:I985"/>
    <mergeCell ref="A988:F988"/>
    <mergeCell ref="G988:I988"/>
    <mergeCell ref="A986:F986"/>
    <mergeCell ref="G986:I986"/>
    <mergeCell ref="A987:F987"/>
    <mergeCell ref="G987:I987"/>
    <mergeCell ref="H991:I991"/>
    <mergeCell ref="E945:F945"/>
    <mergeCell ref="E946:F946"/>
    <mergeCell ref="E947:F947"/>
    <mergeCell ref="E936:F936"/>
    <mergeCell ref="E937:F937"/>
    <mergeCell ref="E994:F994"/>
    <mergeCell ref="A995:A996"/>
    <mergeCell ref="B995:B996"/>
    <mergeCell ref="A1006:F1006"/>
    <mergeCell ref="G1006:I1006"/>
    <mergeCell ref="A1007:F1007"/>
    <mergeCell ref="G1007:I1007"/>
    <mergeCell ref="A1008:F1008"/>
    <mergeCell ref="G1008:I1008"/>
    <mergeCell ref="A1009:F1009"/>
    <mergeCell ref="G1009:I1009"/>
    <mergeCell ref="A1010:F1010"/>
    <mergeCell ref="G1010:I1010"/>
    <mergeCell ref="E1077:F1077"/>
    <mergeCell ref="E1082:F1082"/>
    <mergeCell ref="E1083:F1083"/>
    <mergeCell ref="E1084:F1084"/>
    <mergeCell ref="E1061:F1061"/>
    <mergeCell ref="E1066:F1066"/>
    <mergeCell ref="E1067:F1067"/>
    <mergeCell ref="E1068:F1068"/>
    <mergeCell ref="E1050:F1050"/>
    <mergeCell ref="E1051:F1051"/>
    <mergeCell ref="E1052:F1052"/>
    <mergeCell ref="E1053:F1053"/>
    <mergeCell ref="E1042:F1042"/>
    <mergeCell ref="E1043:F1043"/>
    <mergeCell ref="E1044:F1044"/>
    <mergeCell ref="E1045:F1045"/>
    <mergeCell ref="E1039:F1039"/>
    <mergeCell ref="E1040:F1040"/>
    <mergeCell ref="E1041:F1041"/>
    <mergeCell ref="E1174:F1174"/>
    <mergeCell ref="E1175:F1175"/>
    <mergeCell ref="E1180:F1180"/>
    <mergeCell ref="E1181:F1181"/>
    <mergeCell ref="E1158:F1158"/>
    <mergeCell ref="E1159:F1159"/>
    <mergeCell ref="E1164:F1164"/>
    <mergeCell ref="E1165:F1165"/>
    <mergeCell ref="E1141:F1141"/>
    <mergeCell ref="E1142:F1142"/>
    <mergeCell ref="E1143:F1143"/>
    <mergeCell ref="E1148:F1148"/>
    <mergeCell ref="E1139:F1139"/>
    <mergeCell ref="E1140:F1140"/>
    <mergeCell ref="E1133:F1133"/>
    <mergeCell ref="E1134:F1134"/>
    <mergeCell ref="E1122:F1122"/>
    <mergeCell ref="E1123:F1123"/>
    <mergeCell ref="E1124:F1124"/>
    <mergeCell ref="E1135:F1135"/>
    <mergeCell ref="E1204:F1204"/>
    <mergeCell ref="E1205:F1205"/>
    <mergeCell ref="E1206:F1206"/>
    <mergeCell ref="E1211:F1211"/>
    <mergeCell ref="E1188:F1188"/>
    <mergeCell ref="E1189:F1189"/>
    <mergeCell ref="E1190:F1190"/>
    <mergeCell ref="E1195:F1195"/>
    <mergeCell ref="E1198:F1198"/>
    <mergeCell ref="E1203:F1203"/>
    <mergeCell ref="E1196:F1196"/>
    <mergeCell ref="E1197:F1197"/>
    <mergeCell ref="H1209:I1209"/>
    <mergeCell ref="E1240:F1240"/>
    <mergeCell ref="E1241:F1241"/>
    <mergeCell ref="E1229:F1229"/>
    <mergeCell ref="E1230:F1230"/>
    <mergeCell ref="E1231:F1231"/>
    <mergeCell ref="E1236:F1236"/>
    <mergeCell ref="E1214:F1214"/>
    <mergeCell ref="E1215:F1215"/>
    <mergeCell ref="E1212:F1212"/>
    <mergeCell ref="E1213:F1213"/>
    <mergeCell ref="E1220:F1220"/>
    <mergeCell ref="E1221:F1221"/>
    <mergeCell ref="E1222:F1222"/>
    <mergeCell ref="E1223:F1223"/>
    <mergeCell ref="E1216:F1216"/>
    <mergeCell ref="H1218:I1218"/>
    <mergeCell ref="E1224:F1224"/>
    <mergeCell ref="H1226:I1226"/>
    <mergeCell ref="E1232:F1232"/>
    <mergeCell ref="E1281:F1281"/>
    <mergeCell ref="E1286:F1286"/>
    <mergeCell ref="E1287:F1287"/>
    <mergeCell ref="E1265:F1265"/>
    <mergeCell ref="E1270:F1270"/>
    <mergeCell ref="E1271:F1271"/>
    <mergeCell ref="E1272:F1272"/>
    <mergeCell ref="E1278:F1278"/>
    <mergeCell ref="E1279:F1279"/>
    <mergeCell ref="E1280:F1280"/>
    <mergeCell ref="E1273:F1273"/>
    <mergeCell ref="E1326:F1326"/>
    <mergeCell ref="E1327:F1327"/>
    <mergeCell ref="E1332:F1332"/>
    <mergeCell ref="E1333:F1333"/>
    <mergeCell ref="E1313:F1313"/>
    <mergeCell ref="E1314:F1314"/>
    <mergeCell ref="E1315:F1315"/>
    <mergeCell ref="E1316:F1316"/>
    <mergeCell ref="E1317:F1317"/>
    <mergeCell ref="E1304:F1304"/>
    <mergeCell ref="E1305:F1305"/>
    <mergeCell ref="E1306:F1306"/>
    <mergeCell ref="E1307:F1307"/>
    <mergeCell ref="E1308:F1308"/>
    <mergeCell ref="H1284:I1284"/>
    <mergeCell ref="E1288:F1288"/>
    <mergeCell ref="H1290:I1290"/>
    <mergeCell ref="E1344:F1344"/>
    <mergeCell ref="E1345:F1345"/>
    <mergeCell ref="E1350:F1350"/>
    <mergeCell ref="E1416:F1416"/>
    <mergeCell ref="E1417:F1417"/>
    <mergeCell ref="E1422:F1422"/>
    <mergeCell ref="E1423:F1423"/>
    <mergeCell ref="E1400:F1400"/>
    <mergeCell ref="E1401:F1401"/>
    <mergeCell ref="E1406:F1406"/>
    <mergeCell ref="E1407:F1407"/>
    <mergeCell ref="E1384:F1384"/>
    <mergeCell ref="E1385:F1385"/>
    <mergeCell ref="E1390:F1390"/>
    <mergeCell ref="E1391:F1391"/>
    <mergeCell ref="E1382:F1382"/>
    <mergeCell ref="E1383:F1383"/>
    <mergeCell ref="E1376:F1376"/>
    <mergeCell ref="E1377:F1377"/>
    <mergeCell ref="E1366:F1366"/>
    <mergeCell ref="E1367:F1367"/>
    <mergeCell ref="E1297:F1297"/>
    <mergeCell ref="E1298:F1298"/>
    <mergeCell ref="E1414:F1414"/>
    <mergeCell ref="E1415:F1415"/>
    <mergeCell ref="E1408:F1408"/>
    <mergeCell ref="E1409:F1409"/>
    <mergeCell ref="E1398:F1398"/>
    <mergeCell ref="E1399:F1399"/>
    <mergeCell ref="E1448:F1448"/>
    <mergeCell ref="E1449:F1449"/>
    <mergeCell ref="E1450:F1450"/>
    <mergeCell ref="E1455:F1455"/>
    <mergeCell ref="E1432:F1432"/>
    <mergeCell ref="E1433:F1433"/>
    <mergeCell ref="E1434:F1434"/>
    <mergeCell ref="E1439:F1439"/>
    <mergeCell ref="E1442:F1442"/>
    <mergeCell ref="E1447:F1447"/>
    <mergeCell ref="E1440:F1440"/>
    <mergeCell ref="E1441:F1441"/>
    <mergeCell ref="E1435:F1435"/>
    <mergeCell ref="H1437:I1437"/>
    <mergeCell ref="E1443:F1443"/>
    <mergeCell ref="H1445:I1445"/>
    <mergeCell ref="E1451:F1451"/>
    <mergeCell ref="H1453:I1453"/>
    <mergeCell ref="E1508:F1508"/>
    <mergeCell ref="E1509:F1509"/>
    <mergeCell ref="E1497:F1497"/>
    <mergeCell ref="E1498:F1498"/>
    <mergeCell ref="E1499:F1499"/>
    <mergeCell ref="E1504:F1504"/>
    <mergeCell ref="E1556:F1556"/>
    <mergeCell ref="E1557:F1557"/>
    <mergeCell ref="E1558:F1558"/>
    <mergeCell ref="E1559:F1559"/>
    <mergeCell ref="E1560:F1560"/>
    <mergeCell ref="E1544:F1544"/>
    <mergeCell ref="E1545:F1545"/>
    <mergeCell ref="E1546:F1546"/>
    <mergeCell ref="E1547:F1547"/>
    <mergeCell ref="E1534:F1534"/>
    <mergeCell ref="E1535:F1535"/>
    <mergeCell ref="E1536:F1536"/>
    <mergeCell ref="E1537:F1537"/>
    <mergeCell ref="E1538:F1538"/>
    <mergeCell ref="E1539:F1539"/>
    <mergeCell ref="E1550:F1550"/>
    <mergeCell ref="E1555:F1555"/>
    <mergeCell ref="E1548:F1548"/>
    <mergeCell ref="E1549:F1549"/>
    <mergeCell ref="E1590:F1590"/>
    <mergeCell ref="E1585:F1585"/>
    <mergeCell ref="E1586:F1586"/>
    <mergeCell ref="E1587:F1587"/>
    <mergeCell ref="E1574:F1574"/>
    <mergeCell ref="E1575:F1575"/>
    <mergeCell ref="E1576:F1576"/>
    <mergeCell ref="E1609:F1609"/>
    <mergeCell ref="E1614:F1614"/>
    <mergeCell ref="E1675:F1675"/>
    <mergeCell ref="E1676:F1676"/>
    <mergeCell ref="E1677:F1677"/>
    <mergeCell ref="E1682:F1682"/>
    <mergeCell ref="E1663:F1663"/>
    <mergeCell ref="E1664:F1664"/>
    <mergeCell ref="E1665:F1665"/>
    <mergeCell ref="E1666:F1666"/>
    <mergeCell ref="E1645:F1645"/>
    <mergeCell ref="E1646:F1646"/>
    <mergeCell ref="E1647:F1647"/>
    <mergeCell ref="E1648:F1648"/>
    <mergeCell ref="E1643:F1643"/>
    <mergeCell ref="E1644:F1644"/>
    <mergeCell ref="E1638:F1638"/>
    <mergeCell ref="E1618:F1618"/>
    <mergeCell ref="E1619:F1619"/>
    <mergeCell ref="E1615:F1615"/>
    <mergeCell ref="E1616:F1616"/>
    <mergeCell ref="E1617:F1617"/>
    <mergeCell ref="E1604:F1604"/>
    <mergeCell ref="E1605:F1605"/>
    <mergeCell ref="E1606:F1606"/>
    <mergeCell ref="E1720:F1720"/>
    <mergeCell ref="E1701:F1701"/>
    <mergeCell ref="E1702:F1702"/>
    <mergeCell ref="E1703:F1703"/>
    <mergeCell ref="E1704:F1704"/>
    <mergeCell ref="E1705:F1705"/>
    <mergeCell ref="E1692:F1692"/>
    <mergeCell ref="E1693:F1693"/>
    <mergeCell ref="E1694:F1694"/>
    <mergeCell ref="E1695:F1695"/>
    <mergeCell ref="E1710:F1710"/>
    <mergeCell ref="E1711:F1711"/>
    <mergeCell ref="E1712:F1712"/>
    <mergeCell ref="E1700:F1700"/>
    <mergeCell ref="H1718:I1718"/>
    <mergeCell ref="E1732:F1732"/>
    <mergeCell ref="E1733:F1733"/>
    <mergeCell ref="H1727:I1727"/>
    <mergeCell ref="E1696:F1696"/>
    <mergeCell ref="H1698:I1698"/>
    <mergeCell ref="E1706:F1706"/>
    <mergeCell ref="H1708:I1708"/>
    <mergeCell ref="E1716:F1716"/>
    <mergeCell ref="E1713:F1713"/>
    <mergeCell ref="E1714:F1714"/>
    <mergeCell ref="E1715:F1715"/>
    <mergeCell ref="E1759:F1759"/>
    <mergeCell ref="E1748:F1748"/>
    <mergeCell ref="E1749:F1749"/>
    <mergeCell ref="E1750:F1750"/>
    <mergeCell ref="E1841:F1841"/>
    <mergeCell ref="E1842:F1842"/>
    <mergeCell ref="E1843:F1843"/>
    <mergeCell ref="E1844:F1844"/>
    <mergeCell ref="E1830:F1830"/>
    <mergeCell ref="E1835:F1835"/>
    <mergeCell ref="E1836:F1836"/>
    <mergeCell ref="E1814:F1814"/>
    <mergeCell ref="E1815:F1815"/>
    <mergeCell ref="E1816:F1816"/>
    <mergeCell ref="E1821:F1821"/>
    <mergeCell ref="E1824:F1824"/>
    <mergeCell ref="E1829:F1829"/>
    <mergeCell ref="E1822:F1822"/>
    <mergeCell ref="E1823:F1823"/>
    <mergeCell ref="E1817:F1817"/>
    <mergeCell ref="H1833:I1833"/>
    <mergeCell ref="E1837:F1837"/>
    <mergeCell ref="H1839:I1839"/>
    <mergeCell ref="E1845:F1845"/>
    <mergeCell ref="E1849:F1849"/>
    <mergeCell ref="E1850:F1850"/>
    <mergeCell ref="E1851:F1851"/>
    <mergeCell ref="E1852:F1852"/>
    <mergeCell ref="E1853:F1853"/>
    <mergeCell ref="E1924:F1924"/>
    <mergeCell ref="E1925:F1925"/>
    <mergeCell ref="E1926:F1926"/>
    <mergeCell ref="E1927:F1927"/>
    <mergeCell ref="E1928:F1928"/>
    <mergeCell ref="E1929:F1929"/>
    <mergeCell ref="E1907:F1907"/>
    <mergeCell ref="E1908:F1908"/>
    <mergeCell ref="E1909:F1909"/>
    <mergeCell ref="E1914:F1914"/>
    <mergeCell ref="E1891:F1891"/>
    <mergeCell ref="E1896:F1896"/>
    <mergeCell ref="E1897:F1897"/>
    <mergeCell ref="E1898:F1898"/>
    <mergeCell ref="E1918:F1918"/>
    <mergeCell ref="E1923:F1923"/>
    <mergeCell ref="E1915:F1915"/>
    <mergeCell ref="E1916:F1916"/>
    <mergeCell ref="E1917:F1917"/>
    <mergeCell ref="E1904:F1904"/>
    <mergeCell ref="E1905:F1905"/>
    <mergeCell ref="E1906:F1906"/>
    <mergeCell ref="E1899:F1899"/>
    <mergeCell ref="E1935:F1935"/>
    <mergeCell ref="E1936:F1936"/>
    <mergeCell ref="E1937:F1937"/>
    <mergeCell ref="E1942:F1942"/>
    <mergeCell ref="E1943:F1943"/>
    <mergeCell ref="E1944:F1944"/>
    <mergeCell ref="E1930:F1930"/>
    <mergeCell ref="H1932:I1932"/>
    <mergeCell ref="E1938:F1938"/>
    <mergeCell ref="H1940:I1940"/>
    <mergeCell ref="E1972:F1972"/>
    <mergeCell ref="E1973:F1973"/>
    <mergeCell ref="E1974:F1974"/>
    <mergeCell ref="E1975:F1975"/>
    <mergeCell ref="E2040:F2040"/>
    <mergeCell ref="E2041:F2041"/>
    <mergeCell ref="E2042:F2042"/>
    <mergeCell ref="E2021:F2021"/>
    <mergeCell ref="E2022:F2022"/>
    <mergeCell ref="E2023:F2023"/>
    <mergeCell ref="E2024:F2024"/>
    <mergeCell ref="E2005:F2005"/>
    <mergeCell ref="E2006:F2006"/>
    <mergeCell ref="E2011:F2011"/>
    <mergeCell ref="E2012:F2012"/>
    <mergeCell ref="E2002:F2002"/>
    <mergeCell ref="E2003:F2003"/>
    <mergeCell ref="E2004:F2004"/>
    <mergeCell ref="E1992:F1992"/>
    <mergeCell ref="E1982:F1982"/>
    <mergeCell ref="E1983:F1983"/>
    <mergeCell ref="E1976:F1976"/>
    <mergeCell ref="E2051:F2051"/>
    <mergeCell ref="E2052:F2052"/>
    <mergeCell ref="E2053:F2053"/>
    <mergeCell ref="E2058:F2058"/>
    <mergeCell ref="E2107:F2107"/>
    <mergeCell ref="E2108:F2108"/>
    <mergeCell ref="E2109:F2109"/>
    <mergeCell ref="E2110:F2110"/>
    <mergeCell ref="E2111:F2111"/>
    <mergeCell ref="E2099:F2099"/>
    <mergeCell ref="E2100:F2100"/>
    <mergeCell ref="E2101:F2101"/>
    <mergeCell ref="E2102:F2102"/>
    <mergeCell ref="E2091:F2091"/>
    <mergeCell ref="E2092:F2092"/>
    <mergeCell ref="E2093:F2093"/>
    <mergeCell ref="E2094:F2094"/>
    <mergeCell ref="E2054:F2054"/>
    <mergeCell ref="E2079:F2079"/>
    <mergeCell ref="E2080:F2080"/>
    <mergeCell ref="E2074:F2074"/>
    <mergeCell ref="E2062:F2062"/>
    <mergeCell ref="E2067:F2067"/>
    <mergeCell ref="E2059:F2059"/>
    <mergeCell ref="E2060:F2060"/>
    <mergeCell ref="E2061:F2061"/>
    <mergeCell ref="E2081:F2081"/>
    <mergeCell ref="E2082:F2082"/>
    <mergeCell ref="E2083:F2083"/>
    <mergeCell ref="E2084:F2084"/>
    <mergeCell ref="E2085:F2085"/>
    <mergeCell ref="E2086:F2086"/>
    <mergeCell ref="H2056:I2056"/>
    <mergeCell ref="E2075:F2075"/>
    <mergeCell ref="H2077:I2077"/>
    <mergeCell ref="E2087:F2087"/>
    <mergeCell ref="H2089:I2089"/>
    <mergeCell ref="E2095:F2095"/>
    <mergeCell ref="H2097:I2097"/>
    <mergeCell ref="E2135:F2135"/>
    <mergeCell ref="E2136:F2136"/>
    <mergeCell ref="E2137:F2137"/>
    <mergeCell ref="E2142:F2142"/>
    <mergeCell ref="E2119:F2119"/>
    <mergeCell ref="E2124:F2124"/>
    <mergeCell ref="E2125:F2125"/>
    <mergeCell ref="E2126:F2126"/>
    <mergeCell ref="E2133:F2133"/>
    <mergeCell ref="E2134:F2134"/>
    <mergeCell ref="E2127:F2127"/>
    <mergeCell ref="E2128:F2128"/>
    <mergeCell ref="H2065:I2065"/>
    <mergeCell ref="E2068:F2068"/>
    <mergeCell ref="E2069:F2069"/>
    <mergeCell ref="E2070:F2070"/>
    <mergeCell ref="E2071:F2071"/>
    <mergeCell ref="E2072:F2072"/>
    <mergeCell ref="E2073:F2073"/>
    <mergeCell ref="E2063:F2063"/>
    <mergeCell ref="E2103:F2103"/>
    <mergeCell ref="H2105:I2105"/>
    <mergeCell ref="E2112:F2112"/>
    <mergeCell ref="H2114:I2114"/>
    <mergeCell ref="E2120:F2120"/>
    <mergeCell ref="E2213:F2213"/>
    <mergeCell ref="E2214:F2214"/>
    <mergeCell ref="E2215:F2215"/>
    <mergeCell ref="E2216:F2216"/>
    <mergeCell ref="E2201:F2201"/>
    <mergeCell ref="E2202:F2202"/>
    <mergeCell ref="E2203:F2203"/>
    <mergeCell ref="E2204:F2204"/>
    <mergeCell ref="E2205:F2205"/>
    <mergeCell ref="E2221:F2221"/>
    <mergeCell ref="E2222:F2222"/>
    <mergeCell ref="E2223:F2223"/>
    <mergeCell ref="E2261:F2261"/>
    <mergeCell ref="E2262:F2262"/>
    <mergeCell ref="E2263:F2263"/>
    <mergeCell ref="E2264:F2264"/>
    <mergeCell ref="E2245:F2245"/>
    <mergeCell ref="E2250:F2250"/>
    <mergeCell ref="E2251:F2251"/>
    <mergeCell ref="E2252:F2252"/>
    <mergeCell ref="E2258:F2258"/>
    <mergeCell ref="E2259:F2259"/>
    <mergeCell ref="E2260:F2260"/>
    <mergeCell ref="E2253:F2253"/>
    <mergeCell ref="E2242:F2242"/>
    <mergeCell ref="E2243:F2243"/>
    <mergeCell ref="E2244:F2244"/>
    <mergeCell ref="E2228:F2228"/>
    <mergeCell ref="E2229:F2229"/>
    <mergeCell ref="E2211:F2211"/>
    <mergeCell ref="E2212:F2212"/>
    <mergeCell ref="E2206:F2206"/>
    <mergeCell ref="E2302:F2302"/>
    <mergeCell ref="E2303:F2303"/>
    <mergeCell ref="E2304:F2304"/>
    <mergeCell ref="E2305:F2305"/>
    <mergeCell ref="E2292:F2292"/>
    <mergeCell ref="E2293:F2293"/>
    <mergeCell ref="E2294:F2294"/>
    <mergeCell ref="E2295:F2295"/>
    <mergeCell ref="E2296:F2296"/>
    <mergeCell ref="E2360:F2360"/>
    <mergeCell ref="E2361:F2361"/>
    <mergeCell ref="E2362:F2362"/>
    <mergeCell ref="E2363:F2363"/>
    <mergeCell ref="E2346:F2346"/>
    <mergeCell ref="E2347:F2347"/>
    <mergeCell ref="E2348:F2348"/>
    <mergeCell ref="E2349:F2349"/>
    <mergeCell ref="E2350:F2350"/>
    <mergeCell ref="E2351:F2351"/>
    <mergeCell ref="E2330:F2330"/>
    <mergeCell ref="E2331:F2331"/>
    <mergeCell ref="E2332:F2332"/>
    <mergeCell ref="E2322:F2322"/>
    <mergeCell ref="E2323:F2323"/>
    <mergeCell ref="E2318:F2318"/>
    <mergeCell ref="E2319:F2319"/>
    <mergeCell ref="E2320:F2320"/>
    <mergeCell ref="E2321:F2321"/>
    <mergeCell ref="E2301:F2301"/>
    <mergeCell ref="E2324:F2324"/>
    <mergeCell ref="H2540:I2540"/>
    <mergeCell ref="E2544:F2544"/>
    <mergeCell ref="H2546:I2546"/>
    <mergeCell ref="E2552:F2552"/>
    <mergeCell ref="H2554:I2554"/>
    <mergeCell ref="E2560:F2560"/>
    <mergeCell ref="H2562:I2562"/>
    <mergeCell ref="E2408:F2408"/>
    <mergeCell ref="E2409:F2409"/>
    <mergeCell ref="E2410:F2410"/>
    <mergeCell ref="E2411:F2411"/>
    <mergeCell ref="E2405:F2405"/>
    <mergeCell ref="E2406:F2406"/>
    <mergeCell ref="E2407:F2407"/>
    <mergeCell ref="E2495:F2495"/>
    <mergeCell ref="E2500:F2500"/>
    <mergeCell ref="E2501:F2501"/>
    <mergeCell ref="E2480:F2480"/>
    <mergeCell ref="E2481:F2481"/>
    <mergeCell ref="E2482:F2482"/>
    <mergeCell ref="E2487:F2487"/>
    <mergeCell ref="E2464:F2464"/>
    <mergeCell ref="E2465:F2465"/>
    <mergeCell ref="E2466:F2466"/>
    <mergeCell ref="E2493:F2493"/>
    <mergeCell ref="E2494:F2494"/>
    <mergeCell ref="E2488:F2488"/>
    <mergeCell ref="E2474:F2474"/>
    <mergeCell ref="E2475:F2475"/>
    <mergeCell ref="E2471:F2471"/>
    <mergeCell ref="E2472:F2472"/>
    <mergeCell ref="E2473:F2473"/>
    <mergeCell ref="E2476:F2476"/>
    <mergeCell ref="E2509:F2509"/>
    <mergeCell ref="E2514:F2514"/>
    <mergeCell ref="E2565:F2565"/>
    <mergeCell ref="E2566:F2566"/>
    <mergeCell ref="E2567:F2567"/>
    <mergeCell ref="E2568:F2568"/>
    <mergeCell ref="E2569:F2569"/>
    <mergeCell ref="E2557:F2557"/>
    <mergeCell ref="E2558:F2558"/>
    <mergeCell ref="E2559:F2559"/>
    <mergeCell ref="E2564:F2564"/>
    <mergeCell ref="E2548:F2548"/>
    <mergeCell ref="E2549:F2549"/>
    <mergeCell ref="E2550:F2550"/>
    <mergeCell ref="E2551:F2551"/>
    <mergeCell ref="E2538:F2538"/>
    <mergeCell ref="E2570:F2570"/>
    <mergeCell ref="E2614:F2614"/>
    <mergeCell ref="E2596:F2596"/>
    <mergeCell ref="E2597:F2597"/>
    <mergeCell ref="E2602:F2602"/>
    <mergeCell ref="E2577:F2577"/>
    <mergeCell ref="E2578:F2578"/>
    <mergeCell ref="E2579:F2579"/>
    <mergeCell ref="E2584:F2584"/>
    <mergeCell ref="E2590:F2590"/>
    <mergeCell ref="E2591:F2591"/>
    <mergeCell ref="E2585:F2585"/>
    <mergeCell ref="A1:K1"/>
    <mergeCell ref="B5:E6"/>
    <mergeCell ref="E2674:F2674"/>
    <mergeCell ref="E2675:F2675"/>
    <mergeCell ref="E2656:F2656"/>
    <mergeCell ref="E2657:F2657"/>
    <mergeCell ref="E2662:F2662"/>
    <mergeCell ref="E2663:F2663"/>
    <mergeCell ref="E2640:F2640"/>
    <mergeCell ref="E2641:F2641"/>
    <mergeCell ref="E2642:F2642"/>
    <mergeCell ref="E2647:F2647"/>
    <mergeCell ref="G2627:I2627"/>
    <mergeCell ref="A2628:F2628"/>
    <mergeCell ref="G2628:I2628"/>
    <mergeCell ref="A2629:F2629"/>
    <mergeCell ref="G2629:I2629"/>
    <mergeCell ref="A2630:F2630"/>
    <mergeCell ref="G2630:I2630"/>
    <mergeCell ref="H2469:I2469"/>
  </mergeCells>
  <printOptions horizontalCentered="1"/>
  <pageMargins left="0.51181102362204722" right="0.51181102362204722" top="0.78740157480314965" bottom="0.78740157480314965" header="0.31496062992125984" footer="0.31496062992125984"/>
  <pageSetup paperSize="9" scale="60"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2FEB5-FF47-416A-B1FF-B467C43580FC}">
  <dimension ref="A1:W70"/>
  <sheetViews>
    <sheetView showGridLines="0" view="pageBreakPreview" topLeftCell="A57" zoomScaleNormal="85" zoomScaleSheetLayoutView="100" workbookViewId="0">
      <selection activeCell="Q14" sqref="Q14:Q15"/>
    </sheetView>
  </sheetViews>
  <sheetFormatPr defaultRowHeight="12.75" x14ac:dyDescent="0.25"/>
  <cols>
    <col min="1" max="1" width="1.7109375" style="166" customWidth="1"/>
    <col min="2" max="2" width="9.85546875" style="166" customWidth="1"/>
    <col min="3" max="3" width="53.85546875" style="166" customWidth="1"/>
    <col min="4" max="4" width="16.140625" style="166" customWidth="1"/>
    <col min="5" max="20" width="3.7109375" style="166" customWidth="1"/>
    <col min="21" max="21" width="1.7109375" style="166" customWidth="1"/>
    <col min="22" max="16384" width="9.140625" style="166"/>
  </cols>
  <sheetData>
    <row r="1" spans="1:23" s="11" customFormat="1" ht="9.9499999999999993" customHeight="1" x14ac:dyDescent="0.25">
      <c r="A1" s="69"/>
      <c r="B1" s="585" t="s">
        <v>2838</v>
      </c>
      <c r="C1" s="585"/>
      <c r="D1" s="585"/>
      <c r="E1" s="585"/>
      <c r="F1" s="585"/>
      <c r="G1" s="585"/>
      <c r="H1" s="585"/>
      <c r="I1" s="585"/>
      <c r="J1" s="585"/>
      <c r="K1" s="585"/>
      <c r="L1" s="585"/>
      <c r="M1" s="585"/>
      <c r="N1" s="585"/>
      <c r="O1" s="585"/>
      <c r="P1" s="585"/>
      <c r="Q1" s="585"/>
      <c r="R1" s="585"/>
      <c r="S1" s="585"/>
      <c r="T1" s="585"/>
      <c r="U1" s="69"/>
      <c r="V1" s="69"/>
      <c r="W1" s="69"/>
    </row>
    <row r="2" spans="1:23" s="11" customFormat="1" ht="9.9499999999999993" customHeight="1" x14ac:dyDescent="0.25">
      <c r="A2" s="69"/>
      <c r="B2" s="585"/>
      <c r="C2" s="585"/>
      <c r="D2" s="585"/>
      <c r="E2" s="585"/>
      <c r="F2" s="585"/>
      <c r="G2" s="585"/>
      <c r="H2" s="585"/>
      <c r="I2" s="585"/>
      <c r="J2" s="585"/>
      <c r="K2" s="585"/>
      <c r="L2" s="585"/>
      <c r="M2" s="585"/>
      <c r="N2" s="585"/>
      <c r="O2" s="585"/>
      <c r="P2" s="585"/>
      <c r="Q2" s="585"/>
      <c r="R2" s="585"/>
      <c r="S2" s="585"/>
      <c r="T2" s="585"/>
      <c r="U2" s="69"/>
      <c r="V2" s="69"/>
      <c r="W2" s="69"/>
    </row>
    <row r="3" spans="1:23" s="11" customFormat="1" ht="9.9499999999999993" customHeight="1" x14ac:dyDescent="0.25">
      <c r="A3" s="69"/>
      <c r="B3" s="585"/>
      <c r="C3" s="585"/>
      <c r="D3" s="585"/>
      <c r="E3" s="585"/>
      <c r="F3" s="585"/>
      <c r="G3" s="585"/>
      <c r="H3" s="585"/>
      <c r="I3" s="585"/>
      <c r="J3" s="585"/>
      <c r="K3" s="585"/>
      <c r="L3" s="585"/>
      <c r="M3" s="585"/>
      <c r="N3" s="585"/>
      <c r="O3" s="585"/>
      <c r="P3" s="585"/>
      <c r="Q3" s="585"/>
      <c r="R3" s="585"/>
      <c r="S3" s="585"/>
      <c r="T3" s="585"/>
      <c r="U3" s="69"/>
      <c r="V3" s="69"/>
      <c r="W3" s="69"/>
    </row>
    <row r="4" spans="1:23" s="11" customFormat="1" ht="9.9499999999999993" customHeight="1" x14ac:dyDescent="0.25">
      <c r="A4" s="69"/>
      <c r="B4" s="585"/>
      <c r="C4" s="585"/>
      <c r="D4" s="585"/>
      <c r="E4" s="585"/>
      <c r="F4" s="585"/>
      <c r="G4" s="585"/>
      <c r="H4" s="585"/>
      <c r="I4" s="585"/>
      <c r="J4" s="585"/>
      <c r="K4" s="585"/>
      <c r="L4" s="585"/>
      <c r="M4" s="585"/>
      <c r="N4" s="585"/>
      <c r="O4" s="585"/>
      <c r="P4" s="585"/>
      <c r="Q4" s="585"/>
      <c r="R4" s="585"/>
      <c r="S4" s="585"/>
      <c r="T4" s="585"/>
      <c r="U4" s="69"/>
      <c r="V4" s="69"/>
      <c r="W4" s="69"/>
    </row>
    <row r="5" spans="1:23" s="11" customFormat="1" ht="9.9499999999999993" customHeight="1" x14ac:dyDescent="0.25">
      <c r="A5" s="69"/>
      <c r="B5" s="585"/>
      <c r="C5" s="585"/>
      <c r="D5" s="585"/>
      <c r="E5" s="585"/>
      <c r="F5" s="585"/>
      <c r="G5" s="585"/>
      <c r="H5" s="585"/>
      <c r="I5" s="585"/>
      <c r="J5" s="585"/>
      <c r="K5" s="585"/>
      <c r="L5" s="585"/>
      <c r="M5" s="585"/>
      <c r="N5" s="585"/>
      <c r="O5" s="585"/>
      <c r="P5" s="585"/>
      <c r="Q5" s="585"/>
      <c r="R5" s="585"/>
      <c r="S5" s="585"/>
      <c r="T5" s="585"/>
      <c r="U5" s="69"/>
      <c r="V5" s="69"/>
      <c r="W5" s="69"/>
    </row>
    <row r="6" spans="1:23" s="11" customFormat="1" ht="9.9499999999999993" customHeight="1" x14ac:dyDescent="0.25">
      <c r="A6" s="69"/>
      <c r="B6" s="585"/>
      <c r="C6" s="585"/>
      <c r="D6" s="585"/>
      <c r="E6" s="585"/>
      <c r="F6" s="585"/>
      <c r="G6" s="585"/>
      <c r="H6" s="585"/>
      <c r="I6" s="585"/>
      <c r="J6" s="585"/>
      <c r="K6" s="585"/>
      <c r="L6" s="585"/>
      <c r="M6" s="585"/>
      <c r="N6" s="585"/>
      <c r="O6" s="585"/>
      <c r="P6" s="585"/>
      <c r="Q6" s="585"/>
      <c r="R6" s="585"/>
      <c r="S6" s="585"/>
      <c r="T6" s="585"/>
      <c r="U6" s="69"/>
      <c r="V6" s="69"/>
      <c r="W6" s="69"/>
    </row>
    <row r="7" spans="1:23" s="11" customFormat="1" x14ac:dyDescent="0.25">
      <c r="A7" s="69"/>
      <c r="B7" s="69"/>
      <c r="C7" s="69"/>
      <c r="D7" s="181"/>
      <c r="E7" s="182"/>
      <c r="F7" s="182"/>
      <c r="G7" s="182"/>
      <c r="H7" s="69"/>
      <c r="I7" s="69"/>
      <c r="J7" s="69"/>
      <c r="K7" s="69"/>
      <c r="L7" s="69"/>
      <c r="M7" s="69"/>
      <c r="N7" s="69"/>
      <c r="O7" s="69"/>
      <c r="P7" s="69"/>
      <c r="Q7" s="69"/>
      <c r="R7" s="69"/>
      <c r="S7" s="69"/>
      <c r="T7" s="69"/>
      <c r="U7" s="69"/>
      <c r="V7" s="69"/>
      <c r="W7" s="69"/>
    </row>
    <row r="8" spans="1:23" s="5" customFormat="1" ht="33" customHeight="1" x14ac:dyDescent="0.25">
      <c r="B8" s="1" t="s">
        <v>16</v>
      </c>
      <c r="C8" s="674" t="str">
        <f>'DADOS DA OBRA'!$B$13</f>
        <v>DEMOLIÇÃO DO RESERVATÓRIO EXISTENTE, EXECUÇÃO DE RESERVATÓRIO METÁLICO ELEVADO E REESTRUTURAÇÃO (COM AMPLIAÇÃO) DA REDE DE DISTRIBUIÇÃO DE ÁGUA TRATADA EXISTENTE NO MUNICÍPIO DE MATRINCHÃ</v>
      </c>
      <c r="D8" s="674"/>
      <c r="E8" s="674"/>
      <c r="F8" s="674"/>
      <c r="G8" s="674"/>
      <c r="H8" s="674"/>
      <c r="I8" s="674"/>
      <c r="J8" s="674"/>
      <c r="K8" s="674"/>
      <c r="L8" s="674"/>
      <c r="M8" s="674"/>
      <c r="N8" s="674"/>
      <c r="P8" s="430"/>
      <c r="Q8" s="42" t="s">
        <v>96</v>
      </c>
      <c r="R8" s="466" t="str">
        <f>+'DADOS DA OBRA'!$N$22</f>
        <v>04/11/2024</v>
      </c>
    </row>
    <row r="9" spans="1:23" s="5" customFormat="1" ht="15" customHeight="1" x14ac:dyDescent="0.25">
      <c r="B9" s="1" t="s">
        <v>18</v>
      </c>
      <c r="C9" s="6" t="str">
        <f>+""&amp;'DADOS DA OBRA'!$B$16&amp;", "&amp;'DADOS DA OBRA'!$B$19&amp;", "&amp;'DADOS DA OBRA'!$J$19&amp;", "&amp;'DADOS DA OBRA'!$P$19</f>
        <v>RUAS DIVERSAS, DIVERSOS, MATRINCHÃ, GO</v>
      </c>
      <c r="D9" s="50"/>
      <c r="G9" s="49"/>
      <c r="P9" s="430"/>
      <c r="Q9" s="54" t="s">
        <v>17</v>
      </c>
      <c r="R9" s="466" t="str">
        <f>'DADOS DA OBRA'!$N$25</f>
        <v>00</v>
      </c>
    </row>
    <row r="10" spans="1:23" s="5" customFormat="1" ht="15" customHeight="1" thickBot="1" x14ac:dyDescent="0.3">
      <c r="D10" s="50"/>
      <c r="G10" s="49"/>
      <c r="H10" s="42"/>
      <c r="I10" s="55"/>
      <c r="P10" s="430"/>
    </row>
    <row r="11" spans="1:23" s="165" customFormat="1" ht="20.100000000000001" customHeight="1" thickBot="1" x14ac:dyDescent="0.3">
      <c r="B11" s="644" t="s">
        <v>20</v>
      </c>
      <c r="C11" s="647" t="s">
        <v>84</v>
      </c>
      <c r="D11" s="650" t="s">
        <v>85</v>
      </c>
      <c r="E11" s="653" t="s">
        <v>86</v>
      </c>
      <c r="F11" s="654"/>
      <c r="G11" s="654"/>
      <c r="H11" s="654"/>
      <c r="I11" s="654"/>
      <c r="J11" s="654"/>
      <c r="K11" s="654"/>
      <c r="L11" s="654"/>
      <c r="M11" s="654"/>
      <c r="N11" s="654"/>
      <c r="O11" s="654"/>
      <c r="P11" s="654"/>
      <c r="Q11" s="654"/>
      <c r="R11" s="654"/>
      <c r="S11" s="654"/>
      <c r="T11" s="655"/>
    </row>
    <row r="12" spans="1:23" s="165" customFormat="1" ht="18" customHeight="1" x14ac:dyDescent="0.25">
      <c r="B12" s="645"/>
      <c r="C12" s="648"/>
      <c r="D12" s="651"/>
      <c r="E12" s="664" t="s">
        <v>87</v>
      </c>
      <c r="F12" s="665"/>
      <c r="G12" s="665"/>
      <c r="H12" s="666"/>
      <c r="I12" s="670" t="s">
        <v>88</v>
      </c>
      <c r="J12" s="665"/>
      <c r="K12" s="665"/>
      <c r="L12" s="666"/>
      <c r="M12" s="670" t="s">
        <v>89</v>
      </c>
      <c r="N12" s="665"/>
      <c r="O12" s="665"/>
      <c r="P12" s="666"/>
      <c r="Q12" s="670" t="s">
        <v>90</v>
      </c>
      <c r="R12" s="665"/>
      <c r="S12" s="665"/>
      <c r="T12" s="672"/>
    </row>
    <row r="13" spans="1:23" s="165" customFormat="1" ht="18" customHeight="1" thickBot="1" x14ac:dyDescent="0.3">
      <c r="B13" s="646"/>
      <c r="C13" s="649"/>
      <c r="D13" s="652"/>
      <c r="E13" s="667"/>
      <c r="F13" s="668"/>
      <c r="G13" s="668"/>
      <c r="H13" s="669"/>
      <c r="I13" s="671"/>
      <c r="J13" s="668"/>
      <c r="K13" s="668"/>
      <c r="L13" s="669"/>
      <c r="M13" s="671"/>
      <c r="N13" s="668"/>
      <c r="O13" s="668"/>
      <c r="P13" s="669"/>
      <c r="Q13" s="671"/>
      <c r="R13" s="668"/>
      <c r="S13" s="668"/>
      <c r="T13" s="673"/>
    </row>
    <row r="14" spans="1:23" ht="18" customHeight="1" x14ac:dyDescent="0.25">
      <c r="B14" s="656" t="str">
        <f>'ORÇAMENTO RESUMO (SD)'!B9</f>
        <v xml:space="preserve"> 1 </v>
      </c>
      <c r="C14" s="658" t="str">
        <f>'ORÇAMENTO RESUMO (SD)'!E9</f>
        <v>ADMINISTRAÇÃO LOCAL</v>
      </c>
      <c r="D14" s="459">
        <f>'ORÇAMENTO RESUMO (SD)'!K9</f>
        <v>125271.4</v>
      </c>
      <c r="E14" s="660">
        <f t="shared" ref="E14" si="0">E16*$D14</f>
        <v>34006.161618272912</v>
      </c>
      <c r="F14" s="641"/>
      <c r="G14" s="641"/>
      <c r="H14" s="642"/>
      <c r="I14" s="640">
        <f t="shared" ref="I14" si="1">I16*$D14</f>
        <v>37956.928439157156</v>
      </c>
      <c r="J14" s="641"/>
      <c r="K14" s="641"/>
      <c r="L14" s="642"/>
      <c r="M14" s="640">
        <f t="shared" ref="M14" si="2">M16*$D14</f>
        <v>27594.735558050357</v>
      </c>
      <c r="N14" s="641"/>
      <c r="O14" s="641"/>
      <c r="P14" s="642"/>
      <c r="Q14" s="640">
        <f t="shared" ref="Q14" si="3">Q16*$D14</f>
        <v>25713.574384519554</v>
      </c>
      <c r="R14" s="641"/>
      <c r="S14" s="641"/>
      <c r="T14" s="643"/>
      <c r="U14" s="165"/>
      <c r="V14" s="167"/>
      <c r="W14" s="167"/>
    </row>
    <row r="15" spans="1:23" ht="8.1" customHeight="1" x14ac:dyDescent="0.25">
      <c r="B15" s="656"/>
      <c r="C15" s="658"/>
      <c r="D15" s="459"/>
      <c r="E15" s="465"/>
      <c r="F15" s="168"/>
      <c r="G15" s="168"/>
      <c r="H15" s="169"/>
      <c r="I15" s="179"/>
      <c r="J15" s="168"/>
      <c r="K15" s="168"/>
      <c r="L15" s="169"/>
      <c r="M15" s="179"/>
      <c r="N15" s="168"/>
      <c r="O15" s="168"/>
      <c r="P15" s="169"/>
      <c r="Q15" s="179"/>
      <c r="R15" s="168"/>
      <c r="S15" s="168"/>
      <c r="T15" s="180"/>
    </row>
    <row r="16" spans="1:23" ht="18" customHeight="1" x14ac:dyDescent="0.25">
      <c r="B16" s="657"/>
      <c r="C16" s="659"/>
      <c r="D16" s="460">
        <f>D14/$D$65</f>
        <v>5.8831016670932677E-2</v>
      </c>
      <c r="E16" s="661">
        <f>+SUM(E20,E23,E26,E29,E32,E35,E38,E41,E44,E47,E50,E53,E56,E59,E62)/($D$65-$D$14-$D$17)</f>
        <v>0.271459899213012</v>
      </c>
      <c r="F16" s="662"/>
      <c r="G16" s="662"/>
      <c r="H16" s="663"/>
      <c r="I16" s="626">
        <f t="shared" ref="I16" si="4">+SUM(I20,I23,I26,I29,I32,I35,I38,I41,I44,I47,I50,I53,I56,I59,I62)/($D$65-$D$14-$D$17)</f>
        <v>0.30299755921269467</v>
      </c>
      <c r="J16" s="624"/>
      <c r="K16" s="624"/>
      <c r="L16" s="625"/>
      <c r="M16" s="626">
        <f t="shared" ref="M16" si="5">+SUM(M20,M23,M26,M29,M32,M35,M38,M41,M44,M47,M50,M53,M56,M59,M62)/($D$65-$D$14-$D$17)</f>
        <v>0.22027961336785856</v>
      </c>
      <c r="N16" s="624"/>
      <c r="O16" s="624"/>
      <c r="P16" s="625"/>
      <c r="Q16" s="626">
        <f t="shared" ref="Q16" si="6">+SUM(Q20,Q23,Q26,Q29,Q32,Q35,Q38,Q41,Q44,Q47,Q50,Q53,Q56,Q59,Q62)/($D$65-$D$14-$D$17)</f>
        <v>0.20526292820643463</v>
      </c>
      <c r="R16" s="624"/>
      <c r="S16" s="624"/>
      <c r="T16" s="638"/>
    </row>
    <row r="17" spans="2:23" ht="18" customHeight="1" x14ac:dyDescent="0.25">
      <c r="B17" s="656" t="str">
        <f>'ORÇAMENTO RESUMO (SD)'!B10</f>
        <v xml:space="preserve"> 2 </v>
      </c>
      <c r="C17" s="675" t="str">
        <f>'ORÇAMENTO RESUMO (SD)'!E10</f>
        <v>CANTEIRO DE OBRAS</v>
      </c>
      <c r="D17" s="459">
        <f>'ORÇAMENTO RESUMO (SD)'!K10</f>
        <v>198649.82</v>
      </c>
      <c r="E17" s="627">
        <f>E19*$D17</f>
        <v>53925.460115882976</v>
      </c>
      <c r="F17" s="628"/>
      <c r="G17" s="628"/>
      <c r="H17" s="629"/>
      <c r="I17" s="630">
        <f t="shared" ref="I17" si="7">I19*$D17</f>
        <v>60190.41059804114</v>
      </c>
      <c r="J17" s="628"/>
      <c r="K17" s="628"/>
      <c r="L17" s="629"/>
      <c r="M17" s="630">
        <f t="shared" ref="M17" si="8">M19*$D17</f>
        <v>43758.505545194697</v>
      </c>
      <c r="N17" s="628"/>
      <c r="O17" s="628"/>
      <c r="P17" s="629"/>
      <c r="Q17" s="630">
        <f t="shared" ref="Q17" si="9">Q19*$D17</f>
        <v>40775.443740881165</v>
      </c>
      <c r="R17" s="628"/>
      <c r="S17" s="628"/>
      <c r="T17" s="639"/>
      <c r="V17" s="167"/>
      <c r="W17" s="167"/>
    </row>
    <row r="18" spans="2:23" ht="8.1" customHeight="1" x14ac:dyDescent="0.25">
      <c r="B18" s="656"/>
      <c r="C18" s="658"/>
      <c r="D18" s="459"/>
      <c r="E18" s="465"/>
      <c r="F18" s="168"/>
      <c r="G18" s="168"/>
      <c r="H18" s="169"/>
      <c r="I18" s="179"/>
      <c r="J18" s="168"/>
      <c r="K18" s="168"/>
      <c r="L18" s="169"/>
      <c r="M18" s="179"/>
      <c r="N18" s="168"/>
      <c r="O18" s="168"/>
      <c r="P18" s="169"/>
      <c r="Q18" s="179"/>
      <c r="R18" s="168"/>
      <c r="S18" s="168"/>
      <c r="T18" s="180"/>
    </row>
    <row r="19" spans="2:23" ht="18" customHeight="1" x14ac:dyDescent="0.25">
      <c r="B19" s="657"/>
      <c r="C19" s="659"/>
      <c r="D19" s="460">
        <f>D17/$D$65</f>
        <v>9.3291612228312101E-2</v>
      </c>
      <c r="E19" s="623">
        <f>E16</f>
        <v>0.271459899213012</v>
      </c>
      <c r="F19" s="624"/>
      <c r="G19" s="624"/>
      <c r="H19" s="625"/>
      <c r="I19" s="626">
        <f t="shared" ref="I19" si="10">I16</f>
        <v>0.30299755921269467</v>
      </c>
      <c r="J19" s="624"/>
      <c r="K19" s="624"/>
      <c r="L19" s="625"/>
      <c r="M19" s="626">
        <f t="shared" ref="M19" si="11">M16</f>
        <v>0.22027961336785856</v>
      </c>
      <c r="N19" s="624"/>
      <c r="O19" s="624"/>
      <c r="P19" s="625"/>
      <c r="Q19" s="626">
        <f t="shared" ref="Q19" si="12">Q16</f>
        <v>0.20526292820643463</v>
      </c>
      <c r="R19" s="624"/>
      <c r="S19" s="624"/>
      <c r="T19" s="638"/>
    </row>
    <row r="20" spans="2:23" ht="18" customHeight="1" x14ac:dyDescent="0.25">
      <c r="B20" s="656" t="str">
        <f>'ORÇAMENTO RESUMO (SD)'!B11</f>
        <v xml:space="preserve"> 3 </v>
      </c>
      <c r="C20" s="675" t="str">
        <f>'ORÇAMENTO RESUMO (SD)'!E11</f>
        <v>SERVIÇOS PRELIMINARES</v>
      </c>
      <c r="D20" s="459">
        <f>'ORÇAMENTO RESUMO (SD)'!K11</f>
        <v>36340</v>
      </c>
      <c r="E20" s="627">
        <f>E22*$D20</f>
        <v>23621</v>
      </c>
      <c r="F20" s="628"/>
      <c r="G20" s="628"/>
      <c r="H20" s="629"/>
      <c r="I20" s="630">
        <f t="shared" ref="I20" si="13">I22*$D20</f>
        <v>0</v>
      </c>
      <c r="J20" s="628"/>
      <c r="K20" s="628"/>
      <c r="L20" s="629"/>
      <c r="M20" s="630">
        <f t="shared" ref="M20" si="14">M22*$D20</f>
        <v>0</v>
      </c>
      <c r="N20" s="628"/>
      <c r="O20" s="628"/>
      <c r="P20" s="629"/>
      <c r="Q20" s="630">
        <f t="shared" ref="Q20" si="15">Q22*$D20</f>
        <v>12719</v>
      </c>
      <c r="R20" s="628"/>
      <c r="S20" s="628"/>
      <c r="T20" s="639"/>
      <c r="V20" s="167"/>
      <c r="W20" s="167"/>
    </row>
    <row r="21" spans="2:23" ht="8.1" customHeight="1" x14ac:dyDescent="0.25">
      <c r="B21" s="656"/>
      <c r="C21" s="658"/>
      <c r="D21" s="459"/>
      <c r="E21" s="465"/>
      <c r="F21" s="168"/>
      <c r="G21" s="168"/>
      <c r="H21" s="169"/>
      <c r="I21" s="471"/>
      <c r="J21" s="469"/>
      <c r="K21" s="469"/>
      <c r="L21" s="470"/>
      <c r="M21" s="471"/>
      <c r="N21" s="469"/>
      <c r="O21" s="469"/>
      <c r="P21" s="470"/>
      <c r="Q21" s="471"/>
      <c r="R21" s="469"/>
      <c r="S21" s="469"/>
      <c r="T21" s="180"/>
    </row>
    <row r="22" spans="2:23" ht="18" customHeight="1" x14ac:dyDescent="0.25">
      <c r="B22" s="657"/>
      <c r="C22" s="659"/>
      <c r="D22" s="460">
        <f>D20/$D$65</f>
        <v>1.706629881857865E-2</v>
      </c>
      <c r="E22" s="623">
        <v>0.65</v>
      </c>
      <c r="F22" s="624"/>
      <c r="G22" s="624"/>
      <c r="H22" s="625"/>
      <c r="I22" s="626"/>
      <c r="J22" s="624"/>
      <c r="K22" s="624"/>
      <c r="L22" s="625"/>
      <c r="M22" s="626"/>
      <c r="N22" s="624"/>
      <c r="O22" s="624"/>
      <c r="P22" s="625"/>
      <c r="Q22" s="626">
        <v>0.35</v>
      </c>
      <c r="R22" s="624"/>
      <c r="S22" s="624"/>
      <c r="T22" s="638"/>
    </row>
    <row r="23" spans="2:23" ht="18" customHeight="1" x14ac:dyDescent="0.25">
      <c r="B23" s="656" t="str">
        <f>'ORÇAMENTO RESUMO (SD)'!B12</f>
        <v xml:space="preserve"> 4 </v>
      </c>
      <c r="C23" s="675" t="str">
        <f>'ORÇAMENTO RESUMO (SD)'!E12</f>
        <v>DEMOLIÇÕES</v>
      </c>
      <c r="D23" s="459">
        <f>'ORÇAMENTO RESUMO (SD)'!K12</f>
        <v>48722.83</v>
      </c>
      <c r="E23" s="627">
        <f>E25*$D23</f>
        <v>12180.7075</v>
      </c>
      <c r="F23" s="628"/>
      <c r="G23" s="628"/>
      <c r="H23" s="629"/>
      <c r="I23" s="630">
        <f>I25*$D23</f>
        <v>12180.7075</v>
      </c>
      <c r="J23" s="628"/>
      <c r="K23" s="628"/>
      <c r="L23" s="629"/>
      <c r="M23" s="630">
        <f>M25*$D23</f>
        <v>12180.7075</v>
      </c>
      <c r="N23" s="628"/>
      <c r="O23" s="628"/>
      <c r="P23" s="629"/>
      <c r="Q23" s="630">
        <f>Q25*$D23</f>
        <v>12180.7075</v>
      </c>
      <c r="R23" s="628"/>
      <c r="S23" s="628"/>
      <c r="T23" s="639"/>
      <c r="V23" s="167"/>
      <c r="W23" s="167"/>
    </row>
    <row r="24" spans="2:23" ht="8.1" customHeight="1" x14ac:dyDescent="0.25">
      <c r="B24" s="656"/>
      <c r="C24" s="658"/>
      <c r="D24" s="459"/>
      <c r="E24" s="465"/>
      <c r="F24" s="168"/>
      <c r="G24" s="168"/>
      <c r="H24" s="169"/>
      <c r="I24" s="179"/>
      <c r="J24" s="168"/>
      <c r="K24" s="168"/>
      <c r="L24" s="169"/>
      <c r="M24" s="179"/>
      <c r="N24" s="168"/>
      <c r="O24" s="168"/>
      <c r="P24" s="169"/>
      <c r="Q24" s="179"/>
      <c r="R24" s="168"/>
      <c r="S24" s="168"/>
      <c r="T24" s="180"/>
    </row>
    <row r="25" spans="2:23" ht="18" customHeight="1" x14ac:dyDescent="0.25">
      <c r="B25" s="657"/>
      <c r="C25" s="659"/>
      <c r="D25" s="460">
        <f>D23/$D$65</f>
        <v>2.2881628400297425E-2</v>
      </c>
      <c r="E25" s="623">
        <v>0.25</v>
      </c>
      <c r="F25" s="624"/>
      <c r="G25" s="624"/>
      <c r="H25" s="625"/>
      <c r="I25" s="626">
        <v>0.25</v>
      </c>
      <c r="J25" s="624"/>
      <c r="K25" s="624"/>
      <c r="L25" s="625"/>
      <c r="M25" s="626">
        <v>0.25</v>
      </c>
      <c r="N25" s="624"/>
      <c r="O25" s="624"/>
      <c r="P25" s="625"/>
      <c r="Q25" s="626">
        <v>0.25</v>
      </c>
      <c r="R25" s="624"/>
      <c r="S25" s="624"/>
      <c r="T25" s="638"/>
    </row>
    <row r="26" spans="2:23" ht="18" customHeight="1" x14ac:dyDescent="0.25">
      <c r="B26" s="656" t="str">
        <f>'ORÇAMENTO RESUMO (SD)'!B13</f>
        <v xml:space="preserve"> 5 </v>
      </c>
      <c r="C26" s="675" t="str">
        <f>'ORÇAMENTO RESUMO (SD)'!E13</f>
        <v>MOVIMENTO DE TERRA</v>
      </c>
      <c r="D26" s="459">
        <f>'ORÇAMENTO RESUMO (SD)'!K13</f>
        <v>168993.37</v>
      </c>
      <c r="E26" s="627">
        <f t="shared" ref="E26" si="16">E28*$D26</f>
        <v>67597.347999999998</v>
      </c>
      <c r="F26" s="628"/>
      <c r="G26" s="628"/>
      <c r="H26" s="629"/>
      <c r="I26" s="630">
        <f t="shared" ref="I26" si="17">I28*$D26</f>
        <v>33798.673999999999</v>
      </c>
      <c r="J26" s="628"/>
      <c r="K26" s="628"/>
      <c r="L26" s="629"/>
      <c r="M26" s="630">
        <f t="shared" ref="M26" si="18">M28*$D26</f>
        <v>33798.673999999999</v>
      </c>
      <c r="N26" s="628"/>
      <c r="O26" s="628"/>
      <c r="P26" s="629"/>
      <c r="Q26" s="630">
        <f t="shared" ref="Q26" si="19">Q28*$D26</f>
        <v>33798.673999999999</v>
      </c>
      <c r="R26" s="628"/>
      <c r="S26" s="628"/>
      <c r="T26" s="639"/>
      <c r="V26" s="167"/>
      <c r="W26" s="167"/>
    </row>
    <row r="27" spans="2:23" ht="8.1" customHeight="1" x14ac:dyDescent="0.25">
      <c r="B27" s="656"/>
      <c r="C27" s="658"/>
      <c r="D27" s="459"/>
      <c r="E27" s="468"/>
      <c r="F27" s="168"/>
      <c r="G27" s="168"/>
      <c r="H27" s="169"/>
      <c r="I27" s="179"/>
      <c r="J27" s="168"/>
      <c r="K27" s="168"/>
      <c r="L27" s="169"/>
      <c r="M27" s="179"/>
      <c r="N27" s="168"/>
      <c r="O27" s="168"/>
      <c r="P27" s="169"/>
      <c r="Q27" s="179"/>
      <c r="R27" s="168"/>
      <c r="S27" s="168"/>
      <c r="T27" s="472"/>
    </row>
    <row r="28" spans="2:23" ht="18" customHeight="1" x14ac:dyDescent="0.25">
      <c r="B28" s="657"/>
      <c r="C28" s="659"/>
      <c r="D28" s="460">
        <f>D26/$D$65</f>
        <v>7.9364098810639092E-2</v>
      </c>
      <c r="E28" s="623">
        <v>0.4</v>
      </c>
      <c r="F28" s="624"/>
      <c r="G28" s="624"/>
      <c r="H28" s="625"/>
      <c r="I28" s="626">
        <v>0.2</v>
      </c>
      <c r="J28" s="624"/>
      <c r="K28" s="624"/>
      <c r="L28" s="625"/>
      <c r="M28" s="626">
        <v>0.2</v>
      </c>
      <c r="N28" s="624"/>
      <c r="O28" s="624"/>
      <c r="P28" s="625"/>
      <c r="Q28" s="626">
        <v>0.2</v>
      </c>
      <c r="R28" s="624"/>
      <c r="S28" s="624"/>
      <c r="T28" s="638"/>
    </row>
    <row r="29" spans="2:23" ht="18" customHeight="1" x14ac:dyDescent="0.25">
      <c r="B29" s="656" t="str">
        <f>'ORÇAMENTO RESUMO (SD)'!B14</f>
        <v xml:space="preserve"> 6 </v>
      </c>
      <c r="C29" s="675" t="str">
        <f>'ORÇAMENTO RESUMO (SD)'!E14</f>
        <v>FUNDAÇÕES</v>
      </c>
      <c r="D29" s="459">
        <f>'ORÇAMENTO RESUMO (SD)'!K14</f>
        <v>118158.17</v>
      </c>
      <c r="E29" s="627">
        <f>E31*$D29</f>
        <v>118158.17</v>
      </c>
      <c r="F29" s="628"/>
      <c r="G29" s="628"/>
      <c r="H29" s="629"/>
      <c r="I29" s="630">
        <f>I31*$D29</f>
        <v>0</v>
      </c>
      <c r="J29" s="628"/>
      <c r="K29" s="628"/>
      <c r="L29" s="629"/>
      <c r="M29" s="630">
        <f>M31*$D29</f>
        <v>0</v>
      </c>
      <c r="N29" s="628"/>
      <c r="O29" s="628"/>
      <c r="P29" s="629"/>
      <c r="Q29" s="630">
        <f>Q31*$D29</f>
        <v>0</v>
      </c>
      <c r="R29" s="628"/>
      <c r="S29" s="628"/>
      <c r="T29" s="639"/>
      <c r="V29" s="167"/>
      <c r="W29" s="167"/>
    </row>
    <row r="30" spans="2:23" ht="8.1" customHeight="1" x14ac:dyDescent="0.25">
      <c r="B30" s="656"/>
      <c r="C30" s="658"/>
      <c r="D30" s="459"/>
      <c r="E30" s="468"/>
      <c r="F30" s="168"/>
      <c r="G30" s="168"/>
      <c r="H30" s="169"/>
      <c r="I30" s="471"/>
      <c r="J30" s="469"/>
      <c r="K30" s="469"/>
      <c r="L30" s="470"/>
      <c r="M30" s="471"/>
      <c r="N30" s="469"/>
      <c r="O30" s="469"/>
      <c r="P30" s="470"/>
      <c r="Q30" s="471"/>
      <c r="R30" s="469"/>
      <c r="S30" s="469"/>
      <c r="T30" s="472"/>
    </row>
    <row r="31" spans="2:23" ht="18" customHeight="1" x14ac:dyDescent="0.25">
      <c r="B31" s="657"/>
      <c r="C31" s="659"/>
      <c r="D31" s="460">
        <f>D29/$D$65</f>
        <v>5.5490441306450616E-2</v>
      </c>
      <c r="E31" s="623">
        <v>1</v>
      </c>
      <c r="F31" s="624"/>
      <c r="G31" s="624"/>
      <c r="H31" s="625"/>
      <c r="I31" s="626"/>
      <c r="J31" s="624"/>
      <c r="K31" s="624"/>
      <c r="L31" s="625"/>
      <c r="M31" s="626"/>
      <c r="N31" s="624"/>
      <c r="O31" s="624"/>
      <c r="P31" s="625"/>
      <c r="Q31" s="626"/>
      <c r="R31" s="624"/>
      <c r="S31" s="624"/>
      <c r="T31" s="638"/>
    </row>
    <row r="32" spans="2:23" ht="18" customHeight="1" x14ac:dyDescent="0.25">
      <c r="B32" s="681" t="str">
        <f>'ORÇAMENTO RESUMO (SD)'!B15</f>
        <v xml:space="preserve"> 7 </v>
      </c>
      <c r="C32" s="675" t="str">
        <f>'ORÇAMENTO RESUMO (SD)'!E15</f>
        <v>ESTRUTURA DE CONCRETO</v>
      </c>
      <c r="D32" s="459">
        <f>'ORÇAMENTO RESUMO (SD)'!K15</f>
        <v>192932.75</v>
      </c>
      <c r="E32" s="627">
        <f>E34*$D32</f>
        <v>0</v>
      </c>
      <c r="F32" s="628"/>
      <c r="G32" s="628"/>
      <c r="H32" s="629"/>
      <c r="I32" s="630">
        <f>I34*$D32</f>
        <v>192932.75</v>
      </c>
      <c r="J32" s="628"/>
      <c r="K32" s="628"/>
      <c r="L32" s="629"/>
      <c r="M32" s="630">
        <f>M34*$D32</f>
        <v>0</v>
      </c>
      <c r="N32" s="628"/>
      <c r="O32" s="628"/>
      <c r="P32" s="629"/>
      <c r="Q32" s="630">
        <f>Q34*$D32</f>
        <v>0</v>
      </c>
      <c r="R32" s="628"/>
      <c r="S32" s="628"/>
      <c r="T32" s="639"/>
    </row>
    <row r="33" spans="2:20" ht="9.9499999999999993" customHeight="1" x14ac:dyDescent="0.25">
      <c r="B33" s="656"/>
      <c r="C33" s="658"/>
      <c r="D33" s="459"/>
      <c r="E33" s="468"/>
      <c r="F33" s="469"/>
      <c r="G33" s="469"/>
      <c r="H33" s="470"/>
      <c r="I33" s="179"/>
      <c r="J33" s="168"/>
      <c r="K33" s="168"/>
      <c r="L33" s="169"/>
      <c r="M33" s="471"/>
      <c r="N33" s="469"/>
      <c r="O33" s="469"/>
      <c r="P33" s="470"/>
      <c r="Q33" s="471"/>
      <c r="R33" s="469"/>
      <c r="S33" s="469"/>
      <c r="T33" s="472"/>
    </row>
    <row r="34" spans="2:20" ht="18" customHeight="1" x14ac:dyDescent="0.25">
      <c r="B34" s="682"/>
      <c r="C34" s="659"/>
      <c r="D34" s="460">
        <f>D32/$D$65</f>
        <v>9.0606713356910576E-2</v>
      </c>
      <c r="E34" s="623"/>
      <c r="F34" s="624"/>
      <c r="G34" s="624"/>
      <c r="H34" s="625"/>
      <c r="I34" s="626">
        <v>1</v>
      </c>
      <c r="J34" s="624"/>
      <c r="K34" s="624"/>
      <c r="L34" s="625"/>
      <c r="M34" s="626"/>
      <c r="N34" s="624"/>
      <c r="O34" s="624"/>
      <c r="P34" s="625"/>
      <c r="Q34" s="626"/>
      <c r="R34" s="624"/>
      <c r="S34" s="624"/>
      <c r="T34" s="638"/>
    </row>
    <row r="35" spans="2:20" ht="18" customHeight="1" x14ac:dyDescent="0.25">
      <c r="B35" s="681" t="str">
        <f>'ORÇAMENTO RESUMO (SD)'!B16</f>
        <v xml:space="preserve"> 8 </v>
      </c>
      <c r="C35" s="675" t="str">
        <f>'ORÇAMENTO RESUMO (SD)'!E16</f>
        <v>ALVENARIAS E PAINÉIS</v>
      </c>
      <c r="D35" s="459">
        <f>'ORÇAMENTO RESUMO (SD)'!K16</f>
        <v>39639.520000000004</v>
      </c>
      <c r="E35" s="627">
        <f t="shared" ref="E35" si="20">E37*$D35</f>
        <v>7927.9040000000014</v>
      </c>
      <c r="F35" s="628"/>
      <c r="G35" s="628"/>
      <c r="H35" s="629"/>
      <c r="I35" s="630">
        <f t="shared" ref="I35" si="21">I37*$D35</f>
        <v>31711.616000000005</v>
      </c>
      <c r="J35" s="628"/>
      <c r="K35" s="628"/>
      <c r="L35" s="629"/>
      <c r="M35" s="630">
        <f t="shared" ref="M35" si="22">M37*$D35</f>
        <v>0</v>
      </c>
      <c r="N35" s="628"/>
      <c r="O35" s="628"/>
      <c r="P35" s="629"/>
      <c r="Q35" s="630">
        <f t="shared" ref="Q35" si="23">Q37*$D35</f>
        <v>0</v>
      </c>
      <c r="R35" s="628"/>
      <c r="S35" s="628"/>
      <c r="T35" s="639"/>
    </row>
    <row r="36" spans="2:20" ht="9.9499999999999993" customHeight="1" x14ac:dyDescent="0.25">
      <c r="B36" s="656"/>
      <c r="C36" s="658"/>
      <c r="D36" s="459"/>
      <c r="E36" s="468"/>
      <c r="F36" s="469"/>
      <c r="G36" s="168"/>
      <c r="H36" s="169"/>
      <c r="I36" s="179"/>
      <c r="J36" s="168"/>
      <c r="K36" s="168"/>
      <c r="L36" s="169"/>
      <c r="M36" s="471"/>
      <c r="N36" s="469"/>
      <c r="O36" s="469"/>
      <c r="P36" s="470"/>
      <c r="Q36" s="471"/>
      <c r="R36" s="469"/>
      <c r="S36" s="469"/>
      <c r="T36" s="472"/>
    </row>
    <row r="37" spans="2:20" ht="18" customHeight="1" x14ac:dyDescent="0.25">
      <c r="B37" s="682"/>
      <c r="C37" s="659"/>
      <c r="D37" s="460">
        <f>D35/$D$65</f>
        <v>1.8615847367777241E-2</v>
      </c>
      <c r="E37" s="623">
        <v>0.2</v>
      </c>
      <c r="F37" s="624"/>
      <c r="G37" s="624"/>
      <c r="H37" s="625"/>
      <c r="I37" s="626">
        <v>0.8</v>
      </c>
      <c r="J37" s="624"/>
      <c r="K37" s="624"/>
      <c r="L37" s="625"/>
      <c r="M37" s="626"/>
      <c r="N37" s="624"/>
      <c r="O37" s="624"/>
      <c r="P37" s="625"/>
      <c r="Q37" s="626"/>
      <c r="R37" s="624"/>
      <c r="S37" s="624"/>
      <c r="T37" s="638"/>
    </row>
    <row r="38" spans="2:20" ht="18" customHeight="1" x14ac:dyDescent="0.25">
      <c r="B38" s="681" t="str">
        <f>'ORÇAMENTO RESUMO (SD)'!B17</f>
        <v xml:space="preserve"> 9 </v>
      </c>
      <c r="C38" s="675" t="str">
        <f>'ORÇAMENTO RESUMO (SD)'!E17</f>
        <v>ESQUADRIAS</v>
      </c>
      <c r="D38" s="459">
        <f>'ORÇAMENTO RESUMO (SD)'!K17</f>
        <v>15231.449999999999</v>
      </c>
      <c r="E38" s="627">
        <f t="shared" ref="E38" si="24">E40*$D38</f>
        <v>0</v>
      </c>
      <c r="F38" s="628"/>
      <c r="G38" s="628"/>
      <c r="H38" s="629"/>
      <c r="I38" s="630">
        <f t="shared" ref="I38" si="25">I40*$D38</f>
        <v>0</v>
      </c>
      <c r="J38" s="628"/>
      <c r="K38" s="628"/>
      <c r="L38" s="629"/>
      <c r="M38" s="630">
        <f t="shared" ref="M38" si="26">M40*$D38</f>
        <v>15231.449999999999</v>
      </c>
      <c r="N38" s="628"/>
      <c r="O38" s="628"/>
      <c r="P38" s="629"/>
      <c r="Q38" s="630">
        <f t="shared" ref="Q38" si="27">Q40*$D38</f>
        <v>0</v>
      </c>
      <c r="R38" s="628"/>
      <c r="S38" s="628"/>
      <c r="T38" s="639"/>
    </row>
    <row r="39" spans="2:20" ht="9.9499999999999993" customHeight="1" x14ac:dyDescent="0.25">
      <c r="B39" s="656"/>
      <c r="C39" s="658"/>
      <c r="D39" s="459"/>
      <c r="E39" s="468"/>
      <c r="F39" s="469"/>
      <c r="G39" s="469"/>
      <c r="H39" s="470"/>
      <c r="I39" s="471"/>
      <c r="J39" s="469"/>
      <c r="K39" s="469"/>
      <c r="L39" s="470"/>
      <c r="M39" s="179"/>
      <c r="N39" s="168"/>
      <c r="O39" s="469"/>
      <c r="P39" s="470"/>
      <c r="Q39" s="471"/>
      <c r="R39" s="469"/>
      <c r="S39" s="469"/>
      <c r="T39" s="472"/>
    </row>
    <row r="40" spans="2:20" ht="18" customHeight="1" x14ac:dyDescent="0.25">
      <c r="B40" s="682"/>
      <c r="C40" s="659"/>
      <c r="D40" s="460">
        <f>D38/$D$65</f>
        <v>7.1531226510797956E-3</v>
      </c>
      <c r="E40" s="623"/>
      <c r="F40" s="624"/>
      <c r="G40" s="624"/>
      <c r="H40" s="625"/>
      <c r="I40" s="626"/>
      <c r="J40" s="624"/>
      <c r="K40" s="624"/>
      <c r="L40" s="625"/>
      <c r="M40" s="626">
        <v>1</v>
      </c>
      <c r="N40" s="624"/>
      <c r="O40" s="624"/>
      <c r="P40" s="625"/>
      <c r="Q40" s="626"/>
      <c r="R40" s="624"/>
      <c r="S40" s="624"/>
      <c r="T40" s="638"/>
    </row>
    <row r="41" spans="2:20" ht="18" customHeight="1" x14ac:dyDescent="0.25">
      <c r="B41" s="681" t="str">
        <f>'ORÇAMENTO RESUMO (SD)'!B18</f>
        <v xml:space="preserve"> 10 </v>
      </c>
      <c r="C41" s="675" t="str">
        <f>'ORÇAMENTO RESUMO (SD)'!E18</f>
        <v>IMPERMEABILIZAÇÕES</v>
      </c>
      <c r="D41" s="459">
        <f>'ORÇAMENTO RESUMO (SD)'!K18</f>
        <v>300.17</v>
      </c>
      <c r="E41" s="627">
        <f t="shared" ref="E41" si="28">E43*$D41</f>
        <v>0</v>
      </c>
      <c r="F41" s="628"/>
      <c r="G41" s="628"/>
      <c r="H41" s="629"/>
      <c r="I41" s="630">
        <f t="shared" ref="I41" si="29">I43*$D41</f>
        <v>0</v>
      </c>
      <c r="J41" s="628"/>
      <c r="K41" s="628"/>
      <c r="L41" s="629"/>
      <c r="M41" s="630">
        <f t="shared" ref="M41" si="30">M43*$D41</f>
        <v>300.17</v>
      </c>
      <c r="N41" s="628"/>
      <c r="O41" s="628"/>
      <c r="P41" s="629"/>
      <c r="Q41" s="630">
        <f t="shared" ref="Q41" si="31">Q43*$D41</f>
        <v>0</v>
      </c>
      <c r="R41" s="628"/>
      <c r="S41" s="628"/>
      <c r="T41" s="639"/>
    </row>
    <row r="42" spans="2:20" ht="9.9499999999999993" customHeight="1" x14ac:dyDescent="0.25">
      <c r="B42" s="656"/>
      <c r="C42" s="658"/>
      <c r="D42" s="459"/>
      <c r="E42" s="468"/>
      <c r="F42" s="469"/>
      <c r="G42" s="469"/>
      <c r="H42" s="470"/>
      <c r="I42" s="471"/>
      <c r="J42" s="469"/>
      <c r="K42" s="469"/>
      <c r="L42" s="470"/>
      <c r="M42" s="179"/>
      <c r="N42" s="469"/>
      <c r="O42" s="469"/>
      <c r="P42" s="470"/>
      <c r="Q42" s="471"/>
      <c r="R42" s="469"/>
      <c r="S42" s="469"/>
      <c r="T42" s="472"/>
    </row>
    <row r="43" spans="2:20" ht="18" customHeight="1" x14ac:dyDescent="0.25">
      <c r="B43" s="682"/>
      <c r="C43" s="659"/>
      <c r="D43" s="460">
        <f>D41/$D$65</f>
        <v>1.4096837964702131E-4</v>
      </c>
      <c r="E43" s="623"/>
      <c r="F43" s="624"/>
      <c r="G43" s="624"/>
      <c r="H43" s="625"/>
      <c r="I43" s="626"/>
      <c r="J43" s="624"/>
      <c r="K43" s="624"/>
      <c r="L43" s="625"/>
      <c r="M43" s="626">
        <v>1</v>
      </c>
      <c r="N43" s="624"/>
      <c r="O43" s="624"/>
      <c r="P43" s="625"/>
      <c r="Q43" s="626"/>
      <c r="R43" s="624"/>
      <c r="S43" s="624"/>
      <c r="T43" s="638"/>
    </row>
    <row r="44" spans="2:20" ht="18" customHeight="1" x14ac:dyDescent="0.25">
      <c r="B44" s="681" t="str">
        <f>'ORÇAMENTO RESUMO (SD)'!B19</f>
        <v xml:space="preserve"> 11 </v>
      </c>
      <c r="C44" s="675" t="str">
        <f>'ORÇAMENTO RESUMO (SD)'!E19</f>
        <v>REVESTIMENTO DE PAREDES</v>
      </c>
      <c r="D44" s="459">
        <f>'ORÇAMENTO RESUMO (SD)'!K19</f>
        <v>3100.34</v>
      </c>
      <c r="E44" s="627">
        <f t="shared" ref="E44" si="32">E46*$D44</f>
        <v>0</v>
      </c>
      <c r="F44" s="628"/>
      <c r="G44" s="628"/>
      <c r="H44" s="629"/>
      <c r="I44" s="630">
        <f t="shared" ref="I44" si="33">I46*$D44</f>
        <v>0</v>
      </c>
      <c r="J44" s="628"/>
      <c r="K44" s="628"/>
      <c r="L44" s="629"/>
      <c r="M44" s="630">
        <f t="shared" ref="M44" si="34">M46*$D44</f>
        <v>3100.34</v>
      </c>
      <c r="N44" s="628"/>
      <c r="O44" s="628"/>
      <c r="P44" s="629"/>
      <c r="Q44" s="630">
        <f t="shared" ref="Q44" si="35">Q46*$D44</f>
        <v>0</v>
      </c>
      <c r="R44" s="628"/>
      <c r="S44" s="628"/>
      <c r="T44" s="639"/>
    </row>
    <row r="45" spans="2:20" ht="9.9499999999999993" customHeight="1" x14ac:dyDescent="0.25">
      <c r="B45" s="656"/>
      <c r="C45" s="658"/>
      <c r="D45" s="459"/>
      <c r="E45" s="468"/>
      <c r="F45" s="469"/>
      <c r="G45" s="469"/>
      <c r="H45" s="470"/>
      <c r="I45" s="471"/>
      <c r="J45" s="469"/>
      <c r="K45" s="469"/>
      <c r="L45" s="470"/>
      <c r="M45" s="179"/>
      <c r="N45" s="168"/>
      <c r="O45" s="168"/>
      <c r="P45" s="169"/>
      <c r="Q45" s="471"/>
      <c r="R45" s="469"/>
      <c r="S45" s="469"/>
      <c r="T45" s="472"/>
    </row>
    <row r="46" spans="2:20" ht="18" customHeight="1" x14ac:dyDescent="0.25">
      <c r="B46" s="682"/>
      <c r="C46" s="659"/>
      <c r="D46" s="460">
        <f>D44/$D$65</f>
        <v>1.456007949344858E-3</v>
      </c>
      <c r="E46" s="623"/>
      <c r="F46" s="624"/>
      <c r="G46" s="624"/>
      <c r="H46" s="625"/>
      <c r="I46" s="626"/>
      <c r="J46" s="624"/>
      <c r="K46" s="624"/>
      <c r="L46" s="625"/>
      <c r="M46" s="626">
        <v>1</v>
      </c>
      <c r="N46" s="624"/>
      <c r="O46" s="624"/>
      <c r="P46" s="625"/>
      <c r="Q46" s="626"/>
      <c r="R46" s="624"/>
      <c r="S46" s="624"/>
      <c r="T46" s="638"/>
    </row>
    <row r="47" spans="2:20" ht="18" customHeight="1" x14ac:dyDescent="0.25">
      <c r="B47" s="681" t="str">
        <f>'ORÇAMENTO RESUMO (SD)'!B20</f>
        <v xml:space="preserve"> 12 </v>
      </c>
      <c r="C47" s="675" t="str">
        <f>'ORÇAMENTO RESUMO (SD)'!E20</f>
        <v>PAVIMENTAÇÃO</v>
      </c>
      <c r="D47" s="459">
        <f>'ORÇAMENTO RESUMO (SD)'!K20</f>
        <v>86073.98</v>
      </c>
      <c r="E47" s="627">
        <f t="shared" ref="E47" si="36">E49*$D47</f>
        <v>0</v>
      </c>
      <c r="F47" s="628"/>
      <c r="G47" s="628"/>
      <c r="H47" s="629"/>
      <c r="I47" s="630">
        <f t="shared" ref="I47" si="37">I49*$D47</f>
        <v>0</v>
      </c>
      <c r="J47" s="628"/>
      <c r="K47" s="628"/>
      <c r="L47" s="629"/>
      <c r="M47" s="630">
        <f t="shared" ref="M47" si="38">M49*$D47</f>
        <v>43036.99</v>
      </c>
      <c r="N47" s="628"/>
      <c r="O47" s="628"/>
      <c r="P47" s="629"/>
      <c r="Q47" s="630">
        <f t="shared" ref="Q47" si="39">Q49*$D47</f>
        <v>43036.99</v>
      </c>
      <c r="R47" s="628"/>
      <c r="S47" s="628"/>
      <c r="T47" s="639"/>
    </row>
    <row r="48" spans="2:20" ht="9.9499999999999993" customHeight="1" x14ac:dyDescent="0.25">
      <c r="B48" s="656"/>
      <c r="C48" s="658"/>
      <c r="D48" s="459"/>
      <c r="E48" s="468"/>
      <c r="F48" s="469"/>
      <c r="G48" s="469"/>
      <c r="H48" s="470"/>
      <c r="I48" s="471"/>
      <c r="J48" s="469"/>
      <c r="K48" s="469"/>
      <c r="L48" s="470"/>
      <c r="M48" s="179"/>
      <c r="N48" s="168"/>
      <c r="O48" s="168"/>
      <c r="P48" s="169"/>
      <c r="Q48" s="179"/>
      <c r="R48" s="168"/>
      <c r="S48" s="168"/>
      <c r="T48" s="180"/>
    </row>
    <row r="49" spans="2:20" ht="18" customHeight="1" x14ac:dyDescent="0.25">
      <c r="B49" s="682"/>
      <c r="C49" s="659"/>
      <c r="D49" s="460">
        <f>D47/$D$65</f>
        <v>4.0422792052404025E-2</v>
      </c>
      <c r="E49" s="623"/>
      <c r="F49" s="624"/>
      <c r="G49" s="624"/>
      <c r="H49" s="625"/>
      <c r="I49" s="626"/>
      <c r="J49" s="624"/>
      <c r="K49" s="624"/>
      <c r="L49" s="625"/>
      <c r="M49" s="626">
        <v>0.5</v>
      </c>
      <c r="N49" s="624"/>
      <c r="O49" s="624"/>
      <c r="P49" s="625"/>
      <c r="Q49" s="626">
        <v>0.5</v>
      </c>
      <c r="R49" s="624"/>
      <c r="S49" s="624"/>
      <c r="T49" s="638"/>
    </row>
    <row r="50" spans="2:20" ht="18" customHeight="1" x14ac:dyDescent="0.25">
      <c r="B50" s="681" t="str">
        <f>'ORÇAMENTO RESUMO (SD)'!B21</f>
        <v xml:space="preserve"> 13 </v>
      </c>
      <c r="C50" s="675" t="str">
        <f>'ORÇAMENTO RESUMO (SD)'!E21</f>
        <v>PINTURAS</v>
      </c>
      <c r="D50" s="459">
        <f>'ORÇAMENTO RESUMO (SD)'!K21</f>
        <v>2262.7799999999997</v>
      </c>
      <c r="E50" s="627">
        <f t="shared" ref="E50" si="40">E52*$D50</f>
        <v>0</v>
      </c>
      <c r="F50" s="628"/>
      <c r="G50" s="628"/>
      <c r="H50" s="629"/>
      <c r="I50" s="630">
        <f t="shared" ref="I50" si="41">I52*$D50</f>
        <v>0</v>
      </c>
      <c r="J50" s="628"/>
      <c r="K50" s="628"/>
      <c r="L50" s="629"/>
      <c r="M50" s="630">
        <f t="shared" ref="M50" si="42">M52*$D50</f>
        <v>2262.7799999999997</v>
      </c>
      <c r="N50" s="628"/>
      <c r="O50" s="628"/>
      <c r="P50" s="629"/>
      <c r="Q50" s="630">
        <f t="shared" ref="Q50" si="43">Q52*$D50</f>
        <v>0</v>
      </c>
      <c r="R50" s="628"/>
      <c r="S50" s="628"/>
      <c r="T50" s="639"/>
    </row>
    <row r="51" spans="2:20" ht="9.9499999999999993" customHeight="1" x14ac:dyDescent="0.25">
      <c r="B51" s="656"/>
      <c r="C51" s="658"/>
      <c r="D51" s="459"/>
      <c r="E51" s="468"/>
      <c r="F51" s="469"/>
      <c r="G51" s="469"/>
      <c r="H51" s="470"/>
      <c r="I51" s="471"/>
      <c r="J51" s="469"/>
      <c r="K51" s="469"/>
      <c r="L51" s="470"/>
      <c r="M51" s="471"/>
      <c r="N51" s="469"/>
      <c r="O51" s="168"/>
      <c r="P51" s="169"/>
      <c r="Q51" s="471"/>
      <c r="R51" s="469"/>
      <c r="S51" s="469"/>
      <c r="T51" s="472"/>
    </row>
    <row r="52" spans="2:20" ht="18" customHeight="1" x14ac:dyDescent="0.25">
      <c r="B52" s="682"/>
      <c r="C52" s="659"/>
      <c r="D52" s="460">
        <f>D50/$D$65</f>
        <v>1.0626659229692735E-3</v>
      </c>
      <c r="E52" s="623"/>
      <c r="F52" s="624"/>
      <c r="G52" s="624"/>
      <c r="H52" s="625"/>
      <c r="I52" s="626"/>
      <c r="J52" s="624"/>
      <c r="K52" s="624"/>
      <c r="L52" s="625"/>
      <c r="M52" s="626">
        <v>1</v>
      </c>
      <c r="N52" s="624"/>
      <c r="O52" s="624"/>
      <c r="P52" s="625"/>
      <c r="Q52" s="626"/>
      <c r="R52" s="624"/>
      <c r="S52" s="624"/>
      <c r="T52" s="638"/>
    </row>
    <row r="53" spans="2:20" ht="18" customHeight="1" x14ac:dyDescent="0.25">
      <c r="B53" s="681" t="str">
        <f>'ORÇAMENTO RESUMO (SD)'!B22</f>
        <v xml:space="preserve"> 14 </v>
      </c>
      <c r="C53" s="675" t="str">
        <f>'ORÇAMENTO RESUMO (SD)'!E22</f>
        <v>INSTALAÇÕES ELÉTRICAS</v>
      </c>
      <c r="D53" s="459">
        <f>'ORÇAMENTO RESUMO (SD)'!K22</f>
        <v>27051.010000000002</v>
      </c>
      <c r="E53" s="627">
        <f t="shared" ref="E53" si="44">E55*$D53</f>
        <v>0</v>
      </c>
      <c r="F53" s="628"/>
      <c r="G53" s="628"/>
      <c r="H53" s="629"/>
      <c r="I53" s="630">
        <f t="shared" ref="I53" si="45">I55*$D53</f>
        <v>8115.3029999999999</v>
      </c>
      <c r="J53" s="628"/>
      <c r="K53" s="628"/>
      <c r="L53" s="629"/>
      <c r="M53" s="630">
        <f t="shared" ref="M53" si="46">M55*$D53</f>
        <v>18935.706999999999</v>
      </c>
      <c r="N53" s="628"/>
      <c r="O53" s="628"/>
      <c r="P53" s="629"/>
      <c r="Q53" s="630">
        <f t="shared" ref="Q53" si="47">Q55*$D53</f>
        <v>0</v>
      </c>
      <c r="R53" s="628"/>
      <c r="S53" s="628"/>
      <c r="T53" s="639"/>
    </row>
    <row r="54" spans="2:20" ht="9.9499999999999993" customHeight="1" x14ac:dyDescent="0.25">
      <c r="B54" s="656"/>
      <c r="C54" s="658"/>
      <c r="D54" s="459"/>
      <c r="E54" s="468"/>
      <c r="F54" s="469"/>
      <c r="G54" s="469"/>
      <c r="H54" s="470"/>
      <c r="I54" s="471"/>
      <c r="J54" s="469"/>
      <c r="K54" s="168"/>
      <c r="L54" s="169"/>
      <c r="M54" s="179"/>
      <c r="N54" s="168"/>
      <c r="O54" s="168"/>
      <c r="P54" s="169"/>
      <c r="Q54" s="471"/>
      <c r="R54" s="469"/>
      <c r="S54" s="469"/>
      <c r="T54" s="472"/>
    </row>
    <row r="55" spans="2:20" ht="18" customHeight="1" x14ac:dyDescent="0.25">
      <c r="B55" s="682"/>
      <c r="C55" s="659"/>
      <c r="D55" s="460">
        <f>D53/$D$65</f>
        <v>1.2703924601110602E-2</v>
      </c>
      <c r="E55" s="623"/>
      <c r="F55" s="624"/>
      <c r="G55" s="624"/>
      <c r="H55" s="625"/>
      <c r="I55" s="626">
        <v>0.3</v>
      </c>
      <c r="J55" s="624"/>
      <c r="K55" s="624"/>
      <c r="L55" s="625"/>
      <c r="M55" s="626">
        <v>0.7</v>
      </c>
      <c r="N55" s="624"/>
      <c r="O55" s="624"/>
      <c r="P55" s="625"/>
      <c r="Q55" s="626"/>
      <c r="R55" s="624"/>
      <c r="S55" s="624"/>
      <c r="T55" s="638"/>
    </row>
    <row r="56" spans="2:20" ht="18" customHeight="1" x14ac:dyDescent="0.25">
      <c r="B56" s="681" t="str">
        <f>'ORÇAMENTO RESUMO (SD)'!B23</f>
        <v xml:space="preserve"> 15 </v>
      </c>
      <c r="C56" s="675" t="str">
        <f>'ORÇAMENTO RESUMO (SD)'!E23</f>
        <v>INSTALAÇÕES DE SPDA</v>
      </c>
      <c r="D56" s="459">
        <f>'ORÇAMENTO RESUMO (SD)'!K23</f>
        <v>7684.8499999999995</v>
      </c>
      <c r="E56" s="627">
        <f t="shared" ref="E56" si="48">E58*$D56</f>
        <v>0</v>
      </c>
      <c r="F56" s="628"/>
      <c r="G56" s="628"/>
      <c r="H56" s="629"/>
      <c r="I56" s="630">
        <f t="shared" ref="I56" si="49">I58*$D56</f>
        <v>7684.8499999999995</v>
      </c>
      <c r="J56" s="628"/>
      <c r="K56" s="628"/>
      <c r="L56" s="629"/>
      <c r="M56" s="630">
        <f t="shared" ref="M56" si="50">M58*$D56</f>
        <v>0</v>
      </c>
      <c r="N56" s="628"/>
      <c r="O56" s="628"/>
      <c r="P56" s="629"/>
      <c r="Q56" s="630">
        <f t="shared" ref="Q56" si="51">Q58*$D56</f>
        <v>0</v>
      </c>
      <c r="R56" s="628"/>
      <c r="S56" s="628"/>
      <c r="T56" s="639"/>
    </row>
    <row r="57" spans="2:20" ht="9.9499999999999993" customHeight="1" x14ac:dyDescent="0.25">
      <c r="B57" s="656"/>
      <c r="C57" s="658"/>
      <c r="D57" s="459"/>
      <c r="E57" s="468"/>
      <c r="F57" s="469"/>
      <c r="G57" s="469"/>
      <c r="H57" s="470"/>
      <c r="I57" s="471"/>
      <c r="J57" s="469"/>
      <c r="K57" s="168"/>
      <c r="L57" s="169"/>
      <c r="M57" s="471"/>
      <c r="N57" s="469"/>
      <c r="O57" s="469"/>
      <c r="P57" s="470"/>
      <c r="Q57" s="471"/>
      <c r="R57" s="469"/>
      <c r="S57" s="469"/>
      <c r="T57" s="472"/>
    </row>
    <row r="58" spans="2:20" ht="18" customHeight="1" x14ac:dyDescent="0.25">
      <c r="B58" s="682"/>
      <c r="C58" s="659"/>
      <c r="D58" s="460">
        <f>D56/$D$65</f>
        <v>3.6090243939448027E-3</v>
      </c>
      <c r="E58" s="623"/>
      <c r="F58" s="624"/>
      <c r="G58" s="624"/>
      <c r="H58" s="625"/>
      <c r="I58" s="626">
        <v>1</v>
      </c>
      <c r="J58" s="624"/>
      <c r="K58" s="624"/>
      <c r="L58" s="625"/>
      <c r="M58" s="626"/>
      <c r="N58" s="624"/>
      <c r="O58" s="624"/>
      <c r="P58" s="625"/>
      <c r="Q58" s="626"/>
      <c r="R58" s="624"/>
      <c r="S58" s="624"/>
      <c r="T58" s="638"/>
    </row>
    <row r="59" spans="2:20" ht="18" customHeight="1" x14ac:dyDescent="0.25">
      <c r="B59" s="681" t="str">
        <f>'ORÇAMENTO RESUMO (SD)'!B24</f>
        <v xml:space="preserve"> 16 </v>
      </c>
      <c r="C59" s="675" t="str">
        <f>'ORÇAMENTO RESUMO (SD)'!E24</f>
        <v>INSTALAÇÕES HIDRÁULICAS - REDE DE ABASTECIMENTO</v>
      </c>
      <c r="D59" s="459">
        <f>'ORÇAMENTO RESUMO (SD)'!K24</f>
        <v>1042457.6900000002</v>
      </c>
      <c r="E59" s="627">
        <f t="shared" ref="E59" si="52">E61*$D59</f>
        <v>260614.42250000004</v>
      </c>
      <c r="F59" s="628"/>
      <c r="G59" s="628"/>
      <c r="H59" s="629"/>
      <c r="I59" s="630">
        <f t="shared" ref="I59" si="53">I61*$D59</f>
        <v>260614.42250000004</v>
      </c>
      <c r="J59" s="628"/>
      <c r="K59" s="628"/>
      <c r="L59" s="629"/>
      <c r="M59" s="630">
        <f t="shared" ref="M59" si="54">M61*$D59</f>
        <v>260614.42250000004</v>
      </c>
      <c r="N59" s="628"/>
      <c r="O59" s="628"/>
      <c r="P59" s="629"/>
      <c r="Q59" s="630">
        <f t="shared" ref="Q59" si="55">Q61*$D59</f>
        <v>260614.42250000004</v>
      </c>
      <c r="R59" s="628"/>
      <c r="S59" s="628"/>
      <c r="T59" s="639"/>
    </row>
    <row r="60" spans="2:20" ht="9.9499999999999993" customHeight="1" x14ac:dyDescent="0.25">
      <c r="B60" s="656"/>
      <c r="C60" s="658"/>
      <c r="D60" s="459"/>
      <c r="E60" s="468"/>
      <c r="F60" s="168"/>
      <c r="G60" s="168"/>
      <c r="H60" s="169"/>
      <c r="I60" s="179"/>
      <c r="J60" s="168"/>
      <c r="K60" s="168"/>
      <c r="L60" s="169"/>
      <c r="M60" s="179"/>
      <c r="N60" s="168"/>
      <c r="O60" s="168"/>
      <c r="P60" s="169"/>
      <c r="Q60" s="179"/>
      <c r="R60" s="168"/>
      <c r="S60" s="168"/>
      <c r="T60" s="180"/>
    </row>
    <row r="61" spans="2:20" ht="18" customHeight="1" x14ac:dyDescent="0.25">
      <c r="B61" s="682"/>
      <c r="C61" s="659"/>
      <c r="D61" s="460">
        <f>D59/$D$65</f>
        <v>0.4895678162703696</v>
      </c>
      <c r="E61" s="623">
        <v>0.25</v>
      </c>
      <c r="F61" s="624"/>
      <c r="G61" s="624"/>
      <c r="H61" s="625"/>
      <c r="I61" s="626">
        <v>0.25</v>
      </c>
      <c r="J61" s="624"/>
      <c r="K61" s="624"/>
      <c r="L61" s="625"/>
      <c r="M61" s="626">
        <v>0.25</v>
      </c>
      <c r="N61" s="624"/>
      <c r="O61" s="624"/>
      <c r="P61" s="625"/>
      <c r="Q61" s="626">
        <v>0.25</v>
      </c>
      <c r="R61" s="624"/>
      <c r="S61" s="624"/>
      <c r="T61" s="638"/>
    </row>
    <row r="62" spans="2:20" ht="18" customHeight="1" x14ac:dyDescent="0.25">
      <c r="B62" s="681" t="str">
        <f>'ORÇAMENTO RESUMO (SD)'!B25</f>
        <v xml:space="preserve"> 17 </v>
      </c>
      <c r="C62" s="675" t="str">
        <f>'ORÇAMENTO RESUMO (SD)'!E25</f>
        <v>SERVIÇOS COMPLEMENTARES</v>
      </c>
      <c r="D62" s="459">
        <f>'ORÇAMENTO RESUMO (SD)'!K25</f>
        <v>16472.64</v>
      </c>
      <c r="E62" s="627">
        <f t="shared" ref="E62" si="56">E64*$D62</f>
        <v>0</v>
      </c>
      <c r="F62" s="628"/>
      <c r="G62" s="628"/>
      <c r="H62" s="629"/>
      <c r="I62" s="630">
        <f t="shared" ref="I62" si="57">I64*$D62</f>
        <v>0</v>
      </c>
      <c r="J62" s="628"/>
      <c r="K62" s="628"/>
      <c r="L62" s="629"/>
      <c r="M62" s="630">
        <f t="shared" ref="M62" si="58">M64*$D62</f>
        <v>8236.32</v>
      </c>
      <c r="N62" s="628"/>
      <c r="O62" s="628"/>
      <c r="P62" s="629"/>
      <c r="Q62" s="630">
        <f t="shared" ref="Q62" si="59">Q64*$D62</f>
        <v>8236.32</v>
      </c>
      <c r="R62" s="628"/>
      <c r="S62" s="628"/>
      <c r="T62" s="639"/>
    </row>
    <row r="63" spans="2:20" ht="9.9499999999999993" customHeight="1" x14ac:dyDescent="0.25">
      <c r="B63" s="656"/>
      <c r="C63" s="658"/>
      <c r="D63" s="459"/>
      <c r="E63" s="468"/>
      <c r="F63" s="469"/>
      <c r="G63" s="469"/>
      <c r="H63" s="470"/>
      <c r="I63" s="471"/>
      <c r="J63" s="469"/>
      <c r="K63" s="469"/>
      <c r="L63" s="470"/>
      <c r="M63" s="179"/>
      <c r="N63" s="168"/>
      <c r="O63" s="168"/>
      <c r="P63" s="169"/>
      <c r="Q63" s="179"/>
      <c r="R63" s="168"/>
      <c r="S63" s="168"/>
      <c r="T63" s="180"/>
    </row>
    <row r="64" spans="2:20" ht="18" customHeight="1" thickBot="1" x14ac:dyDescent="0.3">
      <c r="B64" s="682"/>
      <c r="C64" s="659"/>
      <c r="D64" s="460">
        <f>D62/$D$65</f>
        <v>7.7360208192314645E-3</v>
      </c>
      <c r="E64" s="623"/>
      <c r="F64" s="624"/>
      <c r="G64" s="624"/>
      <c r="H64" s="625"/>
      <c r="I64" s="626"/>
      <c r="J64" s="624"/>
      <c r="K64" s="624"/>
      <c r="L64" s="625"/>
      <c r="M64" s="626">
        <v>0.5</v>
      </c>
      <c r="N64" s="624"/>
      <c r="O64" s="624"/>
      <c r="P64" s="625"/>
      <c r="Q64" s="626">
        <v>0.5</v>
      </c>
      <c r="R64" s="624"/>
      <c r="S64" s="624"/>
      <c r="T64" s="638"/>
    </row>
    <row r="65" spans="2:20" ht="21" customHeight="1" x14ac:dyDescent="0.25">
      <c r="B65" s="170"/>
      <c r="C65" s="171" t="s">
        <v>91</v>
      </c>
      <c r="D65" s="461">
        <f>SUM(D62,D59,D56,D53,D50,D47,D44,D41,D38,D35,D32,D29,D26,D23,D20,D17,D14)</f>
        <v>2129342.7700000005</v>
      </c>
      <c r="E65" s="679">
        <f>SUM(E62,E59,E56,E53,E50,E47,E44,E41,E38,E35,E32,E29,E26,E23,E20,E17,E14)</f>
        <v>578031.17373415583</v>
      </c>
      <c r="F65" s="617" t="e">
        <f>SUM(#REF!,#REF!,#REF!,#REF!,#REF!,#REF!,F62,F59,F56,F53,F50,F47,F44,F41,F38,F35,F32,F29,F26,F23,F20,F17,F14)</f>
        <v>#REF!</v>
      </c>
      <c r="G65" s="617" t="e">
        <f>SUM(#REF!,#REF!,#REF!,#REF!,#REF!,#REF!,G62,G59,G56,G53,G50,G47,G44,G41,G38,G35,G32,G29,G26,G23,G20,G17,G14)</f>
        <v>#REF!</v>
      </c>
      <c r="H65" s="618" t="e">
        <f>SUM(#REF!,#REF!,#REF!,#REF!,#REF!,#REF!,H62,H59,H56,H53,H50,H47,H44,H41,H38,H35,H32,H29,H26,H23,H20,H17,H14)</f>
        <v>#REF!</v>
      </c>
      <c r="I65" s="616">
        <f t="shared" ref="I65" si="60">SUM(I62,I59,I56,I53,I50,I47,I44,I41,I38,I35,I32,I29,I26,I23,I20,I17,I14)</f>
        <v>645185.66203719843</v>
      </c>
      <c r="J65" s="617" t="e">
        <f>SUM(#REF!,#REF!,#REF!,#REF!,#REF!,#REF!,J62,J59,J56,J53,J50,J47,J44,J41,J38,J35,J32,J29,J26,J23,J20,J17,J14)</f>
        <v>#REF!</v>
      </c>
      <c r="K65" s="617" t="e">
        <f>SUM(#REF!,#REF!,#REF!,#REF!,#REF!,#REF!,K62,K59,K56,K53,K50,K47,K44,K41,K38,K35,K32,K29,K26,K23,K20,K17,K14)</f>
        <v>#REF!</v>
      </c>
      <c r="L65" s="618" t="e">
        <f>SUM(#REF!,#REF!,#REF!,#REF!,#REF!,#REF!,L62,L59,L56,L53,L50,L47,L44,L41,L38,L35,L32,L29,L26,L23,L20,L17,L14)</f>
        <v>#REF!</v>
      </c>
      <c r="M65" s="616">
        <f t="shared" ref="M65" si="61">SUM(M62,M59,M56,M53,M50,M47,M44,M41,M38,M35,M32,M29,M26,M23,M20,M17,M14)</f>
        <v>469050.80210324517</v>
      </c>
      <c r="N65" s="617" t="e">
        <f>SUM(#REF!,#REF!,#REF!,#REF!,#REF!,#REF!,N62,N59,N56,N53,N50,N47,N44,N41,N38,N35,N32,N29,N26,N23,N20,N17,N14)</f>
        <v>#REF!</v>
      </c>
      <c r="O65" s="617" t="e">
        <f>SUM(#REF!,#REF!,#REF!,#REF!,#REF!,#REF!,O62,O59,O56,O53,O50,O47,O44,O41,O38,O35,O32,O29,O26,O23,O20,O17,O14)</f>
        <v>#REF!</v>
      </c>
      <c r="P65" s="618" t="e">
        <f>SUM(#REF!,#REF!,#REF!,#REF!,#REF!,#REF!,P62,P59,P56,P53,P50,P47,P44,P41,P38,P35,P32,P29,P26,P23,P20,P17,P14)</f>
        <v>#REF!</v>
      </c>
      <c r="Q65" s="616">
        <f t="shared" ref="Q65" si="62">SUM(Q62,Q59,Q56,Q53,Q50,Q47,Q44,Q41,Q38,Q35,Q32,Q29,Q26,Q23,Q20,Q17,Q14)</f>
        <v>437075.13212540076</v>
      </c>
      <c r="R65" s="617" t="e">
        <f>SUM(#REF!,#REF!,#REF!,#REF!,#REF!,#REF!,R62,R59,R56,R53,R50,R47,R44,R41,R38,R35,R32,R29,R26,R23,R20,R17,R14)</f>
        <v>#REF!</v>
      </c>
      <c r="S65" s="617" t="e">
        <f>SUM(#REF!,#REF!,#REF!,#REF!,#REF!,#REF!,S62,S59,S56,S53,S50,S47,S44,S41,S38,S35,S32,S29,S26,S23,S20,S17,S14)</f>
        <v>#REF!</v>
      </c>
      <c r="T65" s="632" t="e">
        <f>SUM(#REF!,#REF!,#REF!,#REF!,#REF!,#REF!,T62,T59,T56,T53,T50,T47,T44,T41,T38,T35,T32,T29,T26,T23,T20,T17,T14)</f>
        <v>#REF!</v>
      </c>
    </row>
    <row r="66" spans="2:20" ht="21" customHeight="1" thickBot="1" x14ac:dyDescent="0.3">
      <c r="B66" s="172"/>
      <c r="C66" s="173" t="s">
        <v>92</v>
      </c>
      <c r="D66" s="462">
        <f>SUM(D64,D61,D58,D55,D52,D49,D46,D43,D40,D37,D34,D31,D28,D25,D22,D19,D16)</f>
        <v>0.99999999999999989</v>
      </c>
      <c r="E66" s="680">
        <f>E65/$D$65</f>
        <v>0.27145989921301195</v>
      </c>
      <c r="F66" s="620"/>
      <c r="G66" s="620"/>
      <c r="H66" s="621"/>
      <c r="I66" s="619">
        <f t="shared" ref="I66" si="63">I65/$D$65</f>
        <v>0.30299755921269467</v>
      </c>
      <c r="J66" s="620"/>
      <c r="K66" s="620"/>
      <c r="L66" s="621"/>
      <c r="M66" s="619">
        <f t="shared" ref="M66" si="64">M65/$D$65</f>
        <v>0.22027961336785859</v>
      </c>
      <c r="N66" s="620"/>
      <c r="O66" s="620"/>
      <c r="P66" s="621"/>
      <c r="Q66" s="619">
        <f t="shared" ref="Q66" si="65">Q65/$D$65</f>
        <v>0.20526292820643463</v>
      </c>
      <c r="R66" s="620"/>
      <c r="S66" s="620"/>
      <c r="T66" s="633"/>
    </row>
    <row r="67" spans="2:20" s="165" customFormat="1" ht="21" customHeight="1" x14ac:dyDescent="0.25">
      <c r="B67" s="174"/>
      <c r="C67" s="175" t="s">
        <v>93</v>
      </c>
      <c r="D67" s="463"/>
      <c r="E67" s="676">
        <f>+E65</f>
        <v>578031.17373415583</v>
      </c>
      <c r="F67" s="677"/>
      <c r="G67" s="677"/>
      <c r="H67" s="678"/>
      <c r="I67" s="634">
        <f>+I65+E67</f>
        <v>1223216.8357713544</v>
      </c>
      <c r="J67" s="635"/>
      <c r="K67" s="635"/>
      <c r="L67" s="636"/>
      <c r="M67" s="634">
        <f t="shared" ref="M67:M68" si="66">+M65+I67</f>
        <v>1692267.6378745995</v>
      </c>
      <c r="N67" s="635"/>
      <c r="O67" s="635"/>
      <c r="P67" s="636"/>
      <c r="Q67" s="634">
        <f t="shared" ref="Q67:Q68" si="67">+Q65+M67</f>
        <v>2129342.7700000005</v>
      </c>
      <c r="R67" s="635"/>
      <c r="S67" s="635"/>
      <c r="T67" s="637"/>
    </row>
    <row r="68" spans="2:20" s="165" customFormat="1" ht="21" customHeight="1" thickBot="1" x14ac:dyDescent="0.3">
      <c r="B68" s="176"/>
      <c r="C68" s="177" t="s">
        <v>94</v>
      </c>
      <c r="D68" s="464"/>
      <c r="E68" s="622">
        <f>E66</f>
        <v>0.27145989921301195</v>
      </c>
      <c r="F68" s="614"/>
      <c r="G68" s="614"/>
      <c r="H68" s="615"/>
      <c r="I68" s="613">
        <f>+I66+E68</f>
        <v>0.57445745842570661</v>
      </c>
      <c r="J68" s="614"/>
      <c r="K68" s="614"/>
      <c r="L68" s="615"/>
      <c r="M68" s="613">
        <f t="shared" si="66"/>
        <v>0.79473707179356523</v>
      </c>
      <c r="N68" s="614"/>
      <c r="O68" s="614"/>
      <c r="P68" s="615"/>
      <c r="Q68" s="613">
        <f t="shared" si="67"/>
        <v>0.99999999999999989</v>
      </c>
      <c r="R68" s="614"/>
      <c r="S68" s="614"/>
      <c r="T68" s="631"/>
    </row>
    <row r="70" spans="2:20" x14ac:dyDescent="0.25">
      <c r="D70" s="178"/>
    </row>
  </sheetData>
  <mergeCells count="196">
    <mergeCell ref="B41:B43"/>
    <mergeCell ref="C41:C43"/>
    <mergeCell ref="E41:H41"/>
    <mergeCell ref="I41:L41"/>
    <mergeCell ref="B38:B40"/>
    <mergeCell ref="C38:C40"/>
    <mergeCell ref="M41:P41"/>
    <mergeCell ref="Q41:T41"/>
    <mergeCell ref="M43:P43"/>
    <mergeCell ref="Q43:T43"/>
    <mergeCell ref="E43:H43"/>
    <mergeCell ref="I43:L43"/>
    <mergeCell ref="E34:H34"/>
    <mergeCell ref="I34:L34"/>
    <mergeCell ref="E32:H32"/>
    <mergeCell ref="I32:L32"/>
    <mergeCell ref="B35:B37"/>
    <mergeCell ref="C35:C37"/>
    <mergeCell ref="E35:H35"/>
    <mergeCell ref="I35:L35"/>
    <mergeCell ref="B32:B34"/>
    <mergeCell ref="C32:C34"/>
    <mergeCell ref="E37:H37"/>
    <mergeCell ref="I37:L37"/>
    <mergeCell ref="E40:H40"/>
    <mergeCell ref="I40:L40"/>
    <mergeCell ref="E38:H38"/>
    <mergeCell ref="I38:L38"/>
    <mergeCell ref="M38:P38"/>
    <mergeCell ref="Q38:T38"/>
    <mergeCell ref="M40:P40"/>
    <mergeCell ref="Q40:T40"/>
    <mergeCell ref="B47:B49"/>
    <mergeCell ref="C47:C49"/>
    <mergeCell ref="E47:H47"/>
    <mergeCell ref="I47:L47"/>
    <mergeCell ref="B44:B46"/>
    <mergeCell ref="C44:C46"/>
    <mergeCell ref="M47:P47"/>
    <mergeCell ref="Q47:T47"/>
    <mergeCell ref="M49:P49"/>
    <mergeCell ref="Q49:T49"/>
    <mergeCell ref="E49:H49"/>
    <mergeCell ref="I49:L49"/>
    <mergeCell ref="E44:H44"/>
    <mergeCell ref="I44:L44"/>
    <mergeCell ref="M44:P44"/>
    <mergeCell ref="Q44:T44"/>
    <mergeCell ref="B59:B61"/>
    <mergeCell ref="C59:C61"/>
    <mergeCell ref="Q50:T50"/>
    <mergeCell ref="M52:P52"/>
    <mergeCell ref="Q52:T52"/>
    <mergeCell ref="B53:B55"/>
    <mergeCell ref="C53:C55"/>
    <mergeCell ref="E53:H53"/>
    <mergeCell ref="I53:L53"/>
    <mergeCell ref="B50:B52"/>
    <mergeCell ref="C50:C52"/>
    <mergeCell ref="E55:H55"/>
    <mergeCell ref="I55:L55"/>
    <mergeCell ref="M53:P53"/>
    <mergeCell ref="Q53:T53"/>
    <mergeCell ref="M55:P55"/>
    <mergeCell ref="Q55:T55"/>
    <mergeCell ref="B29:B31"/>
    <mergeCell ref="C29:C31"/>
    <mergeCell ref="E29:H29"/>
    <mergeCell ref="E31:H31"/>
    <mergeCell ref="M29:P29"/>
    <mergeCell ref="Q29:T29"/>
    <mergeCell ref="M31:P31"/>
    <mergeCell ref="Q31:T31"/>
    <mergeCell ref="B62:B64"/>
    <mergeCell ref="C62:C64"/>
    <mergeCell ref="E46:H46"/>
    <mergeCell ref="I46:L46"/>
    <mergeCell ref="E52:H52"/>
    <mergeCell ref="I52:L52"/>
    <mergeCell ref="E50:H50"/>
    <mergeCell ref="I50:L50"/>
    <mergeCell ref="M50:P50"/>
    <mergeCell ref="M46:P46"/>
    <mergeCell ref="B56:B58"/>
    <mergeCell ref="C56:C58"/>
    <mergeCell ref="E56:H56"/>
    <mergeCell ref="I56:L56"/>
    <mergeCell ref="E58:H58"/>
    <mergeCell ref="I58:L58"/>
    <mergeCell ref="M35:P35"/>
    <mergeCell ref="Q35:T35"/>
    <mergeCell ref="I31:L31"/>
    <mergeCell ref="I29:L29"/>
    <mergeCell ref="M32:P32"/>
    <mergeCell ref="Q32:T32"/>
    <mergeCell ref="M34:P34"/>
    <mergeCell ref="Q34:T34"/>
    <mergeCell ref="M59:P59"/>
    <mergeCell ref="Q59:T59"/>
    <mergeCell ref="Q56:T56"/>
    <mergeCell ref="M58:P58"/>
    <mergeCell ref="Q58:T58"/>
    <mergeCell ref="M56:P56"/>
    <mergeCell ref="Q46:T46"/>
    <mergeCell ref="M37:P37"/>
    <mergeCell ref="Q37:T37"/>
    <mergeCell ref="B23:B25"/>
    <mergeCell ref="C23:C25"/>
    <mergeCell ref="E23:H23"/>
    <mergeCell ref="E25:H25"/>
    <mergeCell ref="M23:P23"/>
    <mergeCell ref="Q23:T23"/>
    <mergeCell ref="M25:P25"/>
    <mergeCell ref="Q25:T25"/>
    <mergeCell ref="B26:B28"/>
    <mergeCell ref="C26:C28"/>
    <mergeCell ref="E26:H26"/>
    <mergeCell ref="E28:H28"/>
    <mergeCell ref="M26:P26"/>
    <mergeCell ref="Q26:T26"/>
    <mergeCell ref="M28:P28"/>
    <mergeCell ref="Q28:T28"/>
    <mergeCell ref="I23:L23"/>
    <mergeCell ref="I25:L25"/>
    <mergeCell ref="I26:L26"/>
    <mergeCell ref="I28:L28"/>
    <mergeCell ref="B20:B22"/>
    <mergeCell ref="C20:C22"/>
    <mergeCell ref="E20:H20"/>
    <mergeCell ref="E22:H22"/>
    <mergeCell ref="M20:P20"/>
    <mergeCell ref="Q20:T20"/>
    <mergeCell ref="M22:P22"/>
    <mergeCell ref="Q22:T22"/>
    <mergeCell ref="I22:L22"/>
    <mergeCell ref="I20:L20"/>
    <mergeCell ref="B17:B19"/>
    <mergeCell ref="C17:C19"/>
    <mergeCell ref="E17:H17"/>
    <mergeCell ref="E19:H19"/>
    <mergeCell ref="M17:P17"/>
    <mergeCell ref="Q17:T17"/>
    <mergeCell ref="M19:P19"/>
    <mergeCell ref="Q19:T19"/>
    <mergeCell ref="I17:L17"/>
    <mergeCell ref="I19:L19"/>
    <mergeCell ref="B1:T6"/>
    <mergeCell ref="M14:P14"/>
    <mergeCell ref="Q14:T14"/>
    <mergeCell ref="B11:B13"/>
    <mergeCell ref="C11:C13"/>
    <mergeCell ref="D11:D13"/>
    <mergeCell ref="E11:T11"/>
    <mergeCell ref="B14:B16"/>
    <mergeCell ref="C14:C16"/>
    <mergeCell ref="E14:H14"/>
    <mergeCell ref="E16:H16"/>
    <mergeCell ref="M16:P16"/>
    <mergeCell ref="Q16:T16"/>
    <mergeCell ref="I14:L14"/>
    <mergeCell ref="I16:L16"/>
    <mergeCell ref="E12:H13"/>
    <mergeCell ref="I12:L13"/>
    <mergeCell ref="M12:P13"/>
    <mergeCell ref="Q12:T13"/>
    <mergeCell ref="C8:N8"/>
    <mergeCell ref="M68:P68"/>
    <mergeCell ref="Q68:T68"/>
    <mergeCell ref="M65:P65"/>
    <mergeCell ref="Q65:T65"/>
    <mergeCell ref="M66:P66"/>
    <mergeCell ref="Q66:T66"/>
    <mergeCell ref="M67:P67"/>
    <mergeCell ref="Q67:T67"/>
    <mergeCell ref="M61:P61"/>
    <mergeCell ref="Q61:T61"/>
    <mergeCell ref="M62:P62"/>
    <mergeCell ref="Q62:T62"/>
    <mergeCell ref="M64:P64"/>
    <mergeCell ref="Q64:T64"/>
    <mergeCell ref="I68:L68"/>
    <mergeCell ref="I65:L65"/>
    <mergeCell ref="I66:L66"/>
    <mergeCell ref="E68:H68"/>
    <mergeCell ref="E61:H61"/>
    <mergeCell ref="I61:L61"/>
    <mergeCell ref="E59:H59"/>
    <mergeCell ref="I59:L59"/>
    <mergeCell ref="E64:H64"/>
    <mergeCell ref="I64:L64"/>
    <mergeCell ref="E62:H62"/>
    <mergeCell ref="I62:L62"/>
    <mergeCell ref="E67:H67"/>
    <mergeCell ref="I67:L67"/>
    <mergeCell ref="E65:H65"/>
    <mergeCell ref="E66:H66"/>
  </mergeCells>
  <phoneticPr fontId="52" type="noConversion"/>
  <printOptions horizontalCentered="1"/>
  <pageMargins left="0.51181102362204722" right="0.51181102362204722" top="0.78740157480314965" bottom="0.78740157480314965" header="0.31496062992125984" footer="0.31496062992125984"/>
  <pageSetup paperSize="9" scale="93" orientation="landscape" r:id="rId1"/>
  <headerFooter>
    <oddHeader>&amp;L&amp;G</oddHeader>
    <oddFooter>&amp;L&amp;"Arial Narrow,Normal"&amp;10&amp;A
&amp;F&amp;R&amp;"Arial Narrow,Normal"&amp;10Página &amp;P de &amp;N</oddFooter>
  </headerFooter>
  <rowBreaks count="2" manualBreakCount="2">
    <brk id="34" max="20" man="1"/>
    <brk id="55" max="20" man="1"/>
  </rowBreaks>
  <colBreaks count="1" manualBreakCount="1">
    <brk id="21" max="1048575" man="1"/>
  </colBreaks>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0FECF-3AD4-42E7-BBF8-666F000EC9D3}">
  <dimension ref="A1:K238"/>
  <sheetViews>
    <sheetView showGridLines="0" view="pageBreakPreview" topLeftCell="A218" zoomScaleNormal="85" zoomScaleSheetLayoutView="100" workbookViewId="0">
      <selection activeCell="Q14" sqref="Q14:Q15"/>
    </sheetView>
  </sheetViews>
  <sheetFormatPr defaultRowHeight="15" x14ac:dyDescent="0.25"/>
  <cols>
    <col min="1" max="1" width="1.7109375" style="222" customWidth="1"/>
    <col min="2" max="3" width="17.140625" style="224" bestFit="1" customWidth="1"/>
    <col min="4" max="4" width="71.140625" style="473" customWidth="1"/>
    <col min="5" max="5" width="7.5703125" style="222" customWidth="1"/>
    <col min="6" max="6" width="13.42578125" style="222" bestFit="1" customWidth="1"/>
    <col min="7" max="7" width="11.42578125" style="222" bestFit="1" customWidth="1"/>
    <col min="8" max="8" width="10.28515625" style="222" bestFit="1" customWidth="1"/>
    <col min="9" max="9" width="10" style="222" bestFit="1" customWidth="1"/>
    <col min="10" max="10" width="16" style="222" bestFit="1" customWidth="1"/>
    <col min="11" max="11" width="1.7109375" style="222" customWidth="1"/>
    <col min="12" max="12" width="17.140625" style="222" bestFit="1" customWidth="1"/>
    <col min="13" max="16384" width="9.140625" style="222"/>
  </cols>
  <sheetData>
    <row r="1" spans="1:11" s="425" customFormat="1" ht="50.1" customHeight="1" x14ac:dyDescent="0.25">
      <c r="B1" s="585" t="s">
        <v>2839</v>
      </c>
      <c r="C1" s="585"/>
      <c r="D1" s="585"/>
      <c r="E1" s="585"/>
      <c r="F1" s="585"/>
      <c r="G1" s="585"/>
      <c r="H1" s="585"/>
      <c r="I1" s="585"/>
      <c r="J1" s="585"/>
      <c r="K1" s="226"/>
    </row>
    <row r="2" spans="1:11" s="425" customFormat="1" ht="9.9499999999999993" customHeight="1" x14ac:dyDescent="0.25">
      <c r="C2" s="226"/>
      <c r="D2" s="226"/>
      <c r="E2" s="226"/>
      <c r="F2" s="70"/>
      <c r="G2" s="226"/>
      <c r="H2" s="226"/>
      <c r="I2" s="226"/>
      <c r="J2" s="226"/>
      <c r="K2" s="226"/>
    </row>
    <row r="3" spans="1:11" s="426" customFormat="1" ht="24.95" customHeight="1" x14ac:dyDescent="0.25">
      <c r="B3" s="427" t="s">
        <v>16</v>
      </c>
      <c r="C3" s="575" t="str">
        <f>'DADOS DA OBRA'!$B$13</f>
        <v>DEMOLIÇÃO DO RESERVATÓRIO EXISTENTE, EXECUÇÃO DE RESERVATÓRIO METÁLICO ELEVADO E REESTRUTURAÇÃO (COM AMPLIAÇÃO) DA REDE DE DISTRIBUIÇÃO DE ÁGUA TRATADA EXISTENTE NO MUNICÍPIO DE MATRINCHÃ</v>
      </c>
      <c r="D3" s="575"/>
      <c r="E3" s="430" t="s">
        <v>96</v>
      </c>
      <c r="F3" s="431" t="str">
        <f>'DADOS DA OBRA'!$N$22</f>
        <v>04/11/2024</v>
      </c>
      <c r="H3" s="429"/>
      <c r="I3" s="430" t="s">
        <v>1709</v>
      </c>
      <c r="J3" s="432">
        <f>+'ORÇAMENTO SINTÉTICO (SD)'!L3</f>
        <v>1.0884</v>
      </c>
      <c r="K3" s="429"/>
    </row>
    <row r="4" spans="1:11" s="426" customFormat="1" ht="15" customHeight="1" x14ac:dyDescent="0.25">
      <c r="B4" s="427" t="s">
        <v>18</v>
      </c>
      <c r="C4" s="429" t="str">
        <f>+""&amp;'DADOS DA OBRA'!$B$16&amp;", "&amp;'DADOS DA OBRA'!$J$19&amp;", "&amp;'DADOS DA OBRA'!$P$19</f>
        <v>RUAS DIVERSAS, MATRINCHÃ, GO</v>
      </c>
      <c r="E4" s="430" t="s">
        <v>17</v>
      </c>
      <c r="F4" s="431" t="str">
        <f>'DADOS DA OBRA'!$N$25</f>
        <v>00</v>
      </c>
      <c r="I4" s="430" t="s">
        <v>1710</v>
      </c>
      <c r="J4" s="432">
        <f>+'ORÇAMENTO SINTÉTICO (SD)'!L4</f>
        <v>0.67240000000000011</v>
      </c>
    </row>
    <row r="5" spans="1:11" s="426" customFormat="1" ht="15" customHeight="1" x14ac:dyDescent="0.25">
      <c r="B5" s="427" t="s">
        <v>1712</v>
      </c>
      <c r="C5" s="575" t="str">
        <f>'DADOS DA OBRA'!$B$28</f>
        <v>GOINFRA CIVIL-06/2024, GOINFRA RODOVIÁRIA-06/2024, SINAPI-08/2024, ORSE-06/2024, SENFRA-CE-028, SCO-08/2024, CPOS-06/2024, EMBASA-05/2024, SIURB-01/2024</v>
      </c>
      <c r="D5" s="575"/>
      <c r="E5" s="430" t="s">
        <v>2793</v>
      </c>
      <c r="F5" s="431" t="str">
        <f>'DADOS DA OBRA'!$B$25</f>
        <v>04 MESES</v>
      </c>
      <c r="I5" s="430" t="s">
        <v>1711</v>
      </c>
      <c r="J5" s="432">
        <f>+'ORÇAMENTO SINTÉTICO (SD)'!L5</f>
        <v>0.24640000000000001</v>
      </c>
    </row>
    <row r="6" spans="1:11" s="426" customFormat="1" ht="12.75" customHeight="1" x14ac:dyDescent="0.25">
      <c r="C6" s="575"/>
      <c r="D6" s="575"/>
      <c r="I6" s="430" t="s">
        <v>1713</v>
      </c>
      <c r="J6" s="432">
        <f>+'ORÇAMENTO SINTÉTICO (SD)'!L6</f>
        <v>0.1419</v>
      </c>
    </row>
    <row r="7" spans="1:11" s="433" customFormat="1" ht="6.95" customHeight="1" x14ac:dyDescent="0.25">
      <c r="D7" s="158"/>
      <c r="J7" s="434"/>
      <c r="K7" s="435"/>
    </row>
    <row r="8" spans="1:11" s="224" customFormat="1" ht="33" x14ac:dyDescent="0.25">
      <c r="A8" s="478" t="s">
        <v>2718</v>
      </c>
      <c r="B8" s="482" t="s">
        <v>991</v>
      </c>
      <c r="C8" s="482" t="s">
        <v>76</v>
      </c>
      <c r="D8" s="482" t="s">
        <v>191</v>
      </c>
      <c r="E8" s="482" t="s">
        <v>103</v>
      </c>
      <c r="F8" s="482" t="s">
        <v>147</v>
      </c>
      <c r="G8" s="482" t="s">
        <v>2719</v>
      </c>
      <c r="H8" s="482" t="s">
        <v>104</v>
      </c>
      <c r="I8" s="482" t="s">
        <v>1119</v>
      </c>
      <c r="J8" s="482" t="s">
        <v>2720</v>
      </c>
    </row>
    <row r="9" spans="1:11" ht="25.5" x14ac:dyDescent="0.25">
      <c r="A9" s="479" t="s">
        <v>2718</v>
      </c>
      <c r="B9" s="443" t="s">
        <v>1168</v>
      </c>
      <c r="C9" s="443" t="s">
        <v>1700</v>
      </c>
      <c r="D9" s="475" t="s">
        <v>920</v>
      </c>
      <c r="E9" s="443" t="s">
        <v>38</v>
      </c>
      <c r="F9" s="547">
        <v>1</v>
      </c>
      <c r="G9" s="547" t="s">
        <v>2841</v>
      </c>
      <c r="H9" s="547">
        <f>+TRUNC(F9*G9,2)</f>
        <v>561222.73</v>
      </c>
      <c r="I9" s="548">
        <f>+H9/$G$236</f>
        <v>0.26356617490275425</v>
      </c>
      <c r="J9" s="549">
        <f>+I9</f>
        <v>0.26356617490275425</v>
      </c>
    </row>
    <row r="10" spans="1:11" ht="38.25" x14ac:dyDescent="0.25">
      <c r="A10" s="479" t="s">
        <v>2718</v>
      </c>
      <c r="B10" s="443" t="s">
        <v>1168</v>
      </c>
      <c r="C10" s="443" t="s">
        <v>1547</v>
      </c>
      <c r="D10" s="475" t="s">
        <v>532</v>
      </c>
      <c r="E10" s="443" t="s">
        <v>38</v>
      </c>
      <c r="F10" s="547">
        <v>4031</v>
      </c>
      <c r="G10" s="547">
        <v>26.52</v>
      </c>
      <c r="H10" s="547">
        <f t="shared" ref="H10:H73" si="0">+TRUNC(F10*G10,2)</f>
        <v>106902.12</v>
      </c>
      <c r="I10" s="548">
        <f t="shared" ref="I10:I73" si="1">+H10/$G$236</f>
        <v>5.0204279604632591E-2</v>
      </c>
      <c r="J10" s="549">
        <f>+J9+I10</f>
        <v>0.31377045450738683</v>
      </c>
    </row>
    <row r="11" spans="1:11" ht="38.25" x14ac:dyDescent="0.25">
      <c r="A11" s="479" t="s">
        <v>2718</v>
      </c>
      <c r="B11" s="443" t="s">
        <v>993</v>
      </c>
      <c r="C11" s="443" t="s">
        <v>1134</v>
      </c>
      <c r="D11" s="475" t="s">
        <v>1135</v>
      </c>
      <c r="E11" s="443" t="s">
        <v>19</v>
      </c>
      <c r="F11" s="547">
        <v>235.42</v>
      </c>
      <c r="G11" s="547">
        <v>379.1</v>
      </c>
      <c r="H11" s="547">
        <f t="shared" si="0"/>
        <v>89247.72</v>
      </c>
      <c r="I11" s="548">
        <f t="shared" si="1"/>
        <v>4.1913270653154124E-2</v>
      </c>
      <c r="J11" s="549">
        <f t="shared" ref="J11:J74" si="2">+J10+I11</f>
        <v>0.35568372516054098</v>
      </c>
    </row>
    <row r="12" spans="1:11" x14ac:dyDescent="0.25">
      <c r="A12" s="479" t="s">
        <v>2718</v>
      </c>
      <c r="B12" s="443" t="s">
        <v>993</v>
      </c>
      <c r="C12" s="443" t="s">
        <v>1269</v>
      </c>
      <c r="D12" s="475" t="s">
        <v>314</v>
      </c>
      <c r="E12" s="443" t="s">
        <v>1222</v>
      </c>
      <c r="F12" s="547">
        <v>6101.94</v>
      </c>
      <c r="G12" s="547">
        <v>14.18</v>
      </c>
      <c r="H12" s="547">
        <f t="shared" si="0"/>
        <v>86525.5</v>
      </c>
      <c r="I12" s="548">
        <f t="shared" si="1"/>
        <v>4.0634838625563621E-2</v>
      </c>
      <c r="J12" s="549">
        <f t="shared" si="2"/>
        <v>0.39631856378610458</v>
      </c>
    </row>
    <row r="13" spans="1:11" ht="38.25" x14ac:dyDescent="0.25">
      <c r="A13" s="479" t="s">
        <v>2718</v>
      </c>
      <c r="B13" s="443" t="s">
        <v>1168</v>
      </c>
      <c r="C13" s="443" t="s">
        <v>1603</v>
      </c>
      <c r="D13" s="475" t="s">
        <v>604</v>
      </c>
      <c r="E13" s="443" t="s">
        <v>41</v>
      </c>
      <c r="F13" s="547">
        <v>643</v>
      </c>
      <c r="G13" s="547">
        <v>119.65</v>
      </c>
      <c r="H13" s="547">
        <f t="shared" si="0"/>
        <v>76934.95</v>
      </c>
      <c r="I13" s="548">
        <f t="shared" si="1"/>
        <v>3.6130843253327702E-2</v>
      </c>
      <c r="J13" s="549">
        <f t="shared" si="2"/>
        <v>0.4324494070394323</v>
      </c>
    </row>
    <row r="14" spans="1:11" ht="25.5" x14ac:dyDescent="0.25">
      <c r="A14" s="479" t="s">
        <v>2718</v>
      </c>
      <c r="B14" s="443" t="s">
        <v>1071</v>
      </c>
      <c r="C14" s="443" t="s">
        <v>1344</v>
      </c>
      <c r="D14" s="475" t="s">
        <v>750</v>
      </c>
      <c r="E14" s="443" t="s">
        <v>45</v>
      </c>
      <c r="F14" s="547">
        <v>241.75</v>
      </c>
      <c r="G14" s="547">
        <v>304.25</v>
      </c>
      <c r="H14" s="547">
        <f t="shared" si="0"/>
        <v>73552.429999999993</v>
      </c>
      <c r="I14" s="548">
        <f t="shared" si="1"/>
        <v>3.4542315543603493E-2</v>
      </c>
      <c r="J14" s="549">
        <f t="shared" si="2"/>
        <v>0.46699172258303578</v>
      </c>
    </row>
    <row r="15" spans="1:11" x14ac:dyDescent="0.25">
      <c r="A15" s="479" t="s">
        <v>2718</v>
      </c>
      <c r="B15" s="443" t="s">
        <v>993</v>
      </c>
      <c r="C15" s="443" t="s">
        <v>1277</v>
      </c>
      <c r="D15" s="475" t="s">
        <v>268</v>
      </c>
      <c r="E15" s="443" t="s">
        <v>45</v>
      </c>
      <c r="F15" s="547">
        <v>81.92</v>
      </c>
      <c r="G15" s="547">
        <v>653.35</v>
      </c>
      <c r="H15" s="547">
        <f t="shared" si="0"/>
        <v>53522.43</v>
      </c>
      <c r="I15" s="548">
        <f t="shared" si="1"/>
        <v>2.5135657186586904E-2</v>
      </c>
      <c r="J15" s="549">
        <f t="shared" si="2"/>
        <v>0.49212737976962267</v>
      </c>
    </row>
    <row r="16" spans="1:11" x14ac:dyDescent="0.25">
      <c r="A16" s="479" t="s">
        <v>2718</v>
      </c>
      <c r="B16" s="443" t="s">
        <v>993</v>
      </c>
      <c r="C16" s="443" t="s">
        <v>1230</v>
      </c>
      <c r="D16" s="475" t="s">
        <v>268</v>
      </c>
      <c r="E16" s="443" t="s">
        <v>45</v>
      </c>
      <c r="F16" s="547">
        <v>75.430000000000007</v>
      </c>
      <c r="G16" s="547">
        <v>653.35</v>
      </c>
      <c r="H16" s="547">
        <f t="shared" si="0"/>
        <v>49282.19</v>
      </c>
      <c r="I16" s="548">
        <f t="shared" si="1"/>
        <v>2.3144319741167232E-2</v>
      </c>
      <c r="J16" s="549">
        <f t="shared" si="2"/>
        <v>0.51527169951078988</v>
      </c>
    </row>
    <row r="17" spans="1:10" x14ac:dyDescent="0.25">
      <c r="A17" s="479" t="s">
        <v>2718</v>
      </c>
      <c r="B17" s="443" t="s">
        <v>993</v>
      </c>
      <c r="C17" s="443" t="s">
        <v>1151</v>
      </c>
      <c r="D17" s="475" t="s">
        <v>990</v>
      </c>
      <c r="E17" s="443" t="s">
        <v>1152</v>
      </c>
      <c r="F17" s="547">
        <v>1736</v>
      </c>
      <c r="G17" s="547">
        <v>28.04</v>
      </c>
      <c r="H17" s="547">
        <f t="shared" si="0"/>
        <v>48677.440000000002</v>
      </c>
      <c r="I17" s="548">
        <f t="shared" si="1"/>
        <v>2.2860311920827454E-2</v>
      </c>
      <c r="J17" s="549">
        <f t="shared" si="2"/>
        <v>0.53813201143161737</v>
      </c>
    </row>
    <row r="18" spans="1:10" x14ac:dyDescent="0.25">
      <c r="A18" s="479" t="s">
        <v>2718</v>
      </c>
      <c r="B18" s="443" t="s">
        <v>993</v>
      </c>
      <c r="C18" s="443" t="s">
        <v>1204</v>
      </c>
      <c r="D18" s="475" t="s">
        <v>233</v>
      </c>
      <c r="E18" s="443" t="s">
        <v>45</v>
      </c>
      <c r="F18" s="547">
        <v>168.34</v>
      </c>
      <c r="G18" s="547">
        <v>268.01</v>
      </c>
      <c r="H18" s="547">
        <f t="shared" si="0"/>
        <v>45116.800000000003</v>
      </c>
      <c r="I18" s="548">
        <f t="shared" si="1"/>
        <v>2.1188133987111647E-2</v>
      </c>
      <c r="J18" s="549">
        <f t="shared" si="2"/>
        <v>0.55932014541872899</v>
      </c>
    </row>
    <row r="19" spans="1:10" x14ac:dyDescent="0.25">
      <c r="A19" s="479" t="s">
        <v>2718</v>
      </c>
      <c r="B19" s="443" t="s">
        <v>993</v>
      </c>
      <c r="C19" s="443" t="s">
        <v>1130</v>
      </c>
      <c r="D19" s="475" t="s">
        <v>1131</v>
      </c>
      <c r="E19" s="443" t="s">
        <v>81</v>
      </c>
      <c r="F19" s="547">
        <v>1760</v>
      </c>
      <c r="G19" s="547">
        <v>22.65</v>
      </c>
      <c r="H19" s="547">
        <f t="shared" si="0"/>
        <v>39864</v>
      </c>
      <c r="I19" s="548">
        <f t="shared" si="1"/>
        <v>1.8721269532906117E-2</v>
      </c>
      <c r="J19" s="549">
        <f t="shared" si="2"/>
        <v>0.57804141495163508</v>
      </c>
    </row>
    <row r="20" spans="1:10" ht="51" x14ac:dyDescent="0.25">
      <c r="A20" s="479" t="s">
        <v>2718</v>
      </c>
      <c r="B20" s="443" t="s">
        <v>1168</v>
      </c>
      <c r="C20" s="443" t="s">
        <v>1289</v>
      </c>
      <c r="D20" s="475" t="s">
        <v>858</v>
      </c>
      <c r="E20" s="443" t="s">
        <v>19</v>
      </c>
      <c r="F20" s="547">
        <v>126.94</v>
      </c>
      <c r="G20" s="547">
        <v>286.64</v>
      </c>
      <c r="H20" s="547">
        <f t="shared" si="0"/>
        <v>36386.080000000002</v>
      </c>
      <c r="I20" s="548">
        <f t="shared" si="1"/>
        <v>1.7087939266653741E-2</v>
      </c>
      <c r="J20" s="549">
        <f t="shared" si="2"/>
        <v>0.59512935421828883</v>
      </c>
    </row>
    <row r="21" spans="1:10" x14ac:dyDescent="0.25">
      <c r="A21" s="479" t="s">
        <v>2718</v>
      </c>
      <c r="B21" s="443" t="s">
        <v>993</v>
      </c>
      <c r="C21" s="443" t="s">
        <v>1122</v>
      </c>
      <c r="D21" s="475" t="s">
        <v>1123</v>
      </c>
      <c r="E21" s="443" t="s">
        <v>81</v>
      </c>
      <c r="F21" s="547">
        <v>300</v>
      </c>
      <c r="G21" s="547">
        <v>120.63</v>
      </c>
      <c r="H21" s="547">
        <f t="shared" si="0"/>
        <v>36189</v>
      </c>
      <c r="I21" s="548">
        <f t="shared" si="1"/>
        <v>1.6995384886773518E-2</v>
      </c>
      <c r="J21" s="549">
        <f t="shared" si="2"/>
        <v>0.61212473910506238</v>
      </c>
    </row>
    <row r="22" spans="1:10" x14ac:dyDescent="0.25">
      <c r="A22" s="479" t="s">
        <v>2718</v>
      </c>
      <c r="B22" s="443" t="s">
        <v>993</v>
      </c>
      <c r="C22" s="443" t="s">
        <v>1183</v>
      </c>
      <c r="D22" s="475" t="s">
        <v>1184</v>
      </c>
      <c r="E22" s="443" t="s">
        <v>45</v>
      </c>
      <c r="F22" s="547">
        <v>584.78</v>
      </c>
      <c r="G22" s="547">
        <v>58.87</v>
      </c>
      <c r="H22" s="547">
        <f t="shared" si="0"/>
        <v>34425.99</v>
      </c>
      <c r="I22" s="548">
        <f t="shared" si="1"/>
        <v>1.6167425188820254E-2</v>
      </c>
      <c r="J22" s="549">
        <f t="shared" si="2"/>
        <v>0.62829216429388268</v>
      </c>
    </row>
    <row r="23" spans="1:10" ht="38.25" x14ac:dyDescent="0.25">
      <c r="A23" s="479" t="s">
        <v>2718</v>
      </c>
      <c r="B23" s="443" t="s">
        <v>1168</v>
      </c>
      <c r="C23" s="443" t="s">
        <v>1551</v>
      </c>
      <c r="D23" s="475" t="s">
        <v>534</v>
      </c>
      <c r="E23" s="443" t="s">
        <v>38</v>
      </c>
      <c r="F23" s="547">
        <v>352</v>
      </c>
      <c r="G23" s="547">
        <v>82.06</v>
      </c>
      <c r="H23" s="547">
        <f t="shared" si="0"/>
        <v>28885.119999999999</v>
      </c>
      <c r="I23" s="548">
        <f t="shared" si="1"/>
        <v>1.3565274859781686E-2</v>
      </c>
      <c r="J23" s="549">
        <f t="shared" si="2"/>
        <v>0.64185743915366433</v>
      </c>
    </row>
    <row r="24" spans="1:10" x14ac:dyDescent="0.25">
      <c r="A24" s="479" t="s">
        <v>2718</v>
      </c>
      <c r="B24" s="443" t="s">
        <v>993</v>
      </c>
      <c r="C24" s="443" t="s">
        <v>1126</v>
      </c>
      <c r="D24" s="475" t="s">
        <v>784</v>
      </c>
      <c r="E24" s="443" t="s">
        <v>81</v>
      </c>
      <c r="F24" s="547">
        <v>880</v>
      </c>
      <c r="G24" s="547">
        <v>32.549999999999997</v>
      </c>
      <c r="H24" s="547">
        <f t="shared" si="0"/>
        <v>28644</v>
      </c>
      <c r="I24" s="548">
        <f t="shared" si="1"/>
        <v>1.3452038041856382E-2</v>
      </c>
      <c r="J24" s="549">
        <f t="shared" si="2"/>
        <v>0.65530947719552068</v>
      </c>
    </row>
    <row r="25" spans="1:10" ht="25.5" x14ac:dyDescent="0.25">
      <c r="A25" s="479" t="s">
        <v>2718</v>
      </c>
      <c r="B25" s="443" t="s">
        <v>993</v>
      </c>
      <c r="C25" s="443" t="s">
        <v>1206</v>
      </c>
      <c r="D25" s="475" t="s">
        <v>237</v>
      </c>
      <c r="E25" s="443" t="s">
        <v>45</v>
      </c>
      <c r="F25" s="547">
        <v>3204.1</v>
      </c>
      <c r="G25" s="547">
        <v>8.6300000000000008</v>
      </c>
      <c r="H25" s="547">
        <f t="shared" si="0"/>
        <v>27651.38</v>
      </c>
      <c r="I25" s="548">
        <f t="shared" si="1"/>
        <v>1.298587542486478E-2</v>
      </c>
      <c r="J25" s="549">
        <f t="shared" si="2"/>
        <v>0.66829535262038542</v>
      </c>
    </row>
    <row r="26" spans="1:10" x14ac:dyDescent="0.25">
      <c r="A26" s="479" t="s">
        <v>2718</v>
      </c>
      <c r="B26" s="443" t="s">
        <v>993</v>
      </c>
      <c r="C26" s="443" t="s">
        <v>1210</v>
      </c>
      <c r="D26" s="475" t="s">
        <v>1211</v>
      </c>
      <c r="E26" s="443" t="s">
        <v>45</v>
      </c>
      <c r="F26" s="547">
        <v>881.37</v>
      </c>
      <c r="G26" s="547">
        <v>30.97</v>
      </c>
      <c r="H26" s="547">
        <f t="shared" si="0"/>
        <v>27296.02</v>
      </c>
      <c r="I26" s="548">
        <f t="shared" si="1"/>
        <v>1.2818988249939696E-2</v>
      </c>
      <c r="J26" s="549">
        <f t="shared" si="2"/>
        <v>0.68111434087032507</v>
      </c>
    </row>
    <row r="27" spans="1:10" ht="25.5" x14ac:dyDescent="0.25">
      <c r="A27" s="479" t="s">
        <v>2718</v>
      </c>
      <c r="B27" s="443" t="s">
        <v>993</v>
      </c>
      <c r="C27" s="443" t="s">
        <v>1145</v>
      </c>
      <c r="D27" s="475" t="s">
        <v>765</v>
      </c>
      <c r="E27" s="443" t="s">
        <v>19</v>
      </c>
      <c r="F27" s="547">
        <v>451.2</v>
      </c>
      <c r="G27" s="547">
        <v>59.51</v>
      </c>
      <c r="H27" s="547">
        <f t="shared" si="0"/>
        <v>26850.91</v>
      </c>
      <c r="I27" s="548">
        <f t="shared" si="1"/>
        <v>1.2609951919370966E-2</v>
      </c>
      <c r="J27" s="549">
        <f t="shared" si="2"/>
        <v>0.69372429278969605</v>
      </c>
    </row>
    <row r="28" spans="1:10" ht="25.5" x14ac:dyDescent="0.25">
      <c r="A28" s="479" t="s">
        <v>2718</v>
      </c>
      <c r="B28" s="443" t="s">
        <v>1168</v>
      </c>
      <c r="C28" s="443" t="s">
        <v>1213</v>
      </c>
      <c r="D28" s="475" t="s">
        <v>661</v>
      </c>
      <c r="E28" s="443" t="s">
        <v>19</v>
      </c>
      <c r="F28" s="547">
        <v>1057.05</v>
      </c>
      <c r="G28" s="547">
        <v>24.35</v>
      </c>
      <c r="H28" s="547">
        <f t="shared" si="0"/>
        <v>25739.16</v>
      </c>
      <c r="I28" s="548">
        <f t="shared" si="1"/>
        <v>1.2087842462136159E-2</v>
      </c>
      <c r="J28" s="549">
        <f t="shared" si="2"/>
        <v>0.70581213525183217</v>
      </c>
    </row>
    <row r="29" spans="1:10" ht="25.5" x14ac:dyDescent="0.25">
      <c r="A29" s="479" t="s">
        <v>2718</v>
      </c>
      <c r="B29" s="443" t="s">
        <v>1071</v>
      </c>
      <c r="C29" s="443" t="s">
        <v>1172</v>
      </c>
      <c r="D29" s="475" t="s">
        <v>982</v>
      </c>
      <c r="E29" s="443" t="s">
        <v>49</v>
      </c>
      <c r="F29" s="547">
        <v>1</v>
      </c>
      <c r="G29" s="547">
        <v>25033.19</v>
      </c>
      <c r="H29" s="547">
        <f t="shared" si="0"/>
        <v>25033.19</v>
      </c>
      <c r="I29" s="548">
        <f t="shared" si="1"/>
        <v>1.1756298847542897E-2</v>
      </c>
      <c r="J29" s="549">
        <f t="shared" si="2"/>
        <v>0.7175684340993751</v>
      </c>
    </row>
    <row r="30" spans="1:10" x14ac:dyDescent="0.25">
      <c r="A30" s="479" t="s">
        <v>2718</v>
      </c>
      <c r="B30" s="443" t="s">
        <v>993</v>
      </c>
      <c r="C30" s="443" t="s">
        <v>1197</v>
      </c>
      <c r="D30" s="475" t="s">
        <v>221</v>
      </c>
      <c r="E30" s="443" t="s">
        <v>19</v>
      </c>
      <c r="F30" s="547">
        <v>3366.29</v>
      </c>
      <c r="G30" s="547">
        <v>7.27</v>
      </c>
      <c r="H30" s="547">
        <f t="shared" si="0"/>
        <v>24472.92</v>
      </c>
      <c r="I30" s="548">
        <f t="shared" si="1"/>
        <v>1.1493180101777261E-2</v>
      </c>
      <c r="J30" s="549">
        <f t="shared" si="2"/>
        <v>0.72906161420115234</v>
      </c>
    </row>
    <row r="31" spans="1:10" x14ac:dyDescent="0.25">
      <c r="A31" s="479" t="s">
        <v>2718</v>
      </c>
      <c r="B31" s="443" t="s">
        <v>993</v>
      </c>
      <c r="C31" s="443" t="s">
        <v>1260</v>
      </c>
      <c r="D31" s="475" t="s">
        <v>296</v>
      </c>
      <c r="E31" s="443" t="s">
        <v>19</v>
      </c>
      <c r="F31" s="547">
        <v>92.8</v>
      </c>
      <c r="G31" s="547">
        <v>261.13</v>
      </c>
      <c r="H31" s="547">
        <f t="shared" si="0"/>
        <v>24232.86</v>
      </c>
      <c r="I31" s="548">
        <f t="shared" si="1"/>
        <v>1.1380441090035606E-2</v>
      </c>
      <c r="J31" s="549">
        <f t="shared" si="2"/>
        <v>0.74044205529118789</v>
      </c>
    </row>
    <row r="32" spans="1:10" x14ac:dyDescent="0.25">
      <c r="A32" s="479" t="s">
        <v>2718</v>
      </c>
      <c r="B32" s="443" t="s">
        <v>993</v>
      </c>
      <c r="C32" s="443" t="s">
        <v>1241</v>
      </c>
      <c r="D32" s="475" t="s">
        <v>275</v>
      </c>
      <c r="E32" s="443" t="s">
        <v>1222</v>
      </c>
      <c r="F32" s="547">
        <v>1670.79</v>
      </c>
      <c r="G32" s="547">
        <v>14.2</v>
      </c>
      <c r="H32" s="547">
        <f t="shared" si="0"/>
        <v>23725.21</v>
      </c>
      <c r="I32" s="548">
        <f t="shared" si="1"/>
        <v>1.1142034194631736E-2</v>
      </c>
      <c r="J32" s="549">
        <f t="shared" si="2"/>
        <v>0.75158408948581967</v>
      </c>
    </row>
    <row r="33" spans="1:10" ht="38.25" x14ac:dyDescent="0.25">
      <c r="A33" s="479" t="s">
        <v>2718</v>
      </c>
      <c r="B33" s="443" t="s">
        <v>1168</v>
      </c>
      <c r="C33" s="443" t="s">
        <v>1549</v>
      </c>
      <c r="D33" s="475" t="s">
        <v>533</v>
      </c>
      <c r="E33" s="443" t="s">
        <v>38</v>
      </c>
      <c r="F33" s="547">
        <v>452</v>
      </c>
      <c r="G33" s="547">
        <v>50.09</v>
      </c>
      <c r="H33" s="547">
        <f t="shared" si="0"/>
        <v>22640.68</v>
      </c>
      <c r="I33" s="548">
        <f t="shared" si="1"/>
        <v>1.0632708024490189E-2</v>
      </c>
      <c r="J33" s="549">
        <f t="shared" si="2"/>
        <v>0.76221679751030991</v>
      </c>
    </row>
    <row r="34" spans="1:10" ht="25.5" x14ac:dyDescent="0.25">
      <c r="A34" s="479" t="s">
        <v>2718</v>
      </c>
      <c r="B34" s="443" t="s">
        <v>1168</v>
      </c>
      <c r="C34" s="443" t="s">
        <v>1624</v>
      </c>
      <c r="D34" s="475" t="s">
        <v>614</v>
      </c>
      <c r="E34" s="443" t="s">
        <v>41</v>
      </c>
      <c r="F34" s="547">
        <v>14.1</v>
      </c>
      <c r="G34" s="547">
        <v>1590.91</v>
      </c>
      <c r="H34" s="547">
        <f t="shared" si="0"/>
        <v>22431.83</v>
      </c>
      <c r="I34" s="548">
        <f t="shared" si="1"/>
        <v>1.0534626117457592E-2</v>
      </c>
      <c r="J34" s="549">
        <f t="shared" si="2"/>
        <v>0.7727514236277675</v>
      </c>
    </row>
    <row r="35" spans="1:10" ht="51" x14ac:dyDescent="0.25">
      <c r="A35" s="479" t="s">
        <v>2718</v>
      </c>
      <c r="B35" s="443" t="s">
        <v>1168</v>
      </c>
      <c r="C35" s="443" t="s">
        <v>1570</v>
      </c>
      <c r="D35" s="475" t="s">
        <v>545</v>
      </c>
      <c r="E35" s="443" t="s">
        <v>49</v>
      </c>
      <c r="F35" s="547">
        <v>2</v>
      </c>
      <c r="G35" s="547">
        <v>10382.299999999999</v>
      </c>
      <c r="H35" s="547">
        <f t="shared" si="0"/>
        <v>20764.599999999999</v>
      </c>
      <c r="I35" s="548">
        <f t="shared" si="1"/>
        <v>9.7516474348530585E-3</v>
      </c>
      <c r="J35" s="549">
        <f t="shared" si="2"/>
        <v>0.78250307106262051</v>
      </c>
    </row>
    <row r="36" spans="1:10" x14ac:dyDescent="0.25">
      <c r="A36" s="479" t="s">
        <v>2718</v>
      </c>
      <c r="B36" s="443" t="s">
        <v>993</v>
      </c>
      <c r="C36" s="443" t="s">
        <v>1128</v>
      </c>
      <c r="D36" s="475" t="s">
        <v>1129</v>
      </c>
      <c r="E36" s="443" t="s">
        <v>81</v>
      </c>
      <c r="F36" s="547">
        <v>880</v>
      </c>
      <c r="G36" s="547">
        <v>23.38</v>
      </c>
      <c r="H36" s="547">
        <f t="shared" si="0"/>
        <v>20574.400000000001</v>
      </c>
      <c r="I36" s="548">
        <f t="shared" si="1"/>
        <v>9.6623240988817898E-3</v>
      </c>
      <c r="J36" s="549">
        <f t="shared" si="2"/>
        <v>0.79216539516150231</v>
      </c>
    </row>
    <row r="37" spans="1:10" ht="25.5" x14ac:dyDescent="0.25">
      <c r="A37" s="479" t="s">
        <v>2718</v>
      </c>
      <c r="B37" s="443" t="s">
        <v>993</v>
      </c>
      <c r="C37" s="443" t="s">
        <v>1703</v>
      </c>
      <c r="D37" s="475" t="s">
        <v>687</v>
      </c>
      <c r="E37" s="443" t="s">
        <v>19</v>
      </c>
      <c r="F37" s="547">
        <v>592.63</v>
      </c>
      <c r="G37" s="547">
        <v>27.1</v>
      </c>
      <c r="H37" s="547">
        <f t="shared" si="0"/>
        <v>16060.27</v>
      </c>
      <c r="I37" s="548">
        <f t="shared" si="1"/>
        <v>7.542360110406536E-3</v>
      </c>
      <c r="J37" s="549">
        <f t="shared" si="2"/>
        <v>0.79970775527190885</v>
      </c>
    </row>
    <row r="38" spans="1:10" ht="51" x14ac:dyDescent="0.25">
      <c r="A38" s="479" t="s">
        <v>2718</v>
      </c>
      <c r="B38" s="443" t="s">
        <v>1168</v>
      </c>
      <c r="C38" s="443" t="s">
        <v>1568</v>
      </c>
      <c r="D38" s="475" t="s">
        <v>544</v>
      </c>
      <c r="E38" s="443" t="s">
        <v>49</v>
      </c>
      <c r="F38" s="547">
        <v>8</v>
      </c>
      <c r="G38" s="547">
        <v>1588.73</v>
      </c>
      <c r="H38" s="547">
        <f t="shared" si="0"/>
        <v>12709.84</v>
      </c>
      <c r="I38" s="548">
        <f t="shared" si="1"/>
        <v>5.9689027784495157E-3</v>
      </c>
      <c r="J38" s="549">
        <f t="shared" si="2"/>
        <v>0.80567665805035837</v>
      </c>
    </row>
    <row r="39" spans="1:10" x14ac:dyDescent="0.25">
      <c r="A39" s="479" t="s">
        <v>2718</v>
      </c>
      <c r="B39" s="443" t="s">
        <v>993</v>
      </c>
      <c r="C39" s="443" t="s">
        <v>1219</v>
      </c>
      <c r="D39" s="475" t="s">
        <v>257</v>
      </c>
      <c r="E39" s="443" t="s">
        <v>19</v>
      </c>
      <c r="F39" s="547">
        <v>127.58</v>
      </c>
      <c r="G39" s="547">
        <v>99.07</v>
      </c>
      <c r="H39" s="547">
        <f t="shared" si="0"/>
        <v>12639.35</v>
      </c>
      <c r="I39" s="548">
        <f t="shared" si="1"/>
        <v>5.9357986672370295E-3</v>
      </c>
      <c r="J39" s="549">
        <f t="shared" si="2"/>
        <v>0.81161245671759541</v>
      </c>
    </row>
    <row r="40" spans="1:10" x14ac:dyDescent="0.25">
      <c r="A40" s="479" t="s">
        <v>2718</v>
      </c>
      <c r="B40" s="443" t="s">
        <v>993</v>
      </c>
      <c r="C40" s="443" t="s">
        <v>1271</v>
      </c>
      <c r="D40" s="475" t="s">
        <v>1272</v>
      </c>
      <c r="E40" s="443" t="s">
        <v>1222</v>
      </c>
      <c r="F40" s="547">
        <v>819.92</v>
      </c>
      <c r="G40" s="547">
        <v>14.17</v>
      </c>
      <c r="H40" s="547">
        <f t="shared" si="0"/>
        <v>11618.26</v>
      </c>
      <c r="I40" s="548">
        <f t="shared" si="1"/>
        <v>5.4562657275582438E-3</v>
      </c>
      <c r="J40" s="549">
        <f t="shared" si="2"/>
        <v>0.81706872244515361</v>
      </c>
    </row>
    <row r="41" spans="1:10" x14ac:dyDescent="0.25">
      <c r="A41" s="479" t="s">
        <v>2718</v>
      </c>
      <c r="B41" s="443" t="s">
        <v>1168</v>
      </c>
      <c r="C41" s="443" t="s">
        <v>1237</v>
      </c>
      <c r="D41" s="475" t="s">
        <v>1238</v>
      </c>
      <c r="E41" s="443" t="s">
        <v>41</v>
      </c>
      <c r="F41" s="547">
        <v>300</v>
      </c>
      <c r="G41" s="547">
        <v>38.31</v>
      </c>
      <c r="H41" s="547">
        <f t="shared" si="0"/>
        <v>11493</v>
      </c>
      <c r="I41" s="548">
        <f t="shared" si="1"/>
        <v>5.3974400647624427E-3</v>
      </c>
      <c r="J41" s="549">
        <f t="shared" si="2"/>
        <v>0.822466162509916</v>
      </c>
    </row>
    <row r="42" spans="1:10" x14ac:dyDescent="0.25">
      <c r="A42" s="479" t="s">
        <v>2718</v>
      </c>
      <c r="B42" s="443" t="s">
        <v>993</v>
      </c>
      <c r="C42" s="443" t="s">
        <v>1192</v>
      </c>
      <c r="D42" s="475" t="s">
        <v>1193</v>
      </c>
      <c r="E42" s="443" t="s">
        <v>45</v>
      </c>
      <c r="F42" s="547">
        <v>4125.12</v>
      </c>
      <c r="G42" s="547">
        <v>2.76</v>
      </c>
      <c r="H42" s="547">
        <f t="shared" si="0"/>
        <v>11385.33</v>
      </c>
      <c r="I42" s="548">
        <f t="shared" si="1"/>
        <v>5.3468751668443205E-3</v>
      </c>
      <c r="J42" s="549">
        <f t="shared" si="2"/>
        <v>0.82781303767676029</v>
      </c>
    </row>
    <row r="43" spans="1:10" ht="38.25" x14ac:dyDescent="0.25">
      <c r="A43" s="479" t="s">
        <v>2718</v>
      </c>
      <c r="B43" s="443" t="s">
        <v>1168</v>
      </c>
      <c r="C43" s="443" t="s">
        <v>1515</v>
      </c>
      <c r="D43" s="475" t="s">
        <v>487</v>
      </c>
      <c r="E43" s="443" t="s">
        <v>49</v>
      </c>
      <c r="F43" s="547">
        <v>70</v>
      </c>
      <c r="G43" s="547">
        <v>161.03</v>
      </c>
      <c r="H43" s="547">
        <f t="shared" si="0"/>
        <v>11272.1</v>
      </c>
      <c r="I43" s="548">
        <f t="shared" si="1"/>
        <v>5.2936991346044316E-3</v>
      </c>
      <c r="J43" s="549">
        <f t="shared" si="2"/>
        <v>0.83310673681136471</v>
      </c>
    </row>
    <row r="44" spans="1:10" ht="25.5" x14ac:dyDescent="0.25">
      <c r="A44" s="479" t="s">
        <v>2718</v>
      </c>
      <c r="B44" s="443" t="s">
        <v>1168</v>
      </c>
      <c r="C44" s="443" t="s">
        <v>1607</v>
      </c>
      <c r="D44" s="475" t="s">
        <v>1608</v>
      </c>
      <c r="E44" s="443" t="s">
        <v>41</v>
      </c>
      <c r="F44" s="547">
        <v>8</v>
      </c>
      <c r="G44" s="547">
        <v>1303.29</v>
      </c>
      <c r="H44" s="547">
        <f t="shared" si="0"/>
        <v>10426.32</v>
      </c>
      <c r="I44" s="548">
        <f t="shared" si="1"/>
        <v>4.8964967629021097E-3</v>
      </c>
      <c r="J44" s="549">
        <f t="shared" si="2"/>
        <v>0.83800323357426687</v>
      </c>
    </row>
    <row r="45" spans="1:10" ht="51" x14ac:dyDescent="0.25">
      <c r="A45" s="479" t="s">
        <v>2718</v>
      </c>
      <c r="B45" s="443" t="s">
        <v>1168</v>
      </c>
      <c r="C45" s="443" t="s">
        <v>1610</v>
      </c>
      <c r="D45" s="475" t="s">
        <v>608</v>
      </c>
      <c r="E45" s="443" t="s">
        <v>49</v>
      </c>
      <c r="F45" s="547">
        <v>4</v>
      </c>
      <c r="G45" s="547">
        <v>2502.4699999999998</v>
      </c>
      <c r="H45" s="547">
        <f t="shared" si="0"/>
        <v>10009.879999999999</v>
      </c>
      <c r="I45" s="548">
        <f t="shared" si="1"/>
        <v>4.7009246807155894E-3</v>
      </c>
      <c r="J45" s="549">
        <f t="shared" si="2"/>
        <v>0.84270415825498246</v>
      </c>
    </row>
    <row r="46" spans="1:10" ht="25.5" x14ac:dyDescent="0.25">
      <c r="A46" s="479" t="s">
        <v>2718</v>
      </c>
      <c r="B46" s="443" t="s">
        <v>1168</v>
      </c>
      <c r="C46" s="443" t="s">
        <v>1696</v>
      </c>
      <c r="D46" s="475" t="s">
        <v>881</v>
      </c>
      <c r="E46" s="443" t="s">
        <v>38</v>
      </c>
      <c r="F46" s="547">
        <v>15</v>
      </c>
      <c r="G46" s="547">
        <v>644.73</v>
      </c>
      <c r="H46" s="547">
        <f t="shared" si="0"/>
        <v>9670.9500000000007</v>
      </c>
      <c r="I46" s="548">
        <f t="shared" si="1"/>
        <v>4.541753501637027E-3</v>
      </c>
      <c r="J46" s="549">
        <f t="shared" si="2"/>
        <v>0.84724591175661945</v>
      </c>
    </row>
    <row r="47" spans="1:10" x14ac:dyDescent="0.25">
      <c r="A47" s="479" t="s">
        <v>2718</v>
      </c>
      <c r="B47" s="443" t="s">
        <v>575</v>
      </c>
      <c r="C47" s="443" t="s">
        <v>1678</v>
      </c>
      <c r="D47" s="475" t="s">
        <v>656</v>
      </c>
      <c r="E47" s="443" t="s">
        <v>41</v>
      </c>
      <c r="F47" s="547">
        <v>5569.1</v>
      </c>
      <c r="G47" s="547">
        <v>1.73</v>
      </c>
      <c r="H47" s="547">
        <f t="shared" si="0"/>
        <v>9634.5400000000009</v>
      </c>
      <c r="I47" s="548">
        <f t="shared" si="1"/>
        <v>4.5246543288572473E-3</v>
      </c>
      <c r="J47" s="549">
        <f t="shared" si="2"/>
        <v>0.85177056608547674</v>
      </c>
    </row>
    <row r="48" spans="1:10" x14ac:dyDescent="0.25">
      <c r="A48" s="479" t="s">
        <v>2718</v>
      </c>
      <c r="B48" s="443" t="s">
        <v>993</v>
      </c>
      <c r="C48" s="443" t="s">
        <v>1265</v>
      </c>
      <c r="D48" s="475" t="s">
        <v>310</v>
      </c>
      <c r="E48" s="443" t="s">
        <v>1222</v>
      </c>
      <c r="F48" s="547">
        <v>694.95</v>
      </c>
      <c r="G48" s="547">
        <v>13.67</v>
      </c>
      <c r="H48" s="547">
        <f t="shared" si="0"/>
        <v>9499.9599999999991</v>
      </c>
      <c r="I48" s="548">
        <f t="shared" si="1"/>
        <v>4.4614517286731582E-3</v>
      </c>
      <c r="J48" s="549">
        <f t="shared" si="2"/>
        <v>0.85623201781414993</v>
      </c>
    </row>
    <row r="49" spans="1:10" ht="25.5" x14ac:dyDescent="0.25">
      <c r="A49" s="479" t="s">
        <v>2718</v>
      </c>
      <c r="B49" s="443" t="s">
        <v>993</v>
      </c>
      <c r="C49" s="443" t="s">
        <v>1147</v>
      </c>
      <c r="D49" s="475" t="s">
        <v>767</v>
      </c>
      <c r="E49" s="443" t="s">
        <v>19</v>
      </c>
      <c r="F49" s="547">
        <v>902.4</v>
      </c>
      <c r="G49" s="547">
        <v>9.2100000000000009</v>
      </c>
      <c r="H49" s="547">
        <f t="shared" si="0"/>
        <v>8311.1</v>
      </c>
      <c r="I49" s="548">
        <f t="shared" si="1"/>
        <v>3.9031292197204506E-3</v>
      </c>
      <c r="J49" s="549">
        <f t="shared" si="2"/>
        <v>0.8601351470338704</v>
      </c>
    </row>
    <row r="50" spans="1:10" ht="51" x14ac:dyDescent="0.25">
      <c r="A50" s="479" t="s">
        <v>2718</v>
      </c>
      <c r="B50" s="443" t="s">
        <v>1168</v>
      </c>
      <c r="C50" s="443" t="s">
        <v>1614</v>
      </c>
      <c r="D50" s="475" t="s">
        <v>609</v>
      </c>
      <c r="E50" s="443" t="s">
        <v>49</v>
      </c>
      <c r="F50" s="547">
        <v>4</v>
      </c>
      <c r="G50" s="547">
        <v>1982.13</v>
      </c>
      <c r="H50" s="547">
        <f t="shared" si="0"/>
        <v>7928.52</v>
      </c>
      <c r="I50" s="548">
        <f t="shared" si="1"/>
        <v>3.7234587577021075E-3</v>
      </c>
      <c r="J50" s="549">
        <f t="shared" si="2"/>
        <v>0.86385860579157248</v>
      </c>
    </row>
    <row r="51" spans="1:10" x14ac:dyDescent="0.25">
      <c r="A51" s="479" t="s">
        <v>2718</v>
      </c>
      <c r="B51" s="443" t="s">
        <v>575</v>
      </c>
      <c r="C51" s="443" t="s">
        <v>1676</v>
      </c>
      <c r="D51" s="475" t="s">
        <v>657</v>
      </c>
      <c r="E51" s="443" t="s">
        <v>41</v>
      </c>
      <c r="F51" s="547">
        <v>5569.1</v>
      </c>
      <c r="G51" s="547">
        <v>1.4</v>
      </c>
      <c r="H51" s="547">
        <f t="shared" si="0"/>
        <v>7796.74</v>
      </c>
      <c r="I51" s="548">
        <f t="shared" si="1"/>
        <v>3.6615711172484056E-3</v>
      </c>
      <c r="J51" s="549">
        <f t="shared" si="2"/>
        <v>0.86752017690882088</v>
      </c>
    </row>
    <row r="52" spans="1:10" x14ac:dyDescent="0.25">
      <c r="A52" s="479" t="s">
        <v>2718</v>
      </c>
      <c r="B52" s="443" t="s">
        <v>1168</v>
      </c>
      <c r="C52" s="443" t="s">
        <v>1698</v>
      </c>
      <c r="D52" s="475" t="s">
        <v>884</v>
      </c>
      <c r="E52" s="443" t="s">
        <v>38</v>
      </c>
      <c r="F52" s="547">
        <v>16</v>
      </c>
      <c r="G52" s="547">
        <v>485.84</v>
      </c>
      <c r="H52" s="547">
        <f t="shared" si="0"/>
        <v>7773.44</v>
      </c>
      <c r="I52" s="548">
        <f t="shared" si="1"/>
        <v>3.6506287737776873E-3</v>
      </c>
      <c r="J52" s="549">
        <f t="shared" si="2"/>
        <v>0.87117080568259853</v>
      </c>
    </row>
    <row r="53" spans="1:10" ht="38.25" x14ac:dyDescent="0.25">
      <c r="A53" s="479" t="s">
        <v>2718</v>
      </c>
      <c r="B53" s="443" t="s">
        <v>1168</v>
      </c>
      <c r="C53" s="443" t="s">
        <v>1692</v>
      </c>
      <c r="D53" s="475" t="s">
        <v>876</v>
      </c>
      <c r="E53" s="443" t="s">
        <v>130</v>
      </c>
      <c r="F53" s="547">
        <v>11.4</v>
      </c>
      <c r="G53" s="547">
        <v>678.49</v>
      </c>
      <c r="H53" s="547">
        <f t="shared" si="0"/>
        <v>7734.78</v>
      </c>
      <c r="I53" s="548">
        <f t="shared" si="1"/>
        <v>3.6324729369288473E-3</v>
      </c>
      <c r="J53" s="549">
        <f t="shared" si="2"/>
        <v>0.87480327861952734</v>
      </c>
    </row>
    <row r="54" spans="1:10" x14ac:dyDescent="0.25">
      <c r="A54" s="479" t="s">
        <v>2718</v>
      </c>
      <c r="B54" s="443" t="s">
        <v>1168</v>
      </c>
      <c r="C54" s="443" t="s">
        <v>1296</v>
      </c>
      <c r="D54" s="475" t="s">
        <v>333</v>
      </c>
      <c r="E54" s="443" t="s">
        <v>19</v>
      </c>
      <c r="F54" s="547">
        <v>9.1199999999999992</v>
      </c>
      <c r="G54" s="547">
        <v>839.88</v>
      </c>
      <c r="H54" s="547">
        <f t="shared" si="0"/>
        <v>7659.7</v>
      </c>
      <c r="I54" s="548">
        <f t="shared" si="1"/>
        <v>3.5972132310154773E-3</v>
      </c>
      <c r="J54" s="549">
        <f t="shared" si="2"/>
        <v>0.87840049185054281</v>
      </c>
    </row>
    <row r="55" spans="1:10" ht="25.5" x14ac:dyDescent="0.25">
      <c r="A55" s="479" t="s">
        <v>2718</v>
      </c>
      <c r="B55" s="443" t="s">
        <v>1168</v>
      </c>
      <c r="C55" s="443" t="s">
        <v>1586</v>
      </c>
      <c r="D55" s="475" t="s">
        <v>594</v>
      </c>
      <c r="E55" s="443" t="s">
        <v>38</v>
      </c>
      <c r="F55" s="547">
        <v>2</v>
      </c>
      <c r="G55" s="547">
        <v>3804.01</v>
      </c>
      <c r="H55" s="547">
        <f t="shared" si="0"/>
        <v>7608.02</v>
      </c>
      <c r="I55" s="548">
        <f t="shared" si="1"/>
        <v>3.5729428314203392E-3</v>
      </c>
      <c r="J55" s="549">
        <f t="shared" si="2"/>
        <v>0.8819734346819631</v>
      </c>
    </row>
    <row r="56" spans="1:10" ht="63.75" x14ac:dyDescent="0.25">
      <c r="A56" s="479" t="s">
        <v>2718</v>
      </c>
      <c r="B56" s="443" t="s">
        <v>1168</v>
      </c>
      <c r="C56" s="443" t="s">
        <v>1167</v>
      </c>
      <c r="D56" s="475" t="s">
        <v>914</v>
      </c>
      <c r="E56" s="443" t="s">
        <v>49</v>
      </c>
      <c r="F56" s="547">
        <v>10</v>
      </c>
      <c r="G56" s="547">
        <v>717.92</v>
      </c>
      <c r="H56" s="547">
        <f t="shared" si="0"/>
        <v>7179.2</v>
      </c>
      <c r="I56" s="548">
        <f t="shared" si="1"/>
        <v>3.3715567487116091E-3</v>
      </c>
      <c r="J56" s="549">
        <f t="shared" si="2"/>
        <v>0.88534499143067469</v>
      </c>
    </row>
    <row r="57" spans="1:10" x14ac:dyDescent="0.25">
      <c r="A57" s="479" t="s">
        <v>2718</v>
      </c>
      <c r="B57" s="443" t="s">
        <v>993</v>
      </c>
      <c r="C57" s="443" t="s">
        <v>1154</v>
      </c>
      <c r="D57" s="475" t="s">
        <v>1033</v>
      </c>
      <c r="E57" s="443" t="s">
        <v>1152</v>
      </c>
      <c r="F57" s="547">
        <v>1736</v>
      </c>
      <c r="G57" s="547">
        <v>4.13</v>
      </c>
      <c r="H57" s="547">
        <f t="shared" si="0"/>
        <v>7169.68</v>
      </c>
      <c r="I57" s="548">
        <f t="shared" si="1"/>
        <v>3.3670858856282948E-3</v>
      </c>
      <c r="J57" s="549">
        <f t="shared" si="2"/>
        <v>0.88871207731630297</v>
      </c>
    </row>
    <row r="58" spans="1:10" ht="25.5" x14ac:dyDescent="0.25">
      <c r="A58" s="479" t="s">
        <v>2718</v>
      </c>
      <c r="B58" s="443" t="s">
        <v>1168</v>
      </c>
      <c r="C58" s="443" t="s">
        <v>1181</v>
      </c>
      <c r="D58" s="475" t="s">
        <v>738</v>
      </c>
      <c r="E58" s="443" t="s">
        <v>19</v>
      </c>
      <c r="F58" s="547">
        <v>241.75</v>
      </c>
      <c r="G58" s="547">
        <v>26.31</v>
      </c>
      <c r="H58" s="547">
        <f t="shared" si="0"/>
        <v>6360.44</v>
      </c>
      <c r="I58" s="548">
        <f t="shared" si="1"/>
        <v>2.98704373840752E-3</v>
      </c>
      <c r="J58" s="549">
        <f t="shared" si="2"/>
        <v>0.8916991210547105</v>
      </c>
    </row>
    <row r="59" spans="1:10" x14ac:dyDescent="0.25">
      <c r="A59" s="479" t="s">
        <v>2718</v>
      </c>
      <c r="B59" s="443" t="s">
        <v>993</v>
      </c>
      <c r="C59" s="443" t="s">
        <v>1221</v>
      </c>
      <c r="D59" s="475" t="s">
        <v>259</v>
      </c>
      <c r="E59" s="443" t="s">
        <v>1222</v>
      </c>
      <c r="F59" s="547">
        <v>446.66</v>
      </c>
      <c r="G59" s="547">
        <v>13.76</v>
      </c>
      <c r="H59" s="547">
        <f t="shared" si="0"/>
        <v>6146.04</v>
      </c>
      <c r="I59" s="548">
        <f t="shared" si="1"/>
        <v>2.8863553933379067E-3</v>
      </c>
      <c r="J59" s="549">
        <f t="shared" si="2"/>
        <v>0.89458547644804842</v>
      </c>
    </row>
    <row r="60" spans="1:10" x14ac:dyDescent="0.25">
      <c r="A60" s="479" t="s">
        <v>2718</v>
      </c>
      <c r="B60" s="443" t="s">
        <v>993</v>
      </c>
      <c r="C60" s="443" t="s">
        <v>1338</v>
      </c>
      <c r="D60" s="475" t="s">
        <v>1339</v>
      </c>
      <c r="E60" s="443" t="s">
        <v>19</v>
      </c>
      <c r="F60" s="547">
        <v>68.44</v>
      </c>
      <c r="G60" s="547">
        <v>88.9</v>
      </c>
      <c r="H60" s="547">
        <f t="shared" si="0"/>
        <v>6084.31</v>
      </c>
      <c r="I60" s="548">
        <f t="shared" si="1"/>
        <v>2.8573652275676307E-3</v>
      </c>
      <c r="J60" s="549">
        <f t="shared" si="2"/>
        <v>0.89744284167561605</v>
      </c>
    </row>
    <row r="61" spans="1:10" x14ac:dyDescent="0.25">
      <c r="A61" s="479" t="s">
        <v>2718</v>
      </c>
      <c r="B61" s="443" t="s">
        <v>993</v>
      </c>
      <c r="C61" s="443" t="s">
        <v>1143</v>
      </c>
      <c r="D61" s="475" t="s">
        <v>763</v>
      </c>
      <c r="E61" s="443" t="s">
        <v>1141</v>
      </c>
      <c r="F61" s="547">
        <v>1</v>
      </c>
      <c r="G61" s="547">
        <v>6019.87</v>
      </c>
      <c r="H61" s="547">
        <f t="shared" si="0"/>
        <v>6019.87</v>
      </c>
      <c r="I61" s="548">
        <f t="shared" si="1"/>
        <v>2.8271023686297298E-3</v>
      </c>
      <c r="J61" s="549">
        <f t="shared" si="2"/>
        <v>0.90026994404424576</v>
      </c>
    </row>
    <row r="62" spans="1:10" x14ac:dyDescent="0.25">
      <c r="A62" s="479" t="s">
        <v>2718</v>
      </c>
      <c r="B62" s="443" t="s">
        <v>993</v>
      </c>
      <c r="C62" s="443" t="s">
        <v>1279</v>
      </c>
      <c r="D62" s="475" t="s">
        <v>1280</v>
      </c>
      <c r="E62" s="443" t="s">
        <v>45</v>
      </c>
      <c r="F62" s="547">
        <v>81.92</v>
      </c>
      <c r="G62" s="547">
        <v>68.31</v>
      </c>
      <c r="H62" s="547">
        <f t="shared" si="0"/>
        <v>5595.95</v>
      </c>
      <c r="I62" s="548">
        <f t="shared" si="1"/>
        <v>2.6280174654491769E-3</v>
      </c>
      <c r="J62" s="549">
        <f t="shared" si="2"/>
        <v>0.90289796150969492</v>
      </c>
    </row>
    <row r="63" spans="1:10" ht="38.25" x14ac:dyDescent="0.25">
      <c r="A63" s="479" t="s">
        <v>2718</v>
      </c>
      <c r="B63" s="443" t="s">
        <v>1168</v>
      </c>
      <c r="C63" s="443" t="s">
        <v>1694</v>
      </c>
      <c r="D63" s="475" t="s">
        <v>878</v>
      </c>
      <c r="E63" s="443" t="s">
        <v>130</v>
      </c>
      <c r="F63" s="547">
        <v>6</v>
      </c>
      <c r="G63" s="547">
        <v>928.94</v>
      </c>
      <c r="H63" s="547">
        <f t="shared" si="0"/>
        <v>5573.64</v>
      </c>
      <c r="I63" s="548">
        <f t="shared" si="1"/>
        <v>2.6175400541688454E-3</v>
      </c>
      <c r="J63" s="549">
        <f t="shared" si="2"/>
        <v>0.90551550156386373</v>
      </c>
    </row>
    <row r="64" spans="1:10" ht="38.25" x14ac:dyDescent="0.25">
      <c r="A64" s="479" t="s">
        <v>2718</v>
      </c>
      <c r="B64" s="443" t="s">
        <v>1168</v>
      </c>
      <c r="C64" s="443" t="s">
        <v>1559</v>
      </c>
      <c r="D64" s="475" t="s">
        <v>539</v>
      </c>
      <c r="E64" s="443" t="s">
        <v>49</v>
      </c>
      <c r="F64" s="547">
        <v>7</v>
      </c>
      <c r="G64" s="547">
        <v>711.65</v>
      </c>
      <c r="H64" s="547">
        <f t="shared" si="0"/>
        <v>4981.55</v>
      </c>
      <c r="I64" s="548">
        <f t="shared" si="1"/>
        <v>2.3394777303243144E-3</v>
      </c>
      <c r="J64" s="549">
        <f t="shared" si="2"/>
        <v>0.90785497929418801</v>
      </c>
    </row>
    <row r="65" spans="1:10" x14ac:dyDescent="0.25">
      <c r="A65" s="479" t="s">
        <v>2718</v>
      </c>
      <c r="B65" s="443" t="s">
        <v>993</v>
      </c>
      <c r="C65" s="443" t="s">
        <v>1232</v>
      </c>
      <c r="D65" s="475" t="s">
        <v>277</v>
      </c>
      <c r="E65" s="443" t="s">
        <v>45</v>
      </c>
      <c r="F65" s="547">
        <v>75.430000000000007</v>
      </c>
      <c r="G65" s="547">
        <v>64.86</v>
      </c>
      <c r="H65" s="547">
        <f t="shared" si="0"/>
        <v>4892.38</v>
      </c>
      <c r="I65" s="548">
        <f t="shared" si="1"/>
        <v>2.2976009591962479E-3</v>
      </c>
      <c r="J65" s="549">
        <f t="shared" si="2"/>
        <v>0.9101525802533843</v>
      </c>
    </row>
    <row r="66" spans="1:10" ht="25.5" x14ac:dyDescent="0.25">
      <c r="A66" s="479" t="s">
        <v>2718</v>
      </c>
      <c r="B66" s="443" t="s">
        <v>1168</v>
      </c>
      <c r="C66" s="443" t="s">
        <v>1574</v>
      </c>
      <c r="D66" s="475" t="s">
        <v>548</v>
      </c>
      <c r="E66" s="443" t="s">
        <v>49</v>
      </c>
      <c r="F66" s="547">
        <v>2</v>
      </c>
      <c r="G66" s="547">
        <v>2444.58</v>
      </c>
      <c r="H66" s="547">
        <f t="shared" si="0"/>
        <v>4889.16</v>
      </c>
      <c r="I66" s="548">
        <f t="shared" si="1"/>
        <v>2.2960887555063033E-3</v>
      </c>
      <c r="J66" s="549">
        <f t="shared" si="2"/>
        <v>0.91244866900889066</v>
      </c>
    </row>
    <row r="67" spans="1:10" ht="25.5" x14ac:dyDescent="0.25">
      <c r="A67" s="479" t="s">
        <v>2718</v>
      </c>
      <c r="B67" s="443" t="s">
        <v>1168</v>
      </c>
      <c r="C67" s="443" t="s">
        <v>1605</v>
      </c>
      <c r="D67" s="475" t="s">
        <v>605</v>
      </c>
      <c r="E67" s="443" t="s">
        <v>49</v>
      </c>
      <c r="F67" s="547">
        <v>6</v>
      </c>
      <c r="G67" s="547">
        <v>792.42</v>
      </c>
      <c r="H67" s="547">
        <f t="shared" si="0"/>
        <v>4754.5200000000004</v>
      </c>
      <c r="I67" s="548">
        <f t="shared" si="1"/>
        <v>2.2328579776137066E-3</v>
      </c>
      <c r="J67" s="549">
        <f t="shared" si="2"/>
        <v>0.9146815269865044</v>
      </c>
    </row>
    <row r="68" spans="1:10" ht="51" x14ac:dyDescent="0.25">
      <c r="A68" s="479" t="s">
        <v>2718</v>
      </c>
      <c r="B68" s="443" t="s">
        <v>1168</v>
      </c>
      <c r="C68" s="443" t="s">
        <v>1612</v>
      </c>
      <c r="D68" s="475" t="s">
        <v>606</v>
      </c>
      <c r="E68" s="443" t="s">
        <v>49</v>
      </c>
      <c r="F68" s="547">
        <v>4</v>
      </c>
      <c r="G68" s="547">
        <v>1156.4000000000001</v>
      </c>
      <c r="H68" s="547">
        <f t="shared" si="0"/>
        <v>4625.6000000000004</v>
      </c>
      <c r="I68" s="548">
        <f t="shared" si="1"/>
        <v>2.1723134745989E-3</v>
      </c>
      <c r="J68" s="549">
        <f t="shared" si="2"/>
        <v>0.9168538404611033</v>
      </c>
    </row>
    <row r="69" spans="1:10" ht="25.5" x14ac:dyDescent="0.25">
      <c r="A69" s="479" t="s">
        <v>2718</v>
      </c>
      <c r="B69" s="443" t="s">
        <v>993</v>
      </c>
      <c r="C69" s="443" t="s">
        <v>1137</v>
      </c>
      <c r="D69" s="475" t="s">
        <v>1138</v>
      </c>
      <c r="E69" s="443" t="s">
        <v>49</v>
      </c>
      <c r="F69" s="547">
        <v>1</v>
      </c>
      <c r="G69" s="547">
        <v>4592.22</v>
      </c>
      <c r="H69" s="547">
        <f t="shared" si="0"/>
        <v>4592.22</v>
      </c>
      <c r="I69" s="548">
        <f t="shared" si="1"/>
        <v>2.1566372760987891E-3</v>
      </c>
      <c r="J69" s="549">
        <f t="shared" si="2"/>
        <v>0.91901047773720212</v>
      </c>
    </row>
    <row r="70" spans="1:10" ht="25.5" x14ac:dyDescent="0.25">
      <c r="A70" s="479" t="s">
        <v>2718</v>
      </c>
      <c r="B70" s="443" t="s">
        <v>1168</v>
      </c>
      <c r="C70" s="443" t="s">
        <v>1565</v>
      </c>
      <c r="D70" s="475" t="s">
        <v>1566</v>
      </c>
      <c r="E70" s="443" t="s">
        <v>41</v>
      </c>
      <c r="F70" s="547">
        <v>4.3</v>
      </c>
      <c r="G70" s="547">
        <v>1043.94</v>
      </c>
      <c r="H70" s="547">
        <f t="shared" si="0"/>
        <v>4488.9399999999996</v>
      </c>
      <c r="I70" s="548">
        <f t="shared" si="1"/>
        <v>2.1081340471865236E-3</v>
      </c>
      <c r="J70" s="549">
        <f t="shared" si="2"/>
        <v>0.9211186117843887</v>
      </c>
    </row>
    <row r="71" spans="1:10" ht="25.5" x14ac:dyDescent="0.25">
      <c r="A71" s="479" t="s">
        <v>2718</v>
      </c>
      <c r="B71" s="443" t="s">
        <v>993</v>
      </c>
      <c r="C71" s="443" t="s">
        <v>1140</v>
      </c>
      <c r="D71" s="475" t="s">
        <v>761</v>
      </c>
      <c r="E71" s="443" t="s">
        <v>1141</v>
      </c>
      <c r="F71" s="547">
        <v>1</v>
      </c>
      <c r="G71" s="547">
        <v>4165.66</v>
      </c>
      <c r="H71" s="547">
        <f t="shared" si="0"/>
        <v>4165.66</v>
      </c>
      <c r="I71" s="548">
        <f t="shared" si="1"/>
        <v>1.9563125537438715E-3</v>
      </c>
      <c r="J71" s="549">
        <f t="shared" si="2"/>
        <v>0.92307492433813254</v>
      </c>
    </row>
    <row r="72" spans="1:10" ht="51" x14ac:dyDescent="0.25">
      <c r="A72" s="479" t="s">
        <v>2718</v>
      </c>
      <c r="B72" s="443" t="s">
        <v>1168</v>
      </c>
      <c r="C72" s="443" t="s">
        <v>1618</v>
      </c>
      <c r="D72" s="475" t="s">
        <v>611</v>
      </c>
      <c r="E72" s="443" t="s">
        <v>49</v>
      </c>
      <c r="F72" s="547">
        <v>1</v>
      </c>
      <c r="G72" s="547">
        <v>4126.71</v>
      </c>
      <c r="H72" s="547">
        <f t="shared" si="0"/>
        <v>4126.71</v>
      </c>
      <c r="I72" s="548">
        <f t="shared" si="1"/>
        <v>1.9380205246372418E-3</v>
      </c>
      <c r="J72" s="549">
        <f t="shared" si="2"/>
        <v>0.92501294486276975</v>
      </c>
    </row>
    <row r="73" spans="1:10" ht="25.5" x14ac:dyDescent="0.25">
      <c r="A73" s="479" t="s">
        <v>2718</v>
      </c>
      <c r="B73" s="443" t="s">
        <v>993</v>
      </c>
      <c r="C73" s="443" t="s">
        <v>1336</v>
      </c>
      <c r="D73" s="475" t="s">
        <v>682</v>
      </c>
      <c r="E73" s="443" t="s">
        <v>19</v>
      </c>
      <c r="F73" s="547">
        <v>37.14</v>
      </c>
      <c r="G73" s="547">
        <v>110.66</v>
      </c>
      <c r="H73" s="547">
        <f t="shared" si="0"/>
        <v>4109.91</v>
      </c>
      <c r="I73" s="548">
        <f t="shared" si="1"/>
        <v>1.9301307662549212E-3</v>
      </c>
      <c r="J73" s="549">
        <f t="shared" si="2"/>
        <v>0.92694307562902467</v>
      </c>
    </row>
    <row r="74" spans="1:10" x14ac:dyDescent="0.25">
      <c r="A74" s="479" t="s">
        <v>2718</v>
      </c>
      <c r="B74" s="443" t="s">
        <v>993</v>
      </c>
      <c r="C74" s="443" t="s">
        <v>1457</v>
      </c>
      <c r="D74" s="475" t="s">
        <v>1458</v>
      </c>
      <c r="E74" s="443" t="s">
        <v>81</v>
      </c>
      <c r="F74" s="547">
        <v>16</v>
      </c>
      <c r="G74" s="547">
        <v>249.28</v>
      </c>
      <c r="H74" s="547">
        <f t="shared" ref="H74:H137" si="3">+TRUNC(F74*G74,2)</f>
        <v>3988.48</v>
      </c>
      <c r="I74" s="548">
        <f t="shared" ref="I74:I137" si="4">+H74/$G$236</f>
        <v>1.873103780518899E-3</v>
      </c>
      <c r="J74" s="549">
        <f t="shared" si="2"/>
        <v>0.92881617940954353</v>
      </c>
    </row>
    <row r="75" spans="1:10" ht="25.5" x14ac:dyDescent="0.25">
      <c r="A75" s="479" t="s">
        <v>2718</v>
      </c>
      <c r="B75" s="443" t="s">
        <v>1168</v>
      </c>
      <c r="C75" s="443" t="s">
        <v>1234</v>
      </c>
      <c r="D75" s="475" t="s">
        <v>246</v>
      </c>
      <c r="E75" s="443" t="s">
        <v>19</v>
      </c>
      <c r="F75" s="547">
        <v>30.16</v>
      </c>
      <c r="G75" s="547">
        <v>129.91</v>
      </c>
      <c r="H75" s="547">
        <f t="shared" si="3"/>
        <v>3918.08</v>
      </c>
      <c r="I75" s="548">
        <f t="shared" si="4"/>
        <v>1.8400419358691751E-3</v>
      </c>
      <c r="J75" s="549">
        <f t="shared" ref="J75:J138" si="5">+J74+I75</f>
        <v>0.9306562213454127</v>
      </c>
    </row>
    <row r="76" spans="1:10" x14ac:dyDescent="0.25">
      <c r="A76" s="479" t="s">
        <v>2718</v>
      </c>
      <c r="B76" s="443" t="s">
        <v>993</v>
      </c>
      <c r="C76" s="443" t="s">
        <v>1438</v>
      </c>
      <c r="D76" s="475" t="s">
        <v>1439</v>
      </c>
      <c r="E76" s="443" t="s">
        <v>49</v>
      </c>
      <c r="F76" s="547">
        <v>8</v>
      </c>
      <c r="G76" s="547">
        <v>488.27</v>
      </c>
      <c r="H76" s="547">
        <f t="shared" si="3"/>
        <v>3906.16</v>
      </c>
      <c r="I76" s="548">
        <f t="shared" si="4"/>
        <v>1.8344439644455287E-3</v>
      </c>
      <c r="J76" s="549">
        <f t="shared" si="5"/>
        <v>0.93249066530985825</v>
      </c>
    </row>
    <row r="77" spans="1:10" ht="25.5" x14ac:dyDescent="0.25">
      <c r="A77" s="479" t="s">
        <v>2718</v>
      </c>
      <c r="B77" s="443" t="s">
        <v>1168</v>
      </c>
      <c r="C77" s="443" t="s">
        <v>1175</v>
      </c>
      <c r="D77" s="475" t="s">
        <v>732</v>
      </c>
      <c r="E77" s="443" t="s">
        <v>45</v>
      </c>
      <c r="F77" s="547">
        <v>39.14</v>
      </c>
      <c r="G77" s="547">
        <v>99.73</v>
      </c>
      <c r="H77" s="547">
        <f t="shared" si="3"/>
        <v>3903.43</v>
      </c>
      <c r="I77" s="548">
        <f t="shared" si="4"/>
        <v>1.8331618787084016E-3</v>
      </c>
      <c r="J77" s="549">
        <f t="shared" si="5"/>
        <v>0.93432382718856666</v>
      </c>
    </row>
    <row r="78" spans="1:10" x14ac:dyDescent="0.25">
      <c r="A78" s="479" t="s">
        <v>2718</v>
      </c>
      <c r="B78" s="443" t="s">
        <v>993</v>
      </c>
      <c r="C78" s="443" t="s">
        <v>1303</v>
      </c>
      <c r="D78" s="475" t="s">
        <v>1304</v>
      </c>
      <c r="E78" s="443" t="s">
        <v>19</v>
      </c>
      <c r="F78" s="547">
        <v>7.4</v>
      </c>
      <c r="G78" s="547">
        <v>488.75</v>
      </c>
      <c r="H78" s="547">
        <f t="shared" si="3"/>
        <v>3616.75</v>
      </c>
      <c r="I78" s="548">
        <f t="shared" si="4"/>
        <v>1.6985287874558047E-3</v>
      </c>
      <c r="J78" s="549">
        <f t="shared" si="5"/>
        <v>0.93602235597602246</v>
      </c>
    </row>
    <row r="79" spans="1:10" ht="25.5" x14ac:dyDescent="0.25">
      <c r="A79" s="479" t="s">
        <v>2718</v>
      </c>
      <c r="B79" s="443" t="s">
        <v>993</v>
      </c>
      <c r="C79" s="443" t="s">
        <v>1149</v>
      </c>
      <c r="D79" s="475" t="s">
        <v>769</v>
      </c>
      <c r="E79" s="443" t="s">
        <v>19</v>
      </c>
      <c r="F79" s="547">
        <v>7.5</v>
      </c>
      <c r="G79" s="547">
        <v>482.03</v>
      </c>
      <c r="H79" s="547">
        <f t="shared" si="3"/>
        <v>3615.22</v>
      </c>
      <c r="I79" s="548">
        <f t="shared" si="4"/>
        <v>1.6978102558888432E-3</v>
      </c>
      <c r="J79" s="549">
        <f t="shared" si="5"/>
        <v>0.93772016623191135</v>
      </c>
    </row>
    <row r="80" spans="1:10" ht="38.25" x14ac:dyDescent="0.25">
      <c r="A80" s="479" t="s">
        <v>2718</v>
      </c>
      <c r="B80" s="443" t="s">
        <v>1168</v>
      </c>
      <c r="C80" s="443" t="s">
        <v>1525</v>
      </c>
      <c r="D80" s="475" t="s">
        <v>521</v>
      </c>
      <c r="E80" s="443" t="s">
        <v>49</v>
      </c>
      <c r="F80" s="547">
        <v>77</v>
      </c>
      <c r="G80" s="547">
        <v>46.32</v>
      </c>
      <c r="H80" s="547">
        <f t="shared" si="3"/>
        <v>3566.64</v>
      </c>
      <c r="I80" s="548">
        <f t="shared" si="4"/>
        <v>1.6749957045666334E-3</v>
      </c>
      <c r="J80" s="549">
        <f t="shared" si="5"/>
        <v>0.93939516193647798</v>
      </c>
    </row>
    <row r="81" spans="1:10" ht="25.5" x14ac:dyDescent="0.25">
      <c r="A81" s="479" t="s">
        <v>2718</v>
      </c>
      <c r="B81" s="443" t="s">
        <v>1168</v>
      </c>
      <c r="C81" s="443" t="s">
        <v>1452</v>
      </c>
      <c r="D81" s="475" t="s">
        <v>381</v>
      </c>
      <c r="E81" s="443" t="s">
        <v>1141</v>
      </c>
      <c r="F81" s="547">
        <v>4</v>
      </c>
      <c r="G81" s="547">
        <v>866.24</v>
      </c>
      <c r="H81" s="547">
        <f t="shared" si="3"/>
        <v>3464.96</v>
      </c>
      <c r="I81" s="548">
        <f t="shared" si="4"/>
        <v>1.6272438812145892E-3</v>
      </c>
      <c r="J81" s="549">
        <f t="shared" si="5"/>
        <v>0.94102240581769259</v>
      </c>
    </row>
    <row r="82" spans="1:10" ht="25.5" x14ac:dyDescent="0.25">
      <c r="A82" s="479" t="s">
        <v>2718</v>
      </c>
      <c r="B82" s="443" t="s">
        <v>1168</v>
      </c>
      <c r="C82" s="443" t="s">
        <v>1597</v>
      </c>
      <c r="D82" s="475" t="s">
        <v>600</v>
      </c>
      <c r="E82" s="443" t="s">
        <v>49</v>
      </c>
      <c r="F82" s="547">
        <v>1</v>
      </c>
      <c r="G82" s="547">
        <v>3365.23</v>
      </c>
      <c r="H82" s="547">
        <f t="shared" si="3"/>
        <v>3365.23</v>
      </c>
      <c r="I82" s="548">
        <f t="shared" si="4"/>
        <v>1.5804078333890642E-3</v>
      </c>
      <c r="J82" s="549">
        <f t="shared" si="5"/>
        <v>0.94260281365108167</v>
      </c>
    </row>
    <row r="83" spans="1:10" x14ac:dyDescent="0.25">
      <c r="A83" s="479" t="s">
        <v>2718</v>
      </c>
      <c r="B83" s="443" t="s">
        <v>993</v>
      </c>
      <c r="C83" s="443" t="s">
        <v>1362</v>
      </c>
      <c r="D83" s="475" t="s">
        <v>1363</v>
      </c>
      <c r="E83" s="443" t="s">
        <v>130</v>
      </c>
      <c r="F83" s="547">
        <v>56.4</v>
      </c>
      <c r="G83" s="547">
        <v>57.97</v>
      </c>
      <c r="H83" s="547">
        <f t="shared" si="3"/>
        <v>3269.5</v>
      </c>
      <c r="I83" s="548">
        <f t="shared" si="4"/>
        <v>1.5354502994640916E-3</v>
      </c>
      <c r="J83" s="549">
        <f t="shared" si="5"/>
        <v>0.94413826395054579</v>
      </c>
    </row>
    <row r="84" spans="1:10" ht="25.5" x14ac:dyDescent="0.25">
      <c r="A84" s="479" t="s">
        <v>2718</v>
      </c>
      <c r="B84" s="443" t="s">
        <v>1168</v>
      </c>
      <c r="C84" s="443" t="s">
        <v>1686</v>
      </c>
      <c r="D84" s="475" t="s">
        <v>886</v>
      </c>
      <c r="E84" s="443" t="s">
        <v>49</v>
      </c>
      <c r="F84" s="547">
        <v>4</v>
      </c>
      <c r="G84" s="547">
        <v>815.74</v>
      </c>
      <c r="H84" s="547">
        <f t="shared" si="3"/>
        <v>3262.96</v>
      </c>
      <c r="I84" s="548">
        <f t="shared" si="4"/>
        <v>1.5323789292366883E-3</v>
      </c>
      <c r="J84" s="549">
        <f t="shared" si="5"/>
        <v>0.94567064287978242</v>
      </c>
    </row>
    <row r="85" spans="1:10" ht="38.25" x14ac:dyDescent="0.25">
      <c r="A85" s="479" t="s">
        <v>2718</v>
      </c>
      <c r="B85" s="443" t="s">
        <v>1168</v>
      </c>
      <c r="C85" s="443" t="s">
        <v>1588</v>
      </c>
      <c r="D85" s="475" t="s">
        <v>1589</v>
      </c>
      <c r="E85" s="443" t="s">
        <v>49</v>
      </c>
      <c r="F85" s="547">
        <v>2</v>
      </c>
      <c r="G85" s="547">
        <v>1616.06</v>
      </c>
      <c r="H85" s="547">
        <f t="shared" si="3"/>
        <v>3232.12</v>
      </c>
      <c r="I85" s="548">
        <f t="shared" si="4"/>
        <v>1.5178955870634287E-3</v>
      </c>
      <c r="J85" s="549">
        <f t="shared" si="5"/>
        <v>0.94718853846684581</v>
      </c>
    </row>
    <row r="86" spans="1:10" ht="51" x14ac:dyDescent="0.25">
      <c r="A86" s="479" t="s">
        <v>2718</v>
      </c>
      <c r="B86" s="443" t="s">
        <v>1168</v>
      </c>
      <c r="C86" s="443" t="s">
        <v>1637</v>
      </c>
      <c r="D86" s="475" t="s">
        <v>620</v>
      </c>
      <c r="E86" s="443" t="s">
        <v>49</v>
      </c>
      <c r="F86" s="547">
        <v>1</v>
      </c>
      <c r="G86" s="547">
        <v>3133.27</v>
      </c>
      <c r="H86" s="547">
        <f t="shared" si="3"/>
        <v>3133.27</v>
      </c>
      <c r="I86" s="548">
        <f t="shared" si="4"/>
        <v>1.4714728122960253E-3</v>
      </c>
      <c r="J86" s="549">
        <f t="shared" si="5"/>
        <v>0.94866001127914179</v>
      </c>
    </row>
    <row r="87" spans="1:10" x14ac:dyDescent="0.25">
      <c r="A87" s="479" t="s">
        <v>2718</v>
      </c>
      <c r="B87" s="443" t="s">
        <v>993</v>
      </c>
      <c r="C87" s="443" t="s">
        <v>1189</v>
      </c>
      <c r="D87" s="475" t="s">
        <v>1190</v>
      </c>
      <c r="E87" s="443" t="s">
        <v>45</v>
      </c>
      <c r="F87" s="547">
        <v>51.93</v>
      </c>
      <c r="G87" s="547">
        <v>59.2</v>
      </c>
      <c r="H87" s="547">
        <f t="shared" si="3"/>
        <v>3074.25</v>
      </c>
      <c r="I87" s="548">
        <f t="shared" si="4"/>
        <v>1.4437553396933732E-3</v>
      </c>
      <c r="J87" s="549">
        <f t="shared" si="5"/>
        <v>0.95010376661883511</v>
      </c>
    </row>
    <row r="88" spans="1:10" ht="25.5" x14ac:dyDescent="0.25">
      <c r="A88" s="479" t="s">
        <v>2718</v>
      </c>
      <c r="B88" s="443" t="s">
        <v>1168</v>
      </c>
      <c r="C88" s="443" t="s">
        <v>1635</v>
      </c>
      <c r="D88" s="475" t="s">
        <v>619</v>
      </c>
      <c r="E88" s="443" t="s">
        <v>49</v>
      </c>
      <c r="F88" s="547">
        <v>1</v>
      </c>
      <c r="G88" s="547">
        <v>3051.31</v>
      </c>
      <c r="H88" s="547">
        <f t="shared" si="3"/>
        <v>3051.31</v>
      </c>
      <c r="I88" s="548">
        <f t="shared" si="4"/>
        <v>1.4329820624737048E-3</v>
      </c>
      <c r="J88" s="549">
        <f t="shared" si="5"/>
        <v>0.95153674868130877</v>
      </c>
    </row>
    <row r="89" spans="1:10" x14ac:dyDescent="0.25">
      <c r="A89" s="479" t="s">
        <v>2718</v>
      </c>
      <c r="B89" s="443" t="s">
        <v>993</v>
      </c>
      <c r="C89" s="443" t="s">
        <v>1365</v>
      </c>
      <c r="D89" s="475" t="s">
        <v>1366</v>
      </c>
      <c r="E89" s="443" t="s">
        <v>130</v>
      </c>
      <c r="F89" s="547">
        <v>370.69</v>
      </c>
      <c r="G89" s="547">
        <v>8.0500000000000007</v>
      </c>
      <c r="H89" s="547">
        <f t="shared" si="3"/>
        <v>2984.05</v>
      </c>
      <c r="I89" s="548">
        <f t="shared" si="4"/>
        <v>1.4013948512359147E-3</v>
      </c>
      <c r="J89" s="549">
        <f t="shared" si="5"/>
        <v>0.95293814353254469</v>
      </c>
    </row>
    <row r="90" spans="1:10" ht="25.5" x14ac:dyDescent="0.25">
      <c r="A90" s="479" t="s">
        <v>2718</v>
      </c>
      <c r="B90" s="443" t="s">
        <v>1168</v>
      </c>
      <c r="C90" s="443" t="s">
        <v>1629</v>
      </c>
      <c r="D90" s="475" t="s">
        <v>616</v>
      </c>
      <c r="E90" s="443" t="s">
        <v>49</v>
      </c>
      <c r="F90" s="547">
        <v>1</v>
      </c>
      <c r="G90" s="547">
        <v>2976.4</v>
      </c>
      <c r="H90" s="547">
        <f t="shared" si="3"/>
        <v>2976.4</v>
      </c>
      <c r="I90" s="548">
        <f t="shared" si="4"/>
        <v>1.3978021934011079E-3</v>
      </c>
      <c r="J90" s="549">
        <f t="shared" si="5"/>
        <v>0.95433594572594582</v>
      </c>
    </row>
    <row r="91" spans="1:10" ht="51" x14ac:dyDescent="0.25">
      <c r="A91" s="479" t="s">
        <v>2718</v>
      </c>
      <c r="B91" s="443" t="s">
        <v>1168</v>
      </c>
      <c r="C91" s="443" t="s">
        <v>1572</v>
      </c>
      <c r="D91" s="475" t="s">
        <v>546</v>
      </c>
      <c r="E91" s="443" t="s">
        <v>49</v>
      </c>
      <c r="F91" s="547">
        <v>3</v>
      </c>
      <c r="G91" s="547">
        <v>931.62</v>
      </c>
      <c r="H91" s="547">
        <f t="shared" si="3"/>
        <v>2794.86</v>
      </c>
      <c r="I91" s="548">
        <f t="shared" si="4"/>
        <v>1.3125458400245333E-3</v>
      </c>
      <c r="J91" s="549">
        <f t="shared" si="5"/>
        <v>0.95564849156597031</v>
      </c>
    </row>
    <row r="92" spans="1:10" ht="38.25" x14ac:dyDescent="0.25">
      <c r="A92" s="479" t="s">
        <v>2718</v>
      </c>
      <c r="B92" s="443" t="s">
        <v>1168</v>
      </c>
      <c r="C92" s="443" t="s">
        <v>1527</v>
      </c>
      <c r="D92" s="475" t="s">
        <v>522</v>
      </c>
      <c r="E92" s="443" t="s">
        <v>49</v>
      </c>
      <c r="F92" s="547">
        <v>48</v>
      </c>
      <c r="G92" s="547">
        <v>56.15</v>
      </c>
      <c r="H92" s="547">
        <f t="shared" si="3"/>
        <v>2695.2</v>
      </c>
      <c r="I92" s="548">
        <f t="shared" si="4"/>
        <v>1.2657426661922678E-3</v>
      </c>
      <c r="J92" s="549">
        <f t="shared" si="5"/>
        <v>0.9569142342321626</v>
      </c>
    </row>
    <row r="93" spans="1:10" x14ac:dyDescent="0.25">
      <c r="A93" s="479" t="s">
        <v>2718</v>
      </c>
      <c r="B93" s="443" t="s">
        <v>993</v>
      </c>
      <c r="C93" s="443" t="s">
        <v>1286</v>
      </c>
      <c r="D93" s="475" t="s">
        <v>1287</v>
      </c>
      <c r="E93" s="443" t="s">
        <v>19</v>
      </c>
      <c r="F93" s="547">
        <v>21.86</v>
      </c>
      <c r="G93" s="547">
        <v>123.15</v>
      </c>
      <c r="H93" s="547">
        <f t="shared" si="3"/>
        <v>2692.05</v>
      </c>
      <c r="I93" s="548">
        <f t="shared" si="4"/>
        <v>1.264263336495583E-3</v>
      </c>
      <c r="J93" s="549">
        <f t="shared" si="5"/>
        <v>0.95817849756865814</v>
      </c>
    </row>
    <row r="94" spans="1:10" ht="25.5" x14ac:dyDescent="0.25">
      <c r="A94" s="479" t="s">
        <v>2718</v>
      </c>
      <c r="B94" s="443" t="s">
        <v>993</v>
      </c>
      <c r="C94" s="443" t="s">
        <v>1460</v>
      </c>
      <c r="D94" s="475" t="s">
        <v>1461</v>
      </c>
      <c r="E94" s="443" t="s">
        <v>19</v>
      </c>
      <c r="F94" s="547">
        <v>4.5599999999999996</v>
      </c>
      <c r="G94" s="547">
        <v>581.45000000000005</v>
      </c>
      <c r="H94" s="547">
        <f t="shared" si="3"/>
        <v>2651.41</v>
      </c>
      <c r="I94" s="548">
        <f t="shared" si="4"/>
        <v>1.2451776352659695E-3</v>
      </c>
      <c r="J94" s="549">
        <f t="shared" si="5"/>
        <v>0.95942367520392413</v>
      </c>
    </row>
    <row r="95" spans="1:10" ht="25.5" x14ac:dyDescent="0.25">
      <c r="A95" s="479" t="s">
        <v>2718</v>
      </c>
      <c r="B95" s="443" t="s">
        <v>1168</v>
      </c>
      <c r="C95" s="443" t="s">
        <v>1177</v>
      </c>
      <c r="D95" s="475" t="s">
        <v>739</v>
      </c>
      <c r="E95" s="443" t="s">
        <v>45</v>
      </c>
      <c r="F95" s="547">
        <v>12</v>
      </c>
      <c r="G95" s="547">
        <v>214.19</v>
      </c>
      <c r="H95" s="547">
        <f t="shared" si="3"/>
        <v>2570.2800000000002</v>
      </c>
      <c r="I95" s="548">
        <f t="shared" si="4"/>
        <v>1.2070766770780137E-3</v>
      </c>
      <c r="J95" s="549">
        <f t="shared" si="5"/>
        <v>0.96063075188100211</v>
      </c>
    </row>
    <row r="96" spans="1:10" x14ac:dyDescent="0.25">
      <c r="A96" s="479" t="s">
        <v>2718</v>
      </c>
      <c r="B96" s="443" t="s">
        <v>993</v>
      </c>
      <c r="C96" s="443" t="s">
        <v>1474</v>
      </c>
      <c r="D96" s="475" t="s">
        <v>1475</v>
      </c>
      <c r="E96" s="443" t="s">
        <v>130</v>
      </c>
      <c r="F96" s="547">
        <v>44.24</v>
      </c>
      <c r="G96" s="547">
        <v>56.69</v>
      </c>
      <c r="H96" s="547">
        <f t="shared" si="3"/>
        <v>2507.96</v>
      </c>
      <c r="I96" s="548">
        <f t="shared" si="4"/>
        <v>1.1778094305074059E-3</v>
      </c>
      <c r="J96" s="549">
        <f t="shared" si="5"/>
        <v>0.96180856131150949</v>
      </c>
    </row>
    <row r="97" spans="1:10" x14ac:dyDescent="0.25">
      <c r="A97" s="479" t="s">
        <v>2718</v>
      </c>
      <c r="B97" s="443" t="s">
        <v>993</v>
      </c>
      <c r="C97" s="443" t="s">
        <v>1331</v>
      </c>
      <c r="D97" s="475" t="s">
        <v>907</v>
      </c>
      <c r="E97" s="443" t="s">
        <v>19</v>
      </c>
      <c r="F97" s="547">
        <v>9.1999999999999993</v>
      </c>
      <c r="G97" s="547">
        <v>261.77999999999997</v>
      </c>
      <c r="H97" s="547">
        <f t="shared" si="3"/>
        <v>2408.37</v>
      </c>
      <c r="I97" s="548">
        <f t="shared" si="4"/>
        <v>1.1310391306684001E-3</v>
      </c>
      <c r="J97" s="549">
        <f t="shared" si="5"/>
        <v>0.96293960044217786</v>
      </c>
    </row>
    <row r="98" spans="1:10" ht="25.5" x14ac:dyDescent="0.25">
      <c r="A98" s="479" t="s">
        <v>2718</v>
      </c>
      <c r="B98" s="443" t="s">
        <v>1071</v>
      </c>
      <c r="C98" s="443" t="s">
        <v>1342</v>
      </c>
      <c r="D98" s="475" t="s">
        <v>749</v>
      </c>
      <c r="E98" s="443" t="s">
        <v>19</v>
      </c>
      <c r="F98" s="547">
        <v>4835</v>
      </c>
      <c r="G98" s="547">
        <v>0.44</v>
      </c>
      <c r="H98" s="547">
        <f t="shared" si="3"/>
        <v>2127.4</v>
      </c>
      <c r="I98" s="548">
        <f t="shared" si="4"/>
        <v>9.9908761800884187E-4</v>
      </c>
      <c r="J98" s="549">
        <f t="shared" si="5"/>
        <v>0.96393868806018668</v>
      </c>
    </row>
    <row r="99" spans="1:10" ht="63.75" x14ac:dyDescent="0.25">
      <c r="A99" s="479" t="s">
        <v>2718</v>
      </c>
      <c r="B99" s="443" t="s">
        <v>1168</v>
      </c>
      <c r="C99" s="443" t="s">
        <v>1639</v>
      </c>
      <c r="D99" s="475" t="s">
        <v>621</v>
      </c>
      <c r="E99" s="443" t="s">
        <v>49</v>
      </c>
      <c r="F99" s="547">
        <v>2</v>
      </c>
      <c r="G99" s="547">
        <v>1033.81</v>
      </c>
      <c r="H99" s="547">
        <f t="shared" si="3"/>
        <v>2067.62</v>
      </c>
      <c r="I99" s="548">
        <f t="shared" si="4"/>
        <v>9.7101322776508485E-4</v>
      </c>
      <c r="J99" s="549">
        <f t="shared" si="5"/>
        <v>0.96490970128795173</v>
      </c>
    </row>
    <row r="100" spans="1:10" ht="51" x14ac:dyDescent="0.25">
      <c r="A100" s="479" t="s">
        <v>2718</v>
      </c>
      <c r="B100" s="443" t="s">
        <v>1168</v>
      </c>
      <c r="C100" s="443" t="s">
        <v>1591</v>
      </c>
      <c r="D100" s="475" t="s">
        <v>596</v>
      </c>
      <c r="E100" s="443" t="s">
        <v>49</v>
      </c>
      <c r="F100" s="547">
        <v>2</v>
      </c>
      <c r="G100" s="547">
        <v>1016.82</v>
      </c>
      <c r="H100" s="547">
        <f t="shared" si="3"/>
        <v>2033.64</v>
      </c>
      <c r="I100" s="548">
        <f t="shared" si="4"/>
        <v>9.5505525217989156E-4</v>
      </c>
      <c r="J100" s="549">
        <f t="shared" si="5"/>
        <v>0.9658647565401316</v>
      </c>
    </row>
    <row r="101" spans="1:10" x14ac:dyDescent="0.25">
      <c r="A101" s="479" t="s">
        <v>2718</v>
      </c>
      <c r="B101" s="443" t="s">
        <v>993</v>
      </c>
      <c r="C101" s="443" t="s">
        <v>1354</v>
      </c>
      <c r="D101" s="475" t="s">
        <v>1355</v>
      </c>
      <c r="E101" s="443" t="s">
        <v>19</v>
      </c>
      <c r="F101" s="547">
        <v>61.74</v>
      </c>
      <c r="G101" s="547">
        <v>32.630000000000003</v>
      </c>
      <c r="H101" s="547">
        <f t="shared" si="3"/>
        <v>2014.57</v>
      </c>
      <c r="I101" s="548">
        <f t="shared" si="4"/>
        <v>9.460994371590075E-4</v>
      </c>
      <c r="J101" s="549">
        <f t="shared" si="5"/>
        <v>0.96681085597729055</v>
      </c>
    </row>
    <row r="102" spans="1:10" x14ac:dyDescent="0.25">
      <c r="A102" s="479" t="s">
        <v>2718</v>
      </c>
      <c r="B102" s="443" t="s">
        <v>993</v>
      </c>
      <c r="C102" s="443" t="s">
        <v>1195</v>
      </c>
      <c r="D102" s="475" t="s">
        <v>273</v>
      </c>
      <c r="E102" s="443" t="s">
        <v>45</v>
      </c>
      <c r="F102" s="547">
        <v>33.9</v>
      </c>
      <c r="G102" s="547">
        <v>59.2</v>
      </c>
      <c r="H102" s="547">
        <f t="shared" si="3"/>
        <v>2006.88</v>
      </c>
      <c r="I102" s="548">
        <f t="shared" si="4"/>
        <v>9.4248799418519542E-4</v>
      </c>
      <c r="J102" s="549">
        <f t="shared" si="5"/>
        <v>0.96775334397147572</v>
      </c>
    </row>
    <row r="103" spans="1:10" ht="25.5" x14ac:dyDescent="0.25">
      <c r="A103" s="479" t="s">
        <v>2718</v>
      </c>
      <c r="B103" s="443" t="s">
        <v>1168</v>
      </c>
      <c r="C103" s="443" t="s">
        <v>1622</v>
      </c>
      <c r="D103" s="475" t="s">
        <v>613</v>
      </c>
      <c r="E103" s="443" t="s">
        <v>49</v>
      </c>
      <c r="F103" s="547">
        <v>1</v>
      </c>
      <c r="G103" s="547">
        <v>1991.31</v>
      </c>
      <c r="H103" s="547">
        <f t="shared" si="3"/>
        <v>1991.31</v>
      </c>
      <c r="I103" s="548">
        <f t="shared" si="4"/>
        <v>9.3517587882729479E-4</v>
      </c>
      <c r="J103" s="549">
        <f t="shared" si="5"/>
        <v>0.96868851985030302</v>
      </c>
    </row>
    <row r="104" spans="1:10" ht="51" x14ac:dyDescent="0.25">
      <c r="A104" s="479" t="s">
        <v>2718</v>
      </c>
      <c r="B104" s="443" t="s">
        <v>1168</v>
      </c>
      <c r="C104" s="443" t="s">
        <v>1599</v>
      </c>
      <c r="D104" s="475" t="s">
        <v>601</v>
      </c>
      <c r="E104" s="443" t="s">
        <v>49</v>
      </c>
      <c r="F104" s="547">
        <v>2</v>
      </c>
      <c r="G104" s="547">
        <v>995.27</v>
      </c>
      <c r="H104" s="547">
        <f t="shared" si="3"/>
        <v>1990.54</v>
      </c>
      <c r="I104" s="548">
        <f t="shared" si="4"/>
        <v>9.3481426490143842E-4</v>
      </c>
      <c r="J104" s="549">
        <f t="shared" si="5"/>
        <v>0.9696233341152044</v>
      </c>
    </row>
    <row r="105" spans="1:10" ht="63.75" x14ac:dyDescent="0.25">
      <c r="A105" s="479" t="s">
        <v>2718</v>
      </c>
      <c r="B105" s="443" t="s">
        <v>1168</v>
      </c>
      <c r="C105" s="443" t="s">
        <v>1633</v>
      </c>
      <c r="D105" s="475" t="s">
        <v>618</v>
      </c>
      <c r="E105" s="443" t="s">
        <v>49</v>
      </c>
      <c r="F105" s="547">
        <v>1</v>
      </c>
      <c r="G105" s="547">
        <v>1931.55</v>
      </c>
      <c r="H105" s="547">
        <f t="shared" si="3"/>
        <v>1931.55</v>
      </c>
      <c r="I105" s="548">
        <f t="shared" si="4"/>
        <v>9.0711088115304054E-4</v>
      </c>
      <c r="J105" s="549">
        <f t="shared" si="5"/>
        <v>0.97053044499635743</v>
      </c>
    </row>
    <row r="106" spans="1:10" ht="38.25" x14ac:dyDescent="0.25">
      <c r="A106" s="479" t="s">
        <v>2718</v>
      </c>
      <c r="B106" s="443" t="s">
        <v>1168</v>
      </c>
      <c r="C106" s="443" t="s">
        <v>1563</v>
      </c>
      <c r="D106" s="475" t="s">
        <v>542</v>
      </c>
      <c r="E106" s="443" t="s">
        <v>49</v>
      </c>
      <c r="F106" s="547">
        <v>4</v>
      </c>
      <c r="G106" s="547">
        <v>477.24</v>
      </c>
      <c r="H106" s="547">
        <f t="shared" si="3"/>
        <v>1908.96</v>
      </c>
      <c r="I106" s="548">
        <f t="shared" si="4"/>
        <v>8.965019738996704E-4</v>
      </c>
      <c r="J106" s="549">
        <f t="shared" si="5"/>
        <v>0.97142694697025711</v>
      </c>
    </row>
    <row r="107" spans="1:10" ht="25.5" x14ac:dyDescent="0.25">
      <c r="A107" s="479" t="s">
        <v>2718</v>
      </c>
      <c r="B107" s="443" t="s">
        <v>1168</v>
      </c>
      <c r="C107" s="443" t="s">
        <v>1680</v>
      </c>
      <c r="D107" s="475" t="s">
        <v>658</v>
      </c>
      <c r="E107" s="443" t="s">
        <v>130</v>
      </c>
      <c r="F107" s="547">
        <v>4031</v>
      </c>
      <c r="G107" s="547">
        <v>0.47</v>
      </c>
      <c r="H107" s="547">
        <f t="shared" si="3"/>
        <v>1894.57</v>
      </c>
      <c r="I107" s="548">
        <f t="shared" si="4"/>
        <v>8.8974402014243279E-4</v>
      </c>
      <c r="J107" s="549">
        <f t="shared" si="5"/>
        <v>0.97231669099039952</v>
      </c>
    </row>
    <row r="108" spans="1:10" ht="25.5" x14ac:dyDescent="0.25">
      <c r="A108" s="479" t="s">
        <v>2718</v>
      </c>
      <c r="B108" s="443" t="s">
        <v>1168</v>
      </c>
      <c r="C108" s="443" t="s">
        <v>1255</v>
      </c>
      <c r="D108" s="475" t="s">
        <v>1256</v>
      </c>
      <c r="E108" s="443" t="s">
        <v>45</v>
      </c>
      <c r="F108" s="547">
        <v>2.38</v>
      </c>
      <c r="G108" s="547">
        <v>781.65</v>
      </c>
      <c r="H108" s="547">
        <f t="shared" si="3"/>
        <v>1860.32</v>
      </c>
      <c r="I108" s="548">
        <f t="shared" si="4"/>
        <v>8.7365924486895209E-4</v>
      </c>
      <c r="J108" s="549">
        <f t="shared" si="5"/>
        <v>0.97319035023526845</v>
      </c>
    </row>
    <row r="109" spans="1:10" ht="51" x14ac:dyDescent="0.25">
      <c r="A109" s="479" t="s">
        <v>2718</v>
      </c>
      <c r="B109" s="443" t="s">
        <v>1168</v>
      </c>
      <c r="C109" s="443" t="s">
        <v>1620</v>
      </c>
      <c r="D109" s="475" t="s">
        <v>612</v>
      </c>
      <c r="E109" s="443" t="s">
        <v>49</v>
      </c>
      <c r="F109" s="547">
        <v>1</v>
      </c>
      <c r="G109" s="547">
        <v>1858.28</v>
      </c>
      <c r="H109" s="547">
        <f t="shared" si="3"/>
        <v>1858.28</v>
      </c>
      <c r="I109" s="548">
        <f t="shared" si="4"/>
        <v>8.7270120277967037E-4</v>
      </c>
      <c r="J109" s="549">
        <f t="shared" si="5"/>
        <v>0.97406305143804817</v>
      </c>
    </row>
    <row r="110" spans="1:10" x14ac:dyDescent="0.25">
      <c r="A110" s="479" t="s">
        <v>2718</v>
      </c>
      <c r="B110" s="443" t="s">
        <v>993</v>
      </c>
      <c r="C110" s="443" t="s">
        <v>1161</v>
      </c>
      <c r="D110" s="475" t="s">
        <v>1162</v>
      </c>
      <c r="E110" s="443" t="s">
        <v>1141</v>
      </c>
      <c r="F110" s="547">
        <v>1</v>
      </c>
      <c r="G110" s="547">
        <v>1852.92</v>
      </c>
      <c r="H110" s="547">
        <f t="shared" si="3"/>
        <v>1852.92</v>
      </c>
      <c r="I110" s="548">
        <f t="shared" si="4"/>
        <v>8.7018399415293008E-4</v>
      </c>
      <c r="J110" s="549">
        <f t="shared" si="5"/>
        <v>0.97493323543220112</v>
      </c>
    </row>
    <row r="111" spans="1:10" x14ac:dyDescent="0.25">
      <c r="A111" s="479" t="s">
        <v>2718</v>
      </c>
      <c r="B111" s="443" t="s">
        <v>993</v>
      </c>
      <c r="C111" s="443" t="s">
        <v>1224</v>
      </c>
      <c r="D111" s="475" t="s">
        <v>261</v>
      </c>
      <c r="E111" s="443" t="s">
        <v>1222</v>
      </c>
      <c r="F111" s="547">
        <v>133.13999999999999</v>
      </c>
      <c r="G111" s="547">
        <v>13.67</v>
      </c>
      <c r="H111" s="547">
        <f t="shared" si="3"/>
        <v>1820.02</v>
      </c>
      <c r="I111" s="548">
        <f t="shared" si="4"/>
        <v>8.5473321732088578E-4</v>
      </c>
      <c r="J111" s="549">
        <f t="shared" si="5"/>
        <v>0.975787968649522</v>
      </c>
    </row>
    <row r="112" spans="1:10" ht="25.5" x14ac:dyDescent="0.25">
      <c r="A112" s="479" t="s">
        <v>2718</v>
      </c>
      <c r="B112" s="443" t="s">
        <v>1168</v>
      </c>
      <c r="C112" s="443" t="s">
        <v>1601</v>
      </c>
      <c r="D112" s="475" t="s">
        <v>603</v>
      </c>
      <c r="E112" s="443" t="s">
        <v>38</v>
      </c>
      <c r="F112" s="547">
        <v>4</v>
      </c>
      <c r="G112" s="547">
        <v>443.94</v>
      </c>
      <c r="H112" s="547">
        <f t="shared" si="3"/>
        <v>1775.76</v>
      </c>
      <c r="I112" s="548">
        <f t="shared" si="4"/>
        <v>8.3394746101127248E-4</v>
      </c>
      <c r="J112" s="549">
        <f t="shared" si="5"/>
        <v>0.97662191611053328</v>
      </c>
    </row>
    <row r="113" spans="1:10" ht="38.25" x14ac:dyDescent="0.25">
      <c r="A113" s="479" t="s">
        <v>2718</v>
      </c>
      <c r="B113" s="443" t="s">
        <v>1168</v>
      </c>
      <c r="C113" s="443" t="s">
        <v>1641</v>
      </c>
      <c r="D113" s="475" t="s">
        <v>1642</v>
      </c>
      <c r="E113" s="443" t="s">
        <v>49</v>
      </c>
      <c r="F113" s="547">
        <v>3</v>
      </c>
      <c r="G113" s="547">
        <v>558.30999999999995</v>
      </c>
      <c r="H113" s="547">
        <f t="shared" si="3"/>
        <v>1674.93</v>
      </c>
      <c r="I113" s="548">
        <f t="shared" si="4"/>
        <v>7.8659482186309564E-4</v>
      </c>
      <c r="J113" s="549">
        <f t="shared" si="5"/>
        <v>0.97740851093239633</v>
      </c>
    </row>
    <row r="114" spans="1:10" x14ac:dyDescent="0.25">
      <c r="A114" s="479" t="s">
        <v>2718</v>
      </c>
      <c r="B114" s="443" t="s">
        <v>993</v>
      </c>
      <c r="C114" s="443" t="s">
        <v>1471</v>
      </c>
      <c r="D114" s="475" t="s">
        <v>1472</v>
      </c>
      <c r="E114" s="443" t="s">
        <v>130</v>
      </c>
      <c r="F114" s="547">
        <v>32.119999999999997</v>
      </c>
      <c r="G114" s="547">
        <v>48.58</v>
      </c>
      <c r="H114" s="547">
        <f t="shared" si="3"/>
        <v>1560.38</v>
      </c>
      <c r="I114" s="548">
        <f t="shared" si="4"/>
        <v>7.3279888003602376E-4</v>
      </c>
      <c r="J114" s="549">
        <f t="shared" si="5"/>
        <v>0.97814130981243241</v>
      </c>
    </row>
    <row r="115" spans="1:10" x14ac:dyDescent="0.25">
      <c r="A115" s="479" t="s">
        <v>2718</v>
      </c>
      <c r="B115" s="443" t="s">
        <v>993</v>
      </c>
      <c r="C115" s="443" t="s">
        <v>1301</v>
      </c>
      <c r="D115" s="475" t="s">
        <v>645</v>
      </c>
      <c r="E115" s="443" t="s">
        <v>41</v>
      </c>
      <c r="F115" s="547">
        <v>3.2</v>
      </c>
      <c r="G115" s="547">
        <v>482.54</v>
      </c>
      <c r="H115" s="547">
        <f t="shared" si="3"/>
        <v>1544.12</v>
      </c>
      <c r="I115" s="548">
        <f t="shared" si="4"/>
        <v>7.251627210302777E-4</v>
      </c>
      <c r="J115" s="549">
        <f t="shared" si="5"/>
        <v>0.97886647253346271</v>
      </c>
    </row>
    <row r="116" spans="1:10" x14ac:dyDescent="0.25">
      <c r="A116" s="479" t="s">
        <v>2718</v>
      </c>
      <c r="B116" s="443" t="s">
        <v>993</v>
      </c>
      <c r="C116" s="443" t="s">
        <v>1187</v>
      </c>
      <c r="D116" s="475" t="s">
        <v>671</v>
      </c>
      <c r="E116" s="443" t="s">
        <v>45</v>
      </c>
      <c r="F116" s="547">
        <v>33.020000000000003</v>
      </c>
      <c r="G116" s="547">
        <v>46.75</v>
      </c>
      <c r="H116" s="547">
        <f t="shared" si="3"/>
        <v>1543.68</v>
      </c>
      <c r="I116" s="548">
        <f t="shared" si="4"/>
        <v>7.2495608450121702E-4</v>
      </c>
      <c r="J116" s="549">
        <f t="shared" si="5"/>
        <v>0.97959142861796389</v>
      </c>
    </row>
    <row r="117" spans="1:10" ht="51" x14ac:dyDescent="0.25">
      <c r="A117" s="479" t="s">
        <v>2718</v>
      </c>
      <c r="B117" s="443" t="s">
        <v>1168</v>
      </c>
      <c r="C117" s="443" t="s">
        <v>1626</v>
      </c>
      <c r="D117" s="475" t="s">
        <v>1627</v>
      </c>
      <c r="E117" s="443" t="s">
        <v>49</v>
      </c>
      <c r="F117" s="547">
        <v>1</v>
      </c>
      <c r="G117" s="547">
        <v>1499.28</v>
      </c>
      <c r="H117" s="547">
        <f t="shared" si="3"/>
        <v>1499.28</v>
      </c>
      <c r="I117" s="548">
        <f t="shared" si="4"/>
        <v>7.0410458020508438E-4</v>
      </c>
      <c r="J117" s="549">
        <f t="shared" si="5"/>
        <v>0.98029553319816898</v>
      </c>
    </row>
    <row r="118" spans="1:10" ht="25.5" x14ac:dyDescent="0.25">
      <c r="A118" s="479" t="s">
        <v>2718</v>
      </c>
      <c r="B118" s="443" t="s">
        <v>1168</v>
      </c>
      <c r="C118" s="443" t="s">
        <v>1595</v>
      </c>
      <c r="D118" s="475" t="s">
        <v>599</v>
      </c>
      <c r="E118" s="443" t="s">
        <v>49</v>
      </c>
      <c r="F118" s="547">
        <v>2</v>
      </c>
      <c r="G118" s="547">
        <v>747.2</v>
      </c>
      <c r="H118" s="547">
        <f t="shared" si="3"/>
        <v>1494.4</v>
      </c>
      <c r="I118" s="548">
        <f t="shared" si="4"/>
        <v>7.0181279324641041E-4</v>
      </c>
      <c r="J118" s="549">
        <f t="shared" si="5"/>
        <v>0.98099734599141541</v>
      </c>
    </row>
    <row r="119" spans="1:10" x14ac:dyDescent="0.25">
      <c r="A119" s="479" t="s">
        <v>2718</v>
      </c>
      <c r="B119" s="443" t="s">
        <v>993</v>
      </c>
      <c r="C119" s="443" t="s">
        <v>1406</v>
      </c>
      <c r="D119" s="475" t="s">
        <v>1407</v>
      </c>
      <c r="E119" s="443" t="s">
        <v>1141</v>
      </c>
      <c r="F119" s="547">
        <v>1</v>
      </c>
      <c r="G119" s="547">
        <v>1469.5</v>
      </c>
      <c r="H119" s="547">
        <f t="shared" si="3"/>
        <v>1469.5</v>
      </c>
      <c r="I119" s="548">
        <f t="shared" si="4"/>
        <v>6.9011904421547113E-4</v>
      </c>
      <c r="J119" s="549">
        <f t="shared" si="5"/>
        <v>0.98168746503563087</v>
      </c>
    </row>
    <row r="120" spans="1:10" ht="25.5" x14ac:dyDescent="0.25">
      <c r="A120" s="479" t="s">
        <v>2718</v>
      </c>
      <c r="B120" s="443" t="s">
        <v>993</v>
      </c>
      <c r="C120" s="443" t="s">
        <v>1179</v>
      </c>
      <c r="D120" s="475" t="s">
        <v>733</v>
      </c>
      <c r="E120" s="443" t="s">
        <v>41</v>
      </c>
      <c r="F120" s="547">
        <v>57.7</v>
      </c>
      <c r="G120" s="547">
        <v>25.35</v>
      </c>
      <c r="H120" s="547">
        <f t="shared" si="3"/>
        <v>1462.69</v>
      </c>
      <c r="I120" s="548">
        <f t="shared" si="4"/>
        <v>6.8692087429978051E-4</v>
      </c>
      <c r="J120" s="549">
        <f t="shared" si="5"/>
        <v>0.98237438590993065</v>
      </c>
    </row>
    <row r="121" spans="1:10" ht="25.5" x14ac:dyDescent="0.25">
      <c r="A121" s="479" t="s">
        <v>2718</v>
      </c>
      <c r="B121" s="443" t="s">
        <v>993</v>
      </c>
      <c r="C121" s="443" t="s">
        <v>1217</v>
      </c>
      <c r="D121" s="475" t="s">
        <v>254</v>
      </c>
      <c r="E121" s="443" t="s">
        <v>45</v>
      </c>
      <c r="F121" s="547">
        <v>2.41</v>
      </c>
      <c r="G121" s="547">
        <v>594.95000000000005</v>
      </c>
      <c r="H121" s="547">
        <f t="shared" si="3"/>
        <v>1433.82</v>
      </c>
      <c r="I121" s="548">
        <f t="shared" si="4"/>
        <v>6.7336270022254287E-4</v>
      </c>
      <c r="J121" s="549">
        <f t="shared" si="5"/>
        <v>0.9830477486101532</v>
      </c>
    </row>
    <row r="122" spans="1:10" ht="25.5" x14ac:dyDescent="0.25">
      <c r="A122" s="479" t="s">
        <v>2718</v>
      </c>
      <c r="B122" s="443" t="s">
        <v>993</v>
      </c>
      <c r="C122" s="443" t="s">
        <v>1447</v>
      </c>
      <c r="D122" s="475" t="s">
        <v>1448</v>
      </c>
      <c r="E122" s="443" t="s">
        <v>19</v>
      </c>
      <c r="F122" s="547">
        <v>7.2</v>
      </c>
      <c r="G122" s="547">
        <v>196.73</v>
      </c>
      <c r="H122" s="547">
        <f t="shared" si="3"/>
        <v>1416.45</v>
      </c>
      <c r="I122" s="548">
        <f t="shared" si="4"/>
        <v>6.6520525360939367E-4</v>
      </c>
      <c r="J122" s="549">
        <f t="shared" si="5"/>
        <v>0.98371295386376256</v>
      </c>
    </row>
    <row r="123" spans="1:10" x14ac:dyDescent="0.25">
      <c r="A123" s="479" t="s">
        <v>2718</v>
      </c>
      <c r="B123" s="443" t="s">
        <v>993</v>
      </c>
      <c r="C123" s="443" t="s">
        <v>1267</v>
      </c>
      <c r="D123" s="475" t="s">
        <v>263</v>
      </c>
      <c r="E123" s="443" t="s">
        <v>1222</v>
      </c>
      <c r="F123" s="547">
        <v>96.62</v>
      </c>
      <c r="G123" s="547">
        <v>13.41</v>
      </c>
      <c r="H123" s="547">
        <f t="shared" si="3"/>
        <v>1295.67</v>
      </c>
      <c r="I123" s="548">
        <f t="shared" si="4"/>
        <v>6.0848352638221131E-4</v>
      </c>
      <c r="J123" s="549">
        <f t="shared" si="5"/>
        <v>0.98432143739014477</v>
      </c>
    </row>
    <row r="124" spans="1:10" ht="38.25" x14ac:dyDescent="0.25">
      <c r="A124" s="479" t="s">
        <v>2718</v>
      </c>
      <c r="B124" s="443" t="s">
        <v>1168</v>
      </c>
      <c r="C124" s="443" t="s">
        <v>1578</v>
      </c>
      <c r="D124" s="475" t="s">
        <v>573</v>
      </c>
      <c r="E124" s="443" t="s">
        <v>49</v>
      </c>
      <c r="F124" s="547">
        <v>2</v>
      </c>
      <c r="G124" s="547">
        <v>625.59</v>
      </c>
      <c r="H124" s="547">
        <f t="shared" si="3"/>
        <v>1251.18</v>
      </c>
      <c r="I124" s="548">
        <f t="shared" si="4"/>
        <v>5.8758975552331623E-4</v>
      </c>
      <c r="J124" s="549">
        <f t="shared" si="5"/>
        <v>0.98490902714566808</v>
      </c>
    </row>
    <row r="125" spans="1:10" x14ac:dyDescent="0.25">
      <c r="A125" s="479" t="s">
        <v>2718</v>
      </c>
      <c r="B125" s="443" t="s">
        <v>993</v>
      </c>
      <c r="C125" s="443" t="s">
        <v>1309</v>
      </c>
      <c r="D125" s="475" t="s">
        <v>1310</v>
      </c>
      <c r="E125" s="443" t="s">
        <v>19</v>
      </c>
      <c r="F125" s="547">
        <v>1.8</v>
      </c>
      <c r="G125" s="547">
        <v>663.79</v>
      </c>
      <c r="H125" s="547">
        <f t="shared" si="3"/>
        <v>1194.82</v>
      </c>
      <c r="I125" s="548">
        <f t="shared" si="4"/>
        <v>5.611214946645316E-4</v>
      </c>
      <c r="J125" s="549">
        <f t="shared" si="5"/>
        <v>0.98547014864033267</v>
      </c>
    </row>
    <row r="126" spans="1:10" x14ac:dyDescent="0.25">
      <c r="A126" s="479" t="s">
        <v>2718</v>
      </c>
      <c r="B126" s="443" t="s">
        <v>993</v>
      </c>
      <c r="C126" s="443" t="s">
        <v>1306</v>
      </c>
      <c r="D126" s="475" t="s">
        <v>1307</v>
      </c>
      <c r="E126" s="443" t="s">
        <v>19</v>
      </c>
      <c r="F126" s="547">
        <v>2.2200000000000002</v>
      </c>
      <c r="G126" s="547">
        <v>525.9</v>
      </c>
      <c r="H126" s="547">
        <f t="shared" si="3"/>
        <v>1167.49</v>
      </c>
      <c r="I126" s="548">
        <f t="shared" si="4"/>
        <v>5.4828654843900671E-4</v>
      </c>
      <c r="J126" s="549">
        <f t="shared" si="5"/>
        <v>0.98601843518877164</v>
      </c>
    </row>
    <row r="127" spans="1:10" ht="51" x14ac:dyDescent="0.25">
      <c r="A127" s="479" t="s">
        <v>2718</v>
      </c>
      <c r="B127" s="443" t="s">
        <v>1168</v>
      </c>
      <c r="C127" s="443" t="s">
        <v>1631</v>
      </c>
      <c r="D127" s="475" t="s">
        <v>617</v>
      </c>
      <c r="E127" s="443" t="s">
        <v>49</v>
      </c>
      <c r="F127" s="547">
        <v>1</v>
      </c>
      <c r="G127" s="547">
        <v>1132.5999999999999</v>
      </c>
      <c r="H127" s="547">
        <f t="shared" si="3"/>
        <v>1132.5999999999999</v>
      </c>
      <c r="I127" s="548">
        <f t="shared" si="4"/>
        <v>5.3190121094143759E-4</v>
      </c>
      <c r="J127" s="549">
        <f t="shared" si="5"/>
        <v>0.98655033639971312</v>
      </c>
    </row>
    <row r="128" spans="1:10" x14ac:dyDescent="0.25">
      <c r="A128" s="479" t="s">
        <v>2718</v>
      </c>
      <c r="B128" s="443" t="s">
        <v>993</v>
      </c>
      <c r="C128" s="443" t="s">
        <v>1359</v>
      </c>
      <c r="D128" s="475" t="s">
        <v>1360</v>
      </c>
      <c r="E128" s="443" t="s">
        <v>130</v>
      </c>
      <c r="F128" s="547">
        <v>64.64</v>
      </c>
      <c r="G128" s="547">
        <v>15.33</v>
      </c>
      <c r="H128" s="547">
        <f t="shared" si="3"/>
        <v>990.93</v>
      </c>
      <c r="I128" s="548">
        <f t="shared" si="4"/>
        <v>4.6536894486861978E-4</v>
      </c>
      <c r="J128" s="549">
        <f t="shared" si="5"/>
        <v>0.98701570534458172</v>
      </c>
    </row>
    <row r="129" spans="1:10" ht="38.25" x14ac:dyDescent="0.25">
      <c r="A129" s="479" t="s">
        <v>2718</v>
      </c>
      <c r="B129" s="443" t="s">
        <v>1168</v>
      </c>
      <c r="C129" s="443" t="s">
        <v>1512</v>
      </c>
      <c r="D129" s="475" t="s">
        <v>1513</v>
      </c>
      <c r="E129" s="443" t="s">
        <v>49</v>
      </c>
      <c r="F129" s="547">
        <v>19</v>
      </c>
      <c r="G129" s="547">
        <v>51.94</v>
      </c>
      <c r="H129" s="547">
        <f t="shared" si="3"/>
        <v>986.86</v>
      </c>
      <c r="I129" s="548">
        <f t="shared" si="4"/>
        <v>4.634575569748076E-4</v>
      </c>
      <c r="J129" s="549">
        <f t="shared" si="5"/>
        <v>0.98747916290155657</v>
      </c>
    </row>
    <row r="130" spans="1:10" x14ac:dyDescent="0.25">
      <c r="A130" s="479" t="s">
        <v>2718</v>
      </c>
      <c r="B130" s="443" t="s">
        <v>1168</v>
      </c>
      <c r="C130" s="443" t="s">
        <v>1170</v>
      </c>
      <c r="D130" s="475" t="s">
        <v>919</v>
      </c>
      <c r="E130" s="443" t="s">
        <v>38</v>
      </c>
      <c r="F130" s="547">
        <v>20</v>
      </c>
      <c r="G130" s="547">
        <v>45.99</v>
      </c>
      <c r="H130" s="547">
        <f t="shared" si="3"/>
        <v>919.8</v>
      </c>
      <c r="I130" s="548">
        <f t="shared" si="4"/>
        <v>4.3196427143204509E-4</v>
      </c>
      <c r="J130" s="549">
        <f t="shared" si="5"/>
        <v>0.98791112717298857</v>
      </c>
    </row>
    <row r="131" spans="1:10" x14ac:dyDescent="0.25">
      <c r="A131" s="479" t="s">
        <v>2718</v>
      </c>
      <c r="B131" s="443" t="s">
        <v>1168</v>
      </c>
      <c r="C131" s="443" t="s">
        <v>1584</v>
      </c>
      <c r="D131" s="475" t="s">
        <v>577</v>
      </c>
      <c r="E131" s="443" t="s">
        <v>49</v>
      </c>
      <c r="F131" s="547">
        <v>80</v>
      </c>
      <c r="G131" s="547">
        <v>11.4</v>
      </c>
      <c r="H131" s="547">
        <f t="shared" si="3"/>
        <v>912</v>
      </c>
      <c r="I131" s="548">
        <f t="shared" si="4"/>
        <v>4.2830116932596776E-4</v>
      </c>
      <c r="J131" s="549">
        <f t="shared" si="5"/>
        <v>0.98833942834231459</v>
      </c>
    </row>
    <row r="132" spans="1:10" x14ac:dyDescent="0.25">
      <c r="A132" s="479" t="s">
        <v>2718</v>
      </c>
      <c r="B132" s="443" t="s">
        <v>993</v>
      </c>
      <c r="C132" s="443" t="s">
        <v>1499</v>
      </c>
      <c r="D132" s="475" t="s">
        <v>1500</v>
      </c>
      <c r="E132" s="443" t="s">
        <v>1141</v>
      </c>
      <c r="F132" s="547">
        <v>5</v>
      </c>
      <c r="G132" s="547">
        <v>182.23</v>
      </c>
      <c r="H132" s="547">
        <f t="shared" si="3"/>
        <v>911.15</v>
      </c>
      <c r="I132" s="548">
        <f t="shared" si="4"/>
        <v>4.2790198512210033E-4</v>
      </c>
      <c r="J132" s="549">
        <f t="shared" si="5"/>
        <v>0.98876733032743669</v>
      </c>
    </row>
    <row r="133" spans="1:10" ht="51" x14ac:dyDescent="0.25">
      <c r="A133" s="479" t="s">
        <v>2718</v>
      </c>
      <c r="B133" s="443" t="s">
        <v>1168</v>
      </c>
      <c r="C133" s="443" t="s">
        <v>1593</v>
      </c>
      <c r="D133" s="475" t="s">
        <v>598</v>
      </c>
      <c r="E133" s="443" t="s">
        <v>49</v>
      </c>
      <c r="F133" s="547">
        <v>1</v>
      </c>
      <c r="G133" s="547">
        <v>897.75</v>
      </c>
      <c r="H133" s="547">
        <f t="shared" si="3"/>
        <v>897.75</v>
      </c>
      <c r="I133" s="548">
        <f t="shared" si="4"/>
        <v>4.216089635552495E-4</v>
      </c>
      <c r="J133" s="549">
        <f t="shared" si="5"/>
        <v>0.98918893929099194</v>
      </c>
    </row>
    <row r="134" spans="1:10" ht="38.25" x14ac:dyDescent="0.25">
      <c r="A134" s="479" t="s">
        <v>2718</v>
      </c>
      <c r="B134" s="443" t="s">
        <v>1168</v>
      </c>
      <c r="C134" s="443" t="s">
        <v>1561</v>
      </c>
      <c r="D134" s="475" t="s">
        <v>541</v>
      </c>
      <c r="E134" s="443" t="s">
        <v>130</v>
      </c>
      <c r="F134" s="547">
        <v>15</v>
      </c>
      <c r="G134" s="547">
        <v>57.95</v>
      </c>
      <c r="H134" s="547">
        <f t="shared" si="3"/>
        <v>869.25</v>
      </c>
      <c r="I134" s="548">
        <f t="shared" si="4"/>
        <v>4.0822455201381302E-4</v>
      </c>
      <c r="J134" s="549">
        <f t="shared" si="5"/>
        <v>0.98959716384300578</v>
      </c>
    </row>
    <row r="135" spans="1:10" ht="25.5" x14ac:dyDescent="0.25">
      <c r="A135" s="479" t="s">
        <v>2718</v>
      </c>
      <c r="B135" s="443" t="s">
        <v>1168</v>
      </c>
      <c r="C135" s="443" t="s">
        <v>1557</v>
      </c>
      <c r="D135" s="475" t="s">
        <v>537</v>
      </c>
      <c r="E135" s="443" t="s">
        <v>49</v>
      </c>
      <c r="F135" s="547">
        <v>4</v>
      </c>
      <c r="G135" s="547">
        <v>209.38</v>
      </c>
      <c r="H135" s="547">
        <f t="shared" si="3"/>
        <v>837.52</v>
      </c>
      <c r="I135" s="548">
        <f t="shared" si="4"/>
        <v>3.9332324049768037E-4</v>
      </c>
      <c r="J135" s="549">
        <f t="shared" si="5"/>
        <v>0.98999048708350346</v>
      </c>
    </row>
    <row r="136" spans="1:10" x14ac:dyDescent="0.25">
      <c r="A136" s="479" t="s">
        <v>2718</v>
      </c>
      <c r="B136" s="443" t="s">
        <v>993</v>
      </c>
      <c r="C136" s="443" t="s">
        <v>1164</v>
      </c>
      <c r="D136" s="475" t="s">
        <v>1165</v>
      </c>
      <c r="E136" s="443" t="s">
        <v>1141</v>
      </c>
      <c r="F136" s="547">
        <v>42</v>
      </c>
      <c r="G136" s="547">
        <v>18.690000000000001</v>
      </c>
      <c r="H136" s="547">
        <f t="shared" si="3"/>
        <v>784.98</v>
      </c>
      <c r="I136" s="548">
        <f t="shared" si="4"/>
        <v>3.6864896041392342E-4</v>
      </c>
      <c r="J136" s="549">
        <f t="shared" si="5"/>
        <v>0.99035913604391734</v>
      </c>
    </row>
    <row r="137" spans="1:10" ht="51" x14ac:dyDescent="0.25">
      <c r="A137" s="479" t="s">
        <v>2718</v>
      </c>
      <c r="B137" s="443" t="s">
        <v>1168</v>
      </c>
      <c r="C137" s="443" t="s">
        <v>1688</v>
      </c>
      <c r="D137" s="475" t="s">
        <v>888</v>
      </c>
      <c r="E137" s="443" t="s">
        <v>49</v>
      </c>
      <c r="F137" s="547">
        <v>1</v>
      </c>
      <c r="G137" s="547">
        <v>741.3</v>
      </c>
      <c r="H137" s="547">
        <f t="shared" si="3"/>
        <v>741.3</v>
      </c>
      <c r="I137" s="548">
        <f t="shared" si="4"/>
        <v>3.481355886198902E-4</v>
      </c>
      <c r="J137" s="549">
        <f t="shared" si="5"/>
        <v>0.99070727163253725</v>
      </c>
    </row>
    <row r="138" spans="1:10" ht="38.25" x14ac:dyDescent="0.25">
      <c r="A138" s="479" t="s">
        <v>2718</v>
      </c>
      <c r="B138" s="443" t="s">
        <v>1168</v>
      </c>
      <c r="C138" s="443" t="s">
        <v>1529</v>
      </c>
      <c r="D138" s="475" t="s">
        <v>523</v>
      </c>
      <c r="E138" s="443" t="s">
        <v>49</v>
      </c>
      <c r="F138" s="547">
        <v>4</v>
      </c>
      <c r="G138" s="547">
        <v>166.13</v>
      </c>
      <c r="H138" s="547">
        <f t="shared" ref="H138:H201" si="6">+TRUNC(F138*G138,2)</f>
        <v>664.52</v>
      </c>
      <c r="I138" s="548">
        <f t="shared" ref="I138:I201" si="7">+H138/$G$236</f>
        <v>3.1207751429878521E-4</v>
      </c>
      <c r="J138" s="549">
        <f t="shared" si="5"/>
        <v>0.99101934914683598</v>
      </c>
    </row>
    <row r="139" spans="1:10" ht="38.25" x14ac:dyDescent="0.25">
      <c r="A139" s="479" t="s">
        <v>2718</v>
      </c>
      <c r="B139" s="443" t="s">
        <v>1168</v>
      </c>
      <c r="C139" s="443" t="s">
        <v>1521</v>
      </c>
      <c r="D139" s="475" t="s">
        <v>493</v>
      </c>
      <c r="E139" s="443" t="s">
        <v>49</v>
      </c>
      <c r="F139" s="547">
        <v>7</v>
      </c>
      <c r="G139" s="547">
        <v>86.97</v>
      </c>
      <c r="H139" s="547">
        <f t="shared" si="6"/>
        <v>608.79</v>
      </c>
      <c r="I139" s="548">
        <f t="shared" si="7"/>
        <v>2.8590511937933761E-4</v>
      </c>
      <c r="J139" s="549">
        <f t="shared" ref="J139:J202" si="8">+J138+I139</f>
        <v>0.9913052542662153</v>
      </c>
    </row>
    <row r="140" spans="1:10" x14ac:dyDescent="0.25">
      <c r="A140" s="479" t="s">
        <v>2718</v>
      </c>
      <c r="B140" s="443" t="s">
        <v>993</v>
      </c>
      <c r="C140" s="443" t="s">
        <v>1663</v>
      </c>
      <c r="D140" s="475" t="s">
        <v>1664</v>
      </c>
      <c r="E140" s="443" t="s">
        <v>130</v>
      </c>
      <c r="F140" s="547">
        <v>54</v>
      </c>
      <c r="G140" s="547">
        <v>10.66</v>
      </c>
      <c r="H140" s="547">
        <f t="shared" si="6"/>
        <v>575.64</v>
      </c>
      <c r="I140" s="548">
        <f t="shared" si="7"/>
        <v>2.7033693542850883E-4</v>
      </c>
      <c r="J140" s="549">
        <f t="shared" si="8"/>
        <v>0.99157559120164385</v>
      </c>
    </row>
    <row r="141" spans="1:10" x14ac:dyDescent="0.25">
      <c r="A141" s="479" t="s">
        <v>2718</v>
      </c>
      <c r="B141" s="443" t="s">
        <v>993</v>
      </c>
      <c r="C141" s="443" t="s">
        <v>1291</v>
      </c>
      <c r="D141" s="475" t="s">
        <v>1292</v>
      </c>
      <c r="E141" s="443" t="s">
        <v>19</v>
      </c>
      <c r="F141" s="547">
        <v>6.3</v>
      </c>
      <c r="G141" s="547">
        <v>89.11</v>
      </c>
      <c r="H141" s="547">
        <f t="shared" si="6"/>
        <v>561.39</v>
      </c>
      <c r="I141" s="548">
        <f t="shared" si="7"/>
        <v>2.6364472965779062E-4</v>
      </c>
      <c r="J141" s="549">
        <f t="shared" si="8"/>
        <v>0.99183923593130163</v>
      </c>
    </row>
    <row r="142" spans="1:10" ht="38.25" x14ac:dyDescent="0.25">
      <c r="A142" s="479" t="s">
        <v>2718</v>
      </c>
      <c r="B142" s="443" t="s">
        <v>1168</v>
      </c>
      <c r="C142" s="443" t="s">
        <v>1537</v>
      </c>
      <c r="D142" s="475" t="s">
        <v>527</v>
      </c>
      <c r="E142" s="443" t="s">
        <v>49</v>
      </c>
      <c r="F142" s="547">
        <v>14</v>
      </c>
      <c r="G142" s="547">
        <v>38.65</v>
      </c>
      <c r="H142" s="547">
        <f t="shared" si="6"/>
        <v>541.1</v>
      </c>
      <c r="I142" s="548">
        <f t="shared" si="7"/>
        <v>2.5411596789723812E-4</v>
      </c>
      <c r="J142" s="549">
        <f t="shared" si="8"/>
        <v>0.99209335189919889</v>
      </c>
    </row>
    <row r="143" spans="1:10" ht="51" x14ac:dyDescent="0.25">
      <c r="A143" s="479" t="s">
        <v>2718</v>
      </c>
      <c r="B143" s="443" t="s">
        <v>1168</v>
      </c>
      <c r="C143" s="443" t="s">
        <v>1580</v>
      </c>
      <c r="D143" s="475" t="s">
        <v>574</v>
      </c>
      <c r="E143" s="443" t="s">
        <v>49</v>
      </c>
      <c r="F143" s="547">
        <v>1</v>
      </c>
      <c r="G143" s="547">
        <v>537.92999999999995</v>
      </c>
      <c r="H143" s="547">
        <f t="shared" si="6"/>
        <v>537.92999999999995</v>
      </c>
      <c r="I143" s="548">
        <f t="shared" si="7"/>
        <v>2.5262724563105023E-4</v>
      </c>
      <c r="J143" s="549">
        <f t="shared" si="8"/>
        <v>0.99234597914482991</v>
      </c>
    </row>
    <row r="144" spans="1:10" x14ac:dyDescent="0.25">
      <c r="A144" s="479" t="s">
        <v>2718</v>
      </c>
      <c r="B144" s="443" t="s">
        <v>993</v>
      </c>
      <c r="C144" s="443" t="s">
        <v>1494</v>
      </c>
      <c r="D144" s="475" t="s">
        <v>1495</v>
      </c>
      <c r="E144" s="443" t="s">
        <v>49</v>
      </c>
      <c r="F144" s="547">
        <v>15</v>
      </c>
      <c r="G144" s="547">
        <v>35.39</v>
      </c>
      <c r="H144" s="547">
        <f t="shared" si="6"/>
        <v>530.85</v>
      </c>
      <c r="I144" s="548">
        <f t="shared" si="7"/>
        <v>2.4930227602707237E-4</v>
      </c>
      <c r="J144" s="549">
        <f t="shared" si="8"/>
        <v>0.99259528142085696</v>
      </c>
    </row>
    <row r="145" spans="1:10" ht="51" x14ac:dyDescent="0.25">
      <c r="A145" s="479" t="s">
        <v>2718</v>
      </c>
      <c r="B145" s="443" t="s">
        <v>1168</v>
      </c>
      <c r="C145" s="443" t="s">
        <v>1616</v>
      </c>
      <c r="D145" s="475" t="s">
        <v>610</v>
      </c>
      <c r="E145" s="443" t="s">
        <v>49</v>
      </c>
      <c r="F145" s="547">
        <v>1</v>
      </c>
      <c r="G145" s="547">
        <v>523.86</v>
      </c>
      <c r="H145" s="547">
        <f t="shared" si="6"/>
        <v>523.86</v>
      </c>
      <c r="I145" s="548">
        <f t="shared" si="7"/>
        <v>2.4601957298585689E-4</v>
      </c>
      <c r="J145" s="549">
        <f t="shared" si="8"/>
        <v>0.99284130099384282</v>
      </c>
    </row>
    <row r="146" spans="1:10" x14ac:dyDescent="0.25">
      <c r="A146" s="479" t="s">
        <v>2718</v>
      </c>
      <c r="B146" s="443" t="s">
        <v>1168</v>
      </c>
      <c r="C146" s="443" t="s">
        <v>1576</v>
      </c>
      <c r="D146" s="475" t="s">
        <v>572</v>
      </c>
      <c r="E146" s="443" t="s">
        <v>1141</v>
      </c>
      <c r="F146" s="547">
        <v>1</v>
      </c>
      <c r="G146" s="547">
        <v>518.87</v>
      </c>
      <c r="H146" s="547">
        <f t="shared" si="6"/>
        <v>518.87</v>
      </c>
      <c r="I146" s="548">
        <f t="shared" si="7"/>
        <v>2.4367612689491766E-4</v>
      </c>
      <c r="J146" s="549">
        <f t="shared" si="8"/>
        <v>0.99308497712073773</v>
      </c>
    </row>
    <row r="147" spans="1:10" x14ac:dyDescent="0.25">
      <c r="A147" s="479" t="s">
        <v>2718</v>
      </c>
      <c r="B147" s="443" t="s">
        <v>993</v>
      </c>
      <c r="C147" s="443" t="s">
        <v>1482</v>
      </c>
      <c r="D147" s="475" t="s">
        <v>1483</v>
      </c>
      <c r="E147" s="443" t="s">
        <v>41</v>
      </c>
      <c r="F147" s="547">
        <v>3</v>
      </c>
      <c r="G147" s="547">
        <v>172.45</v>
      </c>
      <c r="H147" s="547">
        <f t="shared" si="6"/>
        <v>517.35</v>
      </c>
      <c r="I147" s="548">
        <f t="shared" si="7"/>
        <v>2.4296229161270772E-4</v>
      </c>
      <c r="J147" s="549">
        <f t="shared" si="8"/>
        <v>0.99332793941235042</v>
      </c>
    </row>
    <row r="148" spans="1:10" x14ac:dyDescent="0.25">
      <c r="A148" s="479" t="s">
        <v>2718</v>
      </c>
      <c r="B148" s="443" t="s">
        <v>993</v>
      </c>
      <c r="C148" s="443" t="s">
        <v>1508</v>
      </c>
      <c r="D148" s="475" t="s">
        <v>1509</v>
      </c>
      <c r="E148" s="443" t="s">
        <v>1141</v>
      </c>
      <c r="F148" s="547">
        <v>14</v>
      </c>
      <c r="G148" s="547">
        <v>36.85</v>
      </c>
      <c r="H148" s="547">
        <f t="shared" si="6"/>
        <v>515.9</v>
      </c>
      <c r="I148" s="548">
        <f t="shared" si="7"/>
        <v>2.4228133032375742E-4</v>
      </c>
      <c r="J148" s="549">
        <f t="shared" si="8"/>
        <v>0.9935702207426742</v>
      </c>
    </row>
    <row r="149" spans="1:10" ht="25.5" x14ac:dyDescent="0.25">
      <c r="A149" s="479" t="s">
        <v>2718</v>
      </c>
      <c r="B149" s="443" t="s">
        <v>1168</v>
      </c>
      <c r="C149" s="443" t="s">
        <v>1543</v>
      </c>
      <c r="D149" s="475" t="s">
        <v>530</v>
      </c>
      <c r="E149" s="443" t="s">
        <v>49</v>
      </c>
      <c r="F149" s="547">
        <v>22</v>
      </c>
      <c r="G149" s="547">
        <v>23.28</v>
      </c>
      <c r="H149" s="547">
        <f t="shared" si="6"/>
        <v>512.16</v>
      </c>
      <c r="I149" s="548">
        <f t="shared" si="7"/>
        <v>2.4052491982674083E-4</v>
      </c>
      <c r="J149" s="549">
        <f t="shared" si="8"/>
        <v>0.99381074566250094</v>
      </c>
    </row>
    <row r="150" spans="1:10" x14ac:dyDescent="0.25">
      <c r="A150" s="479" t="s">
        <v>2718</v>
      </c>
      <c r="B150" s="443" t="s">
        <v>993</v>
      </c>
      <c r="C150" s="443" t="s">
        <v>1226</v>
      </c>
      <c r="D150" s="475" t="s">
        <v>263</v>
      </c>
      <c r="E150" s="443" t="s">
        <v>1222</v>
      </c>
      <c r="F150" s="547">
        <v>35.44</v>
      </c>
      <c r="G150" s="547">
        <v>13.41</v>
      </c>
      <c r="H150" s="547">
        <f t="shared" si="6"/>
        <v>475.25</v>
      </c>
      <c r="I150" s="548">
        <f t="shared" si="7"/>
        <v>2.2319093280939275E-4</v>
      </c>
      <c r="J150" s="549">
        <f t="shared" si="8"/>
        <v>0.99403393659531036</v>
      </c>
    </row>
    <row r="151" spans="1:10" x14ac:dyDescent="0.25">
      <c r="A151" s="479" t="s">
        <v>2718</v>
      </c>
      <c r="B151" s="443" t="s">
        <v>993</v>
      </c>
      <c r="C151" s="443" t="s">
        <v>1208</v>
      </c>
      <c r="D151" s="475" t="s">
        <v>279</v>
      </c>
      <c r="E151" s="443" t="s">
        <v>45</v>
      </c>
      <c r="F151" s="547">
        <v>93.53</v>
      </c>
      <c r="G151" s="547">
        <v>5.07</v>
      </c>
      <c r="H151" s="547">
        <f t="shared" si="6"/>
        <v>474.19</v>
      </c>
      <c r="I151" s="548">
        <f t="shared" si="7"/>
        <v>2.2269312662574634E-4</v>
      </c>
      <c r="J151" s="549">
        <f t="shared" si="8"/>
        <v>0.99425662972193607</v>
      </c>
    </row>
    <row r="152" spans="1:10" ht="38.25" x14ac:dyDescent="0.25">
      <c r="A152" s="479" t="s">
        <v>2718</v>
      </c>
      <c r="B152" s="443" t="s">
        <v>1168</v>
      </c>
      <c r="C152" s="443" t="s">
        <v>1690</v>
      </c>
      <c r="D152" s="475" t="s">
        <v>877</v>
      </c>
      <c r="E152" s="443" t="s">
        <v>130</v>
      </c>
      <c r="F152" s="547">
        <v>1.2</v>
      </c>
      <c r="G152" s="547">
        <v>392.05</v>
      </c>
      <c r="H152" s="547">
        <f t="shared" si="6"/>
        <v>470.46</v>
      </c>
      <c r="I152" s="548">
        <f t="shared" si="7"/>
        <v>2.2094141241348113E-4</v>
      </c>
      <c r="J152" s="549">
        <f t="shared" si="8"/>
        <v>0.99447757113434954</v>
      </c>
    </row>
    <row r="153" spans="1:10" x14ac:dyDescent="0.25">
      <c r="A153" s="479" t="s">
        <v>2718</v>
      </c>
      <c r="B153" s="443" t="s">
        <v>993</v>
      </c>
      <c r="C153" s="443" t="s">
        <v>1372</v>
      </c>
      <c r="D153" s="475" t="s">
        <v>1373</v>
      </c>
      <c r="E153" s="443" t="s">
        <v>1141</v>
      </c>
      <c r="F153" s="547">
        <v>5</v>
      </c>
      <c r="G153" s="547">
        <v>91.46</v>
      </c>
      <c r="H153" s="547">
        <f t="shared" si="6"/>
        <v>457.3</v>
      </c>
      <c r="I153" s="548">
        <f t="shared" si="7"/>
        <v>2.1476110168066345E-4</v>
      </c>
      <c r="J153" s="549">
        <f t="shared" si="8"/>
        <v>0.99469233223603015</v>
      </c>
    </row>
    <row r="154" spans="1:10" ht="38.25" x14ac:dyDescent="0.25">
      <c r="A154" s="479" t="s">
        <v>2718</v>
      </c>
      <c r="B154" s="443" t="s">
        <v>1168</v>
      </c>
      <c r="C154" s="443" t="s">
        <v>1531</v>
      </c>
      <c r="D154" s="475" t="s">
        <v>524</v>
      </c>
      <c r="E154" s="443" t="s">
        <v>49</v>
      </c>
      <c r="F154" s="547">
        <v>5</v>
      </c>
      <c r="G154" s="547">
        <v>90.33</v>
      </c>
      <c r="H154" s="547">
        <f t="shared" si="6"/>
        <v>451.65</v>
      </c>
      <c r="I154" s="548">
        <f t="shared" si="7"/>
        <v>2.1210770079613305E-4</v>
      </c>
      <c r="J154" s="549">
        <f t="shared" si="8"/>
        <v>0.99490443993682631</v>
      </c>
    </row>
    <row r="155" spans="1:10" x14ac:dyDescent="0.25">
      <c r="A155" s="479" t="s">
        <v>2718</v>
      </c>
      <c r="B155" s="443" t="s">
        <v>993</v>
      </c>
      <c r="C155" s="443" t="s">
        <v>1705</v>
      </c>
      <c r="D155" s="475" t="s">
        <v>690</v>
      </c>
      <c r="E155" s="443" t="s">
        <v>19</v>
      </c>
      <c r="F155" s="547">
        <v>80.7</v>
      </c>
      <c r="G155" s="547">
        <v>5.1100000000000003</v>
      </c>
      <c r="H155" s="547">
        <f t="shared" si="6"/>
        <v>412.37</v>
      </c>
      <c r="I155" s="548">
        <f t="shared" si="7"/>
        <v>1.9366069429270759E-4</v>
      </c>
      <c r="J155" s="549">
        <f t="shared" si="8"/>
        <v>0.99509810063111903</v>
      </c>
    </row>
    <row r="156" spans="1:10" ht="25.5" x14ac:dyDescent="0.25">
      <c r="A156" s="479" t="s">
        <v>2718</v>
      </c>
      <c r="B156" s="443" t="s">
        <v>993</v>
      </c>
      <c r="C156" s="443" t="s">
        <v>1159</v>
      </c>
      <c r="D156" s="475" t="s">
        <v>754</v>
      </c>
      <c r="E156" s="443" t="s">
        <v>19</v>
      </c>
      <c r="F156" s="547">
        <v>58.89</v>
      </c>
      <c r="G156" s="547">
        <v>6.86</v>
      </c>
      <c r="H156" s="547">
        <f t="shared" si="6"/>
        <v>403.98</v>
      </c>
      <c r="I156" s="548">
        <f t="shared" si="7"/>
        <v>1.8972051138629875E-4</v>
      </c>
      <c r="J156" s="549">
        <f t="shared" si="8"/>
        <v>0.99528782114250536</v>
      </c>
    </row>
    <row r="157" spans="1:10" x14ac:dyDescent="0.25">
      <c r="A157" s="479" t="s">
        <v>2718</v>
      </c>
      <c r="B157" s="443" t="s">
        <v>993</v>
      </c>
      <c r="C157" s="443" t="s">
        <v>1454</v>
      </c>
      <c r="D157" s="475" t="s">
        <v>1455</v>
      </c>
      <c r="E157" s="443" t="s">
        <v>45</v>
      </c>
      <c r="F157" s="547">
        <v>5.2</v>
      </c>
      <c r="G157" s="547">
        <v>74.16</v>
      </c>
      <c r="H157" s="547">
        <f t="shared" si="6"/>
        <v>385.63</v>
      </c>
      <c r="I157" s="548">
        <f t="shared" si="7"/>
        <v>1.8110282886751419E-4</v>
      </c>
      <c r="J157" s="549">
        <f t="shared" si="8"/>
        <v>0.99546892397137288</v>
      </c>
    </row>
    <row r="158" spans="1:10" ht="25.5" x14ac:dyDescent="0.25">
      <c r="A158" s="479" t="s">
        <v>2718</v>
      </c>
      <c r="B158" s="443" t="s">
        <v>1168</v>
      </c>
      <c r="C158" s="443" t="s">
        <v>1682</v>
      </c>
      <c r="D158" s="475" t="s">
        <v>659</v>
      </c>
      <c r="E158" s="443" t="s">
        <v>130</v>
      </c>
      <c r="F158" s="547">
        <v>452</v>
      </c>
      <c r="G158" s="547">
        <v>0.83</v>
      </c>
      <c r="H158" s="547">
        <f t="shared" si="6"/>
        <v>375.16</v>
      </c>
      <c r="I158" s="548">
        <f t="shared" si="7"/>
        <v>1.7618581873281807E-4</v>
      </c>
      <c r="J158" s="549">
        <f t="shared" si="8"/>
        <v>0.99564510979010568</v>
      </c>
    </row>
    <row r="159" spans="1:10" ht="25.5" x14ac:dyDescent="0.25">
      <c r="A159" s="479" t="s">
        <v>2718</v>
      </c>
      <c r="B159" s="443" t="s">
        <v>1168</v>
      </c>
      <c r="C159" s="443" t="s">
        <v>1245</v>
      </c>
      <c r="D159" s="475" t="s">
        <v>292</v>
      </c>
      <c r="E159" s="443" t="s">
        <v>38</v>
      </c>
      <c r="F159" s="547">
        <v>20</v>
      </c>
      <c r="G159" s="547">
        <v>18.12</v>
      </c>
      <c r="H159" s="547">
        <f t="shared" si="6"/>
        <v>362.4</v>
      </c>
      <c r="I159" s="548">
        <f t="shared" si="7"/>
        <v>1.701933593900556E-4</v>
      </c>
      <c r="J159" s="549">
        <f t="shared" si="8"/>
        <v>0.99581530314949573</v>
      </c>
    </row>
    <row r="160" spans="1:10" ht="38.25" x14ac:dyDescent="0.25">
      <c r="A160" s="479" t="s">
        <v>2718</v>
      </c>
      <c r="B160" s="443" t="s">
        <v>1168</v>
      </c>
      <c r="C160" s="443" t="s">
        <v>1541</v>
      </c>
      <c r="D160" s="475" t="s">
        <v>529</v>
      </c>
      <c r="E160" s="443" t="s">
        <v>49</v>
      </c>
      <c r="F160" s="547">
        <v>3</v>
      </c>
      <c r="G160" s="547">
        <v>114.33</v>
      </c>
      <c r="H160" s="547">
        <f t="shared" si="6"/>
        <v>342.99</v>
      </c>
      <c r="I160" s="548">
        <f t="shared" si="7"/>
        <v>1.6107787068762465E-4</v>
      </c>
      <c r="J160" s="549">
        <f t="shared" si="8"/>
        <v>0.99597638102018338</v>
      </c>
    </row>
    <row r="161" spans="1:10" x14ac:dyDescent="0.25">
      <c r="A161" s="479" t="s">
        <v>2718</v>
      </c>
      <c r="B161" s="443" t="s">
        <v>993</v>
      </c>
      <c r="C161" s="443" t="s">
        <v>1263</v>
      </c>
      <c r="D161" s="475" t="s">
        <v>308</v>
      </c>
      <c r="E161" s="443" t="s">
        <v>1222</v>
      </c>
      <c r="F161" s="547">
        <v>23.99</v>
      </c>
      <c r="G161" s="547">
        <v>13.76</v>
      </c>
      <c r="H161" s="547">
        <f t="shared" si="6"/>
        <v>330.1</v>
      </c>
      <c r="I161" s="548">
        <f t="shared" si="7"/>
        <v>1.5502435964309428E-4</v>
      </c>
      <c r="J161" s="549">
        <f t="shared" si="8"/>
        <v>0.99613140537982647</v>
      </c>
    </row>
    <row r="162" spans="1:10" ht="25.5" x14ac:dyDescent="0.25">
      <c r="A162" s="479" t="s">
        <v>2718</v>
      </c>
      <c r="B162" s="443" t="s">
        <v>1168</v>
      </c>
      <c r="C162" s="443" t="s">
        <v>1684</v>
      </c>
      <c r="D162" s="475" t="s">
        <v>660</v>
      </c>
      <c r="E162" s="443" t="s">
        <v>130</v>
      </c>
      <c r="F162" s="547">
        <v>352</v>
      </c>
      <c r="G162" s="547">
        <v>0.92</v>
      </c>
      <c r="H162" s="547">
        <f t="shared" si="6"/>
        <v>323.83999999999997</v>
      </c>
      <c r="I162" s="548">
        <f t="shared" si="7"/>
        <v>1.5208448538872959E-4</v>
      </c>
      <c r="J162" s="549">
        <f t="shared" si="8"/>
        <v>0.9962834898652152</v>
      </c>
    </row>
    <row r="163" spans="1:10" ht="25.5" x14ac:dyDescent="0.25">
      <c r="A163" s="479" t="s">
        <v>2718</v>
      </c>
      <c r="B163" s="443" t="s">
        <v>993</v>
      </c>
      <c r="C163" s="443" t="s">
        <v>1478</v>
      </c>
      <c r="D163" s="475" t="s">
        <v>1479</v>
      </c>
      <c r="E163" s="443" t="s">
        <v>1141</v>
      </c>
      <c r="F163" s="547">
        <v>1</v>
      </c>
      <c r="G163" s="547">
        <v>320.2</v>
      </c>
      <c r="H163" s="547">
        <f t="shared" si="6"/>
        <v>320.2</v>
      </c>
      <c r="I163" s="548">
        <f t="shared" si="7"/>
        <v>1.5037503773922685E-4</v>
      </c>
      <c r="J163" s="549">
        <f t="shared" si="8"/>
        <v>0.99643386490295438</v>
      </c>
    </row>
    <row r="164" spans="1:10" ht="25.5" x14ac:dyDescent="0.25">
      <c r="A164" s="479" t="s">
        <v>2718</v>
      </c>
      <c r="B164" s="443" t="s">
        <v>993</v>
      </c>
      <c r="C164" s="443" t="s">
        <v>1283</v>
      </c>
      <c r="D164" s="475" t="s">
        <v>911</v>
      </c>
      <c r="E164" s="443" t="s">
        <v>19</v>
      </c>
      <c r="F164" s="547">
        <v>1.89</v>
      </c>
      <c r="G164" s="547">
        <v>153.69</v>
      </c>
      <c r="H164" s="547">
        <f t="shared" si="6"/>
        <v>290.47000000000003</v>
      </c>
      <c r="I164" s="548">
        <f t="shared" si="7"/>
        <v>1.3641298317337047E-4</v>
      </c>
      <c r="J164" s="549">
        <f t="shared" si="8"/>
        <v>0.99657027788612773</v>
      </c>
    </row>
    <row r="165" spans="1:10" x14ac:dyDescent="0.25">
      <c r="A165" s="479" t="s">
        <v>2718</v>
      </c>
      <c r="B165" s="443" t="s">
        <v>993</v>
      </c>
      <c r="C165" s="443" t="s">
        <v>1328</v>
      </c>
      <c r="D165" s="475" t="s">
        <v>906</v>
      </c>
      <c r="E165" s="443" t="s">
        <v>19</v>
      </c>
      <c r="F165" s="547">
        <v>7.68</v>
      </c>
      <c r="G165" s="547">
        <v>37.4</v>
      </c>
      <c r="H165" s="547">
        <f t="shared" si="6"/>
        <v>287.23</v>
      </c>
      <c r="I165" s="548">
        <f t="shared" si="7"/>
        <v>1.3489138691392296E-4</v>
      </c>
      <c r="J165" s="549">
        <f t="shared" si="8"/>
        <v>0.99670516927304165</v>
      </c>
    </row>
    <row r="166" spans="1:10" x14ac:dyDescent="0.25">
      <c r="A166" s="479" t="s">
        <v>2718</v>
      </c>
      <c r="B166" s="443" t="s">
        <v>993</v>
      </c>
      <c r="C166" s="443" t="s">
        <v>1326</v>
      </c>
      <c r="D166" s="475" t="s">
        <v>905</v>
      </c>
      <c r="E166" s="443" t="s">
        <v>19</v>
      </c>
      <c r="F166" s="547">
        <v>9.1999999999999993</v>
      </c>
      <c r="G166" s="547">
        <v>30.16</v>
      </c>
      <c r="H166" s="547">
        <f t="shared" si="6"/>
        <v>277.47000000000003</v>
      </c>
      <c r="I166" s="548">
        <f t="shared" si="7"/>
        <v>1.3030781299657487E-4</v>
      </c>
      <c r="J166" s="549">
        <f t="shared" si="8"/>
        <v>0.99683547708603826</v>
      </c>
    </row>
    <row r="167" spans="1:10" x14ac:dyDescent="0.25">
      <c r="A167" s="479" t="s">
        <v>2718</v>
      </c>
      <c r="B167" s="443" t="s">
        <v>993</v>
      </c>
      <c r="C167" s="443" t="s">
        <v>1368</v>
      </c>
      <c r="D167" s="475" t="s">
        <v>1369</v>
      </c>
      <c r="E167" s="443" t="s">
        <v>130</v>
      </c>
      <c r="F167" s="547">
        <v>19.16</v>
      </c>
      <c r="G167" s="547">
        <v>14.43</v>
      </c>
      <c r="H167" s="547">
        <f t="shared" si="6"/>
        <v>276.47000000000003</v>
      </c>
      <c r="I167" s="548">
        <f t="shared" si="7"/>
        <v>1.2983818452143674E-4</v>
      </c>
      <c r="J167" s="549">
        <f t="shared" si="8"/>
        <v>0.99696531527055965</v>
      </c>
    </row>
    <row r="168" spans="1:10" x14ac:dyDescent="0.25">
      <c r="A168" s="479" t="s">
        <v>2718</v>
      </c>
      <c r="B168" s="443" t="s">
        <v>993</v>
      </c>
      <c r="C168" s="443" t="s">
        <v>1468</v>
      </c>
      <c r="D168" s="475" t="s">
        <v>1469</v>
      </c>
      <c r="E168" s="443" t="s">
        <v>130</v>
      </c>
      <c r="F168" s="547">
        <v>11.51</v>
      </c>
      <c r="G168" s="547">
        <v>23.98</v>
      </c>
      <c r="H168" s="547">
        <f t="shared" si="6"/>
        <v>276</v>
      </c>
      <c r="I168" s="548">
        <f t="shared" si="7"/>
        <v>1.2961745913812181E-4</v>
      </c>
      <c r="J168" s="549">
        <f t="shared" si="8"/>
        <v>0.99709493272969774</v>
      </c>
    </row>
    <row r="169" spans="1:10" ht="25.5" x14ac:dyDescent="0.25">
      <c r="A169" s="479" t="s">
        <v>2718</v>
      </c>
      <c r="B169" s="443" t="s">
        <v>1168</v>
      </c>
      <c r="C169" s="443" t="s">
        <v>1545</v>
      </c>
      <c r="D169" s="475" t="s">
        <v>531</v>
      </c>
      <c r="E169" s="443" t="s">
        <v>49</v>
      </c>
      <c r="F169" s="547">
        <v>7</v>
      </c>
      <c r="G169" s="547">
        <v>38.18</v>
      </c>
      <c r="H169" s="547">
        <f t="shared" si="6"/>
        <v>267.26</v>
      </c>
      <c r="I169" s="548">
        <f t="shared" si="7"/>
        <v>1.2551290626541462E-4</v>
      </c>
      <c r="J169" s="549">
        <f t="shared" si="8"/>
        <v>0.99722044563596313</v>
      </c>
    </row>
    <row r="170" spans="1:10" x14ac:dyDescent="0.25">
      <c r="A170" s="479" t="s">
        <v>2718</v>
      </c>
      <c r="B170" s="443" t="s">
        <v>993</v>
      </c>
      <c r="C170" s="443" t="s">
        <v>1314</v>
      </c>
      <c r="D170" s="475" t="s">
        <v>328</v>
      </c>
      <c r="E170" s="443" t="s">
        <v>19</v>
      </c>
      <c r="F170" s="547">
        <v>8.93</v>
      </c>
      <c r="G170" s="547">
        <v>28.4</v>
      </c>
      <c r="H170" s="547">
        <f t="shared" si="6"/>
        <v>253.61</v>
      </c>
      <c r="I170" s="548">
        <f t="shared" si="7"/>
        <v>1.1910247757977927E-4</v>
      </c>
      <c r="J170" s="549">
        <f t="shared" si="8"/>
        <v>0.99733954811354286</v>
      </c>
    </row>
    <row r="171" spans="1:10" x14ac:dyDescent="0.25">
      <c r="A171" s="479" t="s">
        <v>2718</v>
      </c>
      <c r="B171" s="443" t="s">
        <v>993</v>
      </c>
      <c r="C171" s="443" t="s">
        <v>1444</v>
      </c>
      <c r="D171" s="475" t="s">
        <v>1445</v>
      </c>
      <c r="E171" s="443" t="s">
        <v>19</v>
      </c>
      <c r="F171" s="547">
        <v>2.16</v>
      </c>
      <c r="G171" s="547">
        <v>113.82</v>
      </c>
      <c r="H171" s="547">
        <f t="shared" si="6"/>
        <v>245.85</v>
      </c>
      <c r="I171" s="548">
        <f t="shared" si="7"/>
        <v>1.1545816061270742E-4</v>
      </c>
      <c r="J171" s="549">
        <f t="shared" si="8"/>
        <v>0.99745500627415562</v>
      </c>
    </row>
    <row r="172" spans="1:10" x14ac:dyDescent="0.25">
      <c r="A172" s="479" t="s">
        <v>2718</v>
      </c>
      <c r="B172" s="443" t="s">
        <v>993</v>
      </c>
      <c r="C172" s="443" t="s">
        <v>1647</v>
      </c>
      <c r="D172" s="475" t="s">
        <v>1648</v>
      </c>
      <c r="E172" s="443" t="s">
        <v>1141</v>
      </c>
      <c r="F172" s="547">
        <v>3</v>
      </c>
      <c r="G172" s="547">
        <v>80.290000000000006</v>
      </c>
      <c r="H172" s="547">
        <f t="shared" si="6"/>
        <v>240.87</v>
      </c>
      <c r="I172" s="548">
        <f t="shared" si="7"/>
        <v>1.1311941080651958E-4</v>
      </c>
      <c r="J172" s="549">
        <f t="shared" si="8"/>
        <v>0.99756812568496211</v>
      </c>
    </row>
    <row r="173" spans="1:10" ht="38.25" x14ac:dyDescent="0.25">
      <c r="A173" s="479" t="s">
        <v>2718</v>
      </c>
      <c r="B173" s="443" t="s">
        <v>1168</v>
      </c>
      <c r="C173" s="443" t="s">
        <v>1539</v>
      </c>
      <c r="D173" s="475" t="s">
        <v>528</v>
      </c>
      <c r="E173" s="443" t="s">
        <v>49</v>
      </c>
      <c r="F173" s="547">
        <v>4</v>
      </c>
      <c r="G173" s="547">
        <v>59.32</v>
      </c>
      <c r="H173" s="547">
        <f t="shared" si="6"/>
        <v>237.28</v>
      </c>
      <c r="I173" s="548">
        <f t="shared" si="7"/>
        <v>1.1143344458077371E-4</v>
      </c>
      <c r="J173" s="549">
        <f t="shared" si="8"/>
        <v>0.99767955912954287</v>
      </c>
    </row>
    <row r="174" spans="1:10" ht="38.25" x14ac:dyDescent="0.25">
      <c r="A174" s="479" t="s">
        <v>2718</v>
      </c>
      <c r="B174" s="443" t="s">
        <v>1168</v>
      </c>
      <c r="C174" s="443" t="s">
        <v>1519</v>
      </c>
      <c r="D174" s="475" t="s">
        <v>491</v>
      </c>
      <c r="E174" s="443" t="s">
        <v>49</v>
      </c>
      <c r="F174" s="547">
        <v>10</v>
      </c>
      <c r="G174" s="547">
        <v>22.26</v>
      </c>
      <c r="H174" s="547">
        <f t="shared" si="6"/>
        <v>222.6</v>
      </c>
      <c r="I174" s="548">
        <f t="shared" si="7"/>
        <v>1.0453929856574607E-4</v>
      </c>
      <c r="J174" s="549">
        <f t="shared" si="8"/>
        <v>0.99778409842810867</v>
      </c>
    </row>
    <row r="175" spans="1:10" x14ac:dyDescent="0.25">
      <c r="A175" s="479" t="s">
        <v>2718</v>
      </c>
      <c r="B175" s="443" t="s">
        <v>993</v>
      </c>
      <c r="C175" s="443" t="s">
        <v>1319</v>
      </c>
      <c r="D175" s="475" t="s">
        <v>1320</v>
      </c>
      <c r="E175" s="443" t="s">
        <v>19</v>
      </c>
      <c r="F175" s="547">
        <v>1.89</v>
      </c>
      <c r="G175" s="547">
        <v>103.97</v>
      </c>
      <c r="H175" s="547">
        <f t="shared" si="6"/>
        <v>196.5</v>
      </c>
      <c r="I175" s="548">
        <f t="shared" si="7"/>
        <v>9.2281995364641085E-5</v>
      </c>
      <c r="J175" s="549">
        <f t="shared" si="8"/>
        <v>0.99787638042347326</v>
      </c>
    </row>
    <row r="176" spans="1:10" ht="38.25" x14ac:dyDescent="0.25">
      <c r="A176" s="479" t="s">
        <v>2718</v>
      </c>
      <c r="B176" s="443" t="s">
        <v>1168</v>
      </c>
      <c r="C176" s="443" t="s">
        <v>1424</v>
      </c>
      <c r="D176" s="475" t="s">
        <v>414</v>
      </c>
      <c r="E176" s="443" t="s">
        <v>38</v>
      </c>
      <c r="F176" s="547">
        <v>1</v>
      </c>
      <c r="G176" s="547">
        <v>195.58</v>
      </c>
      <c r="H176" s="547">
        <f t="shared" si="6"/>
        <v>195.58</v>
      </c>
      <c r="I176" s="548">
        <f t="shared" si="7"/>
        <v>9.184993716751401E-5</v>
      </c>
      <c r="J176" s="549">
        <f t="shared" si="8"/>
        <v>0.99796823036064075</v>
      </c>
    </row>
    <row r="177" spans="1:10" x14ac:dyDescent="0.25">
      <c r="A177" s="479" t="s">
        <v>2718</v>
      </c>
      <c r="B177" s="443" t="s">
        <v>575</v>
      </c>
      <c r="C177" s="443" t="s">
        <v>1582</v>
      </c>
      <c r="D177" s="475" t="s">
        <v>576</v>
      </c>
      <c r="E177" s="443" t="s">
        <v>49</v>
      </c>
      <c r="F177" s="547">
        <v>10</v>
      </c>
      <c r="G177" s="547">
        <v>17.489999999999998</v>
      </c>
      <c r="H177" s="547">
        <f t="shared" si="6"/>
        <v>174.9</v>
      </c>
      <c r="I177" s="548">
        <f t="shared" si="7"/>
        <v>8.2138020301657631E-5</v>
      </c>
      <c r="J177" s="549">
        <f t="shared" si="8"/>
        <v>0.99805036838094241</v>
      </c>
    </row>
    <row r="178" spans="1:10" ht="25.5" x14ac:dyDescent="0.25">
      <c r="A178" s="479" t="s">
        <v>2718</v>
      </c>
      <c r="B178" s="443" t="s">
        <v>1168</v>
      </c>
      <c r="C178" s="443" t="s">
        <v>1533</v>
      </c>
      <c r="D178" s="475" t="s">
        <v>525</v>
      </c>
      <c r="E178" s="443" t="s">
        <v>49</v>
      </c>
      <c r="F178" s="547">
        <v>3</v>
      </c>
      <c r="G178" s="547">
        <v>55.77</v>
      </c>
      <c r="H178" s="547">
        <f t="shared" si="6"/>
        <v>167.31</v>
      </c>
      <c r="I178" s="548">
        <f t="shared" si="7"/>
        <v>7.8573540175359285E-5</v>
      </c>
      <c r="J178" s="549">
        <f t="shared" si="8"/>
        <v>0.99812894192111778</v>
      </c>
    </row>
    <row r="179" spans="1:10" x14ac:dyDescent="0.25">
      <c r="A179" s="479" t="s">
        <v>2718</v>
      </c>
      <c r="B179" s="443" t="s">
        <v>993</v>
      </c>
      <c r="C179" s="443" t="s">
        <v>1157</v>
      </c>
      <c r="D179" s="475" t="s">
        <v>752</v>
      </c>
      <c r="E179" s="443" t="s">
        <v>19</v>
      </c>
      <c r="F179" s="547">
        <v>592.63</v>
      </c>
      <c r="G179" s="547">
        <v>0.28000000000000003</v>
      </c>
      <c r="H179" s="547">
        <f t="shared" si="6"/>
        <v>165.93</v>
      </c>
      <c r="I179" s="548">
        <f t="shared" si="7"/>
        <v>7.7925452879668673E-5</v>
      </c>
      <c r="J179" s="549">
        <f t="shared" si="8"/>
        <v>0.99820686737399744</v>
      </c>
    </row>
    <row r="180" spans="1:10" ht="38.25" x14ac:dyDescent="0.25">
      <c r="A180" s="479" t="s">
        <v>2718</v>
      </c>
      <c r="B180" s="443" t="s">
        <v>1168</v>
      </c>
      <c r="C180" s="443" t="s">
        <v>1523</v>
      </c>
      <c r="D180" s="475" t="s">
        <v>520</v>
      </c>
      <c r="E180" s="443" t="s">
        <v>49</v>
      </c>
      <c r="F180" s="547">
        <v>6</v>
      </c>
      <c r="G180" s="547">
        <v>27.24</v>
      </c>
      <c r="H180" s="547">
        <f t="shared" si="6"/>
        <v>163.44</v>
      </c>
      <c r="I180" s="548">
        <f t="shared" si="7"/>
        <v>7.675607797657475E-5</v>
      </c>
      <c r="J180" s="549">
        <f t="shared" si="8"/>
        <v>0.99828362345197397</v>
      </c>
    </row>
    <row r="181" spans="1:10" ht="25.5" x14ac:dyDescent="0.25">
      <c r="A181" s="479" t="s">
        <v>2718</v>
      </c>
      <c r="B181" s="443" t="s">
        <v>1168</v>
      </c>
      <c r="C181" s="443" t="s">
        <v>1497</v>
      </c>
      <c r="D181" s="475" t="s">
        <v>470</v>
      </c>
      <c r="E181" s="443" t="s">
        <v>38</v>
      </c>
      <c r="F181" s="547">
        <v>3</v>
      </c>
      <c r="G181" s="547">
        <v>54.35</v>
      </c>
      <c r="H181" s="547">
        <f t="shared" si="6"/>
        <v>163.05000000000001</v>
      </c>
      <c r="I181" s="548">
        <f t="shared" si="7"/>
        <v>7.6572922871270883E-5</v>
      </c>
      <c r="J181" s="549">
        <f t="shared" si="8"/>
        <v>0.99836019637484519</v>
      </c>
    </row>
    <row r="182" spans="1:10" ht="38.25" x14ac:dyDescent="0.25">
      <c r="A182" s="479" t="s">
        <v>2718</v>
      </c>
      <c r="B182" s="443" t="s">
        <v>1168</v>
      </c>
      <c r="C182" s="443" t="s">
        <v>1535</v>
      </c>
      <c r="D182" s="475" t="s">
        <v>526</v>
      </c>
      <c r="E182" s="443" t="s">
        <v>49</v>
      </c>
      <c r="F182" s="547">
        <v>1</v>
      </c>
      <c r="G182" s="547">
        <v>141.13999999999999</v>
      </c>
      <c r="H182" s="547">
        <f t="shared" si="6"/>
        <v>141.13999999999999</v>
      </c>
      <c r="I182" s="548">
        <f t="shared" si="7"/>
        <v>6.6283362980994615E-5</v>
      </c>
      <c r="J182" s="549">
        <f t="shared" si="8"/>
        <v>0.99842647973782617</v>
      </c>
    </row>
    <row r="183" spans="1:10" x14ac:dyDescent="0.25">
      <c r="A183" s="479" t="s">
        <v>2718</v>
      </c>
      <c r="B183" s="443" t="s">
        <v>993</v>
      </c>
      <c r="C183" s="443" t="s">
        <v>1502</v>
      </c>
      <c r="D183" s="475" t="s">
        <v>1503</v>
      </c>
      <c r="E183" s="443" t="s">
        <v>1141</v>
      </c>
      <c r="F183" s="547">
        <v>6</v>
      </c>
      <c r="G183" s="547">
        <v>23.03</v>
      </c>
      <c r="H183" s="547">
        <f t="shared" si="6"/>
        <v>138.18</v>
      </c>
      <c r="I183" s="548">
        <f t="shared" si="7"/>
        <v>6.4893262694585774E-5</v>
      </c>
      <c r="J183" s="549">
        <f t="shared" si="8"/>
        <v>0.99849137300052071</v>
      </c>
    </row>
    <row r="184" spans="1:10" x14ac:dyDescent="0.25">
      <c r="A184" s="479" t="s">
        <v>2718</v>
      </c>
      <c r="B184" s="443" t="s">
        <v>993</v>
      </c>
      <c r="C184" s="443" t="s">
        <v>1416</v>
      </c>
      <c r="D184" s="475" t="s">
        <v>1417</v>
      </c>
      <c r="E184" s="443" t="s">
        <v>1141</v>
      </c>
      <c r="F184" s="547">
        <v>6</v>
      </c>
      <c r="G184" s="547">
        <v>22.29</v>
      </c>
      <c r="H184" s="547">
        <f t="shared" si="6"/>
        <v>133.74</v>
      </c>
      <c r="I184" s="548">
        <f t="shared" si="7"/>
        <v>6.2808112264972518E-5</v>
      </c>
      <c r="J184" s="549">
        <f t="shared" si="8"/>
        <v>0.99855418111278571</v>
      </c>
    </row>
    <row r="185" spans="1:10" x14ac:dyDescent="0.25">
      <c r="A185" s="479" t="s">
        <v>2718</v>
      </c>
      <c r="B185" s="443" t="s">
        <v>993</v>
      </c>
      <c r="C185" s="443" t="s">
        <v>1435</v>
      </c>
      <c r="D185" s="475" t="s">
        <v>1436</v>
      </c>
      <c r="E185" s="443" t="s">
        <v>1141</v>
      </c>
      <c r="F185" s="547">
        <v>1</v>
      </c>
      <c r="G185" s="547">
        <v>131.52000000000001</v>
      </c>
      <c r="H185" s="547">
        <f t="shared" si="6"/>
        <v>131.52000000000001</v>
      </c>
      <c r="I185" s="548">
        <f t="shared" si="7"/>
        <v>6.1765537050165883E-5</v>
      </c>
      <c r="J185" s="549">
        <f t="shared" si="8"/>
        <v>0.99861594664983588</v>
      </c>
    </row>
    <row r="186" spans="1:10" x14ac:dyDescent="0.25">
      <c r="A186" s="479" t="s">
        <v>2718</v>
      </c>
      <c r="B186" s="443" t="s">
        <v>993</v>
      </c>
      <c r="C186" s="443" t="s">
        <v>1432</v>
      </c>
      <c r="D186" s="475" t="s">
        <v>1433</v>
      </c>
      <c r="E186" s="443" t="s">
        <v>1141</v>
      </c>
      <c r="F186" s="547">
        <v>1</v>
      </c>
      <c r="G186" s="547">
        <v>131.07</v>
      </c>
      <c r="H186" s="547">
        <f t="shared" si="6"/>
        <v>131.07</v>
      </c>
      <c r="I186" s="548">
        <f t="shared" si="7"/>
        <v>6.1554204236353714E-5</v>
      </c>
      <c r="J186" s="549">
        <f t="shared" si="8"/>
        <v>0.99867750085407225</v>
      </c>
    </row>
    <row r="187" spans="1:10" x14ac:dyDescent="0.25">
      <c r="A187" s="479" t="s">
        <v>2718</v>
      </c>
      <c r="B187" s="443" t="s">
        <v>993</v>
      </c>
      <c r="C187" s="443" t="s">
        <v>1375</v>
      </c>
      <c r="D187" s="475" t="s">
        <v>1376</v>
      </c>
      <c r="E187" s="443" t="s">
        <v>1141</v>
      </c>
      <c r="F187" s="547">
        <v>15</v>
      </c>
      <c r="G187" s="547">
        <v>8.58</v>
      </c>
      <c r="H187" s="547">
        <f t="shared" si="6"/>
        <v>128.69999999999999</v>
      </c>
      <c r="I187" s="548">
        <f t="shared" si="7"/>
        <v>6.044118475027637E-5</v>
      </c>
      <c r="J187" s="549">
        <f t="shared" si="8"/>
        <v>0.99873794203882249</v>
      </c>
    </row>
    <row r="188" spans="1:10" x14ac:dyDescent="0.25">
      <c r="A188" s="479" t="s">
        <v>2718</v>
      </c>
      <c r="B188" s="443" t="s">
        <v>993</v>
      </c>
      <c r="C188" s="443" t="s">
        <v>1350</v>
      </c>
      <c r="D188" s="475" t="s">
        <v>909</v>
      </c>
      <c r="E188" s="443" t="s">
        <v>19</v>
      </c>
      <c r="F188" s="547">
        <v>7.68</v>
      </c>
      <c r="G188" s="547">
        <v>16.579999999999998</v>
      </c>
      <c r="H188" s="547">
        <f t="shared" si="6"/>
        <v>127.33</v>
      </c>
      <c r="I188" s="548">
        <f t="shared" si="7"/>
        <v>5.9797793739337146E-5</v>
      </c>
      <c r="J188" s="549">
        <f t="shared" si="8"/>
        <v>0.99879773983256182</v>
      </c>
    </row>
    <row r="189" spans="1:10" x14ac:dyDescent="0.25">
      <c r="A189" s="479" t="s">
        <v>2718</v>
      </c>
      <c r="B189" s="443" t="s">
        <v>993</v>
      </c>
      <c r="C189" s="443" t="s">
        <v>1324</v>
      </c>
      <c r="D189" s="475" t="s">
        <v>904</v>
      </c>
      <c r="E189" s="443" t="s">
        <v>19</v>
      </c>
      <c r="F189" s="547">
        <v>16.88</v>
      </c>
      <c r="G189" s="547">
        <v>7.54</v>
      </c>
      <c r="H189" s="547">
        <f t="shared" si="6"/>
        <v>127.27</v>
      </c>
      <c r="I189" s="548">
        <f t="shared" si="7"/>
        <v>5.9769616030828857E-5</v>
      </c>
      <c r="J189" s="549">
        <f t="shared" si="8"/>
        <v>0.99885750944859264</v>
      </c>
    </row>
    <row r="190" spans="1:10" x14ac:dyDescent="0.25">
      <c r="A190" s="479" t="s">
        <v>2718</v>
      </c>
      <c r="B190" s="443" t="s">
        <v>993</v>
      </c>
      <c r="C190" s="443" t="s">
        <v>1199</v>
      </c>
      <c r="D190" s="475" t="s">
        <v>224</v>
      </c>
      <c r="E190" s="443" t="s">
        <v>45</v>
      </c>
      <c r="F190" s="547">
        <v>5.17</v>
      </c>
      <c r="G190" s="547">
        <v>23.63</v>
      </c>
      <c r="H190" s="547">
        <f t="shared" si="6"/>
        <v>122.16</v>
      </c>
      <c r="I190" s="548">
        <f t="shared" si="7"/>
        <v>5.7369814522873051E-5</v>
      </c>
      <c r="J190" s="549">
        <f t="shared" si="8"/>
        <v>0.99891487926311551</v>
      </c>
    </row>
    <row r="191" spans="1:10" x14ac:dyDescent="0.25">
      <c r="A191" s="479" t="s">
        <v>2718</v>
      </c>
      <c r="B191" s="443" t="s">
        <v>993</v>
      </c>
      <c r="C191" s="443" t="s">
        <v>1348</v>
      </c>
      <c r="D191" s="475" t="s">
        <v>908</v>
      </c>
      <c r="E191" s="443" t="s">
        <v>19</v>
      </c>
      <c r="F191" s="547">
        <v>7.68</v>
      </c>
      <c r="G191" s="547">
        <v>15.74</v>
      </c>
      <c r="H191" s="547">
        <f t="shared" si="6"/>
        <v>120.88</v>
      </c>
      <c r="I191" s="548">
        <f t="shared" si="7"/>
        <v>5.6768690074696254E-5</v>
      </c>
      <c r="J191" s="549">
        <f t="shared" si="8"/>
        <v>0.99897164795319016</v>
      </c>
    </row>
    <row r="192" spans="1:10" x14ac:dyDescent="0.25">
      <c r="A192" s="479" t="s">
        <v>2718</v>
      </c>
      <c r="B192" s="443" t="s">
        <v>1168</v>
      </c>
      <c r="C192" s="443" t="s">
        <v>1652</v>
      </c>
      <c r="D192" s="475" t="s">
        <v>628</v>
      </c>
      <c r="E192" s="443" t="s">
        <v>130</v>
      </c>
      <c r="F192" s="547">
        <v>1.7</v>
      </c>
      <c r="G192" s="547">
        <v>69.430000000000007</v>
      </c>
      <c r="H192" s="547">
        <f t="shared" si="6"/>
        <v>118.03</v>
      </c>
      <c r="I192" s="548">
        <f t="shared" si="7"/>
        <v>5.5430248920552603E-5</v>
      </c>
      <c r="J192" s="549">
        <f t="shared" si="8"/>
        <v>0.99902707820211067</v>
      </c>
    </row>
    <row r="193" spans="1:10" ht="25.5" x14ac:dyDescent="0.25">
      <c r="A193" s="479" t="s">
        <v>2718</v>
      </c>
      <c r="B193" s="443" t="s">
        <v>1168</v>
      </c>
      <c r="C193" s="443" t="s">
        <v>1555</v>
      </c>
      <c r="D193" s="475" t="s">
        <v>536</v>
      </c>
      <c r="E193" s="443" t="s">
        <v>49</v>
      </c>
      <c r="F193" s="547">
        <v>4</v>
      </c>
      <c r="G193" s="547">
        <v>29.11</v>
      </c>
      <c r="H193" s="547">
        <f t="shared" si="6"/>
        <v>116.44</v>
      </c>
      <c r="I193" s="548">
        <f t="shared" si="7"/>
        <v>5.4683539645082985E-5</v>
      </c>
      <c r="J193" s="549">
        <f t="shared" si="8"/>
        <v>0.99908176174175578</v>
      </c>
    </row>
    <row r="194" spans="1:10" x14ac:dyDescent="0.25">
      <c r="A194" s="479" t="s">
        <v>2718</v>
      </c>
      <c r="B194" s="443" t="s">
        <v>993</v>
      </c>
      <c r="C194" s="443" t="s">
        <v>1426</v>
      </c>
      <c r="D194" s="475" t="s">
        <v>1427</v>
      </c>
      <c r="E194" s="443" t="s">
        <v>1141</v>
      </c>
      <c r="F194" s="547">
        <v>4</v>
      </c>
      <c r="G194" s="547">
        <v>29.05</v>
      </c>
      <c r="H194" s="547">
        <f t="shared" si="6"/>
        <v>116.2</v>
      </c>
      <c r="I194" s="548">
        <f t="shared" si="7"/>
        <v>5.4570828811049842E-5</v>
      </c>
      <c r="J194" s="549">
        <f t="shared" si="8"/>
        <v>0.99913633257056678</v>
      </c>
    </row>
    <row r="195" spans="1:10" x14ac:dyDescent="0.25">
      <c r="A195" s="479" t="s">
        <v>2718</v>
      </c>
      <c r="B195" s="443" t="s">
        <v>993</v>
      </c>
      <c r="C195" s="443" t="s">
        <v>1201</v>
      </c>
      <c r="D195" s="475" t="s">
        <v>230</v>
      </c>
      <c r="E195" s="443" t="s">
        <v>1202</v>
      </c>
      <c r="F195" s="547">
        <v>33.619999999999997</v>
      </c>
      <c r="G195" s="547">
        <v>3.29</v>
      </c>
      <c r="H195" s="547">
        <f t="shared" si="6"/>
        <v>110.6</v>
      </c>
      <c r="I195" s="548">
        <f t="shared" si="7"/>
        <v>5.1940909350276354E-5</v>
      </c>
      <c r="J195" s="549">
        <f t="shared" si="8"/>
        <v>0.99918827347991701</v>
      </c>
    </row>
    <row r="196" spans="1:10" x14ac:dyDescent="0.25">
      <c r="A196" s="479" t="s">
        <v>2718</v>
      </c>
      <c r="B196" s="443" t="s">
        <v>993</v>
      </c>
      <c r="C196" s="443" t="s">
        <v>1228</v>
      </c>
      <c r="D196" s="475" t="s">
        <v>266</v>
      </c>
      <c r="E196" s="443" t="s">
        <v>1222</v>
      </c>
      <c r="F196" s="547">
        <v>6.95</v>
      </c>
      <c r="G196" s="547">
        <v>15.85</v>
      </c>
      <c r="H196" s="547">
        <f t="shared" si="6"/>
        <v>110.15</v>
      </c>
      <c r="I196" s="548">
        <f t="shared" si="7"/>
        <v>5.1729576536464198E-5</v>
      </c>
      <c r="J196" s="549">
        <f t="shared" si="8"/>
        <v>0.99924000305645344</v>
      </c>
    </row>
    <row r="197" spans="1:10" x14ac:dyDescent="0.25">
      <c r="A197" s="479" t="s">
        <v>2718</v>
      </c>
      <c r="B197" s="443" t="s">
        <v>993</v>
      </c>
      <c r="C197" s="443" t="s">
        <v>1465</v>
      </c>
      <c r="D197" s="475" t="s">
        <v>1466</v>
      </c>
      <c r="E197" s="443" t="s">
        <v>130</v>
      </c>
      <c r="F197" s="547">
        <v>5</v>
      </c>
      <c r="G197" s="547">
        <v>21</v>
      </c>
      <c r="H197" s="547">
        <f t="shared" si="6"/>
        <v>105</v>
      </c>
      <c r="I197" s="548">
        <f t="shared" si="7"/>
        <v>4.9310989889502867E-5</v>
      </c>
      <c r="J197" s="549">
        <f t="shared" si="8"/>
        <v>0.99928931404634291</v>
      </c>
    </row>
    <row r="198" spans="1:10" x14ac:dyDescent="0.25">
      <c r="A198" s="479" t="s">
        <v>2718</v>
      </c>
      <c r="B198" s="443" t="s">
        <v>993</v>
      </c>
      <c r="C198" s="443" t="s">
        <v>1378</v>
      </c>
      <c r="D198" s="475" t="s">
        <v>1379</v>
      </c>
      <c r="E198" s="443" t="s">
        <v>1141</v>
      </c>
      <c r="F198" s="547">
        <v>5</v>
      </c>
      <c r="G198" s="547">
        <v>18.55</v>
      </c>
      <c r="H198" s="547">
        <f t="shared" si="6"/>
        <v>92.75</v>
      </c>
      <c r="I198" s="548">
        <f t="shared" si="7"/>
        <v>4.3558041069060864E-5</v>
      </c>
      <c r="J198" s="549">
        <f t="shared" si="8"/>
        <v>0.99933287208741195</v>
      </c>
    </row>
    <row r="199" spans="1:10" x14ac:dyDescent="0.25">
      <c r="A199" s="479" t="s">
        <v>2718</v>
      </c>
      <c r="B199" s="443" t="s">
        <v>993</v>
      </c>
      <c r="C199" s="443" t="s">
        <v>1660</v>
      </c>
      <c r="D199" s="475" t="s">
        <v>1661</v>
      </c>
      <c r="E199" s="443" t="s">
        <v>1141</v>
      </c>
      <c r="F199" s="547">
        <v>8</v>
      </c>
      <c r="G199" s="547">
        <v>10.07</v>
      </c>
      <c r="H199" s="547">
        <f t="shared" si="6"/>
        <v>80.56</v>
      </c>
      <c r="I199" s="548">
        <f t="shared" si="7"/>
        <v>3.7833269957127157E-5</v>
      </c>
      <c r="J199" s="549">
        <f t="shared" si="8"/>
        <v>0.99937070535736905</v>
      </c>
    </row>
    <row r="200" spans="1:10" x14ac:dyDescent="0.25">
      <c r="A200" s="479" t="s">
        <v>2718</v>
      </c>
      <c r="B200" s="443" t="s">
        <v>993</v>
      </c>
      <c r="C200" s="443" t="s">
        <v>1668</v>
      </c>
      <c r="D200" s="475" t="s">
        <v>1669</v>
      </c>
      <c r="E200" s="443" t="s">
        <v>1141</v>
      </c>
      <c r="F200" s="547">
        <v>1</v>
      </c>
      <c r="G200" s="547">
        <v>75.33</v>
      </c>
      <c r="H200" s="547">
        <f t="shared" si="6"/>
        <v>75.33</v>
      </c>
      <c r="I200" s="548">
        <f t="shared" si="7"/>
        <v>3.5377113032154773E-5</v>
      </c>
      <c r="J200" s="549">
        <f t="shared" si="8"/>
        <v>0.99940608247040119</v>
      </c>
    </row>
    <row r="201" spans="1:10" ht="25.5" x14ac:dyDescent="0.25">
      <c r="A201" s="479" t="s">
        <v>2718</v>
      </c>
      <c r="B201" s="443" t="s">
        <v>1168</v>
      </c>
      <c r="C201" s="443" t="s">
        <v>1650</v>
      </c>
      <c r="D201" s="475" t="s">
        <v>627</v>
      </c>
      <c r="E201" s="443" t="s">
        <v>49</v>
      </c>
      <c r="F201" s="547">
        <v>3</v>
      </c>
      <c r="G201" s="547">
        <v>24.25</v>
      </c>
      <c r="H201" s="547">
        <f t="shared" si="6"/>
        <v>72.75</v>
      </c>
      <c r="I201" s="548">
        <f t="shared" si="7"/>
        <v>3.4165471566298416E-5</v>
      </c>
      <c r="J201" s="549">
        <f t="shared" si="8"/>
        <v>0.99944024794196751</v>
      </c>
    </row>
    <row r="202" spans="1:10" x14ac:dyDescent="0.25">
      <c r="A202" s="479" t="s">
        <v>2718</v>
      </c>
      <c r="B202" s="443" t="s">
        <v>1168</v>
      </c>
      <c r="C202" s="443" t="s">
        <v>1666</v>
      </c>
      <c r="D202" s="475" t="s">
        <v>637</v>
      </c>
      <c r="E202" s="443" t="s">
        <v>38</v>
      </c>
      <c r="F202" s="547">
        <v>1</v>
      </c>
      <c r="G202" s="547">
        <v>70.77</v>
      </c>
      <c r="H202" s="547">
        <f t="shared" ref="H202:H232" si="9">+TRUNC(F202*G202,2)</f>
        <v>70.77</v>
      </c>
      <c r="I202" s="548">
        <f t="shared" ref="I202:I232" si="10">+H202/$G$236</f>
        <v>3.3235607185524932E-5</v>
      </c>
      <c r="J202" s="549">
        <f t="shared" si="8"/>
        <v>0.999473483549153</v>
      </c>
    </row>
    <row r="203" spans="1:10" ht="25.5" x14ac:dyDescent="0.25">
      <c r="A203" s="479" t="s">
        <v>2718</v>
      </c>
      <c r="B203" s="443" t="s">
        <v>1168</v>
      </c>
      <c r="C203" s="443" t="s">
        <v>1390</v>
      </c>
      <c r="D203" s="475" t="s">
        <v>363</v>
      </c>
      <c r="E203" s="443" t="s">
        <v>38</v>
      </c>
      <c r="F203" s="547">
        <v>2</v>
      </c>
      <c r="G203" s="547">
        <v>34.409999999999997</v>
      </c>
      <c r="H203" s="547">
        <f t="shared" si="9"/>
        <v>68.819999999999993</v>
      </c>
      <c r="I203" s="548">
        <f t="shared" si="10"/>
        <v>3.2319831659005592E-5</v>
      </c>
      <c r="J203" s="549">
        <f t="shared" ref="J203:J232" si="11">+J202+I203</f>
        <v>0.99950580338081196</v>
      </c>
    </row>
    <row r="204" spans="1:10" x14ac:dyDescent="0.25">
      <c r="A204" s="479" t="s">
        <v>2718</v>
      </c>
      <c r="B204" s="443" t="s">
        <v>993</v>
      </c>
      <c r="C204" s="443" t="s">
        <v>1441</v>
      </c>
      <c r="D204" s="475" t="s">
        <v>1442</v>
      </c>
      <c r="E204" s="443" t="s">
        <v>45</v>
      </c>
      <c r="F204" s="547">
        <v>1.08</v>
      </c>
      <c r="G204" s="547">
        <v>61.74</v>
      </c>
      <c r="H204" s="547">
        <f t="shared" si="9"/>
        <v>66.67</v>
      </c>
      <c r="I204" s="548">
        <f t="shared" si="10"/>
        <v>3.1310130437458628E-5</v>
      </c>
      <c r="J204" s="549">
        <f t="shared" si="11"/>
        <v>0.99953711351124941</v>
      </c>
    </row>
    <row r="205" spans="1:10" x14ac:dyDescent="0.25">
      <c r="A205" s="479" t="s">
        <v>2718</v>
      </c>
      <c r="B205" s="443" t="s">
        <v>993</v>
      </c>
      <c r="C205" s="443" t="s">
        <v>1429</v>
      </c>
      <c r="D205" s="475" t="s">
        <v>1430</v>
      </c>
      <c r="E205" s="443" t="s">
        <v>1141</v>
      </c>
      <c r="F205" s="547">
        <v>2</v>
      </c>
      <c r="G205" s="547">
        <v>33.19</v>
      </c>
      <c r="H205" s="547">
        <f t="shared" si="9"/>
        <v>66.38</v>
      </c>
      <c r="I205" s="548">
        <f t="shared" si="10"/>
        <v>3.117393817966857E-5</v>
      </c>
      <c r="J205" s="549">
        <f t="shared" si="11"/>
        <v>0.99956828744942905</v>
      </c>
    </row>
    <row r="206" spans="1:10" x14ac:dyDescent="0.25">
      <c r="A206" s="479" t="s">
        <v>2718</v>
      </c>
      <c r="B206" s="443" t="s">
        <v>993</v>
      </c>
      <c r="C206" s="443" t="s">
        <v>1384</v>
      </c>
      <c r="D206" s="475" t="s">
        <v>1385</v>
      </c>
      <c r="E206" s="443" t="s">
        <v>1222</v>
      </c>
      <c r="F206" s="547">
        <v>1</v>
      </c>
      <c r="G206" s="547">
        <v>64.430000000000007</v>
      </c>
      <c r="H206" s="547">
        <f t="shared" si="9"/>
        <v>64.430000000000007</v>
      </c>
      <c r="I206" s="548">
        <f t="shared" si="10"/>
        <v>3.0258162653149241E-5</v>
      </c>
      <c r="J206" s="549">
        <f t="shared" si="11"/>
        <v>0.99959854561208217</v>
      </c>
    </row>
    <row r="207" spans="1:10" ht="38.25" x14ac:dyDescent="0.25">
      <c r="A207" s="479" t="s">
        <v>2718</v>
      </c>
      <c r="B207" s="443" t="s">
        <v>1168</v>
      </c>
      <c r="C207" s="443" t="s">
        <v>1553</v>
      </c>
      <c r="D207" s="475" t="s">
        <v>535</v>
      </c>
      <c r="E207" s="443" t="s">
        <v>49</v>
      </c>
      <c r="F207" s="547">
        <v>1</v>
      </c>
      <c r="G207" s="547">
        <v>56.42</v>
      </c>
      <c r="H207" s="547">
        <f t="shared" si="9"/>
        <v>56.42</v>
      </c>
      <c r="I207" s="548">
        <f t="shared" si="10"/>
        <v>2.6496438567292876E-5</v>
      </c>
      <c r="J207" s="549">
        <f t="shared" si="11"/>
        <v>0.9996250420506495</v>
      </c>
    </row>
    <row r="208" spans="1:10" x14ac:dyDescent="0.25">
      <c r="A208" s="479" t="s">
        <v>2718</v>
      </c>
      <c r="B208" s="443" t="s">
        <v>993</v>
      </c>
      <c r="C208" s="443" t="s">
        <v>1387</v>
      </c>
      <c r="D208" s="475" t="s">
        <v>1388</v>
      </c>
      <c r="E208" s="443" t="s">
        <v>1141</v>
      </c>
      <c r="F208" s="547">
        <v>16</v>
      </c>
      <c r="G208" s="547">
        <v>3.5</v>
      </c>
      <c r="H208" s="547">
        <f t="shared" si="9"/>
        <v>56</v>
      </c>
      <c r="I208" s="548">
        <f t="shared" si="10"/>
        <v>2.6299194607734861E-5</v>
      </c>
      <c r="J208" s="549">
        <f t="shared" si="11"/>
        <v>0.99965134124525723</v>
      </c>
    </row>
    <row r="209" spans="1:10" ht="38.25" x14ac:dyDescent="0.25">
      <c r="A209" s="479" t="s">
        <v>2718</v>
      </c>
      <c r="B209" s="443" t="s">
        <v>1168</v>
      </c>
      <c r="C209" s="443" t="s">
        <v>1517</v>
      </c>
      <c r="D209" s="475" t="s">
        <v>489</v>
      </c>
      <c r="E209" s="443" t="s">
        <v>49</v>
      </c>
      <c r="F209" s="547">
        <v>1</v>
      </c>
      <c r="G209" s="547">
        <v>56</v>
      </c>
      <c r="H209" s="547">
        <f t="shared" si="9"/>
        <v>56</v>
      </c>
      <c r="I209" s="548">
        <f t="shared" si="10"/>
        <v>2.6299194607734861E-5</v>
      </c>
      <c r="J209" s="549">
        <f t="shared" si="11"/>
        <v>0.99967764043986496</v>
      </c>
    </row>
    <row r="210" spans="1:10" x14ac:dyDescent="0.25">
      <c r="A210" s="479" t="s">
        <v>2718</v>
      </c>
      <c r="B210" s="443" t="s">
        <v>993</v>
      </c>
      <c r="C210" s="443" t="s">
        <v>1409</v>
      </c>
      <c r="D210" s="475" t="s">
        <v>1410</v>
      </c>
      <c r="E210" s="443" t="s">
        <v>1141</v>
      </c>
      <c r="F210" s="547">
        <v>3</v>
      </c>
      <c r="G210" s="547">
        <v>17.010000000000002</v>
      </c>
      <c r="H210" s="547">
        <f t="shared" si="9"/>
        <v>51.03</v>
      </c>
      <c r="I210" s="548">
        <f t="shared" si="10"/>
        <v>2.3965141086298394E-5</v>
      </c>
      <c r="J210" s="549">
        <f t="shared" si="11"/>
        <v>0.99970160558095122</v>
      </c>
    </row>
    <row r="211" spans="1:10" x14ac:dyDescent="0.25">
      <c r="A211" s="479" t="s">
        <v>2718</v>
      </c>
      <c r="B211" s="443" t="s">
        <v>993</v>
      </c>
      <c r="C211" s="443" t="s">
        <v>1316</v>
      </c>
      <c r="D211" s="475" t="s">
        <v>897</v>
      </c>
      <c r="E211" s="443" t="s">
        <v>19</v>
      </c>
      <c r="F211" s="547">
        <v>1.89</v>
      </c>
      <c r="G211" s="547">
        <v>26.46</v>
      </c>
      <c r="H211" s="547">
        <f t="shared" si="9"/>
        <v>50</v>
      </c>
      <c r="I211" s="548">
        <f t="shared" si="10"/>
        <v>2.3481423756906129E-5</v>
      </c>
      <c r="J211" s="549">
        <f t="shared" si="11"/>
        <v>0.99972508700470808</v>
      </c>
    </row>
    <row r="212" spans="1:10" ht="25.5" x14ac:dyDescent="0.25">
      <c r="A212" s="479" t="s">
        <v>2718</v>
      </c>
      <c r="B212" s="443" t="s">
        <v>1168</v>
      </c>
      <c r="C212" s="443" t="s">
        <v>1674</v>
      </c>
      <c r="D212" s="475" t="s">
        <v>643</v>
      </c>
      <c r="E212" s="443" t="s">
        <v>38</v>
      </c>
      <c r="F212" s="547">
        <v>1</v>
      </c>
      <c r="G212" s="547">
        <v>49.9</v>
      </c>
      <c r="H212" s="547">
        <f t="shared" si="9"/>
        <v>49.9</v>
      </c>
      <c r="I212" s="548">
        <f t="shared" si="10"/>
        <v>2.3434460909392314E-5</v>
      </c>
      <c r="J212" s="549">
        <f t="shared" si="11"/>
        <v>0.99974852146561743</v>
      </c>
    </row>
    <row r="213" spans="1:10" x14ac:dyDescent="0.25">
      <c r="A213" s="479" t="s">
        <v>2718</v>
      </c>
      <c r="B213" s="443" t="s">
        <v>993</v>
      </c>
      <c r="C213" s="443" t="s">
        <v>1298</v>
      </c>
      <c r="D213" s="475" t="s">
        <v>1299</v>
      </c>
      <c r="E213" s="443" t="s">
        <v>1141</v>
      </c>
      <c r="F213" s="547">
        <v>1</v>
      </c>
      <c r="G213" s="547">
        <v>48.57</v>
      </c>
      <c r="H213" s="547">
        <f t="shared" si="9"/>
        <v>48.57</v>
      </c>
      <c r="I213" s="548">
        <f t="shared" si="10"/>
        <v>2.2809855037458613E-5</v>
      </c>
      <c r="J213" s="549">
        <f t="shared" si="11"/>
        <v>0.99977133132065488</v>
      </c>
    </row>
    <row r="214" spans="1:10" x14ac:dyDescent="0.25">
      <c r="A214" s="479" t="s">
        <v>2718</v>
      </c>
      <c r="B214" s="443" t="s">
        <v>993</v>
      </c>
      <c r="C214" s="443" t="s">
        <v>1381</v>
      </c>
      <c r="D214" s="475" t="s">
        <v>1382</v>
      </c>
      <c r="E214" s="443" t="s">
        <v>1141</v>
      </c>
      <c r="F214" s="547">
        <v>5</v>
      </c>
      <c r="G214" s="547">
        <v>9.27</v>
      </c>
      <c r="H214" s="547">
        <f t="shared" si="9"/>
        <v>46.35</v>
      </c>
      <c r="I214" s="548">
        <f t="shared" si="10"/>
        <v>2.1767279822651981E-5</v>
      </c>
      <c r="J214" s="549">
        <f t="shared" si="11"/>
        <v>0.99979309860047749</v>
      </c>
    </row>
    <row r="215" spans="1:10" ht="25.5" x14ac:dyDescent="0.25">
      <c r="A215" s="479" t="s">
        <v>2718</v>
      </c>
      <c r="B215" s="443" t="s">
        <v>1168</v>
      </c>
      <c r="C215" s="443" t="s">
        <v>1392</v>
      </c>
      <c r="D215" s="475" t="s">
        <v>365</v>
      </c>
      <c r="E215" s="443" t="s">
        <v>38</v>
      </c>
      <c r="F215" s="547">
        <v>1</v>
      </c>
      <c r="G215" s="547">
        <v>45.44</v>
      </c>
      <c r="H215" s="547">
        <f t="shared" si="9"/>
        <v>45.44</v>
      </c>
      <c r="I215" s="548">
        <f t="shared" si="10"/>
        <v>2.1339917910276288E-5</v>
      </c>
      <c r="J215" s="549">
        <f t="shared" si="11"/>
        <v>0.9998144385183878</v>
      </c>
    </row>
    <row r="216" spans="1:10" x14ac:dyDescent="0.25">
      <c r="A216" s="479" t="s">
        <v>2718</v>
      </c>
      <c r="B216" s="443" t="s">
        <v>993</v>
      </c>
      <c r="C216" s="443" t="s">
        <v>1485</v>
      </c>
      <c r="D216" s="475" t="s">
        <v>1486</v>
      </c>
      <c r="E216" s="443" t="s">
        <v>1141</v>
      </c>
      <c r="F216" s="547">
        <v>5</v>
      </c>
      <c r="G216" s="547">
        <v>8.5299999999999994</v>
      </c>
      <c r="H216" s="547">
        <f t="shared" si="9"/>
        <v>42.65</v>
      </c>
      <c r="I216" s="548">
        <f t="shared" si="10"/>
        <v>2.0029654464640926E-5</v>
      </c>
      <c r="J216" s="549">
        <f t="shared" si="11"/>
        <v>0.99983446817285249</v>
      </c>
    </row>
    <row r="217" spans="1:10" x14ac:dyDescent="0.25">
      <c r="A217" s="479" t="s">
        <v>2718</v>
      </c>
      <c r="B217" s="443" t="s">
        <v>993</v>
      </c>
      <c r="C217" s="443" t="s">
        <v>1403</v>
      </c>
      <c r="D217" s="475" t="s">
        <v>1404</v>
      </c>
      <c r="E217" s="443" t="s">
        <v>1141</v>
      </c>
      <c r="F217" s="547">
        <v>1</v>
      </c>
      <c r="G217" s="547">
        <v>42.27</v>
      </c>
      <c r="H217" s="547">
        <f t="shared" si="9"/>
        <v>42.27</v>
      </c>
      <c r="I217" s="548">
        <f t="shared" si="10"/>
        <v>1.9851195644088441E-5</v>
      </c>
      <c r="J217" s="549">
        <f t="shared" si="11"/>
        <v>0.99985431936849656</v>
      </c>
    </row>
    <row r="218" spans="1:10" x14ac:dyDescent="0.25">
      <c r="A218" s="479" t="s">
        <v>2718</v>
      </c>
      <c r="B218" s="443" t="s">
        <v>993</v>
      </c>
      <c r="C218" s="443" t="s">
        <v>1488</v>
      </c>
      <c r="D218" s="475" t="s">
        <v>1489</v>
      </c>
      <c r="E218" s="443" t="s">
        <v>1141</v>
      </c>
      <c r="F218" s="547">
        <v>1</v>
      </c>
      <c r="G218" s="547">
        <v>36.28</v>
      </c>
      <c r="H218" s="547">
        <f t="shared" si="9"/>
        <v>36.28</v>
      </c>
      <c r="I218" s="548">
        <f t="shared" si="10"/>
        <v>1.7038121078011087E-5</v>
      </c>
      <c r="J218" s="549">
        <f t="shared" si="11"/>
        <v>0.99987135748957456</v>
      </c>
    </row>
    <row r="219" spans="1:10" x14ac:dyDescent="0.25">
      <c r="A219" s="479" t="s">
        <v>2718</v>
      </c>
      <c r="B219" s="443" t="s">
        <v>993</v>
      </c>
      <c r="C219" s="443" t="s">
        <v>1657</v>
      </c>
      <c r="D219" s="475" t="s">
        <v>1658</v>
      </c>
      <c r="E219" s="443" t="s">
        <v>1141</v>
      </c>
      <c r="F219" s="547">
        <v>3</v>
      </c>
      <c r="G219" s="547">
        <v>11.08</v>
      </c>
      <c r="H219" s="547">
        <f t="shared" si="9"/>
        <v>33.24</v>
      </c>
      <c r="I219" s="548">
        <f t="shared" si="10"/>
        <v>1.5610450513591193E-5</v>
      </c>
      <c r="J219" s="549">
        <f t="shared" si="11"/>
        <v>0.99988696794008813</v>
      </c>
    </row>
    <row r="220" spans="1:10" x14ac:dyDescent="0.25">
      <c r="A220" s="479" t="s">
        <v>2718</v>
      </c>
      <c r="B220" s="443" t="s">
        <v>993</v>
      </c>
      <c r="C220" s="443" t="s">
        <v>1450</v>
      </c>
      <c r="D220" s="475" t="s">
        <v>379</v>
      </c>
      <c r="E220" s="443" t="s">
        <v>45</v>
      </c>
      <c r="F220" s="547">
        <v>0.12</v>
      </c>
      <c r="G220" s="547">
        <v>268.01</v>
      </c>
      <c r="H220" s="547">
        <f t="shared" ref="H220:H225" si="12">+TRUNC(F220*G220,2)-0.005</f>
        <v>32.154999999999994</v>
      </c>
      <c r="I220" s="548">
        <f t="shared" si="10"/>
        <v>1.5100903618066328E-5</v>
      </c>
      <c r="J220" s="549">
        <f t="shared" si="11"/>
        <v>0.99990206884370625</v>
      </c>
    </row>
    <row r="221" spans="1:10" x14ac:dyDescent="0.25">
      <c r="A221" s="479" t="s">
        <v>2718</v>
      </c>
      <c r="B221" s="443" t="s">
        <v>993</v>
      </c>
      <c r="C221" s="443" t="s">
        <v>1505</v>
      </c>
      <c r="D221" s="475" t="s">
        <v>1506</v>
      </c>
      <c r="E221" s="443" t="s">
        <v>1141</v>
      </c>
      <c r="F221" s="547">
        <v>1</v>
      </c>
      <c r="G221" s="547">
        <v>27.94</v>
      </c>
      <c r="H221" s="547">
        <f t="shared" si="12"/>
        <v>27.935000000000002</v>
      </c>
      <c r="I221" s="548">
        <f t="shared" si="10"/>
        <v>1.3119071452983454E-5</v>
      </c>
      <c r="J221" s="549">
        <f t="shared" si="11"/>
        <v>0.99991518791515921</v>
      </c>
    </row>
    <row r="222" spans="1:10" x14ac:dyDescent="0.25">
      <c r="A222" s="479" t="s">
        <v>2718</v>
      </c>
      <c r="B222" s="443" t="s">
        <v>993</v>
      </c>
      <c r="C222" s="443" t="s">
        <v>1394</v>
      </c>
      <c r="D222" s="475" t="s">
        <v>1395</v>
      </c>
      <c r="E222" s="443" t="s">
        <v>1141</v>
      </c>
      <c r="F222" s="547">
        <v>11</v>
      </c>
      <c r="G222" s="547">
        <v>2.13</v>
      </c>
      <c r="H222" s="547">
        <f t="shared" si="12"/>
        <v>23.425000000000001</v>
      </c>
      <c r="I222" s="548">
        <f t="shared" si="10"/>
        <v>1.1001047030110521E-5</v>
      </c>
      <c r="J222" s="549">
        <f t="shared" si="11"/>
        <v>0.99992618896218932</v>
      </c>
    </row>
    <row r="223" spans="1:10" x14ac:dyDescent="0.25">
      <c r="A223" s="479" t="s">
        <v>2718</v>
      </c>
      <c r="B223" s="443" t="s">
        <v>993</v>
      </c>
      <c r="C223" s="443" t="s">
        <v>1491</v>
      </c>
      <c r="D223" s="475" t="s">
        <v>1492</v>
      </c>
      <c r="E223" s="443" t="s">
        <v>1141</v>
      </c>
      <c r="F223" s="547">
        <v>2</v>
      </c>
      <c r="G223" s="547">
        <v>11.69</v>
      </c>
      <c r="H223" s="547">
        <f t="shared" si="12"/>
        <v>23.375</v>
      </c>
      <c r="I223" s="548">
        <f t="shared" si="10"/>
        <v>1.0977565606353615E-5</v>
      </c>
      <c r="J223" s="549">
        <f t="shared" si="11"/>
        <v>0.99993716652779563</v>
      </c>
    </row>
    <row r="224" spans="1:10" x14ac:dyDescent="0.25">
      <c r="A224" s="479" t="s">
        <v>2718</v>
      </c>
      <c r="B224" s="443" t="s">
        <v>993</v>
      </c>
      <c r="C224" s="443" t="s">
        <v>1274</v>
      </c>
      <c r="D224" s="475" t="s">
        <v>300</v>
      </c>
      <c r="E224" s="443" t="s">
        <v>1222</v>
      </c>
      <c r="F224" s="547">
        <v>1.36</v>
      </c>
      <c r="G224" s="547">
        <v>15.85</v>
      </c>
      <c r="H224" s="547">
        <f t="shared" si="12"/>
        <v>21.545000000000002</v>
      </c>
      <c r="I224" s="548">
        <f t="shared" si="10"/>
        <v>1.0118145496850852E-5</v>
      </c>
      <c r="J224" s="549">
        <f t="shared" si="11"/>
        <v>0.99994728467329252</v>
      </c>
    </row>
    <row r="225" spans="1:10" x14ac:dyDescent="0.25">
      <c r="A225" s="479" t="s">
        <v>2718</v>
      </c>
      <c r="B225" s="443" t="s">
        <v>993</v>
      </c>
      <c r="C225" s="443" t="s">
        <v>1400</v>
      </c>
      <c r="D225" s="475" t="s">
        <v>1401</v>
      </c>
      <c r="E225" s="443" t="s">
        <v>1141</v>
      </c>
      <c r="F225" s="547">
        <v>1</v>
      </c>
      <c r="G225" s="547">
        <v>19.02</v>
      </c>
      <c r="H225" s="547">
        <f t="shared" si="12"/>
        <v>19.015000000000001</v>
      </c>
      <c r="I225" s="548">
        <f t="shared" si="10"/>
        <v>8.9299854547514012E-6</v>
      </c>
      <c r="J225" s="549">
        <f t="shared" si="11"/>
        <v>0.99995621465874729</v>
      </c>
    </row>
    <row r="226" spans="1:10" x14ac:dyDescent="0.25">
      <c r="A226" s="479" t="s">
        <v>2718</v>
      </c>
      <c r="B226" s="443" t="s">
        <v>993</v>
      </c>
      <c r="C226" s="443" t="s">
        <v>1644</v>
      </c>
      <c r="D226" s="475" t="s">
        <v>1645</v>
      </c>
      <c r="E226" s="443" t="s">
        <v>1141</v>
      </c>
      <c r="F226" s="547">
        <v>3</v>
      </c>
      <c r="G226" s="547">
        <v>6.28</v>
      </c>
      <c r="H226" s="547">
        <f>+TRUNC(F226*G226,2)-0.004</f>
        <v>18.835999999999999</v>
      </c>
      <c r="I226" s="548">
        <f t="shared" si="10"/>
        <v>8.8459219577016764E-6</v>
      </c>
      <c r="J226" s="549">
        <f t="shared" si="11"/>
        <v>0.999965060580705</v>
      </c>
    </row>
    <row r="227" spans="1:10" x14ac:dyDescent="0.25">
      <c r="A227" s="479" t="s">
        <v>2718</v>
      </c>
      <c r="B227" s="443" t="s">
        <v>993</v>
      </c>
      <c r="C227" s="443" t="s">
        <v>1654</v>
      </c>
      <c r="D227" s="475" t="s">
        <v>1655</v>
      </c>
      <c r="E227" s="443" t="s">
        <v>1141</v>
      </c>
      <c r="F227" s="547">
        <v>3</v>
      </c>
      <c r="G227" s="547">
        <v>5.83</v>
      </c>
      <c r="H227" s="547">
        <f>+TRUNC(F227*G227,2)-0.004</f>
        <v>17.485999999999997</v>
      </c>
      <c r="I227" s="548">
        <f t="shared" si="10"/>
        <v>8.2119235162652088E-6</v>
      </c>
      <c r="J227" s="549">
        <f t="shared" si="11"/>
        <v>0.9999732725042213</v>
      </c>
    </row>
    <row r="228" spans="1:10" x14ac:dyDescent="0.25">
      <c r="A228" s="479" t="s">
        <v>2718</v>
      </c>
      <c r="B228" s="443" t="s">
        <v>993</v>
      </c>
      <c r="C228" s="443" t="s">
        <v>1397</v>
      </c>
      <c r="D228" s="475" t="s">
        <v>1398</v>
      </c>
      <c r="E228" s="443" t="s">
        <v>1141</v>
      </c>
      <c r="F228" s="547">
        <v>1</v>
      </c>
      <c r="G228" s="547">
        <v>16.559999999999999</v>
      </c>
      <c r="H228" s="547">
        <f>+TRUNC(F228*G228,2)-0.004</f>
        <v>16.555999999999997</v>
      </c>
      <c r="I228" s="548">
        <f t="shared" si="10"/>
        <v>7.7751690343867559E-6</v>
      </c>
      <c r="J228" s="549">
        <f t="shared" si="11"/>
        <v>0.99998104767325569</v>
      </c>
    </row>
    <row r="229" spans="1:10" x14ac:dyDescent="0.25">
      <c r="A229" s="479" t="s">
        <v>2718</v>
      </c>
      <c r="B229" s="443" t="s">
        <v>993</v>
      </c>
      <c r="C229" s="443" t="s">
        <v>1671</v>
      </c>
      <c r="D229" s="475" t="s">
        <v>1672</v>
      </c>
      <c r="E229" s="443" t="s">
        <v>1141</v>
      </c>
      <c r="F229" s="547">
        <v>1</v>
      </c>
      <c r="G229" s="547">
        <v>15.58</v>
      </c>
      <c r="H229" s="547">
        <f>+TRUNC(F229*G229,2)-0.004</f>
        <v>15.576000000000001</v>
      </c>
      <c r="I229" s="548">
        <f t="shared" si="10"/>
        <v>7.3149331287513969E-6</v>
      </c>
      <c r="J229" s="549">
        <f t="shared" si="11"/>
        <v>0.99998836260638446</v>
      </c>
    </row>
    <row r="230" spans="1:10" x14ac:dyDescent="0.25">
      <c r="A230" s="479" t="s">
        <v>2718</v>
      </c>
      <c r="B230" s="443" t="s">
        <v>993</v>
      </c>
      <c r="C230" s="443" t="s">
        <v>1419</v>
      </c>
      <c r="D230" s="475" t="s">
        <v>1420</v>
      </c>
      <c r="E230" s="443" t="s">
        <v>1141</v>
      </c>
      <c r="F230" s="547">
        <v>1</v>
      </c>
      <c r="G230" s="547">
        <v>11.7</v>
      </c>
      <c r="H230" s="547">
        <f t="shared" si="9"/>
        <v>11.7</v>
      </c>
      <c r="I230" s="548">
        <f t="shared" si="10"/>
        <v>5.4946531591160335E-6</v>
      </c>
      <c r="J230" s="549">
        <f t="shared" si="11"/>
        <v>0.99999385725954359</v>
      </c>
    </row>
    <row r="231" spans="1:10" x14ac:dyDescent="0.25">
      <c r="A231" s="479" t="s">
        <v>2718</v>
      </c>
      <c r="B231" s="443" t="s">
        <v>993</v>
      </c>
      <c r="C231" s="443" t="s">
        <v>1422</v>
      </c>
      <c r="D231" s="475" t="s">
        <v>409</v>
      </c>
      <c r="E231" s="443" t="s">
        <v>1141</v>
      </c>
      <c r="F231" s="547">
        <v>1</v>
      </c>
      <c r="G231" s="547">
        <v>9.08</v>
      </c>
      <c r="H231" s="547">
        <f t="shared" si="9"/>
        <v>9.08</v>
      </c>
      <c r="I231" s="548">
        <f t="shared" si="10"/>
        <v>4.2642265542541524E-6</v>
      </c>
      <c r="J231" s="549">
        <f t="shared" si="11"/>
        <v>0.9999981214860979</v>
      </c>
    </row>
    <row r="232" spans="1:10" x14ac:dyDescent="0.25">
      <c r="A232" s="479" t="s">
        <v>2718</v>
      </c>
      <c r="B232" s="443" t="s">
        <v>993</v>
      </c>
      <c r="C232" s="443" t="s">
        <v>1412</v>
      </c>
      <c r="D232" s="475" t="s">
        <v>1413</v>
      </c>
      <c r="E232" s="443" t="s">
        <v>1414</v>
      </c>
      <c r="F232" s="547">
        <v>1</v>
      </c>
      <c r="G232" s="547">
        <v>4</v>
      </c>
      <c r="H232" s="547">
        <f t="shared" si="9"/>
        <v>4</v>
      </c>
      <c r="I232" s="548">
        <f t="shared" si="10"/>
        <v>1.8785139005524903E-6</v>
      </c>
      <c r="J232" s="549">
        <f t="shared" si="11"/>
        <v>0.99999999999999845</v>
      </c>
    </row>
    <row r="233" spans="1:10" ht="16.5" x14ac:dyDescent="0.25">
      <c r="A233" s="422"/>
      <c r="B233" s="422"/>
      <c r="C233" s="422"/>
      <c r="D233" s="481"/>
      <c r="E233" s="422"/>
      <c r="F233" s="422"/>
      <c r="G233" s="422"/>
      <c r="H233" s="422"/>
      <c r="I233" s="422"/>
      <c r="J233" s="70"/>
    </row>
    <row r="234" spans="1:10" ht="16.5" x14ac:dyDescent="0.25">
      <c r="A234" s="595"/>
      <c r="B234" s="595"/>
      <c r="C234" s="595"/>
      <c r="D234" s="481"/>
      <c r="E234" s="683" t="s">
        <v>1706</v>
      </c>
      <c r="F234" s="595"/>
      <c r="G234" s="684">
        <f>+'ORÇAMENTO RESUMO (SD)'!K27</f>
        <v>1749888.0599999996</v>
      </c>
      <c r="H234" s="595"/>
      <c r="I234" s="595"/>
      <c r="J234" s="70"/>
    </row>
    <row r="235" spans="1:10" ht="16.5" x14ac:dyDescent="0.25">
      <c r="A235" s="595"/>
      <c r="B235" s="595"/>
      <c r="C235" s="595"/>
      <c r="D235" s="481"/>
      <c r="E235" s="683" t="s">
        <v>1707</v>
      </c>
      <c r="F235" s="595"/>
      <c r="G235" s="684">
        <f>+'ORÇAMENTO RESUMO (SD)'!K28</f>
        <v>379454.7099999995</v>
      </c>
      <c r="H235" s="595"/>
      <c r="I235" s="595"/>
      <c r="J235" s="70"/>
    </row>
    <row r="236" spans="1:10" ht="16.5" x14ac:dyDescent="0.25">
      <c r="A236" s="595"/>
      <c r="B236" s="595"/>
      <c r="C236" s="595"/>
      <c r="D236" s="481"/>
      <c r="E236" s="683" t="s">
        <v>1708</v>
      </c>
      <c r="F236" s="595"/>
      <c r="G236" s="684">
        <f>SUM(H9:H232)</f>
        <v>2129342.7740000002</v>
      </c>
      <c r="H236" s="595"/>
      <c r="I236" s="595"/>
      <c r="J236" s="70"/>
    </row>
    <row r="238" spans="1:10" x14ac:dyDescent="0.25">
      <c r="I238" s="550"/>
    </row>
  </sheetData>
  <mergeCells count="12">
    <mergeCell ref="A236:C236"/>
    <mergeCell ref="E236:F236"/>
    <mergeCell ref="G236:I236"/>
    <mergeCell ref="A234:C234"/>
    <mergeCell ref="E234:F234"/>
    <mergeCell ref="G234:I234"/>
    <mergeCell ref="B1:J1"/>
    <mergeCell ref="C5:D6"/>
    <mergeCell ref="A235:C235"/>
    <mergeCell ref="E235:F235"/>
    <mergeCell ref="G235:I235"/>
    <mergeCell ref="C3:D3"/>
  </mergeCells>
  <printOptions horizontalCentered="1"/>
  <pageMargins left="0.51181102362204722" right="0.51181102362204722" top="0.98425196850393704" bottom="0.78740157480314965" header="0.31496062992125984" footer="0.31496062992125984"/>
  <pageSetup paperSize="9" scale="76" orientation="landscape" r:id="rId1"/>
  <headerFooter>
    <oddHeader>&amp;L&amp;G</oddHeader>
    <oddFooter>&amp;L&amp;"Arial Narrow,Normal"&amp;10&amp;A
&amp;F&amp;R&amp;"Arial Narrow,Normal"&amp;10Página &amp;P de &amp;N</oddFooter>
  </headerFooter>
  <colBreaks count="1" manualBreakCount="1">
    <brk id="21" max="1048575" man="1"/>
  </colBreaks>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CBFFC-5CE9-4E42-8380-49F111E845E1}">
  <dimension ref="B1:Y30"/>
  <sheetViews>
    <sheetView showGridLines="0" showZeros="0" view="pageBreakPreview" topLeftCell="A7" zoomScaleNormal="100" zoomScaleSheetLayoutView="100"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5" s="69" customFormat="1" ht="20.100000000000001" customHeight="1" x14ac:dyDescent="0.25">
      <c r="B1" s="585" t="s">
        <v>2835</v>
      </c>
      <c r="C1" s="569"/>
      <c r="D1" s="569"/>
      <c r="E1" s="569"/>
      <c r="F1" s="569"/>
      <c r="G1" s="569"/>
      <c r="H1" s="569"/>
      <c r="I1" s="569"/>
      <c r="J1" s="569"/>
      <c r="K1" s="569"/>
      <c r="L1" s="569"/>
      <c r="M1" s="569"/>
      <c r="N1" s="569"/>
      <c r="O1" s="569"/>
      <c r="P1" s="569"/>
    </row>
    <row r="2" spans="2:25" s="69" customFormat="1" ht="20.100000000000001" customHeight="1" x14ac:dyDescent="0.25">
      <c r="B2" s="569"/>
      <c r="C2" s="569"/>
      <c r="D2" s="569"/>
      <c r="E2" s="569"/>
      <c r="F2" s="569"/>
      <c r="G2" s="569"/>
      <c r="H2" s="569"/>
      <c r="I2" s="569"/>
      <c r="J2" s="569"/>
      <c r="K2" s="569"/>
      <c r="L2" s="569"/>
      <c r="M2" s="569"/>
      <c r="N2" s="569"/>
      <c r="O2" s="569"/>
      <c r="P2" s="569"/>
    </row>
    <row r="3" spans="2:25" s="69" customFormat="1" ht="12" customHeight="1" x14ac:dyDescent="0.25"/>
    <row r="4" spans="2:25"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3" t="s">
        <v>96</v>
      </c>
      <c r="O4" s="4" t="str">
        <f>+'DADOS DA OBRA'!$N$22</f>
        <v>04/11/2024</v>
      </c>
      <c r="R4" s="32"/>
      <c r="S4" s="32"/>
      <c r="T4" s="33"/>
      <c r="U4" s="33"/>
    </row>
    <row r="5" spans="2:25" s="5" customFormat="1" ht="20.100000000000001" customHeight="1" x14ac:dyDescent="0.25">
      <c r="B5" s="1" t="s">
        <v>18</v>
      </c>
      <c r="C5" s="2" t="str">
        <f>+""&amp;'DADOS DA OBRA'!$B$16&amp;", "&amp;'DADOS DA OBRA'!$B$19&amp;", "&amp;'DADOS DA OBRA'!$J$19&amp;", "&amp;'DADOS DA OBRA'!$P$19</f>
        <v>RUAS DIVERSAS, DIVERSOS, MATRINCHÃ, GO</v>
      </c>
      <c r="N5" s="3" t="s">
        <v>17</v>
      </c>
      <c r="O5" s="4" t="str">
        <f>'DADOS DA OBRA'!$N$25</f>
        <v>00</v>
      </c>
    </row>
    <row r="6" spans="2:25" s="5" customFormat="1" ht="15.75" customHeight="1" x14ac:dyDescent="0.25"/>
    <row r="7" spans="2:25" s="5" customFormat="1" ht="20.100000000000001" customHeight="1" x14ac:dyDescent="0.25">
      <c r="B7" s="5" t="s">
        <v>1080</v>
      </c>
      <c r="E7" s="397" t="s">
        <v>1107</v>
      </c>
      <c r="H7" s="397"/>
      <c r="I7" s="397"/>
      <c r="J7" s="397"/>
      <c r="K7" s="397"/>
      <c r="L7" s="397"/>
      <c r="M7" s="397"/>
      <c r="N7" s="397"/>
      <c r="O7" s="397"/>
      <c r="P7" s="397"/>
      <c r="Q7" s="397"/>
      <c r="R7" s="397"/>
      <c r="S7" s="397"/>
      <c r="T7" s="397"/>
      <c r="U7" s="397"/>
      <c r="V7" s="397"/>
      <c r="W7" s="397"/>
      <c r="X7" s="397"/>
      <c r="Y7" s="397"/>
    </row>
    <row r="8" spans="2:25" ht="20.100000000000001" customHeight="1" x14ac:dyDescent="0.25">
      <c r="B8" s="5" t="s">
        <v>1081</v>
      </c>
      <c r="C8" s="5"/>
      <c r="D8" s="5"/>
      <c r="E8" s="396">
        <v>1</v>
      </c>
      <c r="F8" s="385" t="s">
        <v>1082</v>
      </c>
      <c r="G8" s="386">
        <v>0.05</v>
      </c>
      <c r="H8" s="386"/>
      <c r="L8" s="386"/>
      <c r="M8" s="386"/>
      <c r="N8" s="386"/>
      <c r="O8" s="386"/>
      <c r="P8" s="386"/>
      <c r="Q8" s="386"/>
      <c r="R8" s="386"/>
      <c r="S8" s="386"/>
      <c r="T8" s="386"/>
      <c r="U8" s="386"/>
      <c r="V8" s="386"/>
      <c r="W8" s="386"/>
      <c r="X8" s="386"/>
      <c r="Y8" s="386"/>
    </row>
    <row r="9" spans="2:25" ht="20.100000000000001" customHeight="1" thickBot="1" x14ac:dyDescent="0.3">
      <c r="B9" s="306"/>
      <c r="C9" s="306"/>
      <c r="D9" s="306"/>
      <c r="E9" s="306"/>
      <c r="F9" s="306"/>
      <c r="G9" s="306"/>
      <c r="H9" s="306"/>
      <c r="I9" s="306"/>
      <c r="J9" s="306"/>
      <c r="K9" s="306"/>
      <c r="L9" s="306"/>
      <c r="O9" s="89"/>
    </row>
    <row r="10" spans="2:25" s="357" customFormat="1" ht="24" customHeight="1" thickBot="1" x14ac:dyDescent="0.3">
      <c r="B10" s="67"/>
      <c r="C10" s="686" t="s">
        <v>191</v>
      </c>
      <c r="D10" s="687"/>
      <c r="E10" s="688"/>
      <c r="F10" s="692" t="s">
        <v>1083</v>
      </c>
      <c r="G10" s="67"/>
      <c r="H10" s="67"/>
      <c r="I10" s="694" t="s">
        <v>1084</v>
      </c>
      <c r="J10" s="695"/>
      <c r="K10" s="696"/>
      <c r="L10" s="402"/>
      <c r="M10" s="694" t="s">
        <v>1098</v>
      </c>
      <c r="N10" s="695"/>
      <c r="O10" s="696"/>
    </row>
    <row r="11" spans="2:25" s="357" customFormat="1" ht="20.100000000000001" customHeight="1" thickBot="1" x14ac:dyDescent="0.3">
      <c r="B11" s="67"/>
      <c r="C11" s="689"/>
      <c r="D11" s="690"/>
      <c r="E11" s="691"/>
      <c r="F11" s="693"/>
      <c r="G11" s="360"/>
      <c r="H11" s="360"/>
      <c r="I11" s="403" t="s">
        <v>1085</v>
      </c>
      <c r="J11" s="404" t="s">
        <v>1086</v>
      </c>
      <c r="K11" s="405" t="s">
        <v>1087</v>
      </c>
      <c r="M11" s="412">
        <v>20.34</v>
      </c>
      <c r="N11" s="413">
        <v>22.12</v>
      </c>
      <c r="O11" s="414">
        <v>25</v>
      </c>
    </row>
    <row r="12" spans="2:25" s="357" customFormat="1" ht="20.100000000000001" customHeight="1" x14ac:dyDescent="0.25">
      <c r="B12" s="358"/>
      <c r="C12" s="398" t="s">
        <v>1088</v>
      </c>
      <c r="D12" s="399"/>
      <c r="E12" s="399"/>
      <c r="F12" s="400">
        <v>4</v>
      </c>
      <c r="G12" s="359"/>
      <c r="H12" s="68"/>
      <c r="I12" s="406">
        <v>3</v>
      </c>
      <c r="J12" s="407">
        <v>4</v>
      </c>
      <c r="K12" s="408">
        <v>5.5</v>
      </c>
    </row>
    <row r="13" spans="2:25" s="357" customFormat="1" ht="20.100000000000001" customHeight="1" x14ac:dyDescent="0.25">
      <c r="B13" s="358"/>
      <c r="C13" s="398" t="s">
        <v>1089</v>
      </c>
      <c r="D13" s="399"/>
      <c r="E13" s="399"/>
      <c r="F13" s="400">
        <v>0.12</v>
      </c>
      <c r="G13" s="359"/>
      <c r="H13" s="68"/>
      <c r="I13" s="406">
        <v>0.8</v>
      </c>
      <c r="J13" s="407">
        <v>0.8</v>
      </c>
      <c r="K13" s="408">
        <v>1</v>
      </c>
    </row>
    <row r="14" spans="2:25" s="357" customFormat="1" ht="20.100000000000001" customHeight="1" x14ac:dyDescent="0.25">
      <c r="B14" s="358"/>
      <c r="C14" s="398" t="s">
        <v>1090</v>
      </c>
      <c r="D14" s="399"/>
      <c r="E14" s="399"/>
      <c r="F14" s="400">
        <f t="shared" ref="F14:F18" si="0">I14</f>
        <v>0.97</v>
      </c>
      <c r="G14" s="359"/>
      <c r="H14" s="68"/>
      <c r="I14" s="406">
        <v>0.97</v>
      </c>
      <c r="J14" s="407">
        <v>1.27</v>
      </c>
      <c r="K14" s="408">
        <v>1.27</v>
      </c>
    </row>
    <row r="15" spans="2:25" s="357" customFormat="1" ht="20.100000000000001" customHeight="1" x14ac:dyDescent="0.25">
      <c r="B15" s="358"/>
      <c r="C15" s="398" t="s">
        <v>1091</v>
      </c>
      <c r="D15" s="399"/>
      <c r="E15" s="399"/>
      <c r="F15" s="400">
        <v>0.88</v>
      </c>
      <c r="G15" s="359"/>
      <c r="H15" s="68"/>
      <c r="I15" s="406">
        <v>0.59</v>
      </c>
      <c r="J15" s="407">
        <v>1.23</v>
      </c>
      <c r="K15" s="408">
        <v>1.39</v>
      </c>
    </row>
    <row r="16" spans="2:25" s="357" customFormat="1" ht="20.100000000000001" customHeight="1" x14ac:dyDescent="0.25">
      <c r="B16" s="358"/>
      <c r="C16" s="398" t="s">
        <v>1092</v>
      </c>
      <c r="D16" s="399"/>
      <c r="E16" s="399"/>
      <c r="F16" s="400">
        <v>7.4</v>
      </c>
      <c r="G16" s="359"/>
      <c r="H16" s="68"/>
      <c r="I16" s="406">
        <v>6.16</v>
      </c>
      <c r="J16" s="407">
        <v>7.4</v>
      </c>
      <c r="K16" s="408">
        <v>8.9600000000000009</v>
      </c>
    </row>
    <row r="17" spans="2:25" s="357" customFormat="1" ht="20.100000000000001" customHeight="1" x14ac:dyDescent="0.25">
      <c r="B17" s="358"/>
      <c r="C17" s="398" t="s">
        <v>1093</v>
      </c>
      <c r="D17" s="399"/>
      <c r="E17" s="399"/>
      <c r="F17" s="400">
        <f t="shared" si="0"/>
        <v>0.65</v>
      </c>
      <c r="G17" s="359"/>
      <c r="H17" s="68"/>
      <c r="I17" s="406">
        <v>0.65</v>
      </c>
      <c r="J17" s="407">
        <v>0.65</v>
      </c>
      <c r="K17" s="408">
        <v>0.65</v>
      </c>
    </row>
    <row r="18" spans="2:25" s="357" customFormat="1" ht="20.100000000000001" customHeight="1" x14ac:dyDescent="0.25">
      <c r="B18" s="358"/>
      <c r="C18" s="398" t="s">
        <v>1094</v>
      </c>
      <c r="D18" s="399"/>
      <c r="E18" s="399"/>
      <c r="F18" s="400">
        <f t="shared" si="0"/>
        <v>3</v>
      </c>
      <c r="G18" s="359"/>
      <c r="H18" s="68"/>
      <c r="I18" s="406">
        <v>3</v>
      </c>
      <c r="J18" s="407">
        <v>3</v>
      </c>
      <c r="K18" s="408">
        <v>3</v>
      </c>
    </row>
    <row r="19" spans="2:25" s="357" customFormat="1" ht="20.100000000000001" customHeight="1" thickBot="1" x14ac:dyDescent="0.3">
      <c r="B19" s="358"/>
      <c r="C19" s="398" t="s">
        <v>1095</v>
      </c>
      <c r="D19" s="399"/>
      <c r="E19" s="399"/>
      <c r="F19" s="400">
        <v>5</v>
      </c>
      <c r="G19" s="359"/>
      <c r="H19" s="68"/>
      <c r="I19" s="409">
        <v>2</v>
      </c>
      <c r="J19" s="410">
        <v>2</v>
      </c>
      <c r="K19" s="411">
        <v>5</v>
      </c>
    </row>
    <row r="20" spans="2:25" s="357" customFormat="1" ht="20.100000000000001" customHeight="1" x14ac:dyDescent="0.25">
      <c r="B20" s="358"/>
      <c r="C20" s="398" t="s">
        <v>1096</v>
      </c>
      <c r="D20" s="399"/>
      <c r="E20" s="399"/>
      <c r="F20" s="400"/>
      <c r="G20" s="359"/>
      <c r="H20" s="68"/>
      <c r="I20" s="367"/>
      <c r="J20" s="183"/>
      <c r="K20" s="68"/>
    </row>
    <row r="21" spans="2:25" s="357" customFormat="1" ht="20.100000000000001" customHeight="1" thickBot="1" x14ac:dyDescent="0.3">
      <c r="B21" s="358"/>
      <c r="C21" s="697" t="s">
        <v>1097</v>
      </c>
      <c r="D21" s="698"/>
      <c r="E21" s="699"/>
      <c r="F21" s="401">
        <f>TRUNC((((((1+F12/100+F13/100+F14/100)*(1+F15/100)*(1+F16/100))/(1-(F17/100+F18/100+F19/100+F20/100)))-1)*100),2)</f>
        <v>24.64</v>
      </c>
      <c r="G21" s="368"/>
      <c r="H21" s="68"/>
      <c r="I21" s="415" t="s">
        <v>1106</v>
      </c>
      <c r="J21" s="5"/>
      <c r="K21" s="5"/>
      <c r="L21" s="5"/>
      <c r="M21" s="5"/>
    </row>
    <row r="22" spans="2:25" s="357" customFormat="1" ht="20.100000000000001" customHeight="1" x14ac:dyDescent="0.25">
      <c r="B22" s="67"/>
      <c r="C22" s="7"/>
      <c r="D22" s="365"/>
      <c r="E22" s="372"/>
      <c r="F22" s="372"/>
      <c r="G22" s="372"/>
      <c r="H22" s="373"/>
      <c r="I22" s="387"/>
      <c r="J22" s="387"/>
      <c r="K22" s="387"/>
    </row>
    <row r="23" spans="2:25" s="357" customFormat="1" ht="20.100000000000001" customHeight="1" x14ac:dyDescent="0.25">
      <c r="B23" s="685" t="s">
        <v>1099</v>
      </c>
      <c r="C23" s="685"/>
      <c r="D23" s="685"/>
      <c r="E23" s="685"/>
      <c r="F23" s="685"/>
      <c r="G23" s="685"/>
      <c r="H23" s="685"/>
      <c r="I23" s="685"/>
      <c r="J23" s="685"/>
      <c r="K23" s="685"/>
      <c r="L23" s="685"/>
      <c r="M23" s="685"/>
      <c r="N23" s="685"/>
      <c r="O23" s="685"/>
      <c r="P23" s="685"/>
      <c r="Q23" s="685"/>
      <c r="R23" s="685"/>
      <c r="S23" s="685"/>
      <c r="T23" s="685"/>
      <c r="U23" s="685"/>
      <c r="V23" s="685"/>
      <c r="W23" s="685"/>
      <c r="X23" s="685"/>
      <c r="Y23" s="685"/>
    </row>
    <row r="24" spans="2:25" s="357" customFormat="1" ht="14.25" customHeight="1" x14ac:dyDescent="0.25">
      <c r="B24" s="392"/>
      <c r="C24" s="392"/>
      <c r="D24" s="392"/>
      <c r="E24" s="392"/>
      <c r="F24" s="392"/>
      <c r="G24" s="392"/>
      <c r="H24" s="392"/>
      <c r="I24" s="392"/>
      <c r="J24" s="392"/>
      <c r="K24" s="392"/>
      <c r="L24" s="392"/>
      <c r="M24" s="392"/>
      <c r="N24" s="392"/>
      <c r="O24" s="392"/>
      <c r="P24" s="392"/>
      <c r="Q24" s="392"/>
      <c r="R24" s="392"/>
      <c r="S24" s="392"/>
      <c r="T24" s="392"/>
      <c r="U24" s="392"/>
      <c r="V24" s="392"/>
      <c r="W24" s="392"/>
      <c r="X24" s="392"/>
      <c r="Y24" s="392"/>
    </row>
    <row r="25" spans="2:25" s="357" customFormat="1" ht="20.100000000000001" customHeight="1" x14ac:dyDescent="0.25">
      <c r="B25" s="388" t="s">
        <v>1100</v>
      </c>
      <c r="C25" s="393"/>
      <c r="D25" s="393"/>
      <c r="E25" s="393"/>
      <c r="F25" s="393"/>
      <c r="G25" s="393"/>
      <c r="H25" s="393"/>
      <c r="I25" s="393"/>
      <c r="J25" s="389"/>
      <c r="K25" s="389"/>
      <c r="L25" s="389"/>
      <c r="M25" s="394"/>
      <c r="N25" s="394"/>
      <c r="O25" s="394"/>
      <c r="P25" s="395"/>
      <c r="Q25" s="395"/>
      <c r="R25" s="395"/>
      <c r="S25" s="395"/>
      <c r="T25" s="395"/>
      <c r="U25" s="395"/>
      <c r="V25" s="395"/>
      <c r="W25" s="395"/>
      <c r="X25" s="395"/>
      <c r="Y25" s="395"/>
    </row>
    <row r="26" spans="2:25" s="357" customFormat="1" ht="20.100000000000001" customHeight="1" x14ac:dyDescent="0.25">
      <c r="B26" s="388" t="s">
        <v>1101</v>
      </c>
      <c r="C26" s="389"/>
      <c r="D26" s="390"/>
      <c r="E26" s="390"/>
      <c r="F26" s="390"/>
      <c r="G26" s="390"/>
      <c r="H26" s="390"/>
      <c r="I26" s="390"/>
      <c r="J26" s="390"/>
      <c r="K26" s="391"/>
      <c r="L26" s="391"/>
      <c r="M26" s="391"/>
      <c r="N26" s="391"/>
      <c r="O26" s="391"/>
      <c r="P26" s="391"/>
      <c r="Q26" s="391"/>
      <c r="R26" s="391"/>
      <c r="S26" s="391"/>
      <c r="T26" s="391"/>
      <c r="U26" s="391"/>
      <c r="V26" s="391"/>
      <c r="W26" s="391"/>
      <c r="X26" s="391"/>
      <c r="Y26" s="5"/>
    </row>
    <row r="27" spans="2:25" s="357" customFormat="1" ht="20.100000000000001" customHeight="1" x14ac:dyDescent="0.25">
      <c r="B27" s="388" t="s">
        <v>1102</v>
      </c>
      <c r="C27" s="389"/>
      <c r="D27" s="390"/>
      <c r="E27" s="390"/>
      <c r="F27" s="390"/>
      <c r="G27" s="390"/>
      <c r="H27" s="390"/>
      <c r="I27" s="390"/>
      <c r="J27" s="390"/>
      <c r="K27" s="391"/>
      <c r="L27" s="391"/>
      <c r="M27" s="391"/>
      <c r="N27" s="391"/>
      <c r="O27" s="391"/>
      <c r="P27" s="391"/>
      <c r="Q27" s="391"/>
      <c r="R27" s="391"/>
      <c r="S27" s="391"/>
      <c r="T27" s="391"/>
      <c r="U27" s="391"/>
      <c r="V27" s="391"/>
      <c r="W27" s="391"/>
      <c r="X27" s="391"/>
      <c r="Y27" s="5"/>
    </row>
    <row r="28" spans="2:25" s="357" customFormat="1" ht="20.100000000000001" customHeight="1" x14ac:dyDescent="0.25">
      <c r="B28" s="388" t="s">
        <v>1103</v>
      </c>
      <c r="C28" s="393"/>
      <c r="D28" s="393"/>
      <c r="E28" s="393"/>
      <c r="F28" s="393"/>
      <c r="G28" s="393"/>
      <c r="H28" s="393"/>
      <c r="I28" s="393"/>
      <c r="J28" s="389"/>
      <c r="K28" s="389"/>
      <c r="L28" s="389"/>
      <c r="M28" s="394"/>
      <c r="N28" s="394"/>
      <c r="O28" s="394"/>
      <c r="P28" s="395"/>
      <c r="Q28" s="395"/>
      <c r="R28" s="395"/>
      <c r="S28" s="395"/>
      <c r="T28" s="395"/>
      <c r="U28" s="395"/>
      <c r="V28" s="395"/>
      <c r="W28" s="395"/>
      <c r="X28" s="395"/>
      <c r="Y28" s="395"/>
    </row>
    <row r="29" spans="2:25" s="357" customFormat="1" ht="20.100000000000001" customHeight="1" x14ac:dyDescent="0.25">
      <c r="B29" s="388" t="s">
        <v>1104</v>
      </c>
      <c r="C29" s="389"/>
      <c r="D29" s="390"/>
      <c r="E29" s="390"/>
      <c r="F29" s="390"/>
      <c r="G29" s="390"/>
      <c r="H29" s="390"/>
      <c r="I29" s="390"/>
      <c r="J29" s="390"/>
      <c r="K29" s="391"/>
      <c r="L29" s="391"/>
      <c r="M29" s="391"/>
      <c r="N29" s="391"/>
      <c r="O29" s="391"/>
      <c r="P29" s="391"/>
      <c r="Q29" s="391"/>
      <c r="R29" s="391"/>
      <c r="S29" s="391"/>
      <c r="T29" s="391"/>
      <c r="U29" s="391"/>
      <c r="V29" s="391"/>
      <c r="W29" s="391"/>
      <c r="X29" s="391"/>
      <c r="Y29" s="5"/>
    </row>
    <row r="30" spans="2:25" s="357" customFormat="1" ht="20.100000000000001" customHeight="1" x14ac:dyDescent="0.25">
      <c r="B30" s="388" t="s">
        <v>1105</v>
      </c>
      <c r="C30" s="389"/>
      <c r="D30" s="390"/>
      <c r="E30" s="390"/>
      <c r="F30" s="390"/>
      <c r="G30" s="390"/>
      <c r="H30" s="390"/>
      <c r="I30" s="390"/>
      <c r="J30" s="390"/>
      <c r="K30" s="391"/>
      <c r="L30" s="391"/>
      <c r="M30" s="391"/>
      <c r="N30" s="391"/>
      <c r="O30" s="391"/>
      <c r="P30" s="391"/>
      <c r="Q30" s="391"/>
      <c r="R30" s="391"/>
      <c r="S30" s="391"/>
      <c r="T30" s="391"/>
      <c r="U30" s="391"/>
      <c r="V30" s="391"/>
      <c r="W30" s="391"/>
      <c r="X30" s="391"/>
      <c r="Y30" s="5"/>
    </row>
  </sheetData>
  <mergeCells count="8">
    <mergeCell ref="B23:Y23"/>
    <mergeCell ref="B1:P2"/>
    <mergeCell ref="C10:E11"/>
    <mergeCell ref="F10:F11"/>
    <mergeCell ref="I10:K10"/>
    <mergeCell ref="M10:O10"/>
    <mergeCell ref="C21:E21"/>
    <mergeCell ref="C4:M4"/>
  </mergeCells>
  <conditionalFormatting sqref="E7 Q7:Y7">
    <cfRule type="cellIs" dxfId="40" priority="2" stopIfTrue="1" operator="equal">
      <formula>0</formula>
    </cfRule>
  </conditionalFormatting>
  <conditionalFormatting sqref="F12:F18">
    <cfRule type="cellIs" dxfId="39" priority="1" stopIfTrue="1" operator="equal">
      <formula>0</formula>
    </cfRule>
  </conditionalFormatting>
  <printOptions horizontalCentered="1"/>
  <pageMargins left="0.51181102362204722" right="0.51181102362204722" top="0.78740157480314965" bottom="0.78740157480314965" header="0.31496062992125984" footer="0.39370078740157483"/>
  <pageSetup paperSize="9" scale="83" orientation="landscape" r:id="rId1"/>
  <headerFooter>
    <oddHeader>&amp;L&amp;G</oddHeader>
    <oddFooter>&amp;L&amp;"Arial Narrow,Normal"&amp;10&amp;A
&amp;F&amp;R&amp;"Arial Narrow,Normal"&amp;10&amp;P de &amp;N</oddFooter>
  </headerFooter>
  <colBreaks count="1" manualBreakCount="1">
    <brk id="17" max="1048575" man="1"/>
  </colBreaks>
  <drawing r:id="rId2"/>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43608-9C04-4BDD-933D-2D2E8DB3B373}">
  <dimension ref="B1:Y30"/>
  <sheetViews>
    <sheetView showGridLines="0" showZeros="0" view="pageBreakPreview" zoomScaleNormal="100" zoomScaleSheetLayoutView="100"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5" s="69" customFormat="1" ht="20.100000000000001" customHeight="1" x14ac:dyDescent="0.25">
      <c r="B1" s="585" t="s">
        <v>1110</v>
      </c>
      <c r="C1" s="569"/>
      <c r="D1" s="569"/>
      <c r="E1" s="569"/>
      <c r="F1" s="569"/>
      <c r="G1" s="569"/>
      <c r="H1" s="569"/>
      <c r="I1" s="569"/>
      <c r="J1" s="569"/>
      <c r="K1" s="569"/>
      <c r="L1" s="569"/>
      <c r="M1" s="569"/>
      <c r="N1" s="569"/>
      <c r="O1" s="569"/>
      <c r="P1" s="569"/>
    </row>
    <row r="2" spans="2:25" s="69" customFormat="1" ht="20.100000000000001" customHeight="1" x14ac:dyDescent="0.25">
      <c r="B2" s="569"/>
      <c r="C2" s="569"/>
      <c r="D2" s="569"/>
      <c r="E2" s="569"/>
      <c r="F2" s="569"/>
      <c r="G2" s="569"/>
      <c r="H2" s="569"/>
      <c r="I2" s="569"/>
      <c r="J2" s="569"/>
      <c r="K2" s="569"/>
      <c r="L2" s="569"/>
      <c r="M2" s="569"/>
      <c r="N2" s="569"/>
      <c r="O2" s="569"/>
      <c r="P2" s="569"/>
    </row>
    <row r="3" spans="2:25" s="69" customFormat="1" ht="15" customHeight="1" x14ac:dyDescent="0.25"/>
    <row r="4" spans="2:25"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3" t="s">
        <v>96</v>
      </c>
      <c r="O4" s="4" t="str">
        <f>+'DADOS DA OBRA'!$N$22</f>
        <v>04/11/2024</v>
      </c>
      <c r="R4" s="32"/>
      <c r="S4" s="32"/>
      <c r="T4" s="33"/>
      <c r="U4" s="33"/>
    </row>
    <row r="5" spans="2:25" s="5" customFormat="1" ht="20.100000000000001" customHeight="1" x14ac:dyDescent="0.25">
      <c r="B5" s="1" t="s">
        <v>18</v>
      </c>
      <c r="C5" s="2" t="str">
        <f>+""&amp;'DADOS DA OBRA'!$B$16&amp;", "&amp;'DADOS DA OBRA'!$B$19&amp;", "&amp;'DADOS DA OBRA'!$J$19&amp;", "&amp;'DADOS DA OBRA'!$P$19</f>
        <v>RUAS DIVERSAS, DIVERSOS, MATRINCHÃ, GO</v>
      </c>
      <c r="N5" s="3" t="s">
        <v>17</v>
      </c>
      <c r="O5" s="4" t="str">
        <f>'DADOS DA OBRA'!$N$25</f>
        <v>00</v>
      </c>
    </row>
    <row r="6" spans="2:25" s="5" customFormat="1" ht="15" customHeight="1" x14ac:dyDescent="0.25"/>
    <row r="7" spans="2:25" s="5" customFormat="1" ht="20.100000000000001" customHeight="1" x14ac:dyDescent="0.25">
      <c r="B7" s="5" t="s">
        <v>1080</v>
      </c>
      <c r="E7" s="397" t="s">
        <v>1107</v>
      </c>
      <c r="H7" s="397"/>
      <c r="I7" s="397"/>
      <c r="J7" s="397"/>
      <c r="K7" s="397"/>
      <c r="L7" s="397"/>
      <c r="M7" s="397"/>
      <c r="N7" s="397"/>
      <c r="O7" s="397"/>
      <c r="P7" s="397"/>
      <c r="Q7" s="397"/>
      <c r="R7" s="397"/>
      <c r="S7" s="397"/>
      <c r="T7" s="397"/>
      <c r="U7" s="397"/>
      <c r="V7" s="397"/>
      <c r="W7" s="397"/>
      <c r="X7" s="397"/>
      <c r="Y7" s="397"/>
    </row>
    <row r="8" spans="2:25" ht="20.100000000000001" customHeight="1" x14ac:dyDescent="0.25">
      <c r="B8" s="5" t="s">
        <v>1081</v>
      </c>
      <c r="C8" s="5"/>
      <c r="D8" s="5"/>
      <c r="E8" s="396">
        <v>1</v>
      </c>
      <c r="F8" s="385" t="s">
        <v>1082</v>
      </c>
      <c r="G8" s="386">
        <v>0.05</v>
      </c>
      <c r="H8" s="386"/>
      <c r="L8" s="386"/>
      <c r="M8" s="386"/>
      <c r="N8" s="386"/>
      <c r="O8" s="386"/>
      <c r="P8" s="386"/>
      <c r="Q8" s="386"/>
      <c r="R8" s="386"/>
      <c r="S8" s="386"/>
      <c r="T8" s="386"/>
      <c r="U8" s="386"/>
      <c r="V8" s="386"/>
      <c r="W8" s="386"/>
      <c r="X8" s="386"/>
      <c r="Y8" s="386"/>
    </row>
    <row r="9" spans="2:25" ht="20.100000000000001" customHeight="1" thickBot="1" x14ac:dyDescent="0.3">
      <c r="B9" s="306"/>
      <c r="C9" s="306"/>
      <c r="D9" s="306"/>
      <c r="E9" s="306"/>
      <c r="F9" s="306"/>
      <c r="G9" s="306"/>
      <c r="H9" s="306"/>
      <c r="I9" s="306"/>
      <c r="J9" s="306"/>
      <c r="K9" s="306"/>
      <c r="L9" s="306"/>
      <c r="O9" s="89"/>
    </row>
    <row r="10" spans="2:25" s="357" customFormat="1" ht="24" customHeight="1" thickBot="1" x14ac:dyDescent="0.3">
      <c r="B10" s="67"/>
      <c r="C10" s="686" t="s">
        <v>191</v>
      </c>
      <c r="D10" s="687"/>
      <c r="E10" s="688"/>
      <c r="F10" s="692" t="s">
        <v>1083</v>
      </c>
      <c r="G10" s="67"/>
      <c r="H10" s="67"/>
      <c r="I10" s="694" t="s">
        <v>1084</v>
      </c>
      <c r="J10" s="695"/>
      <c r="K10" s="696"/>
      <c r="L10" s="402"/>
      <c r="M10" s="694" t="s">
        <v>1098</v>
      </c>
      <c r="N10" s="695"/>
      <c r="O10" s="696"/>
    </row>
    <row r="11" spans="2:25" s="357" customFormat="1" ht="20.100000000000001" customHeight="1" thickBot="1" x14ac:dyDescent="0.3">
      <c r="B11" s="67"/>
      <c r="C11" s="689"/>
      <c r="D11" s="690"/>
      <c r="E11" s="691"/>
      <c r="F11" s="693"/>
      <c r="G11" s="360"/>
      <c r="H11" s="360"/>
      <c r="I11" s="403" t="s">
        <v>1085</v>
      </c>
      <c r="J11" s="404" t="s">
        <v>1086</v>
      </c>
      <c r="K11" s="405" t="s">
        <v>1087</v>
      </c>
      <c r="M11" s="412">
        <v>11.1</v>
      </c>
      <c r="N11" s="413">
        <v>14.02</v>
      </c>
      <c r="O11" s="414">
        <v>16.8</v>
      </c>
    </row>
    <row r="12" spans="2:25" s="357" customFormat="1" ht="20.100000000000001" customHeight="1" x14ac:dyDescent="0.25">
      <c r="B12" s="358"/>
      <c r="C12" s="398" t="s">
        <v>1088</v>
      </c>
      <c r="D12" s="399"/>
      <c r="E12" s="399"/>
      <c r="F12" s="400">
        <v>3.45</v>
      </c>
      <c r="G12" s="359"/>
      <c r="H12" s="68"/>
      <c r="I12" s="406">
        <v>1.5</v>
      </c>
      <c r="J12" s="407">
        <v>3.45</v>
      </c>
      <c r="K12" s="408">
        <v>4.49</v>
      </c>
    </row>
    <row r="13" spans="2:25" s="357" customFormat="1" ht="20.100000000000001" customHeight="1" x14ac:dyDescent="0.25">
      <c r="B13" s="358"/>
      <c r="C13" s="398" t="s">
        <v>1089</v>
      </c>
      <c r="D13" s="399"/>
      <c r="E13" s="399"/>
      <c r="F13" s="400">
        <v>0.06</v>
      </c>
      <c r="G13" s="359"/>
      <c r="H13" s="68"/>
      <c r="I13" s="406">
        <v>0.3</v>
      </c>
      <c r="J13" s="407">
        <v>0.48</v>
      </c>
      <c r="K13" s="408">
        <v>0.82</v>
      </c>
    </row>
    <row r="14" spans="2:25" s="357" customFormat="1" ht="20.100000000000001" customHeight="1" x14ac:dyDescent="0.25">
      <c r="B14" s="358"/>
      <c r="C14" s="398" t="s">
        <v>1090</v>
      </c>
      <c r="D14" s="399"/>
      <c r="E14" s="399"/>
      <c r="F14" s="400">
        <f t="shared" ref="F14:F18" si="0">I14</f>
        <v>0.56000000000000005</v>
      </c>
      <c r="G14" s="359"/>
      <c r="H14" s="68"/>
      <c r="I14" s="406">
        <v>0.56000000000000005</v>
      </c>
      <c r="J14" s="407">
        <v>0.85</v>
      </c>
      <c r="K14" s="408">
        <v>0.89</v>
      </c>
    </row>
    <row r="15" spans="2:25" s="357" customFormat="1" ht="20.100000000000001" customHeight="1" x14ac:dyDescent="0.25">
      <c r="B15" s="358"/>
      <c r="C15" s="398" t="s">
        <v>1091</v>
      </c>
      <c r="D15" s="399"/>
      <c r="E15" s="399"/>
      <c r="F15" s="400">
        <v>0.88</v>
      </c>
      <c r="G15" s="359"/>
      <c r="H15" s="68"/>
      <c r="I15" s="406">
        <v>0.85</v>
      </c>
      <c r="J15" s="407">
        <v>0.85</v>
      </c>
      <c r="K15" s="408">
        <v>1.1100000000000001</v>
      </c>
    </row>
    <row r="16" spans="2:25" s="357" customFormat="1" ht="20.100000000000001" customHeight="1" x14ac:dyDescent="0.25">
      <c r="B16" s="358"/>
      <c r="C16" s="398" t="s">
        <v>1092</v>
      </c>
      <c r="D16" s="399"/>
      <c r="E16" s="399"/>
      <c r="F16" s="400">
        <v>4.8</v>
      </c>
      <c r="G16" s="359"/>
      <c r="H16" s="68"/>
      <c r="I16" s="406">
        <v>3.5</v>
      </c>
      <c r="J16" s="407">
        <v>5.1100000000000003</v>
      </c>
      <c r="K16" s="408">
        <v>6.22</v>
      </c>
    </row>
    <row r="17" spans="2:25" s="357" customFormat="1" ht="20.100000000000001" customHeight="1" x14ac:dyDescent="0.25">
      <c r="B17" s="358"/>
      <c r="C17" s="398" t="s">
        <v>1093</v>
      </c>
      <c r="D17" s="399"/>
      <c r="E17" s="399"/>
      <c r="F17" s="400">
        <f t="shared" si="0"/>
        <v>0.65</v>
      </c>
      <c r="G17" s="359"/>
      <c r="H17" s="68"/>
      <c r="I17" s="406">
        <v>0.65</v>
      </c>
      <c r="J17" s="407">
        <v>0.65</v>
      </c>
      <c r="K17" s="408">
        <v>0.65</v>
      </c>
    </row>
    <row r="18" spans="2:25" s="357" customFormat="1" ht="20.100000000000001" customHeight="1" x14ac:dyDescent="0.25">
      <c r="B18" s="358"/>
      <c r="C18" s="398" t="s">
        <v>1094</v>
      </c>
      <c r="D18" s="399"/>
      <c r="E18" s="399"/>
      <c r="F18" s="400">
        <f t="shared" si="0"/>
        <v>3</v>
      </c>
      <c r="G18" s="359"/>
      <c r="H18" s="68"/>
      <c r="I18" s="406">
        <v>3</v>
      </c>
      <c r="J18" s="407">
        <v>3</v>
      </c>
      <c r="K18" s="408">
        <v>3</v>
      </c>
    </row>
    <row r="19" spans="2:25" s="357" customFormat="1" ht="20.100000000000001" customHeight="1" thickBot="1" x14ac:dyDescent="0.3">
      <c r="B19" s="358"/>
      <c r="C19" s="398" t="s">
        <v>1095</v>
      </c>
      <c r="D19" s="399"/>
      <c r="E19" s="399"/>
      <c r="F19" s="400"/>
      <c r="G19" s="359"/>
      <c r="H19" s="68"/>
      <c r="I19" s="409">
        <v>2</v>
      </c>
      <c r="J19" s="410">
        <v>2</v>
      </c>
      <c r="K19" s="411">
        <v>5</v>
      </c>
    </row>
    <row r="20" spans="2:25" s="357" customFormat="1" ht="20.100000000000001" customHeight="1" x14ac:dyDescent="0.25">
      <c r="B20" s="358"/>
      <c r="C20" s="398" t="s">
        <v>1096</v>
      </c>
      <c r="D20" s="399"/>
      <c r="E20" s="399"/>
      <c r="F20" s="400"/>
      <c r="G20" s="359"/>
      <c r="H20" s="68"/>
      <c r="I20" s="367"/>
      <c r="J20" s="183"/>
      <c r="K20" s="68"/>
    </row>
    <row r="21" spans="2:25" s="357" customFormat="1" ht="20.100000000000001" customHeight="1" thickBot="1" x14ac:dyDescent="0.3">
      <c r="B21" s="358"/>
      <c r="C21" s="697" t="s">
        <v>1097</v>
      </c>
      <c r="D21" s="698"/>
      <c r="E21" s="699"/>
      <c r="F21" s="401">
        <f>TRUNC((((((1+F12/100+F13/100+F14/100)*(1+F15/100)*(1+F16/100))/(1-(F17/100+F18/100+F19/100+F20/100)))-1)*100),2)</f>
        <v>14.19</v>
      </c>
      <c r="G21" s="368"/>
      <c r="H21" s="68"/>
      <c r="I21" s="415" t="s">
        <v>1106</v>
      </c>
      <c r="J21" s="5"/>
      <c r="K21" s="5"/>
      <c r="L21" s="5"/>
      <c r="M21" s="5"/>
    </row>
    <row r="22" spans="2:25" s="357" customFormat="1" ht="20.100000000000001" customHeight="1" x14ac:dyDescent="0.25">
      <c r="B22" s="67"/>
      <c r="C22" s="7"/>
      <c r="D22" s="365"/>
      <c r="E22" s="372"/>
      <c r="F22" s="372"/>
      <c r="G22" s="372"/>
      <c r="H22" s="373"/>
      <c r="I22" s="387"/>
      <c r="J22" s="387"/>
      <c r="K22" s="387"/>
    </row>
    <row r="23" spans="2:25" s="357" customFormat="1" ht="20.100000000000001" customHeight="1" x14ac:dyDescent="0.25">
      <c r="B23" s="685" t="s">
        <v>1099</v>
      </c>
      <c r="C23" s="685"/>
      <c r="D23" s="685"/>
      <c r="E23" s="685"/>
      <c r="F23" s="685"/>
      <c r="G23" s="685"/>
      <c r="H23" s="685"/>
      <c r="I23" s="685"/>
      <c r="J23" s="685"/>
      <c r="K23" s="685"/>
      <c r="L23" s="685"/>
      <c r="M23" s="685"/>
      <c r="N23" s="685"/>
      <c r="O23" s="685"/>
      <c r="P23" s="685"/>
      <c r="Q23" s="685"/>
      <c r="R23" s="685"/>
      <c r="S23" s="685"/>
      <c r="T23" s="685"/>
      <c r="U23" s="685"/>
      <c r="V23" s="685"/>
      <c r="W23" s="685"/>
      <c r="X23" s="685"/>
      <c r="Y23" s="685"/>
    </row>
    <row r="24" spans="2:25" s="357" customFormat="1" ht="15" customHeight="1" x14ac:dyDescent="0.25">
      <c r="B24" s="392"/>
      <c r="C24" s="392"/>
      <c r="D24" s="392"/>
      <c r="E24" s="392"/>
      <c r="F24" s="392"/>
      <c r="G24" s="392"/>
      <c r="H24" s="392"/>
      <c r="I24" s="392"/>
      <c r="J24" s="392"/>
      <c r="K24" s="392"/>
      <c r="L24" s="392"/>
      <c r="M24" s="392"/>
      <c r="N24" s="392"/>
      <c r="O24" s="392"/>
      <c r="P24" s="392"/>
      <c r="Q24" s="392"/>
      <c r="R24" s="392"/>
      <c r="S24" s="392"/>
      <c r="T24" s="392"/>
      <c r="U24" s="392"/>
      <c r="V24" s="392"/>
      <c r="W24" s="392"/>
      <c r="X24" s="392"/>
      <c r="Y24" s="392"/>
    </row>
    <row r="25" spans="2:25" s="357" customFormat="1" ht="20.100000000000001" customHeight="1" x14ac:dyDescent="0.25">
      <c r="B25" s="388" t="s">
        <v>1100</v>
      </c>
      <c r="C25" s="393"/>
      <c r="D25" s="393"/>
      <c r="E25" s="393"/>
      <c r="F25" s="393"/>
      <c r="G25" s="393"/>
      <c r="H25" s="393"/>
      <c r="I25" s="393"/>
      <c r="J25" s="389"/>
      <c r="K25" s="389"/>
      <c r="L25" s="389"/>
      <c r="M25" s="394"/>
      <c r="N25" s="394"/>
      <c r="O25" s="394"/>
      <c r="P25" s="395"/>
      <c r="Q25" s="395"/>
      <c r="R25" s="395"/>
      <c r="S25" s="395"/>
      <c r="T25" s="395"/>
      <c r="U25" s="395"/>
      <c r="V25" s="395"/>
      <c r="W25" s="395"/>
      <c r="X25" s="395"/>
      <c r="Y25" s="395"/>
    </row>
    <row r="26" spans="2:25" s="357" customFormat="1" ht="20.100000000000001" customHeight="1" x14ac:dyDescent="0.25">
      <c r="B26" s="388" t="s">
        <v>1101</v>
      </c>
      <c r="C26" s="389"/>
      <c r="D26" s="390"/>
      <c r="E26" s="390"/>
      <c r="F26" s="390"/>
      <c r="G26" s="390"/>
      <c r="H26" s="390"/>
      <c r="I26" s="390"/>
      <c r="J26" s="390"/>
      <c r="K26" s="391"/>
      <c r="L26" s="391"/>
      <c r="M26" s="391"/>
      <c r="N26" s="391"/>
      <c r="O26" s="391"/>
      <c r="P26" s="391"/>
      <c r="Q26" s="391"/>
      <c r="R26" s="391"/>
      <c r="S26" s="391"/>
      <c r="T26" s="391"/>
      <c r="U26" s="391"/>
      <c r="V26" s="391"/>
      <c r="W26" s="391"/>
      <c r="X26" s="391"/>
      <c r="Y26" s="5"/>
    </row>
    <row r="27" spans="2:25" s="357" customFormat="1" ht="20.100000000000001" customHeight="1" x14ac:dyDescent="0.25">
      <c r="B27" s="388" t="s">
        <v>1102</v>
      </c>
      <c r="C27" s="389"/>
      <c r="D27" s="390"/>
      <c r="E27" s="390"/>
      <c r="F27" s="390"/>
      <c r="G27" s="390"/>
      <c r="H27" s="390"/>
      <c r="I27" s="390"/>
      <c r="J27" s="390"/>
      <c r="K27" s="391"/>
      <c r="L27" s="391"/>
      <c r="M27" s="391"/>
      <c r="N27" s="391"/>
      <c r="O27" s="391"/>
      <c r="P27" s="391"/>
      <c r="Q27" s="391"/>
      <c r="R27" s="391"/>
      <c r="S27" s="391"/>
      <c r="T27" s="391"/>
      <c r="U27" s="391"/>
      <c r="V27" s="391"/>
      <c r="W27" s="391"/>
      <c r="X27" s="391"/>
      <c r="Y27" s="5"/>
    </row>
    <row r="28" spans="2:25" s="357" customFormat="1" ht="20.100000000000001" customHeight="1" x14ac:dyDescent="0.25">
      <c r="B28" s="388" t="s">
        <v>1103</v>
      </c>
      <c r="C28" s="393"/>
      <c r="D28" s="393"/>
      <c r="E28" s="393"/>
      <c r="F28" s="393"/>
      <c r="G28" s="393"/>
      <c r="H28" s="393"/>
      <c r="I28" s="393"/>
      <c r="J28" s="389"/>
      <c r="K28" s="389"/>
      <c r="L28" s="389"/>
      <c r="M28" s="394"/>
      <c r="N28" s="394"/>
      <c r="O28" s="394"/>
      <c r="P28" s="395"/>
      <c r="Q28" s="395"/>
      <c r="R28" s="395"/>
      <c r="S28" s="395"/>
      <c r="T28" s="395"/>
      <c r="U28" s="395"/>
      <c r="V28" s="395"/>
      <c r="W28" s="395"/>
      <c r="X28" s="395"/>
      <c r="Y28" s="395"/>
    </row>
    <row r="29" spans="2:25" s="357" customFormat="1" ht="20.100000000000001" customHeight="1" x14ac:dyDescent="0.25">
      <c r="B29" s="388" t="s">
        <v>1104</v>
      </c>
      <c r="C29" s="389"/>
      <c r="D29" s="390"/>
      <c r="E29" s="390"/>
      <c r="F29" s="390"/>
      <c r="G29" s="390"/>
      <c r="H29" s="390"/>
      <c r="I29" s="390"/>
      <c r="J29" s="390"/>
      <c r="K29" s="391"/>
      <c r="L29" s="391"/>
      <c r="M29" s="391"/>
      <c r="N29" s="391"/>
      <c r="O29" s="391"/>
      <c r="P29" s="391"/>
      <c r="Q29" s="391"/>
      <c r="R29" s="391"/>
      <c r="S29" s="391"/>
      <c r="T29" s="391"/>
      <c r="U29" s="391"/>
      <c r="V29" s="391"/>
      <c r="W29" s="391"/>
      <c r="X29" s="391"/>
      <c r="Y29" s="5"/>
    </row>
    <row r="30" spans="2:25" s="357" customFormat="1" ht="20.100000000000001" customHeight="1" x14ac:dyDescent="0.25">
      <c r="B30" s="388" t="s">
        <v>1105</v>
      </c>
      <c r="C30" s="389"/>
      <c r="D30" s="390"/>
      <c r="E30" s="390"/>
      <c r="F30" s="390"/>
      <c r="G30" s="390"/>
      <c r="H30" s="390"/>
      <c r="I30" s="390"/>
      <c r="J30" s="390"/>
      <c r="K30" s="391"/>
      <c r="L30" s="391"/>
      <c r="M30" s="391"/>
      <c r="N30" s="391"/>
      <c r="O30" s="391"/>
      <c r="P30" s="391"/>
      <c r="Q30" s="391"/>
      <c r="R30" s="391"/>
      <c r="S30" s="391"/>
      <c r="T30" s="391"/>
      <c r="U30" s="391"/>
      <c r="V30" s="391"/>
      <c r="W30" s="391"/>
      <c r="X30" s="391"/>
      <c r="Y30" s="5"/>
    </row>
  </sheetData>
  <mergeCells count="8">
    <mergeCell ref="B23:Y23"/>
    <mergeCell ref="B1:P2"/>
    <mergeCell ref="C10:E11"/>
    <mergeCell ref="F10:F11"/>
    <mergeCell ref="I10:K10"/>
    <mergeCell ref="M10:O10"/>
    <mergeCell ref="C21:E21"/>
    <mergeCell ref="C4:M4"/>
  </mergeCells>
  <conditionalFormatting sqref="E7 Q7:Y7">
    <cfRule type="cellIs" dxfId="38" priority="2" stopIfTrue="1" operator="equal">
      <formula>0</formula>
    </cfRule>
  </conditionalFormatting>
  <conditionalFormatting sqref="F12:F18">
    <cfRule type="cellIs" dxfId="37" priority="1" stopIfTrue="1" operator="equal">
      <formula>0</formula>
    </cfRule>
  </conditionalFormatting>
  <printOptions horizontalCentered="1"/>
  <pageMargins left="0.51181102362204722" right="0.51181102362204722" top="0.78740157480314965" bottom="0.78740157480314965" header="0.31496062992125984" footer="0.39370078740157483"/>
  <pageSetup paperSize="9" scale="83" orientation="landscape" r:id="rId1"/>
  <headerFooter>
    <oddHeader>&amp;L&amp;G</oddHeader>
    <oddFooter>&amp;L&amp;"Arial Narrow,Normal"&amp;10&amp;A
&amp;F&amp;R&amp;"Arial Narrow,Normal"&amp;10&amp;P de &amp;N</oddFooter>
  </headerFooter>
  <colBreaks count="1" manualBreakCount="1">
    <brk id="17" max="1048575" man="1"/>
  </colBreaks>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7C182-4B42-4ADD-9F41-711A359D8635}">
  <dimension ref="B1:K95"/>
  <sheetViews>
    <sheetView showGridLines="0" view="pageBreakPreview" zoomScaleNormal="85" zoomScaleSheetLayoutView="100" workbookViewId="0">
      <selection activeCell="Q14" sqref="Q14:Q15"/>
    </sheetView>
  </sheetViews>
  <sheetFormatPr defaultRowHeight="12.75" x14ac:dyDescent="0.25"/>
  <cols>
    <col min="1" max="1" width="1.7109375" style="48" customWidth="1"/>
    <col min="2" max="2" width="9" style="48" customWidth="1"/>
    <col min="3" max="3" width="91.7109375" style="48" customWidth="1"/>
    <col min="4" max="4" width="11.7109375" style="48" customWidth="1"/>
    <col min="5" max="5" width="14.28515625" style="48" customWidth="1"/>
    <col min="6" max="6" width="11.85546875" style="499" customWidth="1"/>
    <col min="7" max="7" width="11.7109375" style="499" customWidth="1"/>
    <col min="8" max="8" width="1.7109375" style="48" customWidth="1"/>
    <col min="9" max="16384" width="9.140625" style="48"/>
  </cols>
  <sheetData>
    <row r="1" spans="2:11" s="425" customFormat="1" ht="29.25" customHeight="1" x14ac:dyDescent="0.25">
      <c r="B1" s="585" t="s">
        <v>2785</v>
      </c>
      <c r="C1" s="585"/>
      <c r="D1" s="585"/>
      <c r="E1" s="585"/>
      <c r="F1" s="585"/>
      <c r="G1" s="585"/>
      <c r="H1" s="436"/>
      <c r="I1" s="436"/>
      <c r="J1" s="436"/>
      <c r="K1" s="226"/>
    </row>
    <row r="2" spans="2:11" s="425" customFormat="1" ht="9.9499999999999993" customHeight="1" x14ac:dyDescent="0.25">
      <c r="C2" s="226"/>
      <c r="D2" s="226"/>
      <c r="E2" s="226"/>
      <c r="F2" s="70"/>
      <c r="G2" s="226"/>
      <c r="H2" s="226"/>
      <c r="I2" s="226"/>
      <c r="J2" s="226"/>
      <c r="K2" s="226"/>
    </row>
    <row r="3" spans="2:11" s="426" customFormat="1" ht="24.95" customHeight="1" x14ac:dyDescent="0.25">
      <c r="B3" s="427" t="s">
        <v>16</v>
      </c>
      <c r="C3" s="575" t="str">
        <f>'DADOS DA OBRA'!$B$13</f>
        <v>DEMOLIÇÃO DO RESERVATÓRIO EXISTENTE, EXECUÇÃO DE RESERVATÓRIO METÁLICO ELEVADO E REESTRUTURAÇÃO (COM AMPLIAÇÃO) DA REDE DE DISTRIBUIÇÃO DE ÁGUA TRATADA EXISTENTE NO MUNICÍPIO DE MATRINCHÃ</v>
      </c>
      <c r="D3" s="575"/>
      <c r="E3" s="575"/>
      <c r="F3" s="430" t="s">
        <v>96</v>
      </c>
      <c r="G3" s="431" t="str">
        <f>'DADOS DA OBRA'!$N$22</f>
        <v>04/11/2024</v>
      </c>
      <c r="H3" s="429"/>
      <c r="K3" s="429"/>
    </row>
    <row r="4" spans="2:11" s="426" customFormat="1" ht="15" customHeight="1" x14ac:dyDescent="0.25">
      <c r="B4" s="427" t="s">
        <v>18</v>
      </c>
      <c r="C4" s="429" t="str">
        <f>+""&amp;'DADOS DA OBRA'!$B$16&amp;", "&amp;'DADOS DA OBRA'!$J$19&amp;", "&amp;'DADOS DA OBRA'!$P$19</f>
        <v>RUAS DIVERSAS, MATRINCHÃ, GO</v>
      </c>
      <c r="F4" s="430" t="s">
        <v>17</v>
      </c>
      <c r="G4" s="431" t="str">
        <f>'DADOS DA OBRA'!$N$25</f>
        <v>00</v>
      </c>
    </row>
    <row r="5" spans="2:11" s="426" customFormat="1" ht="15" customHeight="1" x14ac:dyDescent="0.25">
      <c r="B5" s="427" t="s">
        <v>1712</v>
      </c>
      <c r="C5" s="428" t="str">
        <f>'DADOS DA OBRA'!$B$28</f>
        <v>GOINFRA CIVIL-06/2024, GOINFRA RODOVIÁRIA-06/2024, SINAPI-08/2024, ORSE-06/2024, SENFRA-CE-028, SCO-08/2024, CPOS-06/2024, EMBASA-05/2024, SIURB-01/2024</v>
      </c>
      <c r="D5" s="430"/>
      <c r="E5" s="431"/>
      <c r="F5" s="430"/>
      <c r="G5" s="432"/>
    </row>
    <row r="6" spans="2:11" s="433" customFormat="1" ht="6.95" customHeight="1" thickBot="1" x14ac:dyDescent="0.3">
      <c r="D6" s="158"/>
      <c r="J6" s="434"/>
      <c r="K6" s="435"/>
    </row>
    <row r="7" spans="2:11" ht="14.25" customHeight="1" x14ac:dyDescent="0.25">
      <c r="B7" s="700" t="s">
        <v>83</v>
      </c>
      <c r="C7" s="702" t="s">
        <v>2725</v>
      </c>
      <c r="D7" s="704" t="s">
        <v>2726</v>
      </c>
      <c r="E7" s="704"/>
      <c r="F7" s="705" t="s">
        <v>2727</v>
      </c>
      <c r="G7" s="706"/>
    </row>
    <row r="8" spans="2:11" ht="24.95" customHeight="1" thickBot="1" x14ac:dyDescent="0.3">
      <c r="B8" s="701"/>
      <c r="C8" s="703"/>
      <c r="D8" s="484" t="s">
        <v>2728</v>
      </c>
      <c r="E8" s="484" t="s">
        <v>2729</v>
      </c>
      <c r="F8" s="484" t="s">
        <v>2728</v>
      </c>
      <c r="G8" s="485" t="s">
        <v>2729</v>
      </c>
    </row>
    <row r="9" spans="2:11" x14ac:dyDescent="0.25">
      <c r="B9" s="707" t="s">
        <v>2730</v>
      </c>
      <c r="C9" s="708"/>
      <c r="D9" s="708"/>
      <c r="E9" s="708"/>
      <c r="F9" s="708"/>
      <c r="G9" s="709"/>
    </row>
    <row r="10" spans="2:11" x14ac:dyDescent="0.25">
      <c r="B10" s="486" t="s">
        <v>2731</v>
      </c>
      <c r="C10" s="487" t="s">
        <v>2732</v>
      </c>
      <c r="D10" s="488">
        <v>0</v>
      </c>
      <c r="E10" s="488">
        <v>0</v>
      </c>
      <c r="F10" s="488">
        <v>0.2</v>
      </c>
      <c r="G10" s="489">
        <v>0.2</v>
      </c>
    </row>
    <row r="11" spans="2:11" x14ac:dyDescent="0.25">
      <c r="B11" s="486" t="s">
        <v>2733</v>
      </c>
      <c r="C11" s="487" t="s">
        <v>2734</v>
      </c>
      <c r="D11" s="488">
        <v>1.4999999999999999E-2</v>
      </c>
      <c r="E11" s="488">
        <v>1.4999999999999999E-2</v>
      </c>
      <c r="F11" s="488">
        <v>1.4999999999999999E-2</v>
      </c>
      <c r="G11" s="489">
        <v>1.4999999999999999E-2</v>
      </c>
    </row>
    <row r="12" spans="2:11" x14ac:dyDescent="0.25">
      <c r="B12" s="486" t="s">
        <v>2735</v>
      </c>
      <c r="C12" s="487" t="s">
        <v>2736</v>
      </c>
      <c r="D12" s="488">
        <v>0.01</v>
      </c>
      <c r="E12" s="488">
        <v>0.01</v>
      </c>
      <c r="F12" s="488">
        <v>0.01</v>
      </c>
      <c r="G12" s="489">
        <v>0.01</v>
      </c>
    </row>
    <row r="13" spans="2:11" x14ac:dyDescent="0.25">
      <c r="B13" s="486" t="s">
        <v>2737</v>
      </c>
      <c r="C13" s="487" t="s">
        <v>2738</v>
      </c>
      <c r="D13" s="488">
        <v>2E-3</v>
      </c>
      <c r="E13" s="488">
        <v>2E-3</v>
      </c>
      <c r="F13" s="488">
        <v>2E-3</v>
      </c>
      <c r="G13" s="489">
        <v>2E-3</v>
      </c>
    </row>
    <row r="14" spans="2:11" x14ac:dyDescent="0.25">
      <c r="B14" s="486" t="s">
        <v>2739</v>
      </c>
      <c r="C14" s="487" t="s">
        <v>2740</v>
      </c>
      <c r="D14" s="488">
        <v>6.0000000000000001E-3</v>
      </c>
      <c r="E14" s="488">
        <v>6.0000000000000001E-3</v>
      </c>
      <c r="F14" s="488">
        <v>6.0000000000000001E-3</v>
      </c>
      <c r="G14" s="489">
        <v>6.0000000000000001E-3</v>
      </c>
    </row>
    <row r="15" spans="2:11" x14ac:dyDescent="0.25">
      <c r="B15" s="486" t="s">
        <v>2741</v>
      </c>
      <c r="C15" s="487" t="s">
        <v>2742</v>
      </c>
      <c r="D15" s="488">
        <v>2.5000000000000001E-2</v>
      </c>
      <c r="E15" s="488">
        <v>2.5000000000000001E-2</v>
      </c>
      <c r="F15" s="488">
        <v>2.5000000000000001E-2</v>
      </c>
      <c r="G15" s="489">
        <v>2.5000000000000001E-2</v>
      </c>
    </row>
    <row r="16" spans="2:11" x14ac:dyDescent="0.25">
      <c r="B16" s="486" t="s">
        <v>2743</v>
      </c>
      <c r="C16" s="487" t="s">
        <v>2744</v>
      </c>
      <c r="D16" s="488">
        <v>0.03</v>
      </c>
      <c r="E16" s="488">
        <v>0.03</v>
      </c>
      <c r="F16" s="488">
        <v>0.03</v>
      </c>
      <c r="G16" s="489">
        <v>0.03</v>
      </c>
    </row>
    <row r="17" spans="2:7" x14ac:dyDescent="0.25">
      <c r="B17" s="486" t="s">
        <v>2745</v>
      </c>
      <c r="C17" s="487" t="s">
        <v>2746</v>
      </c>
      <c r="D17" s="488">
        <v>0.08</v>
      </c>
      <c r="E17" s="488">
        <v>0.08</v>
      </c>
      <c r="F17" s="488">
        <v>0.08</v>
      </c>
      <c r="G17" s="489">
        <v>0.08</v>
      </c>
    </row>
    <row r="18" spans="2:7" x14ac:dyDescent="0.25">
      <c r="B18" s="486" t="s">
        <v>2747</v>
      </c>
      <c r="C18" s="487" t="s">
        <v>2748</v>
      </c>
      <c r="D18" s="488">
        <v>0.01</v>
      </c>
      <c r="E18" s="488">
        <v>0.01</v>
      </c>
      <c r="F18" s="488">
        <v>0.01</v>
      </c>
      <c r="G18" s="489">
        <v>0.01</v>
      </c>
    </row>
    <row r="19" spans="2:7" x14ac:dyDescent="0.25">
      <c r="B19" s="490" t="s">
        <v>198</v>
      </c>
      <c r="C19" s="491" t="s">
        <v>104</v>
      </c>
      <c r="D19" s="492">
        <f>SUM(D10:D18)</f>
        <v>0.17799999999999999</v>
      </c>
      <c r="E19" s="492">
        <f t="shared" ref="E19:G19" si="0">SUM(E10:E18)</f>
        <v>0.17799999999999999</v>
      </c>
      <c r="F19" s="492">
        <f t="shared" si="0"/>
        <v>0.37800000000000006</v>
      </c>
      <c r="G19" s="493">
        <f t="shared" si="0"/>
        <v>0.37800000000000006</v>
      </c>
    </row>
    <row r="20" spans="2:7" x14ac:dyDescent="0.25">
      <c r="B20" s="710" t="s">
        <v>2749</v>
      </c>
      <c r="C20" s="711"/>
      <c r="D20" s="711"/>
      <c r="E20" s="711"/>
      <c r="F20" s="711"/>
      <c r="G20" s="712"/>
    </row>
    <row r="21" spans="2:7" x14ac:dyDescent="0.25">
      <c r="B21" s="486" t="s">
        <v>269</v>
      </c>
      <c r="C21" s="487" t="s">
        <v>2750</v>
      </c>
      <c r="D21" s="488">
        <v>0.17810000000000001</v>
      </c>
      <c r="E21" s="494" t="s">
        <v>2751</v>
      </c>
      <c r="F21" s="488">
        <v>0.17810000000000001</v>
      </c>
      <c r="G21" s="495" t="s">
        <v>2751</v>
      </c>
    </row>
    <row r="22" spans="2:7" x14ac:dyDescent="0.25">
      <c r="B22" s="486" t="s">
        <v>161</v>
      </c>
      <c r="C22" s="487" t="s">
        <v>2752</v>
      </c>
      <c r="D22" s="488">
        <v>3.6999999999999998E-2</v>
      </c>
      <c r="E22" s="494" t="s">
        <v>2751</v>
      </c>
      <c r="F22" s="488">
        <v>3.6999999999999998E-2</v>
      </c>
      <c r="G22" s="495" t="s">
        <v>2751</v>
      </c>
    </row>
    <row r="23" spans="2:7" x14ac:dyDescent="0.25">
      <c r="B23" s="486" t="s">
        <v>162</v>
      </c>
      <c r="C23" s="487" t="s">
        <v>2753</v>
      </c>
      <c r="D23" s="488">
        <v>8.6E-3</v>
      </c>
      <c r="E23" s="488">
        <v>6.4000000000000003E-3</v>
      </c>
      <c r="F23" s="488">
        <v>8.6E-3</v>
      </c>
      <c r="G23" s="489">
        <v>6.4000000000000003E-3</v>
      </c>
    </row>
    <row r="24" spans="2:7" x14ac:dyDescent="0.25">
      <c r="B24" s="486" t="s">
        <v>163</v>
      </c>
      <c r="C24" s="487" t="s">
        <v>2754</v>
      </c>
      <c r="D24" s="488">
        <v>0.1118</v>
      </c>
      <c r="E24" s="488">
        <v>8.3299999999999999E-2</v>
      </c>
      <c r="F24" s="488">
        <v>0.1118</v>
      </c>
      <c r="G24" s="489">
        <v>8.3299999999999999E-2</v>
      </c>
    </row>
    <row r="25" spans="2:7" x14ac:dyDescent="0.25">
      <c r="B25" s="486" t="s">
        <v>2755</v>
      </c>
      <c r="C25" s="487" t="s">
        <v>2756</v>
      </c>
      <c r="D25" s="488">
        <v>5.9999999999999995E-4</v>
      </c>
      <c r="E25" s="488">
        <v>4.0000000000000002E-4</v>
      </c>
      <c r="F25" s="488">
        <v>5.9999999999999995E-4</v>
      </c>
      <c r="G25" s="489">
        <v>4.0000000000000002E-4</v>
      </c>
    </row>
    <row r="26" spans="2:7" x14ac:dyDescent="0.25">
      <c r="B26" s="486" t="s">
        <v>2757</v>
      </c>
      <c r="C26" s="487" t="s">
        <v>2758</v>
      </c>
      <c r="D26" s="488">
        <v>7.4999999999999997E-3</v>
      </c>
      <c r="E26" s="488">
        <v>5.5999999999999999E-3</v>
      </c>
      <c r="F26" s="488">
        <v>7.4999999999999997E-3</v>
      </c>
      <c r="G26" s="489">
        <v>5.5999999999999999E-3</v>
      </c>
    </row>
    <row r="27" spans="2:7" x14ac:dyDescent="0.25">
      <c r="B27" s="486" t="s">
        <v>2759</v>
      </c>
      <c r="C27" s="487" t="s">
        <v>2760</v>
      </c>
      <c r="D27" s="488">
        <v>1.3599999999999999E-2</v>
      </c>
      <c r="E27" s="494" t="s">
        <v>2751</v>
      </c>
      <c r="F27" s="488">
        <v>1.3599999999999999E-2</v>
      </c>
      <c r="G27" s="495" t="s">
        <v>2751</v>
      </c>
    </row>
    <row r="28" spans="2:7" x14ac:dyDescent="0.25">
      <c r="B28" s="486" t="s">
        <v>2761</v>
      </c>
      <c r="C28" s="487" t="s">
        <v>2762</v>
      </c>
      <c r="D28" s="488">
        <v>1E-3</v>
      </c>
      <c r="E28" s="488">
        <v>8.0000000000000004E-4</v>
      </c>
      <c r="F28" s="488">
        <v>1E-3</v>
      </c>
      <c r="G28" s="489">
        <v>8.0000000000000004E-4</v>
      </c>
    </row>
    <row r="29" spans="2:7" x14ac:dyDescent="0.25">
      <c r="B29" s="486" t="s">
        <v>2763</v>
      </c>
      <c r="C29" s="487" t="s">
        <v>2764</v>
      </c>
      <c r="D29" s="488">
        <v>0</v>
      </c>
      <c r="E29" s="488">
        <v>0</v>
      </c>
      <c r="F29" s="488">
        <v>0</v>
      </c>
      <c r="G29" s="489">
        <v>0</v>
      </c>
    </row>
    <row r="30" spans="2:7" x14ac:dyDescent="0.25">
      <c r="B30" s="486" t="s">
        <v>2765</v>
      </c>
      <c r="C30" s="487" t="s">
        <v>2766</v>
      </c>
      <c r="D30" s="488">
        <v>4.0000000000000002E-4</v>
      </c>
      <c r="E30" s="488">
        <v>2.9999999999999997E-4</v>
      </c>
      <c r="F30" s="488">
        <v>4.0000000000000002E-4</v>
      </c>
      <c r="G30" s="489">
        <v>2.9999999999999997E-4</v>
      </c>
    </row>
    <row r="31" spans="2:7" x14ac:dyDescent="0.25">
      <c r="B31" s="490" t="s">
        <v>199</v>
      </c>
      <c r="C31" s="491" t="s">
        <v>104</v>
      </c>
      <c r="D31" s="492">
        <f>SUM(D21:D30)</f>
        <v>0.35860000000000003</v>
      </c>
      <c r="E31" s="492">
        <f t="shared" ref="E31:G31" si="1">SUM(E21:E30)</f>
        <v>9.6799999999999983E-2</v>
      </c>
      <c r="F31" s="492">
        <f t="shared" si="1"/>
        <v>0.35860000000000003</v>
      </c>
      <c r="G31" s="493">
        <f t="shared" si="1"/>
        <v>9.6799999999999983E-2</v>
      </c>
    </row>
    <row r="32" spans="2:7" x14ac:dyDescent="0.25">
      <c r="B32" s="710" t="s">
        <v>2767</v>
      </c>
      <c r="C32" s="711"/>
      <c r="D32" s="711"/>
      <c r="E32" s="711"/>
      <c r="F32" s="711"/>
      <c r="G32" s="712"/>
    </row>
    <row r="33" spans="2:7" x14ac:dyDescent="0.25">
      <c r="B33" s="486" t="s">
        <v>2768</v>
      </c>
      <c r="C33" s="487" t="s">
        <v>2769</v>
      </c>
      <c r="D33" s="488">
        <v>5.91E-2</v>
      </c>
      <c r="E33" s="488">
        <v>4.3999999999999997E-2</v>
      </c>
      <c r="F33" s="488">
        <v>5.91E-2</v>
      </c>
      <c r="G33" s="489">
        <v>4.3999999999999997E-2</v>
      </c>
    </row>
    <row r="34" spans="2:7" x14ac:dyDescent="0.25">
      <c r="B34" s="486" t="s">
        <v>2770</v>
      </c>
      <c r="C34" s="487" t="s">
        <v>2771</v>
      </c>
      <c r="D34" s="488">
        <v>1.4E-3</v>
      </c>
      <c r="E34" s="488">
        <v>1E-3</v>
      </c>
      <c r="F34" s="488">
        <v>1.4E-3</v>
      </c>
      <c r="G34" s="489">
        <v>1E-3</v>
      </c>
    </row>
    <row r="35" spans="2:7" x14ac:dyDescent="0.25">
      <c r="B35" s="486" t="s">
        <v>2772</v>
      </c>
      <c r="C35" s="487" t="s">
        <v>2773</v>
      </c>
      <c r="D35" s="488">
        <v>0.1202</v>
      </c>
      <c r="E35" s="488">
        <v>8.9599999999999999E-2</v>
      </c>
      <c r="F35" s="488">
        <v>0.1202</v>
      </c>
      <c r="G35" s="489">
        <v>8.9599999999999999E-2</v>
      </c>
    </row>
    <row r="36" spans="2:7" x14ac:dyDescent="0.25">
      <c r="B36" s="486" t="s">
        <v>2774</v>
      </c>
      <c r="C36" s="487" t="s">
        <v>2775</v>
      </c>
      <c r="D36" s="488">
        <v>2.52E-2</v>
      </c>
      <c r="E36" s="488">
        <v>1.8800000000000001E-2</v>
      </c>
      <c r="F36" s="488">
        <v>2.52E-2</v>
      </c>
      <c r="G36" s="489">
        <v>1.8800000000000001E-2</v>
      </c>
    </row>
    <row r="37" spans="2:7" x14ac:dyDescent="0.25">
      <c r="B37" s="486" t="s">
        <v>2776</v>
      </c>
      <c r="C37" s="487" t="s">
        <v>2777</v>
      </c>
      <c r="D37" s="488">
        <v>5.0000000000000001E-3</v>
      </c>
      <c r="E37" s="488">
        <v>3.7000000000000002E-3</v>
      </c>
      <c r="F37" s="488">
        <v>5.0000000000000001E-3</v>
      </c>
      <c r="G37" s="489">
        <v>3.7000000000000002E-3</v>
      </c>
    </row>
    <row r="38" spans="2:7" x14ac:dyDescent="0.25">
      <c r="B38" s="490" t="s">
        <v>2686</v>
      </c>
      <c r="C38" s="491" t="s">
        <v>104</v>
      </c>
      <c r="D38" s="492">
        <f>SUM(D33:D37)</f>
        <v>0.2109</v>
      </c>
      <c r="E38" s="492">
        <f t="shared" ref="E38:G38" si="2">SUM(E33:E37)</f>
        <v>0.15710000000000002</v>
      </c>
      <c r="F38" s="492">
        <f t="shared" si="2"/>
        <v>0.2109</v>
      </c>
      <c r="G38" s="493">
        <f t="shared" si="2"/>
        <v>0.15710000000000002</v>
      </c>
    </row>
    <row r="39" spans="2:7" x14ac:dyDescent="0.25">
      <c r="B39" s="710" t="s">
        <v>2778</v>
      </c>
      <c r="C39" s="711"/>
      <c r="D39" s="711"/>
      <c r="E39" s="711"/>
      <c r="F39" s="711"/>
      <c r="G39" s="712"/>
    </row>
    <row r="40" spans="2:7" x14ac:dyDescent="0.25">
      <c r="B40" s="486" t="s">
        <v>2779</v>
      </c>
      <c r="C40" s="487" t="s">
        <v>2780</v>
      </c>
      <c r="D40" s="488">
        <v>6.3799999999999996E-2</v>
      </c>
      <c r="E40" s="488">
        <v>1.72E-2</v>
      </c>
      <c r="F40" s="488">
        <v>0.1356</v>
      </c>
      <c r="G40" s="489">
        <v>3.6600000000000001E-2</v>
      </c>
    </row>
    <row r="41" spans="2:7" ht="25.5" x14ac:dyDescent="0.25">
      <c r="B41" s="486" t="s">
        <v>2781</v>
      </c>
      <c r="C41" s="496" t="s">
        <v>2782</v>
      </c>
      <c r="D41" s="488">
        <v>5.0000000000000001E-3</v>
      </c>
      <c r="E41" s="488">
        <v>3.7000000000000002E-3</v>
      </c>
      <c r="F41" s="488">
        <v>5.3E-3</v>
      </c>
      <c r="G41" s="489">
        <v>3.8999999999999998E-3</v>
      </c>
    </row>
    <row r="42" spans="2:7" x14ac:dyDescent="0.25">
      <c r="B42" s="490" t="s">
        <v>2277</v>
      </c>
      <c r="C42" s="491" t="s">
        <v>104</v>
      </c>
      <c r="D42" s="492">
        <f>SUM(D40:D41)</f>
        <v>6.88E-2</v>
      </c>
      <c r="E42" s="492">
        <f t="shared" ref="E42:G42" si="3">SUM(E40:E41)</f>
        <v>2.0900000000000002E-2</v>
      </c>
      <c r="F42" s="492">
        <f t="shared" si="3"/>
        <v>0.1409</v>
      </c>
      <c r="G42" s="493">
        <f t="shared" si="3"/>
        <v>4.0500000000000001E-2</v>
      </c>
    </row>
    <row r="43" spans="2:7" ht="13.5" thickBot="1" x14ac:dyDescent="0.3">
      <c r="B43" s="701" t="s">
        <v>2783</v>
      </c>
      <c r="C43" s="713"/>
      <c r="D43" s="497">
        <f>SUM(D42,D38,D31,D19)</f>
        <v>0.81630000000000003</v>
      </c>
      <c r="E43" s="497">
        <f>SUM(E42,E38,E31,E19)</f>
        <v>0.45279999999999998</v>
      </c>
      <c r="F43" s="497">
        <f>SUM(F42,F38,F31,F19)</f>
        <v>1.0884</v>
      </c>
      <c r="G43" s="498">
        <f>SUM(G42,G38,G31,G19)</f>
        <v>0.67240000000000011</v>
      </c>
    </row>
    <row r="44" spans="2:7" ht="24.95" customHeight="1" x14ac:dyDescent="0.25">
      <c r="B44" s="48" t="s">
        <v>2784</v>
      </c>
    </row>
    <row r="45" spans="2:7" ht="24.95" customHeight="1" x14ac:dyDescent="0.25"/>
    <row r="46" spans="2:7" ht="24.95" customHeight="1" x14ac:dyDescent="0.25"/>
    <row r="47" spans="2:7" ht="24.95" customHeight="1" x14ac:dyDescent="0.25"/>
    <row r="48" spans="2:7" ht="24.95" customHeight="1" x14ac:dyDescent="0.25"/>
    <row r="49" ht="24.95" customHeight="1" x14ac:dyDescent="0.25"/>
    <row r="50" ht="24.95" customHeight="1" x14ac:dyDescent="0.25"/>
    <row r="51" ht="24.95" customHeight="1" x14ac:dyDescent="0.25"/>
    <row r="52" ht="24.95" customHeight="1" x14ac:dyDescent="0.25"/>
    <row r="53" ht="24.95" customHeight="1" x14ac:dyDescent="0.25"/>
    <row r="54" ht="24.95" customHeight="1" x14ac:dyDescent="0.25"/>
    <row r="55" ht="24.95" customHeight="1" x14ac:dyDescent="0.25"/>
    <row r="56" ht="24.95" customHeight="1" x14ac:dyDescent="0.25"/>
    <row r="57" ht="24.95" customHeight="1" x14ac:dyDescent="0.25"/>
    <row r="58" ht="24.95" customHeight="1" x14ac:dyDescent="0.25"/>
    <row r="59" ht="24.95" customHeight="1" x14ac:dyDescent="0.25"/>
    <row r="60" ht="24.95" customHeight="1" x14ac:dyDescent="0.25"/>
    <row r="61" ht="24.95" customHeight="1" x14ac:dyDescent="0.25"/>
    <row r="62" ht="24.95" customHeight="1" x14ac:dyDescent="0.25"/>
    <row r="63" ht="24.95" customHeight="1" x14ac:dyDescent="0.25"/>
    <row r="64" ht="24.95" customHeight="1" x14ac:dyDescent="0.25"/>
    <row r="65" ht="24.95" customHeight="1" x14ac:dyDescent="0.25"/>
    <row r="66" ht="24.95" customHeight="1" x14ac:dyDescent="0.25"/>
    <row r="67" ht="24.95" customHeight="1" x14ac:dyDescent="0.25"/>
    <row r="68" ht="24.95" customHeight="1" x14ac:dyDescent="0.25"/>
    <row r="69" ht="24.95" customHeight="1" x14ac:dyDescent="0.25"/>
    <row r="70" ht="24.95" customHeight="1" x14ac:dyDescent="0.25"/>
    <row r="71" ht="24.95" customHeight="1" x14ac:dyDescent="0.25"/>
    <row r="72" ht="24.95" customHeight="1" x14ac:dyDescent="0.25"/>
    <row r="73" ht="24.95" customHeight="1" x14ac:dyDescent="0.25"/>
    <row r="74" ht="24.95" customHeight="1" x14ac:dyDescent="0.25"/>
    <row r="75" ht="24.95" customHeight="1" x14ac:dyDescent="0.25"/>
    <row r="76" ht="24.95" customHeight="1" x14ac:dyDescent="0.25"/>
    <row r="77" ht="24.95" customHeight="1" x14ac:dyDescent="0.25"/>
    <row r="78" ht="24.95" customHeight="1" x14ac:dyDescent="0.25"/>
    <row r="79" ht="24.95" customHeight="1" x14ac:dyDescent="0.25"/>
    <row r="80" ht="24.95" customHeight="1" x14ac:dyDescent="0.25"/>
    <row r="81" ht="24.95" customHeight="1" x14ac:dyDescent="0.25"/>
    <row r="82" ht="24.95" customHeight="1" x14ac:dyDescent="0.25"/>
    <row r="83" ht="24.95" customHeight="1" x14ac:dyDescent="0.25"/>
    <row r="84" ht="24.95" customHeight="1" x14ac:dyDescent="0.25"/>
    <row r="85" ht="24.95" customHeight="1" x14ac:dyDescent="0.25"/>
    <row r="86" ht="24.95" customHeight="1" x14ac:dyDescent="0.25"/>
    <row r="87" ht="24.95" customHeight="1" x14ac:dyDescent="0.25"/>
    <row r="88" ht="24.95" customHeight="1" x14ac:dyDescent="0.25"/>
    <row r="89" ht="24.95" customHeight="1" x14ac:dyDescent="0.25"/>
    <row r="90" ht="24.95" customHeight="1" x14ac:dyDescent="0.25"/>
    <row r="91" ht="24.95" customHeight="1" x14ac:dyDescent="0.25"/>
    <row r="92" ht="24.95" customHeight="1" x14ac:dyDescent="0.25"/>
    <row r="93" ht="24.95" customHeight="1" x14ac:dyDescent="0.25"/>
    <row r="94" ht="24.95" customHeight="1" x14ac:dyDescent="0.25"/>
    <row r="95" ht="24.95" customHeight="1" x14ac:dyDescent="0.25"/>
  </sheetData>
  <mergeCells count="11">
    <mergeCell ref="B9:G9"/>
    <mergeCell ref="B20:G20"/>
    <mergeCell ref="B32:G32"/>
    <mergeCell ref="B39:G39"/>
    <mergeCell ref="B43:C43"/>
    <mergeCell ref="B1:G1"/>
    <mergeCell ref="B7:B8"/>
    <mergeCell ref="C7:C8"/>
    <mergeCell ref="D7:E7"/>
    <mergeCell ref="F7:G7"/>
    <mergeCell ref="C3:E3"/>
  </mergeCells>
  <printOptions horizontalCentered="1"/>
  <pageMargins left="0.51181102362204722" right="0.51181102362204722" top="0.98425196850393704" bottom="0.78740157480314965" header="0.31496062992125984" footer="0.31496062992125984"/>
  <pageSetup paperSize="9" scale="77" orientation="landscape" r:id="rId1"/>
  <headerFooter>
    <oddHeader>&amp;L&amp;G</oddHeader>
    <oddFooter>&amp;L&amp;"Arial Narrow,Normal"&amp;10&amp;A
&amp;F&amp;R&amp;"Arial Narrow,Normal"&amp;10Página &amp;P de &amp;N</oddFooter>
  </headerFooter>
  <colBreaks count="1" manualBreakCount="1">
    <brk id="21" max="1048575" man="1"/>
  </colBreaks>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8F309-E481-4FA6-8959-4BF99EE16EF3}">
  <dimension ref="B1:U27"/>
  <sheetViews>
    <sheetView showGridLines="0" showZeros="0" view="pageBreakPreview" zoomScale="85" zoomScaleNormal="100" zoomScaleSheetLayoutView="85"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1" s="69" customFormat="1" ht="20.100000000000001" customHeight="1" x14ac:dyDescent="0.25">
      <c r="B1" s="569"/>
      <c r="C1" s="569"/>
      <c r="D1" s="569"/>
      <c r="E1" s="569"/>
      <c r="F1" s="569"/>
      <c r="G1" s="569"/>
      <c r="H1" s="569"/>
      <c r="I1" s="569"/>
      <c r="J1" s="569"/>
      <c r="K1" s="569"/>
      <c r="L1" s="569"/>
      <c r="M1" s="569"/>
      <c r="N1" s="569"/>
      <c r="O1" s="569"/>
      <c r="P1" s="569"/>
    </row>
    <row r="2" spans="2:21" s="69" customFormat="1" ht="20.100000000000001" customHeight="1" x14ac:dyDescent="0.25">
      <c r="B2" s="569"/>
      <c r="C2" s="569"/>
      <c r="D2" s="569"/>
      <c r="E2" s="569"/>
      <c r="F2" s="569"/>
      <c r="G2" s="569"/>
      <c r="H2" s="569"/>
      <c r="I2" s="569"/>
      <c r="J2" s="569"/>
      <c r="K2" s="569"/>
      <c r="L2" s="569"/>
      <c r="M2" s="569"/>
      <c r="N2" s="569"/>
      <c r="O2" s="569"/>
      <c r="P2" s="569"/>
    </row>
    <row r="3" spans="2:21" s="69" customFormat="1" ht="20.100000000000001" customHeight="1" x14ac:dyDescent="0.25"/>
    <row r="4" spans="2:21" s="5" customFormat="1" ht="20.100000000000001" customHeight="1" x14ac:dyDescent="0.25">
      <c r="B4" s="1"/>
      <c r="C4" s="2"/>
      <c r="E4" s="2"/>
      <c r="F4" s="2"/>
      <c r="G4" s="2"/>
      <c r="H4" s="2"/>
      <c r="I4" s="2"/>
      <c r="J4" s="2"/>
      <c r="K4" s="2"/>
      <c r="L4" s="2"/>
      <c r="N4" s="3"/>
      <c r="O4" s="4"/>
      <c r="R4" s="32"/>
      <c r="S4" s="32"/>
      <c r="T4" s="33"/>
      <c r="U4" s="33"/>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39"/>
      <c r="N7" s="3"/>
      <c r="O7" s="64"/>
    </row>
    <row r="8" spans="2:21" s="67" customFormat="1" ht="20.100000000000001" customHeight="1" x14ac:dyDescent="0.25">
      <c r="B8" s="52"/>
      <c r="C8" s="53"/>
      <c r="D8" s="9"/>
      <c r="E8" s="9"/>
      <c r="F8" s="9"/>
      <c r="G8" s="10"/>
      <c r="H8" s="10"/>
      <c r="I8" s="10"/>
      <c r="J8" s="10"/>
      <c r="K8" s="9"/>
      <c r="M8" s="10"/>
      <c r="N8" s="10"/>
    </row>
    <row r="9" spans="2:21" ht="20.100000000000001" customHeight="1" x14ac:dyDescent="0.25">
      <c r="B9" s="306"/>
      <c r="C9" s="570" t="s">
        <v>1730</v>
      </c>
      <c r="D9" s="570"/>
      <c r="E9" s="570"/>
      <c r="F9" s="570"/>
      <c r="G9" s="570"/>
      <c r="H9" s="570"/>
      <c r="I9" s="570"/>
      <c r="J9" s="570"/>
      <c r="K9" s="570"/>
      <c r="L9" s="570"/>
      <c r="M9" s="570"/>
      <c r="N9" s="570"/>
      <c r="O9" s="90"/>
    </row>
    <row r="10" spans="2:21" ht="20.100000000000001" customHeight="1" x14ac:dyDescent="0.25">
      <c r="B10" s="306"/>
      <c r="C10" s="570"/>
      <c r="D10" s="570"/>
      <c r="E10" s="570"/>
      <c r="F10" s="570"/>
      <c r="G10" s="570"/>
      <c r="H10" s="570"/>
      <c r="I10" s="570"/>
      <c r="J10" s="570"/>
      <c r="K10" s="570"/>
      <c r="L10" s="570"/>
      <c r="M10" s="570"/>
      <c r="N10" s="570"/>
      <c r="O10" s="90"/>
    </row>
    <row r="11" spans="2:21" ht="20.100000000000001" customHeight="1" x14ac:dyDescent="0.25">
      <c r="B11" s="306"/>
      <c r="C11" s="306"/>
      <c r="D11" s="309"/>
      <c r="E11" s="308"/>
      <c r="F11" s="306"/>
      <c r="G11" s="306"/>
      <c r="H11" s="306"/>
      <c r="I11" s="306"/>
      <c r="J11" s="306"/>
      <c r="K11" s="306"/>
      <c r="L11" s="309"/>
      <c r="M11" s="308"/>
      <c r="N11" s="306"/>
      <c r="O11" s="90"/>
    </row>
    <row r="12" spans="2:21" ht="20.100000000000001" customHeight="1" x14ac:dyDescent="0.25">
      <c r="B12" s="306"/>
      <c r="C12" s="306"/>
      <c r="D12" s="309"/>
      <c r="E12" s="308"/>
      <c r="F12" s="306"/>
      <c r="G12" s="306"/>
      <c r="H12" s="306"/>
      <c r="I12" s="306"/>
      <c r="J12" s="306"/>
      <c r="K12" s="306"/>
      <c r="L12" s="309"/>
      <c r="M12" s="308"/>
      <c r="N12" s="306"/>
      <c r="O12" s="90"/>
    </row>
    <row r="13" spans="2:21" ht="20.100000000000001" customHeight="1" x14ac:dyDescent="0.25">
      <c r="B13" s="306"/>
      <c r="C13" s="306"/>
      <c r="D13" s="309"/>
      <c r="E13" s="308"/>
      <c r="F13" s="306"/>
      <c r="G13" s="306"/>
      <c r="H13" s="306"/>
      <c r="I13" s="306"/>
      <c r="J13" s="306"/>
      <c r="K13" s="306"/>
      <c r="L13" s="309"/>
      <c r="M13" s="308"/>
      <c r="N13" s="306"/>
      <c r="O13" s="90"/>
    </row>
    <row r="14" spans="2:21" ht="20.100000000000001" customHeight="1" x14ac:dyDescent="0.25">
      <c r="B14" s="306"/>
      <c r="C14" s="306"/>
      <c r="D14" s="309"/>
      <c r="E14" s="308"/>
      <c r="F14" s="306"/>
      <c r="G14" s="306"/>
      <c r="H14" s="306"/>
      <c r="I14" s="306"/>
      <c r="J14" s="306"/>
      <c r="K14" s="306"/>
      <c r="L14" s="309"/>
      <c r="M14" s="308"/>
      <c r="N14" s="306"/>
      <c r="O14" s="90"/>
    </row>
    <row r="15" spans="2:21" ht="20.100000000000001" customHeight="1" x14ac:dyDescent="0.25">
      <c r="B15" s="306"/>
      <c r="C15" s="298"/>
      <c r="D15" s="310"/>
      <c r="E15" s="311"/>
      <c r="F15" s="298"/>
      <c r="G15" s="306"/>
      <c r="H15" s="306"/>
      <c r="I15" s="306"/>
      <c r="J15" s="306"/>
      <c r="K15" s="298"/>
      <c r="L15" s="310"/>
      <c r="M15" s="311"/>
      <c r="N15" s="298"/>
      <c r="O15" s="90"/>
    </row>
    <row r="16" spans="2:21" s="67" customFormat="1" ht="20.100000000000001" customHeight="1" x14ac:dyDescent="0.25">
      <c r="B16" s="52"/>
      <c r="C16" s="53"/>
      <c r="D16" s="9"/>
      <c r="E16" s="9"/>
      <c r="F16" s="9"/>
      <c r="G16" s="10"/>
      <c r="H16" s="10"/>
      <c r="I16" s="10"/>
      <c r="J16" s="10"/>
      <c r="K16" s="9"/>
      <c r="M16" s="10"/>
      <c r="N16" s="10"/>
    </row>
    <row r="17" spans="2:15" ht="20.100000000000001" customHeight="1" x14ac:dyDescent="0.25">
      <c r="B17" s="306"/>
      <c r="C17" s="307"/>
      <c r="D17" s="306"/>
      <c r="E17" s="306"/>
      <c r="F17" s="306"/>
      <c r="G17" s="306"/>
      <c r="H17" s="306"/>
      <c r="I17" s="306"/>
      <c r="J17" s="306"/>
      <c r="K17" s="193"/>
      <c r="L17" s="306"/>
      <c r="M17" s="306"/>
      <c r="N17" s="306"/>
      <c r="O17" s="90"/>
    </row>
    <row r="18" spans="2:15" ht="20.100000000000001" customHeight="1" x14ac:dyDescent="0.25">
      <c r="B18" s="306"/>
      <c r="C18" s="306"/>
      <c r="D18" s="309"/>
      <c r="E18" s="308"/>
      <c r="F18" s="306"/>
      <c r="G18" s="306"/>
      <c r="H18" s="306"/>
      <c r="I18" s="306"/>
      <c r="J18" s="306"/>
      <c r="K18" s="306"/>
      <c r="L18" s="309"/>
      <c r="M18" s="308"/>
      <c r="N18" s="306"/>
      <c r="O18" s="90"/>
    </row>
    <row r="19" spans="2:15" ht="20.100000000000001" customHeight="1" x14ac:dyDescent="0.25">
      <c r="B19" s="306"/>
      <c r="C19" s="306"/>
      <c r="D19" s="309"/>
      <c r="E19" s="308"/>
      <c r="F19" s="306"/>
      <c r="G19" s="306"/>
      <c r="H19" s="306"/>
      <c r="I19" s="306"/>
      <c r="J19" s="306"/>
      <c r="K19" s="306"/>
      <c r="L19" s="309"/>
      <c r="M19" s="308"/>
      <c r="N19" s="306"/>
      <c r="O19" s="90"/>
    </row>
    <row r="20" spans="2:15" ht="20.100000000000001" customHeight="1" x14ac:dyDescent="0.25">
      <c r="B20" s="306"/>
      <c r="C20" s="306"/>
      <c r="D20" s="309"/>
      <c r="E20" s="308"/>
      <c r="F20" s="306"/>
      <c r="G20" s="306"/>
      <c r="H20" s="306"/>
      <c r="I20" s="306"/>
      <c r="J20" s="306"/>
      <c r="K20" s="306"/>
      <c r="L20" s="309"/>
      <c r="M20" s="308"/>
      <c r="N20" s="306"/>
      <c r="O20" s="90"/>
    </row>
    <row r="21" spans="2:15" ht="20.100000000000001" customHeight="1" x14ac:dyDescent="0.25">
      <c r="B21" s="306"/>
      <c r="C21" s="306"/>
      <c r="D21" s="309"/>
      <c r="E21" s="308"/>
      <c r="F21" s="306"/>
      <c r="G21" s="306"/>
      <c r="H21" s="306"/>
      <c r="I21" s="306"/>
      <c r="J21" s="306"/>
      <c r="K21" s="306"/>
      <c r="L21" s="309"/>
      <c r="M21" s="308"/>
      <c r="N21" s="306"/>
      <c r="O21" s="90"/>
    </row>
    <row r="22" spans="2:15" ht="20.100000000000001" customHeight="1" x14ac:dyDescent="0.25">
      <c r="B22" s="306"/>
      <c r="C22" s="306"/>
      <c r="D22" s="309"/>
      <c r="E22" s="308"/>
      <c r="F22" s="306"/>
      <c r="G22" s="306"/>
      <c r="H22" s="306"/>
      <c r="I22" s="306"/>
      <c r="J22" s="306"/>
      <c r="K22" s="306"/>
      <c r="L22" s="309"/>
      <c r="M22" s="308"/>
      <c r="N22" s="306"/>
      <c r="O22" s="90"/>
    </row>
    <row r="23" spans="2:15" ht="20.100000000000001" customHeight="1" x14ac:dyDescent="0.25">
      <c r="B23" s="306"/>
      <c r="C23" s="298"/>
      <c r="D23" s="310"/>
      <c r="E23" s="311"/>
      <c r="F23" s="298"/>
      <c r="G23" s="306"/>
      <c r="H23" s="306"/>
      <c r="I23" s="306"/>
      <c r="J23" s="306"/>
      <c r="K23" s="298"/>
      <c r="L23" s="310"/>
      <c r="M23" s="311"/>
      <c r="N23" s="298"/>
      <c r="O23" s="90"/>
    </row>
    <row r="24" spans="2:15" s="67" customFormat="1" ht="20.100000000000001" customHeight="1" x14ac:dyDescent="0.25">
      <c r="B24" s="52"/>
      <c r="C24" s="53"/>
      <c r="D24" s="9"/>
      <c r="E24" s="9"/>
      <c r="F24" s="9"/>
      <c r="G24" s="10"/>
      <c r="H24" s="10"/>
      <c r="I24" s="10"/>
      <c r="J24" s="10"/>
      <c r="K24" s="9"/>
      <c r="M24" s="10"/>
      <c r="N24" s="10"/>
    </row>
    <row r="25" spans="2:15" ht="20.100000000000001" customHeight="1" x14ac:dyDescent="0.25">
      <c r="B25" s="306"/>
      <c r="C25" s="307"/>
      <c r="D25" s="306"/>
      <c r="E25" s="306"/>
      <c r="F25" s="306"/>
      <c r="G25" s="306"/>
      <c r="H25" s="306"/>
      <c r="I25" s="306"/>
      <c r="J25" s="306"/>
      <c r="K25" s="193"/>
      <c r="L25" s="306"/>
      <c r="M25" s="306"/>
      <c r="N25" s="306"/>
      <c r="O25" s="90"/>
    </row>
    <row r="26" spans="2:15" ht="20.100000000000001" customHeight="1" x14ac:dyDescent="0.25">
      <c r="B26" s="306"/>
      <c r="C26" s="306"/>
      <c r="D26" s="309"/>
      <c r="E26" s="308"/>
      <c r="F26" s="306"/>
      <c r="G26" s="306"/>
      <c r="H26" s="306"/>
      <c r="I26" s="306"/>
      <c r="J26" s="306"/>
      <c r="K26" s="306"/>
      <c r="L26" s="309"/>
      <c r="M26" s="308"/>
      <c r="N26" s="306"/>
      <c r="O26" s="90"/>
    </row>
    <row r="27" spans="2:15" ht="20.100000000000001" customHeight="1" x14ac:dyDescent="0.25">
      <c r="B27" s="306"/>
      <c r="C27" s="298"/>
      <c r="D27" s="310"/>
      <c r="E27" s="311"/>
      <c r="F27" s="298"/>
      <c r="G27" s="306"/>
      <c r="H27" s="306"/>
      <c r="I27" s="306"/>
      <c r="J27" s="306"/>
      <c r="K27" s="298"/>
      <c r="L27" s="310"/>
      <c r="M27" s="311"/>
      <c r="N27" s="298"/>
      <c r="O27" s="90"/>
    </row>
  </sheetData>
  <mergeCells count="2">
    <mergeCell ref="B1:P2"/>
    <mergeCell ref="C9:N10"/>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2971E-FD4A-4CE2-8C9D-484E8BBC7CAE}">
  <dimension ref="B1:P285"/>
  <sheetViews>
    <sheetView showGridLines="0" showZeros="0" view="pageBreakPreview" topLeftCell="D273" zoomScaleNormal="100" zoomScaleSheetLayoutView="100" workbookViewId="0">
      <selection activeCell="Q14" sqref="Q14:Q15"/>
    </sheetView>
  </sheetViews>
  <sheetFormatPr defaultRowHeight="12.75" x14ac:dyDescent="0.25"/>
  <cols>
    <col min="1" max="1" width="1.7109375" style="69" customWidth="1"/>
    <col min="2" max="2" width="8.7109375" style="69" customWidth="1"/>
    <col min="3" max="3" width="13.7109375" style="69" customWidth="1"/>
    <col min="4" max="4" width="12.5703125" style="69" customWidth="1"/>
    <col min="5" max="5" width="68.5703125" style="69" bestFit="1" customWidth="1"/>
    <col min="6" max="6" width="9.140625" style="69"/>
    <col min="7" max="8" width="14.85546875" style="69" bestFit="1" customWidth="1"/>
    <col min="9" max="9" width="14.85546875" style="69" customWidth="1"/>
    <col min="10" max="10" width="9.85546875" style="69" customWidth="1"/>
    <col min="11" max="11" width="14.28515625" style="69" customWidth="1"/>
    <col min="12" max="12" width="14.85546875" style="69" bestFit="1" customWidth="1"/>
    <col min="13" max="13" width="1.7109375" style="69" customWidth="1"/>
    <col min="14" max="16384" width="9.140625" style="69"/>
  </cols>
  <sheetData>
    <row r="1" spans="2:16" s="425" customFormat="1" ht="50.1" customHeight="1" x14ac:dyDescent="0.25">
      <c r="B1" s="585" t="s">
        <v>1723</v>
      </c>
      <c r="C1" s="585"/>
      <c r="D1" s="585"/>
      <c r="E1" s="585"/>
      <c r="F1" s="585"/>
      <c r="G1" s="585"/>
      <c r="H1" s="585"/>
      <c r="I1" s="585"/>
      <c r="J1" s="585"/>
      <c r="K1" s="585"/>
      <c r="L1" s="585"/>
      <c r="M1" s="226"/>
    </row>
    <row r="2" spans="2:16" s="425" customFormat="1" ht="9.9499999999999993" customHeight="1" x14ac:dyDescent="0.25">
      <c r="C2" s="226"/>
      <c r="D2" s="226"/>
      <c r="E2" s="226"/>
      <c r="F2" s="70"/>
      <c r="G2" s="226"/>
      <c r="H2" s="226"/>
      <c r="I2" s="226"/>
      <c r="J2" s="226"/>
      <c r="K2" s="226"/>
      <c r="L2" s="226"/>
      <c r="M2" s="226"/>
    </row>
    <row r="3" spans="2:16" s="426" customFormat="1" ht="24.95" customHeight="1" x14ac:dyDescent="0.25">
      <c r="B3" s="427" t="s">
        <v>16</v>
      </c>
      <c r="C3" s="575" t="str">
        <f>'DADOS DA OBRA'!$B$13</f>
        <v>DEMOLIÇÃO DO RESERVATÓRIO EXISTENTE, EXECUÇÃO DE RESERVATÓRIO METÁLICO ELEVADO E REESTRUTURAÇÃO (COM AMPLIAÇÃO) DA REDE DE DISTRIBUIÇÃO DE ÁGUA TRATADA EXISTENTE NO MUNICÍPIO DE MATRINCHÃ</v>
      </c>
      <c r="D3" s="575"/>
      <c r="E3" s="575"/>
      <c r="F3" s="430" t="s">
        <v>96</v>
      </c>
      <c r="G3" s="431" t="str">
        <f>'DADOS DA OBRA'!$N$22</f>
        <v>04/11/2024</v>
      </c>
      <c r="H3" s="429"/>
      <c r="I3" s="429"/>
      <c r="J3" s="429"/>
      <c r="K3" s="430" t="s">
        <v>1709</v>
      </c>
      <c r="L3" s="432">
        <f>'DADOS DA OBRA'!$J$22</f>
        <v>0.81630000000000003</v>
      </c>
      <c r="M3" s="429"/>
    </row>
    <row r="4" spans="2:16" s="426" customFormat="1" ht="15" customHeight="1" x14ac:dyDescent="0.25">
      <c r="B4" s="427" t="s">
        <v>18</v>
      </c>
      <c r="C4" s="429" t="str">
        <f>+""&amp;'DADOS DA OBRA'!$B$16&amp;", "&amp;'DADOS DA OBRA'!$J$19&amp;", "&amp;'DADOS DA OBRA'!$P$19</f>
        <v>RUAS DIVERSAS, MATRINCHÃ, GO</v>
      </c>
      <c r="F4" s="430" t="s">
        <v>17</v>
      </c>
      <c r="G4" s="431" t="str">
        <f>'DADOS DA OBRA'!$N$25</f>
        <v>00</v>
      </c>
      <c r="K4" s="430" t="s">
        <v>1710</v>
      </c>
      <c r="L4" s="432">
        <f>'DADOS DA OBRA'!$J$25</f>
        <v>0.45279999999999998</v>
      </c>
    </row>
    <row r="5" spans="2:16" s="426" customFormat="1" ht="15" customHeight="1" x14ac:dyDescent="0.25">
      <c r="B5" s="427" t="s">
        <v>1712</v>
      </c>
      <c r="C5" s="575" t="str">
        <f>'DADOS DA OBRA'!$B$28</f>
        <v>GOINFRA CIVIL-06/2024, GOINFRA RODOVIÁRIA-06/2024, SINAPI-08/2024, ORSE-06/2024, SENFRA-CE-028, SCO-08/2024, CPOS-06/2024, EMBASA-05/2024, SIURB-01/2024</v>
      </c>
      <c r="D5" s="575"/>
      <c r="E5" s="575"/>
      <c r="F5" s="430" t="s">
        <v>2792</v>
      </c>
      <c r="G5" s="431" t="str">
        <f>'DADOS DA OBRA'!$B$25</f>
        <v>04 MESES</v>
      </c>
      <c r="K5" s="430" t="s">
        <v>1711</v>
      </c>
      <c r="L5" s="432">
        <f>'BDI NORMAL (CD)'!F21/100</f>
        <v>0.31090000000000001</v>
      </c>
    </row>
    <row r="6" spans="2:16" s="426" customFormat="1" ht="12.75" customHeight="1" x14ac:dyDescent="0.25">
      <c r="C6" s="575"/>
      <c r="D6" s="575"/>
      <c r="E6" s="575"/>
      <c r="K6" s="430" t="s">
        <v>1713</v>
      </c>
      <c r="L6" s="432">
        <f>'BDI DIFERENCIADO (CD)'!F21/100</f>
        <v>0.1978</v>
      </c>
    </row>
    <row r="7" spans="2:16" s="433" customFormat="1" ht="6.95" customHeight="1" x14ac:dyDescent="0.25">
      <c r="D7" s="158"/>
      <c r="L7" s="434"/>
      <c r="M7" s="435"/>
    </row>
    <row r="8" spans="2:16" s="181" customFormat="1" ht="30" customHeight="1" x14ac:dyDescent="0.25">
      <c r="B8" s="447" t="s">
        <v>101</v>
      </c>
      <c r="C8" s="447" t="s">
        <v>76</v>
      </c>
      <c r="D8" s="447" t="s">
        <v>991</v>
      </c>
      <c r="E8" s="447" t="s">
        <v>191</v>
      </c>
      <c r="F8" s="447" t="s">
        <v>103</v>
      </c>
      <c r="G8" s="447" t="s">
        <v>1116</v>
      </c>
      <c r="H8" s="447" t="s">
        <v>1117</v>
      </c>
      <c r="I8" s="447" t="s">
        <v>2831</v>
      </c>
      <c r="J8" s="447" t="s">
        <v>2830</v>
      </c>
      <c r="K8" s="447" t="s">
        <v>1118</v>
      </c>
      <c r="L8" s="447" t="s">
        <v>2832</v>
      </c>
    </row>
    <row r="9" spans="2:16" x14ac:dyDescent="0.25">
      <c r="B9" s="439" t="s">
        <v>1120</v>
      </c>
      <c r="C9" s="439"/>
      <c r="D9" s="439"/>
      <c r="E9" s="474" t="s">
        <v>771</v>
      </c>
      <c r="F9" s="444"/>
      <c r="G9" s="440"/>
      <c r="H9" s="438"/>
      <c r="I9" s="440">
        <f>SUBTOTAL(9,I10:I13)</f>
        <v>86820.800000000003</v>
      </c>
      <c r="J9" s="438"/>
      <c r="K9" s="440"/>
      <c r="L9" s="440">
        <f>SUBTOTAL(9,L10:L13)</f>
        <v>113801.8</v>
      </c>
      <c r="P9" s="545"/>
    </row>
    <row r="10" spans="2:16" x14ac:dyDescent="0.25">
      <c r="B10" s="443" t="s">
        <v>1121</v>
      </c>
      <c r="C10" s="443" t="s">
        <v>1122</v>
      </c>
      <c r="D10" s="443" t="s">
        <v>993</v>
      </c>
      <c r="E10" s="475" t="s">
        <v>1123</v>
      </c>
      <c r="F10" s="446" t="s">
        <v>81</v>
      </c>
      <c r="G10" s="442">
        <v>300</v>
      </c>
      <c r="H10" s="442">
        <v>83.6</v>
      </c>
      <c r="I10" s="442">
        <f>TRUNC(G10 * H10, 2)</f>
        <v>25080</v>
      </c>
      <c r="J10" s="544">
        <f>+$L$5</f>
        <v>0.31090000000000001</v>
      </c>
      <c r="K10" s="442">
        <f>TRUNC(H10 * (1 + J10), 2)</f>
        <v>109.59</v>
      </c>
      <c r="L10" s="442">
        <f>TRUNC(G10 * K10, 2)</f>
        <v>32877</v>
      </c>
      <c r="P10" s="545"/>
    </row>
    <row r="11" spans="2:16" x14ac:dyDescent="0.25">
      <c r="B11" s="443" t="s">
        <v>1124</v>
      </c>
      <c r="C11" s="443" t="s">
        <v>1126</v>
      </c>
      <c r="D11" s="443" t="s">
        <v>993</v>
      </c>
      <c r="E11" s="475" t="s">
        <v>784</v>
      </c>
      <c r="F11" s="446" t="s">
        <v>81</v>
      </c>
      <c r="G11" s="442">
        <v>880</v>
      </c>
      <c r="H11" s="442">
        <v>22.56</v>
      </c>
      <c r="I11" s="442">
        <f t="shared" ref="I11:I13" si="0">TRUNC(G11 * H11, 2)</f>
        <v>19852.8</v>
      </c>
      <c r="J11" s="544">
        <f t="shared" ref="J11:J13" si="1">+$L$5</f>
        <v>0.31090000000000001</v>
      </c>
      <c r="K11" s="442">
        <f t="shared" ref="K11:K74" si="2">TRUNC(H11 * (1 + J11), 2)</f>
        <v>29.57</v>
      </c>
      <c r="L11" s="442">
        <f>TRUNC(G11 * K11, 2)</f>
        <v>26021.599999999999</v>
      </c>
      <c r="P11" s="545"/>
    </row>
    <row r="12" spans="2:16" x14ac:dyDescent="0.25">
      <c r="B12" s="443" t="s">
        <v>1125</v>
      </c>
      <c r="C12" s="443" t="s">
        <v>1128</v>
      </c>
      <c r="D12" s="443" t="s">
        <v>993</v>
      </c>
      <c r="E12" s="475" t="s">
        <v>1129</v>
      </c>
      <c r="F12" s="446" t="s">
        <v>81</v>
      </c>
      <c r="G12" s="442">
        <v>880</v>
      </c>
      <c r="H12" s="442">
        <v>16.2</v>
      </c>
      <c r="I12" s="442">
        <f t="shared" si="0"/>
        <v>14256</v>
      </c>
      <c r="J12" s="544">
        <f t="shared" si="1"/>
        <v>0.31090000000000001</v>
      </c>
      <c r="K12" s="442">
        <f t="shared" si="2"/>
        <v>21.23</v>
      </c>
      <c r="L12" s="442">
        <f>TRUNC(G12 * K12, 2)</f>
        <v>18682.400000000001</v>
      </c>
      <c r="P12" s="545"/>
    </row>
    <row r="13" spans="2:16" x14ac:dyDescent="0.25">
      <c r="B13" s="443" t="s">
        <v>1127</v>
      </c>
      <c r="C13" s="443" t="s">
        <v>1130</v>
      </c>
      <c r="D13" s="443" t="s">
        <v>993</v>
      </c>
      <c r="E13" s="475" t="s">
        <v>1131</v>
      </c>
      <c r="F13" s="446" t="s">
        <v>81</v>
      </c>
      <c r="G13" s="442">
        <v>1760</v>
      </c>
      <c r="H13" s="442">
        <v>15.7</v>
      </c>
      <c r="I13" s="442">
        <f t="shared" si="0"/>
        <v>27632</v>
      </c>
      <c r="J13" s="544">
        <f t="shared" si="1"/>
        <v>0.31090000000000001</v>
      </c>
      <c r="K13" s="442">
        <f t="shared" si="2"/>
        <v>20.58</v>
      </c>
      <c r="L13" s="442">
        <f>TRUNC(G13 * K13, 2)</f>
        <v>36220.800000000003</v>
      </c>
      <c r="P13" s="545"/>
    </row>
    <row r="14" spans="2:16" x14ac:dyDescent="0.25">
      <c r="B14" s="439" t="s">
        <v>1132</v>
      </c>
      <c r="C14" s="439"/>
      <c r="D14" s="439"/>
      <c r="E14" s="474" t="s">
        <v>713</v>
      </c>
      <c r="F14" s="444"/>
      <c r="G14" s="440"/>
      <c r="H14" s="438"/>
      <c r="I14" s="440">
        <f>SUBTOTAL(9,I15:I23)</f>
        <v>156611.43999999997</v>
      </c>
      <c r="J14" s="438"/>
      <c r="K14" s="440">
        <f t="shared" si="2"/>
        <v>0</v>
      </c>
      <c r="L14" s="440">
        <f>SUBTOTAL(9,L15:L23)</f>
        <v>205278.1</v>
      </c>
      <c r="P14" s="545"/>
    </row>
    <row r="15" spans="2:16" ht="38.25" x14ac:dyDescent="0.25">
      <c r="B15" s="443" t="s">
        <v>1133</v>
      </c>
      <c r="C15" s="443" t="s">
        <v>1134</v>
      </c>
      <c r="D15" s="443" t="s">
        <v>993</v>
      </c>
      <c r="E15" s="475" t="s">
        <v>1135</v>
      </c>
      <c r="F15" s="437" t="s">
        <v>19</v>
      </c>
      <c r="G15" s="442">
        <v>235.42</v>
      </c>
      <c r="H15" s="442">
        <v>294.64999999999998</v>
      </c>
      <c r="I15" s="442">
        <f t="shared" ref="I15:I23" si="3">TRUNC(G15 * H15, 2)</f>
        <v>69366.5</v>
      </c>
      <c r="J15" s="544">
        <f t="shared" ref="J15:J23" si="4">+$L$5</f>
        <v>0.31090000000000001</v>
      </c>
      <c r="K15" s="442">
        <f t="shared" si="2"/>
        <v>386.25</v>
      </c>
      <c r="L15" s="442">
        <f t="shared" ref="L15:L23" si="5">TRUNC(G15 * K15, 2)</f>
        <v>90930.97</v>
      </c>
      <c r="P15" s="545"/>
    </row>
    <row r="16" spans="2:16" ht="25.5" x14ac:dyDescent="0.25">
      <c r="B16" s="443" t="s">
        <v>1136</v>
      </c>
      <c r="C16" s="443" t="s">
        <v>1137</v>
      </c>
      <c r="D16" s="443" t="s">
        <v>993</v>
      </c>
      <c r="E16" s="475" t="s">
        <v>1138</v>
      </c>
      <c r="F16" s="437" t="s">
        <v>49</v>
      </c>
      <c r="G16" s="442">
        <v>1</v>
      </c>
      <c r="H16" s="442">
        <v>3510.78</v>
      </c>
      <c r="I16" s="442">
        <f t="shared" si="3"/>
        <v>3510.78</v>
      </c>
      <c r="J16" s="544">
        <f t="shared" si="4"/>
        <v>0.31090000000000001</v>
      </c>
      <c r="K16" s="442">
        <f t="shared" si="2"/>
        <v>4602.28</v>
      </c>
      <c r="L16" s="442">
        <f t="shared" si="5"/>
        <v>4602.28</v>
      </c>
      <c r="P16" s="545"/>
    </row>
    <row r="17" spans="2:16" ht="25.5" x14ac:dyDescent="0.25">
      <c r="B17" s="443" t="s">
        <v>1139</v>
      </c>
      <c r="C17" s="443" t="s">
        <v>1140</v>
      </c>
      <c r="D17" s="443" t="s">
        <v>993</v>
      </c>
      <c r="E17" s="475" t="s">
        <v>761</v>
      </c>
      <c r="F17" s="437" t="s">
        <v>1141</v>
      </c>
      <c r="G17" s="442">
        <v>1</v>
      </c>
      <c r="H17" s="442">
        <v>3071.9</v>
      </c>
      <c r="I17" s="442">
        <f t="shared" si="3"/>
        <v>3071.9</v>
      </c>
      <c r="J17" s="544">
        <f t="shared" si="4"/>
        <v>0.31090000000000001</v>
      </c>
      <c r="K17" s="442">
        <f t="shared" si="2"/>
        <v>4026.95</v>
      </c>
      <c r="L17" s="442">
        <f t="shared" si="5"/>
        <v>4026.95</v>
      </c>
      <c r="P17" s="545"/>
    </row>
    <row r="18" spans="2:16" x14ac:dyDescent="0.25">
      <c r="B18" s="443" t="s">
        <v>1142</v>
      </c>
      <c r="C18" s="443" t="s">
        <v>1143</v>
      </c>
      <c r="D18" s="443" t="s">
        <v>993</v>
      </c>
      <c r="E18" s="475" t="s">
        <v>763</v>
      </c>
      <c r="F18" s="437" t="s">
        <v>1141</v>
      </c>
      <c r="G18" s="442">
        <v>1</v>
      </c>
      <c r="H18" s="442">
        <v>4728.04</v>
      </c>
      <c r="I18" s="442">
        <f t="shared" si="3"/>
        <v>4728.04</v>
      </c>
      <c r="J18" s="544">
        <f t="shared" si="4"/>
        <v>0.31090000000000001</v>
      </c>
      <c r="K18" s="442">
        <f t="shared" si="2"/>
        <v>6197.98</v>
      </c>
      <c r="L18" s="442">
        <f t="shared" si="5"/>
        <v>6197.98</v>
      </c>
      <c r="P18" s="545"/>
    </row>
    <row r="19" spans="2:16" ht="25.5" x14ac:dyDescent="0.25">
      <c r="B19" s="443" t="s">
        <v>1144</v>
      </c>
      <c r="C19" s="443" t="s">
        <v>1145</v>
      </c>
      <c r="D19" s="443" t="s">
        <v>993</v>
      </c>
      <c r="E19" s="475" t="s">
        <v>765</v>
      </c>
      <c r="F19" s="437" t="s">
        <v>19</v>
      </c>
      <c r="G19" s="442">
        <v>451.2</v>
      </c>
      <c r="H19" s="442">
        <v>47.75</v>
      </c>
      <c r="I19" s="442">
        <f t="shared" si="3"/>
        <v>21544.799999999999</v>
      </c>
      <c r="J19" s="544">
        <f t="shared" si="4"/>
        <v>0.31090000000000001</v>
      </c>
      <c r="K19" s="442">
        <f t="shared" si="2"/>
        <v>62.59</v>
      </c>
      <c r="L19" s="442">
        <f t="shared" si="5"/>
        <v>28240.6</v>
      </c>
      <c r="P19" s="545"/>
    </row>
    <row r="20" spans="2:16" ht="25.5" x14ac:dyDescent="0.25">
      <c r="B20" s="443" t="s">
        <v>1146</v>
      </c>
      <c r="C20" s="443" t="s">
        <v>1147</v>
      </c>
      <c r="D20" s="443" t="s">
        <v>993</v>
      </c>
      <c r="E20" s="475" t="s">
        <v>767</v>
      </c>
      <c r="F20" s="437" t="s">
        <v>19</v>
      </c>
      <c r="G20" s="442">
        <v>902.4</v>
      </c>
      <c r="H20" s="442">
        <v>7.39</v>
      </c>
      <c r="I20" s="442">
        <f t="shared" si="3"/>
        <v>6668.73</v>
      </c>
      <c r="J20" s="544">
        <f t="shared" si="4"/>
        <v>0.31090000000000001</v>
      </c>
      <c r="K20" s="442">
        <f t="shared" si="2"/>
        <v>9.68</v>
      </c>
      <c r="L20" s="442">
        <f t="shared" si="5"/>
        <v>8735.23</v>
      </c>
      <c r="P20" s="545"/>
    </row>
    <row r="21" spans="2:16" ht="25.5" x14ac:dyDescent="0.25">
      <c r="B21" s="443" t="s">
        <v>1148</v>
      </c>
      <c r="C21" s="443" t="s">
        <v>1149</v>
      </c>
      <c r="D21" s="443" t="s">
        <v>993</v>
      </c>
      <c r="E21" s="475" t="s">
        <v>769</v>
      </c>
      <c r="F21" s="437" t="s">
        <v>19</v>
      </c>
      <c r="G21" s="442">
        <v>7.5</v>
      </c>
      <c r="H21" s="442">
        <v>386.29</v>
      </c>
      <c r="I21" s="442">
        <f t="shared" si="3"/>
        <v>2897.17</v>
      </c>
      <c r="J21" s="544">
        <f t="shared" si="4"/>
        <v>0.31090000000000001</v>
      </c>
      <c r="K21" s="442">
        <f t="shared" si="2"/>
        <v>506.38</v>
      </c>
      <c r="L21" s="442">
        <f t="shared" si="5"/>
        <v>3797.85</v>
      </c>
      <c r="P21" s="545"/>
    </row>
    <row r="22" spans="2:16" x14ac:dyDescent="0.25">
      <c r="B22" s="443" t="s">
        <v>1150</v>
      </c>
      <c r="C22" s="443" t="s">
        <v>1151</v>
      </c>
      <c r="D22" s="443" t="s">
        <v>993</v>
      </c>
      <c r="E22" s="475" t="s">
        <v>990</v>
      </c>
      <c r="F22" s="437" t="s">
        <v>1152</v>
      </c>
      <c r="G22" s="442">
        <v>1736</v>
      </c>
      <c r="H22" s="442">
        <v>22.5</v>
      </c>
      <c r="I22" s="442">
        <f t="shared" si="3"/>
        <v>39060</v>
      </c>
      <c r="J22" s="544">
        <f t="shared" si="4"/>
        <v>0.31090000000000001</v>
      </c>
      <c r="K22" s="442">
        <f t="shared" si="2"/>
        <v>29.49</v>
      </c>
      <c r="L22" s="442">
        <f t="shared" si="5"/>
        <v>51194.64</v>
      </c>
      <c r="P22" s="545"/>
    </row>
    <row r="23" spans="2:16" x14ac:dyDescent="0.25">
      <c r="B23" s="443" t="s">
        <v>1153</v>
      </c>
      <c r="C23" s="443" t="s">
        <v>1154</v>
      </c>
      <c r="D23" s="443" t="s">
        <v>993</v>
      </c>
      <c r="E23" s="475" t="s">
        <v>1033</v>
      </c>
      <c r="F23" s="437" t="s">
        <v>1152</v>
      </c>
      <c r="G23" s="442">
        <v>1736</v>
      </c>
      <c r="H23" s="442">
        <v>3.32</v>
      </c>
      <c r="I23" s="442">
        <f t="shared" si="3"/>
        <v>5763.52</v>
      </c>
      <c r="J23" s="544">
        <f t="shared" si="4"/>
        <v>0.31090000000000001</v>
      </c>
      <c r="K23" s="442">
        <f t="shared" si="2"/>
        <v>4.3499999999999996</v>
      </c>
      <c r="L23" s="442">
        <f t="shared" si="5"/>
        <v>7551.6</v>
      </c>
      <c r="P23" s="545"/>
    </row>
    <row r="24" spans="2:16" x14ac:dyDescent="0.25">
      <c r="B24" s="439" t="s">
        <v>1155</v>
      </c>
      <c r="C24" s="439"/>
      <c r="D24" s="439"/>
      <c r="E24" s="474" t="s">
        <v>40</v>
      </c>
      <c r="F24" s="444"/>
      <c r="G24" s="440"/>
      <c r="H24" s="438"/>
      <c r="I24" s="440">
        <f>SUBTOTAL(9,I25:I31)</f>
        <v>29146.25</v>
      </c>
      <c r="J24" s="438"/>
      <c r="K24" s="440">
        <f t="shared" si="2"/>
        <v>0</v>
      </c>
      <c r="L24" s="440">
        <f>SUBTOTAL(9,L25:L31)</f>
        <v>38206.550000000003</v>
      </c>
      <c r="P24" s="545"/>
    </row>
    <row r="25" spans="2:16" x14ac:dyDescent="0.25">
      <c r="B25" s="443" t="s">
        <v>1156</v>
      </c>
      <c r="C25" s="443" t="s">
        <v>1157</v>
      </c>
      <c r="D25" s="443" t="s">
        <v>993</v>
      </c>
      <c r="E25" s="475" t="s">
        <v>752</v>
      </c>
      <c r="F25" s="437" t="s">
        <v>19</v>
      </c>
      <c r="G25" s="442">
        <v>592.63</v>
      </c>
      <c r="H25" s="442">
        <v>0.23</v>
      </c>
      <c r="I25" s="442">
        <f t="shared" ref="I25:I31" si="6">TRUNC(G25 * H25, 2)</f>
        <v>136.30000000000001</v>
      </c>
      <c r="J25" s="544">
        <f t="shared" ref="J25:J31" si="7">+$L$5</f>
        <v>0.31090000000000001</v>
      </c>
      <c r="K25" s="442">
        <f t="shared" si="2"/>
        <v>0.3</v>
      </c>
      <c r="L25" s="442">
        <f t="shared" ref="L25:L31" si="8">TRUNC(G25 * K25, 2)</f>
        <v>177.78</v>
      </c>
      <c r="P25" s="545"/>
    </row>
    <row r="26" spans="2:16" ht="25.5" x14ac:dyDescent="0.25">
      <c r="B26" s="443" t="s">
        <v>1158</v>
      </c>
      <c r="C26" s="443" t="s">
        <v>1159</v>
      </c>
      <c r="D26" s="443" t="s">
        <v>993</v>
      </c>
      <c r="E26" s="475" t="s">
        <v>754</v>
      </c>
      <c r="F26" s="437" t="s">
        <v>19</v>
      </c>
      <c r="G26" s="442">
        <v>58.89</v>
      </c>
      <c r="H26" s="442">
        <v>5.28</v>
      </c>
      <c r="I26" s="442">
        <f t="shared" si="6"/>
        <v>310.93</v>
      </c>
      <c r="J26" s="544">
        <f t="shared" si="7"/>
        <v>0.31090000000000001</v>
      </c>
      <c r="K26" s="442">
        <f t="shared" si="2"/>
        <v>6.92</v>
      </c>
      <c r="L26" s="442">
        <f t="shared" si="8"/>
        <v>407.51</v>
      </c>
      <c r="P26" s="545"/>
    </row>
    <row r="27" spans="2:16" x14ac:dyDescent="0.25">
      <c r="B27" s="443" t="s">
        <v>1160</v>
      </c>
      <c r="C27" s="443" t="s">
        <v>1161</v>
      </c>
      <c r="D27" s="443" t="s">
        <v>993</v>
      </c>
      <c r="E27" s="475" t="s">
        <v>1162</v>
      </c>
      <c r="F27" s="437" t="s">
        <v>1141</v>
      </c>
      <c r="G27" s="442">
        <v>1</v>
      </c>
      <c r="H27" s="442">
        <v>1486.62</v>
      </c>
      <c r="I27" s="442">
        <f t="shared" si="6"/>
        <v>1486.62</v>
      </c>
      <c r="J27" s="544">
        <f t="shared" si="7"/>
        <v>0.31090000000000001</v>
      </c>
      <c r="K27" s="442">
        <f t="shared" si="2"/>
        <v>1948.81</v>
      </c>
      <c r="L27" s="442">
        <f t="shared" si="8"/>
        <v>1948.81</v>
      </c>
      <c r="P27" s="545"/>
    </row>
    <row r="28" spans="2:16" x14ac:dyDescent="0.25">
      <c r="B28" s="443" t="s">
        <v>1163</v>
      </c>
      <c r="C28" s="443" t="s">
        <v>1164</v>
      </c>
      <c r="D28" s="443" t="s">
        <v>993</v>
      </c>
      <c r="E28" s="475" t="s">
        <v>1165</v>
      </c>
      <c r="F28" s="437" t="s">
        <v>1141</v>
      </c>
      <c r="G28" s="442">
        <v>42</v>
      </c>
      <c r="H28" s="442">
        <v>15</v>
      </c>
      <c r="I28" s="442">
        <f t="shared" si="6"/>
        <v>630</v>
      </c>
      <c r="J28" s="544">
        <f t="shared" si="7"/>
        <v>0.31090000000000001</v>
      </c>
      <c r="K28" s="442">
        <f t="shared" si="2"/>
        <v>19.66</v>
      </c>
      <c r="L28" s="442">
        <f t="shared" si="8"/>
        <v>825.72</v>
      </c>
      <c r="P28" s="545"/>
    </row>
    <row r="29" spans="2:16" ht="63.75" x14ac:dyDescent="0.25">
      <c r="B29" s="443" t="s">
        <v>1166</v>
      </c>
      <c r="C29" s="443" t="s">
        <v>1167</v>
      </c>
      <c r="D29" s="443" t="s">
        <v>1168</v>
      </c>
      <c r="E29" s="475" t="s">
        <v>914</v>
      </c>
      <c r="F29" s="437" t="s">
        <v>49</v>
      </c>
      <c r="G29" s="442">
        <v>10</v>
      </c>
      <c r="H29" s="442">
        <v>576</v>
      </c>
      <c r="I29" s="442">
        <f t="shared" si="6"/>
        <v>5760</v>
      </c>
      <c r="J29" s="544">
        <f t="shared" si="7"/>
        <v>0.31090000000000001</v>
      </c>
      <c r="K29" s="442">
        <f t="shared" si="2"/>
        <v>755.07</v>
      </c>
      <c r="L29" s="442">
        <f t="shared" si="8"/>
        <v>7550.7</v>
      </c>
      <c r="P29" s="545"/>
    </row>
    <row r="30" spans="2:16" x14ac:dyDescent="0.25">
      <c r="B30" s="443" t="s">
        <v>1169</v>
      </c>
      <c r="C30" s="443" t="s">
        <v>1170</v>
      </c>
      <c r="D30" s="443" t="s">
        <v>1168</v>
      </c>
      <c r="E30" s="475" t="s">
        <v>919</v>
      </c>
      <c r="F30" s="437" t="s">
        <v>38</v>
      </c>
      <c r="G30" s="442">
        <v>20</v>
      </c>
      <c r="H30" s="442">
        <v>36.9</v>
      </c>
      <c r="I30" s="442">
        <f t="shared" si="6"/>
        <v>738</v>
      </c>
      <c r="J30" s="544">
        <f t="shared" si="7"/>
        <v>0.31090000000000001</v>
      </c>
      <c r="K30" s="442">
        <f t="shared" si="2"/>
        <v>48.37</v>
      </c>
      <c r="L30" s="442">
        <f t="shared" si="8"/>
        <v>967.4</v>
      </c>
      <c r="P30" s="545"/>
    </row>
    <row r="31" spans="2:16" ht="25.5" x14ac:dyDescent="0.25">
      <c r="B31" s="443" t="s">
        <v>1171</v>
      </c>
      <c r="C31" s="443" t="s">
        <v>1172</v>
      </c>
      <c r="D31" s="443" t="s">
        <v>1071</v>
      </c>
      <c r="E31" s="475" t="s">
        <v>982</v>
      </c>
      <c r="F31" s="437" t="s">
        <v>49</v>
      </c>
      <c r="G31" s="442">
        <v>1</v>
      </c>
      <c r="H31" s="442">
        <v>20084.400000000001</v>
      </c>
      <c r="I31" s="442">
        <f t="shared" si="6"/>
        <v>20084.400000000001</v>
      </c>
      <c r="J31" s="544">
        <f t="shared" si="7"/>
        <v>0.31090000000000001</v>
      </c>
      <c r="K31" s="442">
        <f t="shared" si="2"/>
        <v>26328.63</v>
      </c>
      <c r="L31" s="442">
        <f t="shared" si="8"/>
        <v>26328.63</v>
      </c>
      <c r="P31" s="545"/>
    </row>
    <row r="32" spans="2:16" x14ac:dyDescent="0.25">
      <c r="B32" s="439" t="s">
        <v>1173</v>
      </c>
      <c r="C32" s="439"/>
      <c r="D32" s="439"/>
      <c r="E32" s="474" t="s">
        <v>725</v>
      </c>
      <c r="F32" s="444"/>
      <c r="G32" s="440"/>
      <c r="H32" s="438"/>
      <c r="I32" s="440">
        <f>SUBTOTAL(9,I33:I37)</f>
        <v>37141.9</v>
      </c>
      <c r="J32" s="438"/>
      <c r="K32" s="440">
        <f t="shared" si="2"/>
        <v>0</v>
      </c>
      <c r="L32" s="440">
        <f>SUBTOTAL(9,L33:L37)</f>
        <v>48684.17</v>
      </c>
      <c r="P32" s="545"/>
    </row>
    <row r="33" spans="2:16" ht="25.5" x14ac:dyDescent="0.25">
      <c r="B33" s="443" t="s">
        <v>1174</v>
      </c>
      <c r="C33" s="443" t="s">
        <v>1175</v>
      </c>
      <c r="D33" s="443" t="s">
        <v>1168</v>
      </c>
      <c r="E33" s="475" t="s">
        <v>732</v>
      </c>
      <c r="F33" s="437" t="s">
        <v>45</v>
      </c>
      <c r="G33" s="442">
        <v>39.14</v>
      </c>
      <c r="H33" s="442">
        <v>70.040000000000006</v>
      </c>
      <c r="I33" s="442">
        <f t="shared" ref="I33:I37" si="9">TRUNC(G33 * H33, 2)</f>
        <v>2741.36</v>
      </c>
      <c r="J33" s="544">
        <f>+$L$5</f>
        <v>0.31090000000000001</v>
      </c>
      <c r="K33" s="442">
        <f t="shared" si="2"/>
        <v>91.81</v>
      </c>
      <c r="L33" s="442">
        <f>TRUNC(G33 * K33, 2)</f>
        <v>3593.44</v>
      </c>
      <c r="P33" s="545"/>
    </row>
    <row r="34" spans="2:16" ht="25.5" x14ac:dyDescent="0.25">
      <c r="B34" s="443" t="s">
        <v>1176</v>
      </c>
      <c r="C34" s="443" t="s">
        <v>1177</v>
      </c>
      <c r="D34" s="443" t="s">
        <v>1168</v>
      </c>
      <c r="E34" s="475" t="s">
        <v>739</v>
      </c>
      <c r="F34" s="437" t="s">
        <v>45</v>
      </c>
      <c r="G34" s="442">
        <v>12</v>
      </c>
      <c r="H34" s="442">
        <v>150.41</v>
      </c>
      <c r="I34" s="442">
        <f t="shared" si="9"/>
        <v>1804.92</v>
      </c>
      <c r="J34" s="544">
        <f>+$L$5</f>
        <v>0.31090000000000001</v>
      </c>
      <c r="K34" s="442">
        <f t="shared" si="2"/>
        <v>197.17</v>
      </c>
      <c r="L34" s="442">
        <f>TRUNC(G34 * K34, 2)</f>
        <v>2366.04</v>
      </c>
      <c r="P34" s="545"/>
    </row>
    <row r="35" spans="2:16" ht="25.5" x14ac:dyDescent="0.25">
      <c r="B35" s="443" t="s">
        <v>1178</v>
      </c>
      <c r="C35" s="443" t="s">
        <v>1179</v>
      </c>
      <c r="D35" s="443" t="s">
        <v>993</v>
      </c>
      <c r="E35" s="475" t="s">
        <v>733</v>
      </c>
      <c r="F35" s="437" t="s">
        <v>41</v>
      </c>
      <c r="G35" s="442">
        <v>57.7</v>
      </c>
      <c r="H35" s="442">
        <v>17.579999999999998</v>
      </c>
      <c r="I35" s="442">
        <f t="shared" si="9"/>
        <v>1014.36</v>
      </c>
      <c r="J35" s="544">
        <f>+$L$5</f>
        <v>0.31090000000000001</v>
      </c>
      <c r="K35" s="442">
        <f t="shared" si="2"/>
        <v>23.04</v>
      </c>
      <c r="L35" s="442">
        <f>TRUNC(G35 * K35, 2)</f>
        <v>1329.4</v>
      </c>
      <c r="P35" s="545"/>
    </row>
    <row r="36" spans="2:16" ht="25.5" x14ac:dyDescent="0.25">
      <c r="B36" s="443" t="s">
        <v>1180</v>
      </c>
      <c r="C36" s="443" t="s">
        <v>1181</v>
      </c>
      <c r="D36" s="443" t="s">
        <v>1168</v>
      </c>
      <c r="E36" s="475" t="s">
        <v>738</v>
      </c>
      <c r="F36" s="437" t="s">
        <v>19</v>
      </c>
      <c r="G36" s="442">
        <v>241.75</v>
      </c>
      <c r="H36" s="442">
        <v>19.8</v>
      </c>
      <c r="I36" s="442">
        <f t="shared" si="9"/>
        <v>4786.6499999999996</v>
      </c>
      <c r="J36" s="544">
        <f>+$L$5</f>
        <v>0.31090000000000001</v>
      </c>
      <c r="K36" s="442">
        <f t="shared" si="2"/>
        <v>25.95</v>
      </c>
      <c r="L36" s="442">
        <f>TRUNC(G36 * K36, 2)</f>
        <v>6273.41</v>
      </c>
      <c r="P36" s="545"/>
    </row>
    <row r="37" spans="2:16" x14ac:dyDescent="0.25">
      <c r="B37" s="443" t="s">
        <v>1182</v>
      </c>
      <c r="C37" s="443" t="s">
        <v>1183</v>
      </c>
      <c r="D37" s="443" t="s">
        <v>993</v>
      </c>
      <c r="E37" s="475" t="s">
        <v>1184</v>
      </c>
      <c r="F37" s="437" t="s">
        <v>45</v>
      </c>
      <c r="G37" s="442">
        <v>584.78</v>
      </c>
      <c r="H37" s="442">
        <v>45.82</v>
      </c>
      <c r="I37" s="442">
        <f t="shared" si="9"/>
        <v>26794.61</v>
      </c>
      <c r="J37" s="544">
        <f>+$L$5</f>
        <v>0.31090000000000001</v>
      </c>
      <c r="K37" s="442">
        <f t="shared" si="2"/>
        <v>60.06</v>
      </c>
      <c r="L37" s="442">
        <f>TRUNC(G37 * K37, 2)</f>
        <v>35121.879999999997</v>
      </c>
      <c r="P37" s="545"/>
    </row>
    <row r="38" spans="2:16" x14ac:dyDescent="0.25">
      <c r="B38" s="439" t="s">
        <v>1185</v>
      </c>
      <c r="C38" s="439"/>
      <c r="D38" s="439"/>
      <c r="E38" s="474" t="s">
        <v>44</v>
      </c>
      <c r="F38" s="444"/>
      <c r="G38" s="440"/>
      <c r="H38" s="438"/>
      <c r="I38" s="440">
        <f>SUBTOTAL(9,I39:I50)</f>
        <v>124420.94999999998</v>
      </c>
      <c r="J38" s="438"/>
      <c r="K38" s="440">
        <f t="shared" si="2"/>
        <v>0</v>
      </c>
      <c r="L38" s="440">
        <f>SUBTOTAL(9,L39:L50)</f>
        <v>163076.01999999999</v>
      </c>
      <c r="P38" s="545"/>
    </row>
    <row r="39" spans="2:16" x14ac:dyDescent="0.25">
      <c r="B39" s="443" t="s">
        <v>1186</v>
      </c>
      <c r="C39" s="443" t="s">
        <v>1187</v>
      </c>
      <c r="D39" s="443" t="s">
        <v>993</v>
      </c>
      <c r="E39" s="475" t="s">
        <v>671</v>
      </c>
      <c r="F39" s="437" t="s">
        <v>45</v>
      </c>
      <c r="G39" s="442">
        <v>33.020000000000003</v>
      </c>
      <c r="H39" s="442">
        <v>32.43</v>
      </c>
      <c r="I39" s="442">
        <f t="shared" ref="I39:I50" si="10">TRUNC(G39 * H39, 2)</f>
        <v>1070.83</v>
      </c>
      <c r="J39" s="544">
        <f t="shared" ref="J39:J50" si="11">+$L$5</f>
        <v>0.31090000000000001</v>
      </c>
      <c r="K39" s="442">
        <f t="shared" si="2"/>
        <v>42.51</v>
      </c>
      <c r="L39" s="442">
        <f t="shared" ref="L39:L50" si="12">TRUNC(G39 * K39, 2)</f>
        <v>1403.68</v>
      </c>
      <c r="P39" s="545"/>
    </row>
    <row r="40" spans="2:16" x14ac:dyDescent="0.25">
      <c r="B40" s="443" t="s">
        <v>1188</v>
      </c>
      <c r="C40" s="443" t="s">
        <v>1189</v>
      </c>
      <c r="D40" s="443" t="s">
        <v>993</v>
      </c>
      <c r="E40" s="475" t="s">
        <v>1190</v>
      </c>
      <c r="F40" s="437" t="s">
        <v>45</v>
      </c>
      <c r="G40" s="442">
        <v>51.93</v>
      </c>
      <c r="H40" s="442">
        <v>41.06</v>
      </c>
      <c r="I40" s="442">
        <f t="shared" si="10"/>
        <v>2132.2399999999998</v>
      </c>
      <c r="J40" s="544">
        <f t="shared" si="11"/>
        <v>0.31090000000000001</v>
      </c>
      <c r="K40" s="442">
        <f t="shared" si="2"/>
        <v>53.82</v>
      </c>
      <c r="L40" s="442">
        <f t="shared" si="12"/>
        <v>2794.87</v>
      </c>
      <c r="P40" s="545"/>
    </row>
    <row r="41" spans="2:16" x14ac:dyDescent="0.25">
      <c r="B41" s="443" t="s">
        <v>1191</v>
      </c>
      <c r="C41" s="443" t="s">
        <v>1192</v>
      </c>
      <c r="D41" s="443" t="s">
        <v>993</v>
      </c>
      <c r="E41" s="475" t="s">
        <v>1193</v>
      </c>
      <c r="F41" s="437" t="s">
        <v>45</v>
      </c>
      <c r="G41" s="442">
        <v>4125.12</v>
      </c>
      <c r="H41" s="442">
        <v>2.2200000000000002</v>
      </c>
      <c r="I41" s="442">
        <f t="shared" si="10"/>
        <v>9157.76</v>
      </c>
      <c r="J41" s="544">
        <f t="shared" si="11"/>
        <v>0.31090000000000001</v>
      </c>
      <c r="K41" s="442">
        <f t="shared" si="2"/>
        <v>2.91</v>
      </c>
      <c r="L41" s="442">
        <f t="shared" si="12"/>
        <v>12004.09</v>
      </c>
      <c r="P41" s="545"/>
    </row>
    <row r="42" spans="2:16" x14ac:dyDescent="0.25">
      <c r="B42" s="443" t="s">
        <v>1194</v>
      </c>
      <c r="C42" s="443" t="s">
        <v>1195</v>
      </c>
      <c r="D42" s="443" t="s">
        <v>993</v>
      </c>
      <c r="E42" s="475" t="s">
        <v>273</v>
      </c>
      <c r="F42" s="437" t="s">
        <v>45</v>
      </c>
      <c r="G42" s="442">
        <v>33.9</v>
      </c>
      <c r="H42" s="442">
        <v>41.06</v>
      </c>
      <c r="I42" s="442">
        <f t="shared" si="10"/>
        <v>1391.93</v>
      </c>
      <c r="J42" s="544">
        <f t="shared" si="11"/>
        <v>0.31090000000000001</v>
      </c>
      <c r="K42" s="442">
        <f t="shared" si="2"/>
        <v>53.82</v>
      </c>
      <c r="L42" s="442">
        <f t="shared" si="12"/>
        <v>1824.49</v>
      </c>
      <c r="P42" s="545"/>
    </row>
    <row r="43" spans="2:16" x14ac:dyDescent="0.25">
      <c r="B43" s="443" t="s">
        <v>1196</v>
      </c>
      <c r="C43" s="443" t="s">
        <v>1197</v>
      </c>
      <c r="D43" s="443" t="s">
        <v>993</v>
      </c>
      <c r="E43" s="475" t="s">
        <v>221</v>
      </c>
      <c r="F43" s="437" t="s">
        <v>19</v>
      </c>
      <c r="G43" s="442">
        <v>3366.29</v>
      </c>
      <c r="H43" s="442">
        <v>5.05</v>
      </c>
      <c r="I43" s="442">
        <f t="shared" si="10"/>
        <v>16999.759999999998</v>
      </c>
      <c r="J43" s="544">
        <f t="shared" si="11"/>
        <v>0.31090000000000001</v>
      </c>
      <c r="K43" s="442">
        <f t="shared" si="2"/>
        <v>6.62</v>
      </c>
      <c r="L43" s="442">
        <f t="shared" si="12"/>
        <v>22284.83</v>
      </c>
      <c r="P43" s="545"/>
    </row>
    <row r="44" spans="2:16" x14ac:dyDescent="0.25">
      <c r="B44" s="443" t="s">
        <v>1198</v>
      </c>
      <c r="C44" s="443" t="s">
        <v>1199</v>
      </c>
      <c r="D44" s="443" t="s">
        <v>993</v>
      </c>
      <c r="E44" s="475" t="s">
        <v>224</v>
      </c>
      <c r="F44" s="437" t="s">
        <v>45</v>
      </c>
      <c r="G44" s="442">
        <v>5.17</v>
      </c>
      <c r="H44" s="442">
        <v>18.96</v>
      </c>
      <c r="I44" s="442">
        <f t="shared" si="10"/>
        <v>98.02</v>
      </c>
      <c r="J44" s="544">
        <f t="shared" si="11"/>
        <v>0.31090000000000001</v>
      </c>
      <c r="K44" s="442">
        <f t="shared" si="2"/>
        <v>24.85</v>
      </c>
      <c r="L44" s="442">
        <f t="shared" si="12"/>
        <v>128.47</v>
      </c>
      <c r="P44" s="545"/>
    </row>
    <row r="45" spans="2:16" x14ac:dyDescent="0.25">
      <c r="B45" s="443" t="s">
        <v>1200</v>
      </c>
      <c r="C45" s="443" t="s">
        <v>1201</v>
      </c>
      <c r="D45" s="443" t="s">
        <v>993</v>
      </c>
      <c r="E45" s="475" t="s">
        <v>230</v>
      </c>
      <c r="F45" s="437" t="s">
        <v>1202</v>
      </c>
      <c r="G45" s="442">
        <v>33.619999999999997</v>
      </c>
      <c r="H45" s="442">
        <v>2.64</v>
      </c>
      <c r="I45" s="442">
        <f t="shared" si="10"/>
        <v>88.75</v>
      </c>
      <c r="J45" s="544">
        <f t="shared" si="11"/>
        <v>0.31090000000000001</v>
      </c>
      <c r="K45" s="442">
        <f t="shared" si="2"/>
        <v>3.46</v>
      </c>
      <c r="L45" s="442">
        <f t="shared" si="12"/>
        <v>116.32</v>
      </c>
      <c r="P45" s="545"/>
    </row>
    <row r="46" spans="2:16" x14ac:dyDescent="0.25">
      <c r="B46" s="443" t="s">
        <v>1203</v>
      </c>
      <c r="C46" s="443" t="s">
        <v>1204</v>
      </c>
      <c r="D46" s="443" t="s">
        <v>993</v>
      </c>
      <c r="E46" s="475" t="s">
        <v>233</v>
      </c>
      <c r="F46" s="437" t="s">
        <v>45</v>
      </c>
      <c r="G46" s="442">
        <v>168.34</v>
      </c>
      <c r="H46" s="442">
        <v>211.07</v>
      </c>
      <c r="I46" s="442">
        <f t="shared" si="10"/>
        <v>35531.519999999997</v>
      </c>
      <c r="J46" s="544">
        <f t="shared" si="11"/>
        <v>0.31090000000000001</v>
      </c>
      <c r="K46" s="442">
        <f t="shared" si="2"/>
        <v>276.69</v>
      </c>
      <c r="L46" s="442">
        <f t="shared" si="12"/>
        <v>46577.99</v>
      </c>
      <c r="P46" s="545"/>
    </row>
    <row r="47" spans="2:16" ht="25.5" x14ac:dyDescent="0.25">
      <c r="B47" s="443" t="s">
        <v>1205</v>
      </c>
      <c r="C47" s="443" t="s">
        <v>1206</v>
      </c>
      <c r="D47" s="443" t="s">
        <v>993</v>
      </c>
      <c r="E47" s="475" t="s">
        <v>237</v>
      </c>
      <c r="F47" s="437" t="s">
        <v>45</v>
      </c>
      <c r="G47" s="442">
        <v>3204.1</v>
      </c>
      <c r="H47" s="442">
        <v>6.25</v>
      </c>
      <c r="I47" s="442">
        <f t="shared" si="10"/>
        <v>20025.62</v>
      </c>
      <c r="J47" s="544">
        <f t="shared" si="11"/>
        <v>0.31090000000000001</v>
      </c>
      <c r="K47" s="442">
        <f t="shared" si="2"/>
        <v>8.19</v>
      </c>
      <c r="L47" s="442">
        <f t="shared" si="12"/>
        <v>26241.57</v>
      </c>
      <c r="P47" s="545"/>
    </row>
    <row r="48" spans="2:16" x14ac:dyDescent="0.25">
      <c r="B48" s="443" t="s">
        <v>1207</v>
      </c>
      <c r="C48" s="443" t="s">
        <v>1208</v>
      </c>
      <c r="D48" s="443" t="s">
        <v>993</v>
      </c>
      <c r="E48" s="475" t="s">
        <v>279</v>
      </c>
      <c r="F48" s="437" t="s">
        <v>45</v>
      </c>
      <c r="G48" s="442">
        <v>93.53</v>
      </c>
      <c r="H48" s="442">
        <v>3.59</v>
      </c>
      <c r="I48" s="442">
        <f t="shared" si="10"/>
        <v>335.77</v>
      </c>
      <c r="J48" s="544">
        <f t="shared" si="11"/>
        <v>0.31090000000000001</v>
      </c>
      <c r="K48" s="442">
        <f t="shared" si="2"/>
        <v>4.7</v>
      </c>
      <c r="L48" s="442">
        <f t="shared" si="12"/>
        <v>439.59</v>
      </c>
      <c r="P48" s="545"/>
    </row>
    <row r="49" spans="2:16" x14ac:dyDescent="0.25">
      <c r="B49" s="443" t="s">
        <v>1209</v>
      </c>
      <c r="C49" s="443" t="s">
        <v>1210</v>
      </c>
      <c r="D49" s="443" t="s">
        <v>993</v>
      </c>
      <c r="E49" s="475" t="s">
        <v>1211</v>
      </c>
      <c r="F49" s="437" t="s">
        <v>45</v>
      </c>
      <c r="G49" s="442">
        <v>881.37</v>
      </c>
      <c r="H49" s="442">
        <v>21.48</v>
      </c>
      <c r="I49" s="442">
        <f t="shared" si="10"/>
        <v>18931.82</v>
      </c>
      <c r="J49" s="544">
        <f t="shared" si="11"/>
        <v>0.31090000000000001</v>
      </c>
      <c r="K49" s="442">
        <f t="shared" si="2"/>
        <v>28.15</v>
      </c>
      <c r="L49" s="442">
        <f t="shared" si="12"/>
        <v>24810.560000000001</v>
      </c>
      <c r="P49" s="545"/>
    </row>
    <row r="50" spans="2:16" ht="25.5" x14ac:dyDescent="0.25">
      <c r="B50" s="443" t="s">
        <v>1212</v>
      </c>
      <c r="C50" s="443" t="s">
        <v>1213</v>
      </c>
      <c r="D50" s="443" t="s">
        <v>1168</v>
      </c>
      <c r="E50" s="475" t="s">
        <v>661</v>
      </c>
      <c r="F50" s="437" t="s">
        <v>19</v>
      </c>
      <c r="G50" s="442">
        <v>1057.05</v>
      </c>
      <c r="H50" s="442">
        <v>17.649999999999999</v>
      </c>
      <c r="I50" s="442">
        <f t="shared" si="10"/>
        <v>18656.93</v>
      </c>
      <c r="J50" s="544">
        <f t="shared" si="11"/>
        <v>0.31090000000000001</v>
      </c>
      <c r="K50" s="442">
        <f t="shared" si="2"/>
        <v>23.13</v>
      </c>
      <c r="L50" s="442">
        <f t="shared" si="12"/>
        <v>24449.56</v>
      </c>
      <c r="P50" s="545"/>
    </row>
    <row r="51" spans="2:16" x14ac:dyDescent="0.25">
      <c r="B51" s="439" t="s">
        <v>1214</v>
      </c>
      <c r="C51" s="439"/>
      <c r="D51" s="439"/>
      <c r="E51" s="474" t="s">
        <v>47</v>
      </c>
      <c r="F51" s="444"/>
      <c r="G51" s="440"/>
      <c r="H51" s="438"/>
      <c r="I51" s="440">
        <f>SUBTOTAL(9,I52:I77)</f>
        <v>91025.96</v>
      </c>
      <c r="J51" s="438"/>
      <c r="K51" s="440">
        <f t="shared" si="2"/>
        <v>0</v>
      </c>
      <c r="L51" s="440">
        <f>SUBTOTAL(9,L52:L77)</f>
        <v>119308.92</v>
      </c>
      <c r="P51" s="545"/>
    </row>
    <row r="52" spans="2:16" x14ac:dyDescent="0.25">
      <c r="B52" s="439" t="s">
        <v>1215</v>
      </c>
      <c r="C52" s="439"/>
      <c r="D52" s="439"/>
      <c r="E52" s="474" t="s">
        <v>317</v>
      </c>
      <c r="F52" s="444"/>
      <c r="G52" s="440"/>
      <c r="H52" s="438"/>
      <c r="I52" s="440">
        <f>SUBTOTAL(9,I53:I61)</f>
        <v>9008.41</v>
      </c>
      <c r="J52" s="438"/>
      <c r="K52" s="440">
        <f t="shared" si="2"/>
        <v>0</v>
      </c>
      <c r="L52" s="440">
        <f>SUBTOTAL(9,L53:L61)</f>
        <v>11807.69</v>
      </c>
      <c r="P52" s="545"/>
    </row>
    <row r="53" spans="2:16" ht="25.5" x14ac:dyDescent="0.25">
      <c r="B53" s="443" t="s">
        <v>1216</v>
      </c>
      <c r="C53" s="443" t="s">
        <v>1217</v>
      </c>
      <c r="D53" s="443" t="s">
        <v>993</v>
      </c>
      <c r="E53" s="475" t="s">
        <v>254</v>
      </c>
      <c r="F53" s="437" t="s">
        <v>45</v>
      </c>
      <c r="G53" s="442">
        <v>0.56999999999999995</v>
      </c>
      <c r="H53" s="442">
        <v>465.59</v>
      </c>
      <c r="I53" s="442">
        <f t="shared" ref="I53:I61" si="13">TRUNC(G53 * H53, 2)</f>
        <v>265.38</v>
      </c>
      <c r="J53" s="544">
        <f t="shared" ref="J53:J61" si="14">+$L$5</f>
        <v>0.31090000000000001</v>
      </c>
      <c r="K53" s="442">
        <f t="shared" si="2"/>
        <v>610.34</v>
      </c>
      <c r="L53" s="442">
        <f t="shared" ref="L53:L61" si="15">TRUNC(G53 * K53, 2)</f>
        <v>347.89</v>
      </c>
      <c r="P53" s="545"/>
    </row>
    <row r="54" spans="2:16" x14ac:dyDescent="0.25">
      <c r="B54" s="443" t="s">
        <v>1218</v>
      </c>
      <c r="C54" s="443" t="s">
        <v>1219</v>
      </c>
      <c r="D54" s="443" t="s">
        <v>993</v>
      </c>
      <c r="E54" s="475" t="s">
        <v>257</v>
      </c>
      <c r="F54" s="437" t="s">
        <v>19</v>
      </c>
      <c r="G54" s="442">
        <v>13.56</v>
      </c>
      <c r="H54" s="442">
        <v>72.510000000000005</v>
      </c>
      <c r="I54" s="442">
        <f t="shared" si="13"/>
        <v>983.23</v>
      </c>
      <c r="J54" s="544">
        <f t="shared" si="14"/>
        <v>0.31090000000000001</v>
      </c>
      <c r="K54" s="442">
        <f t="shared" si="2"/>
        <v>95.05</v>
      </c>
      <c r="L54" s="442">
        <f t="shared" si="15"/>
        <v>1288.8699999999999</v>
      </c>
      <c r="P54" s="545"/>
    </row>
    <row r="55" spans="2:16" x14ac:dyDescent="0.25">
      <c r="B55" s="443" t="s">
        <v>1220</v>
      </c>
      <c r="C55" s="443" t="s">
        <v>1221</v>
      </c>
      <c r="D55" s="443" t="s">
        <v>993</v>
      </c>
      <c r="E55" s="475" t="s">
        <v>259</v>
      </c>
      <c r="F55" s="437" t="s">
        <v>1222</v>
      </c>
      <c r="G55" s="442">
        <v>104.44</v>
      </c>
      <c r="H55" s="442">
        <v>10.6</v>
      </c>
      <c r="I55" s="442">
        <f t="shared" si="13"/>
        <v>1107.06</v>
      </c>
      <c r="J55" s="544">
        <f t="shared" si="14"/>
        <v>0.31090000000000001</v>
      </c>
      <c r="K55" s="442">
        <f t="shared" si="2"/>
        <v>13.89</v>
      </c>
      <c r="L55" s="442">
        <f t="shared" si="15"/>
        <v>1450.67</v>
      </c>
      <c r="P55" s="545"/>
    </row>
    <row r="56" spans="2:16" x14ac:dyDescent="0.25">
      <c r="B56" s="443" t="s">
        <v>1223</v>
      </c>
      <c r="C56" s="443" t="s">
        <v>1224</v>
      </c>
      <c r="D56" s="443" t="s">
        <v>993</v>
      </c>
      <c r="E56" s="475" t="s">
        <v>261</v>
      </c>
      <c r="F56" s="437" t="s">
        <v>1222</v>
      </c>
      <c r="G56" s="442">
        <v>90.31</v>
      </c>
      <c r="H56" s="442">
        <v>10.53</v>
      </c>
      <c r="I56" s="442">
        <f t="shared" si="13"/>
        <v>950.96</v>
      </c>
      <c r="J56" s="544">
        <f t="shared" si="14"/>
        <v>0.31090000000000001</v>
      </c>
      <c r="K56" s="442">
        <f t="shared" si="2"/>
        <v>13.8</v>
      </c>
      <c r="L56" s="442">
        <f t="shared" si="15"/>
        <v>1246.27</v>
      </c>
      <c r="P56" s="545"/>
    </row>
    <row r="57" spans="2:16" x14ac:dyDescent="0.25">
      <c r="B57" s="443" t="s">
        <v>1225</v>
      </c>
      <c r="C57" s="443" t="s">
        <v>1226</v>
      </c>
      <c r="D57" s="443" t="s">
        <v>993</v>
      </c>
      <c r="E57" s="475" t="s">
        <v>263</v>
      </c>
      <c r="F57" s="437" t="s">
        <v>1222</v>
      </c>
      <c r="G57" s="442">
        <v>35.44</v>
      </c>
      <c r="H57" s="442">
        <v>10.32</v>
      </c>
      <c r="I57" s="442">
        <f t="shared" si="13"/>
        <v>365.74</v>
      </c>
      <c r="J57" s="544">
        <f t="shared" si="14"/>
        <v>0.31090000000000001</v>
      </c>
      <c r="K57" s="442">
        <f t="shared" si="2"/>
        <v>13.52</v>
      </c>
      <c r="L57" s="442">
        <f t="shared" si="15"/>
        <v>479.14</v>
      </c>
      <c r="P57" s="545"/>
    </row>
    <row r="58" spans="2:16" x14ac:dyDescent="0.25">
      <c r="B58" s="443" t="s">
        <v>1227</v>
      </c>
      <c r="C58" s="443" t="s">
        <v>1228</v>
      </c>
      <c r="D58" s="443" t="s">
        <v>993</v>
      </c>
      <c r="E58" s="475" t="s">
        <v>266</v>
      </c>
      <c r="F58" s="437" t="s">
        <v>1222</v>
      </c>
      <c r="G58" s="442">
        <v>6.95</v>
      </c>
      <c r="H58" s="442">
        <v>12.35</v>
      </c>
      <c r="I58" s="442">
        <f t="shared" si="13"/>
        <v>85.83</v>
      </c>
      <c r="J58" s="544">
        <f t="shared" si="14"/>
        <v>0.31090000000000001</v>
      </c>
      <c r="K58" s="442">
        <f t="shared" si="2"/>
        <v>16.18</v>
      </c>
      <c r="L58" s="442">
        <f t="shared" si="15"/>
        <v>112.45</v>
      </c>
      <c r="P58" s="545"/>
    </row>
    <row r="59" spans="2:16" x14ac:dyDescent="0.25">
      <c r="B59" s="443" t="s">
        <v>1229</v>
      </c>
      <c r="C59" s="443" t="s">
        <v>1230</v>
      </c>
      <c r="D59" s="443" t="s">
        <v>993</v>
      </c>
      <c r="E59" s="475" t="s">
        <v>268</v>
      </c>
      <c r="F59" s="437" t="s">
        <v>45</v>
      </c>
      <c r="G59" s="442">
        <v>3.98</v>
      </c>
      <c r="H59" s="442">
        <v>512.44000000000005</v>
      </c>
      <c r="I59" s="442">
        <f t="shared" si="13"/>
        <v>2039.51</v>
      </c>
      <c r="J59" s="544">
        <f t="shared" si="14"/>
        <v>0.31090000000000001</v>
      </c>
      <c r="K59" s="442">
        <f t="shared" si="2"/>
        <v>671.75</v>
      </c>
      <c r="L59" s="442">
        <f t="shared" si="15"/>
        <v>2673.56</v>
      </c>
      <c r="P59" s="545"/>
    </row>
    <row r="60" spans="2:16" x14ac:dyDescent="0.25">
      <c r="B60" s="443" t="s">
        <v>1231</v>
      </c>
      <c r="C60" s="443" t="s">
        <v>1232</v>
      </c>
      <c r="D60" s="443" t="s">
        <v>993</v>
      </c>
      <c r="E60" s="475" t="s">
        <v>277</v>
      </c>
      <c r="F60" s="437" t="s">
        <v>45</v>
      </c>
      <c r="G60" s="442">
        <v>3.98</v>
      </c>
      <c r="H60" s="442">
        <v>44.98</v>
      </c>
      <c r="I60" s="442">
        <f t="shared" si="13"/>
        <v>179.02</v>
      </c>
      <c r="J60" s="544">
        <f t="shared" si="14"/>
        <v>0.31090000000000001</v>
      </c>
      <c r="K60" s="442">
        <f t="shared" si="2"/>
        <v>58.96</v>
      </c>
      <c r="L60" s="442">
        <f t="shared" si="15"/>
        <v>234.66</v>
      </c>
      <c r="P60" s="545"/>
    </row>
    <row r="61" spans="2:16" ht="25.5" x14ac:dyDescent="0.25">
      <c r="B61" s="443" t="s">
        <v>1233</v>
      </c>
      <c r="C61" s="443" t="s">
        <v>1234</v>
      </c>
      <c r="D61" s="443" t="s">
        <v>1168</v>
      </c>
      <c r="E61" s="475" t="s">
        <v>246</v>
      </c>
      <c r="F61" s="437" t="s">
        <v>19</v>
      </c>
      <c r="G61" s="442">
        <v>30.16</v>
      </c>
      <c r="H61" s="442">
        <v>100.52</v>
      </c>
      <c r="I61" s="442">
        <f t="shared" si="13"/>
        <v>3031.68</v>
      </c>
      <c r="J61" s="544">
        <f t="shared" si="14"/>
        <v>0.31090000000000001</v>
      </c>
      <c r="K61" s="442">
        <f t="shared" si="2"/>
        <v>131.77000000000001</v>
      </c>
      <c r="L61" s="442">
        <f t="shared" si="15"/>
        <v>3974.18</v>
      </c>
      <c r="P61" s="545"/>
    </row>
    <row r="62" spans="2:16" x14ac:dyDescent="0.25">
      <c r="B62" s="439" t="s">
        <v>1235</v>
      </c>
      <c r="C62" s="439"/>
      <c r="D62" s="439"/>
      <c r="E62" s="474" t="s">
        <v>48</v>
      </c>
      <c r="F62" s="440"/>
      <c r="G62" s="440">
        <v>1</v>
      </c>
      <c r="H62" s="438"/>
      <c r="I62" s="440">
        <f>SUBTOTAL(9,I63:I68)</f>
        <v>44732.14</v>
      </c>
      <c r="J62" s="438"/>
      <c r="K62" s="440">
        <f t="shared" si="2"/>
        <v>0</v>
      </c>
      <c r="L62" s="440">
        <f>SUBTOTAL(9,L63:L68)</f>
        <v>58629.01</v>
      </c>
      <c r="P62" s="545"/>
    </row>
    <row r="63" spans="2:16" x14ac:dyDescent="0.25">
      <c r="B63" s="443" t="s">
        <v>1236</v>
      </c>
      <c r="C63" s="443" t="s">
        <v>1237</v>
      </c>
      <c r="D63" s="443" t="s">
        <v>1168</v>
      </c>
      <c r="E63" s="475" t="s">
        <v>1238</v>
      </c>
      <c r="F63" s="437" t="s">
        <v>41</v>
      </c>
      <c r="G63" s="442">
        <v>300</v>
      </c>
      <c r="H63" s="442">
        <v>30.54</v>
      </c>
      <c r="I63" s="442">
        <f t="shared" ref="I63:I68" si="16">TRUNC(G63 * H63, 2)</f>
        <v>9162</v>
      </c>
      <c r="J63" s="544">
        <f t="shared" ref="J63:J68" si="17">+$L$5</f>
        <v>0.31090000000000001</v>
      </c>
      <c r="K63" s="442">
        <f t="shared" si="2"/>
        <v>40.03</v>
      </c>
      <c r="L63" s="442">
        <f t="shared" ref="L63:L68" si="18">TRUNC(G63 * K63, 2)</f>
        <v>12009</v>
      </c>
      <c r="P63" s="545"/>
    </row>
    <row r="64" spans="2:16" x14ac:dyDescent="0.25">
      <c r="B64" s="443" t="s">
        <v>1239</v>
      </c>
      <c r="C64" s="443" t="s">
        <v>1221</v>
      </c>
      <c r="D64" s="443" t="s">
        <v>993</v>
      </c>
      <c r="E64" s="475" t="s">
        <v>259</v>
      </c>
      <c r="F64" s="437" t="s">
        <v>1222</v>
      </c>
      <c r="G64" s="442">
        <v>185.22</v>
      </c>
      <c r="H64" s="442">
        <v>10.6</v>
      </c>
      <c r="I64" s="442">
        <f t="shared" si="16"/>
        <v>1963.33</v>
      </c>
      <c r="J64" s="544">
        <f t="shared" si="17"/>
        <v>0.31090000000000001</v>
      </c>
      <c r="K64" s="442">
        <f t="shared" si="2"/>
        <v>13.89</v>
      </c>
      <c r="L64" s="442">
        <f t="shared" si="18"/>
        <v>2572.6999999999998</v>
      </c>
      <c r="P64" s="545"/>
    </row>
    <row r="65" spans="2:16" x14ac:dyDescent="0.25">
      <c r="B65" s="443" t="s">
        <v>1240</v>
      </c>
      <c r="C65" s="443" t="s">
        <v>1241</v>
      </c>
      <c r="D65" s="443" t="s">
        <v>993</v>
      </c>
      <c r="E65" s="475" t="s">
        <v>275</v>
      </c>
      <c r="F65" s="437" t="s">
        <v>1222</v>
      </c>
      <c r="G65" s="442">
        <v>1136.1600000000001</v>
      </c>
      <c r="H65" s="442">
        <v>10.86</v>
      </c>
      <c r="I65" s="442">
        <f t="shared" si="16"/>
        <v>12338.69</v>
      </c>
      <c r="J65" s="544">
        <f t="shared" si="17"/>
        <v>0.31090000000000001</v>
      </c>
      <c r="K65" s="442">
        <f t="shared" si="2"/>
        <v>14.23</v>
      </c>
      <c r="L65" s="442">
        <f t="shared" si="18"/>
        <v>16167.55</v>
      </c>
      <c r="P65" s="545"/>
    </row>
    <row r="66" spans="2:16" x14ac:dyDescent="0.25">
      <c r="B66" s="443" t="s">
        <v>1242</v>
      </c>
      <c r="C66" s="443" t="s">
        <v>1230</v>
      </c>
      <c r="D66" s="443" t="s">
        <v>993</v>
      </c>
      <c r="E66" s="475" t="s">
        <v>268</v>
      </c>
      <c r="F66" s="437" t="s">
        <v>45</v>
      </c>
      <c r="G66" s="442">
        <v>37.700000000000003</v>
      </c>
      <c r="H66" s="442">
        <v>512.44000000000005</v>
      </c>
      <c r="I66" s="442">
        <f t="shared" si="16"/>
        <v>19318.98</v>
      </c>
      <c r="J66" s="544">
        <f t="shared" si="17"/>
        <v>0.31090000000000001</v>
      </c>
      <c r="K66" s="442">
        <f t="shared" si="2"/>
        <v>671.75</v>
      </c>
      <c r="L66" s="442">
        <f t="shared" si="18"/>
        <v>25324.97</v>
      </c>
      <c r="P66" s="545"/>
    </row>
    <row r="67" spans="2:16" x14ac:dyDescent="0.25">
      <c r="B67" s="443" t="s">
        <v>1243</v>
      </c>
      <c r="C67" s="443" t="s">
        <v>1232</v>
      </c>
      <c r="D67" s="443" t="s">
        <v>993</v>
      </c>
      <c r="E67" s="475" t="s">
        <v>277</v>
      </c>
      <c r="F67" s="437" t="s">
        <v>45</v>
      </c>
      <c r="G67" s="442">
        <v>37.700000000000003</v>
      </c>
      <c r="H67" s="442">
        <v>44.98</v>
      </c>
      <c r="I67" s="442">
        <f t="shared" si="16"/>
        <v>1695.74</v>
      </c>
      <c r="J67" s="544">
        <f t="shared" si="17"/>
        <v>0.31090000000000001</v>
      </c>
      <c r="K67" s="442">
        <f t="shared" si="2"/>
        <v>58.96</v>
      </c>
      <c r="L67" s="442">
        <f t="shared" si="18"/>
        <v>2222.79</v>
      </c>
      <c r="P67" s="545"/>
    </row>
    <row r="68" spans="2:16" ht="25.5" x14ac:dyDescent="0.25">
      <c r="B68" s="443" t="s">
        <v>1244</v>
      </c>
      <c r="C68" s="443" t="s">
        <v>1245</v>
      </c>
      <c r="D68" s="443" t="s">
        <v>1168</v>
      </c>
      <c r="E68" s="475" t="s">
        <v>292</v>
      </c>
      <c r="F68" s="437" t="s">
        <v>38</v>
      </c>
      <c r="G68" s="442">
        <v>20</v>
      </c>
      <c r="H68" s="442">
        <v>12.67</v>
      </c>
      <c r="I68" s="442">
        <f t="shared" si="16"/>
        <v>253.4</v>
      </c>
      <c r="J68" s="544">
        <f t="shared" si="17"/>
        <v>0.31090000000000001</v>
      </c>
      <c r="K68" s="442">
        <f t="shared" si="2"/>
        <v>16.600000000000001</v>
      </c>
      <c r="L68" s="442">
        <f t="shared" si="18"/>
        <v>332</v>
      </c>
      <c r="P68" s="545"/>
    </row>
    <row r="69" spans="2:16" x14ac:dyDescent="0.25">
      <c r="B69" s="439" t="s">
        <v>1246</v>
      </c>
      <c r="C69" s="439"/>
      <c r="D69" s="439"/>
      <c r="E69" s="474" t="s">
        <v>50</v>
      </c>
      <c r="F69" s="440"/>
      <c r="G69" s="440">
        <v>1</v>
      </c>
      <c r="H69" s="438"/>
      <c r="I69" s="440">
        <f>SUBTOTAL(9,I70:I77)</f>
        <v>37285.409999999996</v>
      </c>
      <c r="J69" s="438"/>
      <c r="K69" s="440">
        <f t="shared" si="2"/>
        <v>0</v>
      </c>
      <c r="L69" s="440">
        <f>SUBTOTAL(9,L70:L77)</f>
        <v>48872.220000000008</v>
      </c>
      <c r="P69" s="545"/>
    </row>
    <row r="70" spans="2:16" ht="25.5" x14ac:dyDescent="0.25">
      <c r="B70" s="443" t="s">
        <v>1247</v>
      </c>
      <c r="C70" s="443" t="s">
        <v>1217</v>
      </c>
      <c r="D70" s="443" t="s">
        <v>993</v>
      </c>
      <c r="E70" s="475" t="s">
        <v>254</v>
      </c>
      <c r="F70" s="437" t="s">
        <v>45</v>
      </c>
      <c r="G70" s="442">
        <v>1.84</v>
      </c>
      <c r="H70" s="442">
        <v>465.59</v>
      </c>
      <c r="I70" s="442">
        <f t="shared" ref="I70:I77" si="19">TRUNC(G70 * H70, 2)</f>
        <v>856.68</v>
      </c>
      <c r="J70" s="544">
        <f t="shared" ref="J70:J77" si="20">+$L$5</f>
        <v>0.31090000000000001</v>
      </c>
      <c r="K70" s="442">
        <f t="shared" si="2"/>
        <v>610.34</v>
      </c>
      <c r="L70" s="442">
        <f t="shared" ref="L70:L77" si="21">TRUNC(G70 * K70, 2)</f>
        <v>1123.02</v>
      </c>
      <c r="P70" s="545"/>
    </row>
    <row r="71" spans="2:16" x14ac:dyDescent="0.25">
      <c r="B71" s="443" t="s">
        <v>1248</v>
      </c>
      <c r="C71" s="443" t="s">
        <v>1219</v>
      </c>
      <c r="D71" s="443" t="s">
        <v>993</v>
      </c>
      <c r="E71" s="475" t="s">
        <v>257</v>
      </c>
      <c r="F71" s="437" t="s">
        <v>19</v>
      </c>
      <c r="G71" s="442">
        <v>114.02</v>
      </c>
      <c r="H71" s="442">
        <v>72.510000000000005</v>
      </c>
      <c r="I71" s="442">
        <f t="shared" si="19"/>
        <v>8267.59</v>
      </c>
      <c r="J71" s="544">
        <f t="shared" si="20"/>
        <v>0.31090000000000001</v>
      </c>
      <c r="K71" s="442">
        <f t="shared" si="2"/>
        <v>95.05</v>
      </c>
      <c r="L71" s="442">
        <f t="shared" si="21"/>
        <v>10837.6</v>
      </c>
      <c r="P71" s="545"/>
    </row>
    <row r="72" spans="2:16" x14ac:dyDescent="0.25">
      <c r="B72" s="443" t="s">
        <v>1249</v>
      </c>
      <c r="C72" s="443" t="s">
        <v>1221</v>
      </c>
      <c r="D72" s="443" t="s">
        <v>993</v>
      </c>
      <c r="E72" s="475" t="s">
        <v>259</v>
      </c>
      <c r="F72" s="437" t="s">
        <v>1222</v>
      </c>
      <c r="G72" s="442">
        <v>157</v>
      </c>
      <c r="H72" s="442">
        <v>10.6</v>
      </c>
      <c r="I72" s="442">
        <f t="shared" si="19"/>
        <v>1664.2</v>
      </c>
      <c r="J72" s="544">
        <f t="shared" si="20"/>
        <v>0.31090000000000001</v>
      </c>
      <c r="K72" s="442">
        <f t="shared" si="2"/>
        <v>13.89</v>
      </c>
      <c r="L72" s="442">
        <f t="shared" si="21"/>
        <v>2180.73</v>
      </c>
      <c r="P72" s="545"/>
    </row>
    <row r="73" spans="2:16" x14ac:dyDescent="0.25">
      <c r="B73" s="443" t="s">
        <v>1250</v>
      </c>
      <c r="C73" s="443" t="s">
        <v>1224</v>
      </c>
      <c r="D73" s="443" t="s">
        <v>993</v>
      </c>
      <c r="E73" s="475" t="s">
        <v>261</v>
      </c>
      <c r="F73" s="437" t="s">
        <v>1222</v>
      </c>
      <c r="G73" s="442">
        <v>42.83</v>
      </c>
      <c r="H73" s="442">
        <v>10.53</v>
      </c>
      <c r="I73" s="442">
        <f t="shared" si="19"/>
        <v>450.99</v>
      </c>
      <c r="J73" s="544">
        <f t="shared" si="20"/>
        <v>0.31090000000000001</v>
      </c>
      <c r="K73" s="442">
        <f t="shared" si="2"/>
        <v>13.8</v>
      </c>
      <c r="L73" s="442">
        <f t="shared" si="21"/>
        <v>591.04999999999995</v>
      </c>
      <c r="P73" s="545"/>
    </row>
    <row r="74" spans="2:16" x14ac:dyDescent="0.25">
      <c r="B74" s="443" t="s">
        <v>1251</v>
      </c>
      <c r="C74" s="443" t="s">
        <v>1241</v>
      </c>
      <c r="D74" s="443" t="s">
        <v>993</v>
      </c>
      <c r="E74" s="475" t="s">
        <v>275</v>
      </c>
      <c r="F74" s="437" t="s">
        <v>1222</v>
      </c>
      <c r="G74" s="442">
        <v>534.63</v>
      </c>
      <c r="H74" s="442">
        <v>10.86</v>
      </c>
      <c r="I74" s="442">
        <f t="shared" si="19"/>
        <v>5806.08</v>
      </c>
      <c r="J74" s="544">
        <f t="shared" si="20"/>
        <v>0.31090000000000001</v>
      </c>
      <c r="K74" s="442">
        <f t="shared" si="2"/>
        <v>14.23</v>
      </c>
      <c r="L74" s="442">
        <f t="shared" si="21"/>
        <v>7607.78</v>
      </c>
      <c r="P74" s="545"/>
    </row>
    <row r="75" spans="2:16" x14ac:dyDescent="0.25">
      <c r="B75" s="443" t="s">
        <v>1252</v>
      </c>
      <c r="C75" s="443" t="s">
        <v>1230</v>
      </c>
      <c r="D75" s="443" t="s">
        <v>993</v>
      </c>
      <c r="E75" s="475" t="s">
        <v>268</v>
      </c>
      <c r="F75" s="437" t="s">
        <v>45</v>
      </c>
      <c r="G75" s="442">
        <v>33.75</v>
      </c>
      <c r="H75" s="442">
        <v>512.44000000000005</v>
      </c>
      <c r="I75" s="442">
        <f t="shared" si="19"/>
        <v>17294.849999999999</v>
      </c>
      <c r="J75" s="544">
        <f t="shared" si="20"/>
        <v>0.31090000000000001</v>
      </c>
      <c r="K75" s="442">
        <f t="shared" ref="K75:K138" si="22">TRUNC(H75 * (1 + J75), 2)</f>
        <v>671.75</v>
      </c>
      <c r="L75" s="442">
        <f t="shared" si="21"/>
        <v>22671.56</v>
      </c>
      <c r="P75" s="545"/>
    </row>
    <row r="76" spans="2:16" x14ac:dyDescent="0.25">
      <c r="B76" s="443" t="s">
        <v>1253</v>
      </c>
      <c r="C76" s="443" t="s">
        <v>1232</v>
      </c>
      <c r="D76" s="443" t="s">
        <v>993</v>
      </c>
      <c r="E76" s="475" t="s">
        <v>277</v>
      </c>
      <c r="F76" s="437" t="s">
        <v>45</v>
      </c>
      <c r="G76" s="442">
        <v>33.75</v>
      </c>
      <c r="H76" s="442">
        <v>44.98</v>
      </c>
      <c r="I76" s="442">
        <f t="shared" si="19"/>
        <v>1518.07</v>
      </c>
      <c r="J76" s="544">
        <f t="shared" si="20"/>
        <v>0.31090000000000001</v>
      </c>
      <c r="K76" s="442">
        <f t="shared" si="22"/>
        <v>58.96</v>
      </c>
      <c r="L76" s="442">
        <f t="shared" si="21"/>
        <v>1989.9</v>
      </c>
      <c r="P76" s="545"/>
    </row>
    <row r="77" spans="2:16" ht="25.5" x14ac:dyDescent="0.25">
      <c r="B77" s="443" t="s">
        <v>1254</v>
      </c>
      <c r="C77" s="443" t="s">
        <v>1255</v>
      </c>
      <c r="D77" s="443" t="s">
        <v>1168</v>
      </c>
      <c r="E77" s="475" t="s">
        <v>1256</v>
      </c>
      <c r="F77" s="437" t="s">
        <v>45</v>
      </c>
      <c r="G77" s="442">
        <v>2.38</v>
      </c>
      <c r="H77" s="442">
        <v>599.55999999999995</v>
      </c>
      <c r="I77" s="442">
        <f t="shared" si="19"/>
        <v>1426.95</v>
      </c>
      <c r="J77" s="544">
        <f t="shared" si="20"/>
        <v>0.31090000000000001</v>
      </c>
      <c r="K77" s="442">
        <f t="shared" si="22"/>
        <v>785.96</v>
      </c>
      <c r="L77" s="442">
        <f t="shared" si="21"/>
        <v>1870.58</v>
      </c>
      <c r="P77" s="545"/>
    </row>
    <row r="78" spans="2:16" x14ac:dyDescent="0.25">
      <c r="B78" s="439" t="s">
        <v>1257</v>
      </c>
      <c r="C78" s="439"/>
      <c r="D78" s="439"/>
      <c r="E78" s="474" t="s">
        <v>51</v>
      </c>
      <c r="F78" s="440"/>
      <c r="G78" s="440"/>
      <c r="H78" s="438"/>
      <c r="I78" s="440">
        <f>SUBTOTAL(9,I79:I92)</f>
        <v>148347.80999999997</v>
      </c>
      <c r="J78" s="438"/>
      <c r="K78" s="440">
        <f t="shared" si="22"/>
        <v>0</v>
      </c>
      <c r="L78" s="440">
        <f>SUBTOTAL(9,L79:L92)</f>
        <v>194457.42</v>
      </c>
      <c r="P78" s="545"/>
    </row>
    <row r="79" spans="2:16" x14ac:dyDescent="0.25">
      <c r="B79" s="439" t="s">
        <v>1258</v>
      </c>
      <c r="C79" s="439"/>
      <c r="D79" s="439"/>
      <c r="E79" s="474" t="s">
        <v>52</v>
      </c>
      <c r="F79" s="440"/>
      <c r="G79" s="440"/>
      <c r="H79" s="438"/>
      <c r="I79" s="440">
        <f>SUBTOTAL(9,I80:I80)</f>
        <v>18649.080000000002</v>
      </c>
      <c r="J79" s="438"/>
      <c r="K79" s="440">
        <f t="shared" si="22"/>
        <v>0</v>
      </c>
      <c r="L79" s="440">
        <f>SUBTOTAL(9,L80:L80)</f>
        <v>24446.3</v>
      </c>
      <c r="P79" s="545"/>
    </row>
    <row r="80" spans="2:16" ht="25.5" x14ac:dyDescent="0.25">
      <c r="B80" s="443" t="s">
        <v>1259</v>
      </c>
      <c r="C80" s="443" t="s">
        <v>1260</v>
      </c>
      <c r="D80" s="443" t="s">
        <v>993</v>
      </c>
      <c r="E80" s="475" t="s">
        <v>296</v>
      </c>
      <c r="F80" s="437" t="s">
        <v>19</v>
      </c>
      <c r="G80" s="442">
        <v>92.8</v>
      </c>
      <c r="H80" s="442">
        <v>200.96</v>
      </c>
      <c r="I80" s="442">
        <f>TRUNC(G80 * H80, 2)</f>
        <v>18649.080000000002</v>
      </c>
      <c r="J80" s="544">
        <f>+$L$5</f>
        <v>0.31090000000000001</v>
      </c>
      <c r="K80" s="442">
        <f t="shared" si="22"/>
        <v>263.43</v>
      </c>
      <c r="L80" s="442">
        <f>TRUNC(G80 * K80, 2)</f>
        <v>24446.3</v>
      </c>
      <c r="P80" s="545"/>
    </row>
    <row r="81" spans="2:16" x14ac:dyDescent="0.25">
      <c r="B81" s="439" t="s">
        <v>1261</v>
      </c>
      <c r="C81" s="439"/>
      <c r="D81" s="439"/>
      <c r="E81" s="474" t="s">
        <v>53</v>
      </c>
      <c r="F81" s="440"/>
      <c r="G81" s="440"/>
      <c r="H81" s="438"/>
      <c r="I81" s="440">
        <f>SUBTOTAL(9,I82:I87)</f>
        <v>83610.759999999995</v>
      </c>
      <c r="J81" s="438"/>
      <c r="K81" s="440">
        <f t="shared" si="22"/>
        <v>0</v>
      </c>
      <c r="L81" s="440">
        <f>SUBTOTAL(9,L82:L87)</f>
        <v>109595.05</v>
      </c>
      <c r="P81" s="545"/>
    </row>
    <row r="82" spans="2:16" x14ac:dyDescent="0.25">
      <c r="B82" s="443" t="s">
        <v>1262</v>
      </c>
      <c r="C82" s="443" t="s">
        <v>1263</v>
      </c>
      <c r="D82" s="443" t="s">
        <v>993</v>
      </c>
      <c r="E82" s="475" t="s">
        <v>308</v>
      </c>
      <c r="F82" s="437" t="s">
        <v>1222</v>
      </c>
      <c r="G82" s="442">
        <v>23.99</v>
      </c>
      <c r="H82" s="442">
        <v>10.6</v>
      </c>
      <c r="I82" s="442">
        <f t="shared" ref="I82:I87" si="23">TRUNC(G82 * H82, 2)</f>
        <v>254.29</v>
      </c>
      <c r="J82" s="544">
        <f t="shared" ref="J82:J87" si="24">+$L$5</f>
        <v>0.31090000000000001</v>
      </c>
      <c r="K82" s="442">
        <f t="shared" si="22"/>
        <v>13.89</v>
      </c>
      <c r="L82" s="442">
        <f t="shared" ref="L82:L87" si="25">TRUNC(G82 * K82, 2)</f>
        <v>333.22</v>
      </c>
      <c r="P82" s="545"/>
    </row>
    <row r="83" spans="2:16" x14ac:dyDescent="0.25">
      <c r="B83" s="443" t="s">
        <v>1264</v>
      </c>
      <c r="C83" s="443" t="s">
        <v>1265</v>
      </c>
      <c r="D83" s="443" t="s">
        <v>993</v>
      </c>
      <c r="E83" s="475" t="s">
        <v>310</v>
      </c>
      <c r="F83" s="437" t="s">
        <v>1222</v>
      </c>
      <c r="G83" s="442">
        <v>694.95</v>
      </c>
      <c r="H83" s="442">
        <v>10.53</v>
      </c>
      <c r="I83" s="442">
        <f t="shared" si="23"/>
        <v>7317.82</v>
      </c>
      <c r="J83" s="544">
        <f t="shared" si="24"/>
        <v>0.31090000000000001</v>
      </c>
      <c r="K83" s="442">
        <f t="shared" si="22"/>
        <v>13.8</v>
      </c>
      <c r="L83" s="442">
        <f t="shared" si="25"/>
        <v>9590.31</v>
      </c>
      <c r="P83" s="545"/>
    </row>
    <row r="84" spans="2:16" x14ac:dyDescent="0.25">
      <c r="B84" s="443" t="s">
        <v>1266</v>
      </c>
      <c r="C84" s="443" t="s">
        <v>1267</v>
      </c>
      <c r="D84" s="443" t="s">
        <v>993</v>
      </c>
      <c r="E84" s="475" t="s">
        <v>263</v>
      </c>
      <c r="F84" s="437" t="s">
        <v>1222</v>
      </c>
      <c r="G84" s="442">
        <v>96.62</v>
      </c>
      <c r="H84" s="442">
        <v>10.32</v>
      </c>
      <c r="I84" s="442">
        <f t="shared" si="23"/>
        <v>997.11</v>
      </c>
      <c r="J84" s="544">
        <f t="shared" si="24"/>
        <v>0.31090000000000001</v>
      </c>
      <c r="K84" s="442">
        <f t="shared" si="22"/>
        <v>13.52</v>
      </c>
      <c r="L84" s="442">
        <f t="shared" si="25"/>
        <v>1306.3</v>
      </c>
      <c r="P84" s="545"/>
    </row>
    <row r="85" spans="2:16" x14ac:dyDescent="0.25">
      <c r="B85" s="443" t="s">
        <v>1268</v>
      </c>
      <c r="C85" s="443" t="s">
        <v>1269</v>
      </c>
      <c r="D85" s="443" t="s">
        <v>993</v>
      </c>
      <c r="E85" s="475" t="s">
        <v>314</v>
      </c>
      <c r="F85" s="437" t="s">
        <v>1222</v>
      </c>
      <c r="G85" s="442">
        <v>6101.94</v>
      </c>
      <c r="H85" s="442">
        <v>10.84</v>
      </c>
      <c r="I85" s="442">
        <f t="shared" si="23"/>
        <v>66145.02</v>
      </c>
      <c r="J85" s="544">
        <f t="shared" si="24"/>
        <v>0.31090000000000001</v>
      </c>
      <c r="K85" s="442">
        <f t="shared" si="22"/>
        <v>14.21</v>
      </c>
      <c r="L85" s="442">
        <f t="shared" si="25"/>
        <v>86708.56</v>
      </c>
      <c r="P85" s="545"/>
    </row>
    <row r="86" spans="2:16" x14ac:dyDescent="0.25">
      <c r="B86" s="443" t="s">
        <v>1270</v>
      </c>
      <c r="C86" s="443" t="s">
        <v>1271</v>
      </c>
      <c r="D86" s="443" t="s">
        <v>993</v>
      </c>
      <c r="E86" s="475" t="s">
        <v>1272</v>
      </c>
      <c r="F86" s="437" t="s">
        <v>1222</v>
      </c>
      <c r="G86" s="442">
        <v>819.92</v>
      </c>
      <c r="H86" s="442">
        <v>10.83</v>
      </c>
      <c r="I86" s="442">
        <f t="shared" si="23"/>
        <v>8879.73</v>
      </c>
      <c r="J86" s="544">
        <f t="shared" si="24"/>
        <v>0.31090000000000001</v>
      </c>
      <c r="K86" s="442">
        <f t="shared" si="22"/>
        <v>14.19</v>
      </c>
      <c r="L86" s="442">
        <f t="shared" si="25"/>
        <v>11634.66</v>
      </c>
      <c r="P86" s="545"/>
    </row>
    <row r="87" spans="2:16" x14ac:dyDescent="0.25">
      <c r="B87" s="443" t="s">
        <v>1273</v>
      </c>
      <c r="C87" s="443" t="s">
        <v>1274</v>
      </c>
      <c r="D87" s="443" t="s">
        <v>993</v>
      </c>
      <c r="E87" s="475" t="s">
        <v>300</v>
      </c>
      <c r="F87" s="437" t="s">
        <v>1222</v>
      </c>
      <c r="G87" s="442">
        <v>1.36</v>
      </c>
      <c r="H87" s="442">
        <v>12.35</v>
      </c>
      <c r="I87" s="442">
        <f t="shared" si="23"/>
        <v>16.79</v>
      </c>
      <c r="J87" s="544">
        <f t="shared" si="24"/>
        <v>0.31090000000000001</v>
      </c>
      <c r="K87" s="442">
        <f t="shared" si="22"/>
        <v>16.18</v>
      </c>
      <c r="L87" s="442">
        <f t="shared" si="25"/>
        <v>22</v>
      </c>
      <c r="P87" s="545"/>
    </row>
    <row r="88" spans="2:16" x14ac:dyDescent="0.25">
      <c r="B88" s="439" t="s">
        <v>1275</v>
      </c>
      <c r="C88" s="439"/>
      <c r="D88" s="439"/>
      <c r="E88" s="474" t="s">
        <v>54</v>
      </c>
      <c r="F88" s="440"/>
      <c r="G88" s="440"/>
      <c r="H88" s="438"/>
      <c r="I88" s="440">
        <f>SUBTOTAL(9,I89:I90)</f>
        <v>45860.44</v>
      </c>
      <c r="J88" s="438"/>
      <c r="K88" s="440">
        <f t="shared" si="22"/>
        <v>0</v>
      </c>
      <c r="L88" s="440">
        <f>SUBTOTAL(9,L89:L90)</f>
        <v>60117.810000000005</v>
      </c>
      <c r="P88" s="545"/>
    </row>
    <row r="89" spans="2:16" x14ac:dyDescent="0.25">
      <c r="B89" s="443" t="s">
        <v>1276</v>
      </c>
      <c r="C89" s="443" t="s">
        <v>1277</v>
      </c>
      <c r="D89" s="443" t="s">
        <v>993</v>
      </c>
      <c r="E89" s="475" t="s">
        <v>268</v>
      </c>
      <c r="F89" s="437" t="s">
        <v>45</v>
      </c>
      <c r="G89" s="442">
        <v>81.92</v>
      </c>
      <c r="H89" s="442">
        <v>512.44000000000005</v>
      </c>
      <c r="I89" s="442">
        <f t="shared" ref="I89:I90" si="26">TRUNC(G89 * H89, 2)</f>
        <v>41979.08</v>
      </c>
      <c r="J89" s="544">
        <f t="shared" ref="J89:J90" si="27">+$L$5</f>
        <v>0.31090000000000001</v>
      </c>
      <c r="K89" s="442">
        <f t="shared" si="22"/>
        <v>671.75</v>
      </c>
      <c r="L89" s="442">
        <f>TRUNC(G89 * K89, 2)</f>
        <v>55029.760000000002</v>
      </c>
      <c r="P89" s="545"/>
    </row>
    <row r="90" spans="2:16" x14ac:dyDescent="0.25">
      <c r="B90" s="443" t="s">
        <v>1278</v>
      </c>
      <c r="C90" s="443" t="s">
        <v>1279</v>
      </c>
      <c r="D90" s="443" t="s">
        <v>993</v>
      </c>
      <c r="E90" s="475" t="s">
        <v>1280</v>
      </c>
      <c r="F90" s="437" t="s">
        <v>45</v>
      </c>
      <c r="G90" s="442">
        <v>81.92</v>
      </c>
      <c r="H90" s="442">
        <v>47.38</v>
      </c>
      <c r="I90" s="442">
        <f t="shared" si="26"/>
        <v>3881.36</v>
      </c>
      <c r="J90" s="544">
        <f t="shared" si="27"/>
        <v>0.31090000000000001</v>
      </c>
      <c r="K90" s="442">
        <f t="shared" si="22"/>
        <v>62.11</v>
      </c>
      <c r="L90" s="442">
        <f>TRUNC(G90 * K90, 2)</f>
        <v>5088.05</v>
      </c>
      <c r="P90" s="545"/>
    </row>
    <row r="91" spans="2:16" x14ac:dyDescent="0.25">
      <c r="B91" s="439" t="s">
        <v>1281</v>
      </c>
      <c r="C91" s="439"/>
      <c r="D91" s="439"/>
      <c r="E91" s="474" t="s">
        <v>483</v>
      </c>
      <c r="F91" s="440"/>
      <c r="G91" s="440"/>
      <c r="H91" s="438"/>
      <c r="I91" s="440">
        <f>SUBTOTAL(9,I92:I92)</f>
        <v>227.53</v>
      </c>
      <c r="J91" s="438"/>
      <c r="K91" s="440">
        <f t="shared" si="22"/>
        <v>0</v>
      </c>
      <c r="L91" s="440">
        <f>SUBTOTAL(9,L92:L92)</f>
        <v>298.26</v>
      </c>
      <c r="P91" s="545"/>
    </row>
    <row r="92" spans="2:16" ht="25.5" x14ac:dyDescent="0.25">
      <c r="B92" s="443" t="s">
        <v>1282</v>
      </c>
      <c r="C92" s="443" t="s">
        <v>1283</v>
      </c>
      <c r="D92" s="443" t="s">
        <v>993</v>
      </c>
      <c r="E92" s="475" t="s">
        <v>911</v>
      </c>
      <c r="F92" s="437" t="s">
        <v>19</v>
      </c>
      <c r="G92" s="442">
        <v>1.89</v>
      </c>
      <c r="H92" s="442">
        <v>120.39</v>
      </c>
      <c r="I92" s="442">
        <f>TRUNC(G92 * H92, 2)</f>
        <v>227.53</v>
      </c>
      <c r="J92" s="544">
        <f>+$L$5</f>
        <v>0.31090000000000001</v>
      </c>
      <c r="K92" s="442">
        <f t="shared" si="22"/>
        <v>157.81</v>
      </c>
      <c r="L92" s="442">
        <f>TRUNC(G92 * K92, 2)</f>
        <v>298.26</v>
      </c>
      <c r="P92" s="545"/>
    </row>
    <row r="93" spans="2:16" x14ac:dyDescent="0.25">
      <c r="B93" s="439" t="s">
        <v>1284</v>
      </c>
      <c r="C93" s="439"/>
      <c r="D93" s="439"/>
      <c r="E93" s="474" t="s">
        <v>844</v>
      </c>
      <c r="F93" s="440"/>
      <c r="G93" s="440"/>
      <c r="H93" s="438"/>
      <c r="I93" s="440">
        <f>SUBTOTAL(9,I94:I96)</f>
        <v>30280.84</v>
      </c>
      <c r="J93" s="438"/>
      <c r="K93" s="440">
        <f t="shared" si="22"/>
        <v>0</v>
      </c>
      <c r="L93" s="440">
        <f>SUBTOTAL(9,L94:L96)</f>
        <v>39694.319999999992</v>
      </c>
      <c r="P93" s="545"/>
    </row>
    <row r="94" spans="2:16" x14ac:dyDescent="0.25">
      <c r="B94" s="443" t="s">
        <v>1285</v>
      </c>
      <c r="C94" s="443" t="s">
        <v>1286</v>
      </c>
      <c r="D94" s="443" t="s">
        <v>993</v>
      </c>
      <c r="E94" s="475" t="s">
        <v>1287</v>
      </c>
      <c r="F94" s="437" t="s">
        <v>19</v>
      </c>
      <c r="G94" s="442">
        <v>21.86</v>
      </c>
      <c r="H94" s="442">
        <v>92.94</v>
      </c>
      <c r="I94" s="442">
        <f t="shared" ref="I94:I96" si="28">TRUNC(G94 * H94, 2)</f>
        <v>2031.66</v>
      </c>
      <c r="J94" s="544">
        <f t="shared" ref="J94:J96" si="29">+$L$5</f>
        <v>0.31090000000000001</v>
      </c>
      <c r="K94" s="442">
        <f t="shared" si="22"/>
        <v>121.83</v>
      </c>
      <c r="L94" s="442">
        <f>TRUNC(G94 * K94, 2)</f>
        <v>2663.2</v>
      </c>
      <c r="P94" s="545"/>
    </row>
    <row r="95" spans="2:16" ht="51" x14ac:dyDescent="0.25">
      <c r="B95" s="443" t="s">
        <v>1288</v>
      </c>
      <c r="C95" s="443" t="s">
        <v>1289</v>
      </c>
      <c r="D95" s="443" t="s">
        <v>1168</v>
      </c>
      <c r="E95" s="475" t="s">
        <v>858</v>
      </c>
      <c r="F95" s="437" t="s">
        <v>19</v>
      </c>
      <c r="G95" s="442">
        <v>126.94</v>
      </c>
      <c r="H95" s="442">
        <v>219.22</v>
      </c>
      <c r="I95" s="442">
        <f t="shared" si="28"/>
        <v>27827.78</v>
      </c>
      <c r="J95" s="544">
        <f t="shared" si="29"/>
        <v>0.31090000000000001</v>
      </c>
      <c r="K95" s="442">
        <f t="shared" si="22"/>
        <v>287.37</v>
      </c>
      <c r="L95" s="442">
        <f>TRUNC(G95 * K95, 2)</f>
        <v>36478.74</v>
      </c>
      <c r="P95" s="545"/>
    </row>
    <row r="96" spans="2:16" x14ac:dyDescent="0.25">
      <c r="B96" s="443" t="s">
        <v>1290</v>
      </c>
      <c r="C96" s="443" t="s">
        <v>1291</v>
      </c>
      <c r="D96" s="443" t="s">
        <v>993</v>
      </c>
      <c r="E96" s="475" t="s">
        <v>1292</v>
      </c>
      <c r="F96" s="437" t="s">
        <v>19</v>
      </c>
      <c r="G96" s="442">
        <v>6.3</v>
      </c>
      <c r="H96" s="442">
        <v>66.89</v>
      </c>
      <c r="I96" s="442">
        <f t="shared" si="28"/>
        <v>421.4</v>
      </c>
      <c r="J96" s="544">
        <f t="shared" si="29"/>
        <v>0.31090000000000001</v>
      </c>
      <c r="K96" s="442">
        <f t="shared" si="22"/>
        <v>87.68</v>
      </c>
      <c r="L96" s="442">
        <f>TRUNC(G96 * K96, 2)</f>
        <v>552.38</v>
      </c>
      <c r="P96" s="545"/>
    </row>
    <row r="97" spans="2:16" x14ac:dyDescent="0.25">
      <c r="B97" s="439" t="s">
        <v>1293</v>
      </c>
      <c r="C97" s="439"/>
      <c r="D97" s="439"/>
      <c r="E97" s="474" t="s">
        <v>56</v>
      </c>
      <c r="F97" s="440"/>
      <c r="G97" s="440"/>
      <c r="H97" s="438"/>
      <c r="I97" s="440">
        <f>SUBTOTAL(9,I98:I104)</f>
        <v>12090.78</v>
      </c>
      <c r="J97" s="438"/>
      <c r="K97" s="440">
        <f t="shared" si="22"/>
        <v>0</v>
      </c>
      <c r="L97" s="440">
        <f>SUBTOTAL(9,L98:L104)</f>
        <v>15849.69</v>
      </c>
      <c r="P97" s="545"/>
    </row>
    <row r="98" spans="2:16" x14ac:dyDescent="0.25">
      <c r="B98" s="439" t="s">
        <v>1294</v>
      </c>
      <c r="C98" s="439"/>
      <c r="D98" s="439"/>
      <c r="E98" s="474" t="s">
        <v>58</v>
      </c>
      <c r="F98" s="440"/>
      <c r="G98" s="440"/>
      <c r="H98" s="438"/>
      <c r="I98" s="440">
        <f>SUBTOTAL(9,I99:I104)</f>
        <v>12090.78</v>
      </c>
      <c r="J98" s="438"/>
      <c r="K98" s="440">
        <f t="shared" si="22"/>
        <v>0</v>
      </c>
      <c r="L98" s="440">
        <f>SUBTOTAL(9,L99:L104)</f>
        <v>15849.69</v>
      </c>
      <c r="P98" s="545"/>
    </row>
    <row r="99" spans="2:16" x14ac:dyDescent="0.25">
      <c r="B99" s="443" t="s">
        <v>1295</v>
      </c>
      <c r="C99" s="443" t="s">
        <v>1296</v>
      </c>
      <c r="D99" s="443" t="s">
        <v>1168</v>
      </c>
      <c r="E99" s="475" t="s">
        <v>333</v>
      </c>
      <c r="F99" s="437" t="s">
        <v>19</v>
      </c>
      <c r="G99" s="442">
        <v>9.1199999999999992</v>
      </c>
      <c r="H99" s="442">
        <v>668.69</v>
      </c>
      <c r="I99" s="442">
        <f t="shared" ref="I99:I104" si="30">TRUNC(G99 * H99, 2)</f>
        <v>6098.45</v>
      </c>
      <c r="J99" s="544">
        <f t="shared" ref="J99:J104" si="31">+$L$5</f>
        <v>0.31090000000000001</v>
      </c>
      <c r="K99" s="442">
        <f t="shared" si="22"/>
        <v>876.58</v>
      </c>
      <c r="L99" s="442">
        <f t="shared" ref="L99:L104" si="32">TRUNC(G99 * K99, 2)</f>
        <v>7994.4</v>
      </c>
      <c r="P99" s="545"/>
    </row>
    <row r="100" spans="2:16" x14ac:dyDescent="0.25">
      <c r="B100" s="443" t="s">
        <v>1297</v>
      </c>
      <c r="C100" s="443" t="s">
        <v>1298</v>
      </c>
      <c r="D100" s="443" t="s">
        <v>993</v>
      </c>
      <c r="E100" s="475" t="s">
        <v>1299</v>
      </c>
      <c r="F100" s="437" t="s">
        <v>1141</v>
      </c>
      <c r="G100" s="442">
        <v>1</v>
      </c>
      <c r="H100" s="442">
        <v>38.71</v>
      </c>
      <c r="I100" s="442">
        <f t="shared" si="30"/>
        <v>38.71</v>
      </c>
      <c r="J100" s="544">
        <f t="shared" si="31"/>
        <v>0.31090000000000001</v>
      </c>
      <c r="K100" s="442">
        <f t="shared" si="22"/>
        <v>50.74</v>
      </c>
      <c r="L100" s="442">
        <f t="shared" si="32"/>
        <v>50.74</v>
      </c>
      <c r="P100" s="545"/>
    </row>
    <row r="101" spans="2:16" x14ac:dyDescent="0.25">
      <c r="B101" s="443" t="s">
        <v>1300</v>
      </c>
      <c r="C101" s="443" t="s">
        <v>1301</v>
      </c>
      <c r="D101" s="443" t="s">
        <v>993</v>
      </c>
      <c r="E101" s="475" t="s">
        <v>645</v>
      </c>
      <c r="F101" s="437" t="s">
        <v>41</v>
      </c>
      <c r="G101" s="442">
        <v>3.2</v>
      </c>
      <c r="H101" s="442">
        <v>385.08</v>
      </c>
      <c r="I101" s="442">
        <f t="shared" si="30"/>
        <v>1232.25</v>
      </c>
      <c r="J101" s="544">
        <f t="shared" si="31"/>
        <v>0.31090000000000001</v>
      </c>
      <c r="K101" s="442">
        <f t="shared" si="22"/>
        <v>504.8</v>
      </c>
      <c r="L101" s="442">
        <f t="shared" si="32"/>
        <v>1615.36</v>
      </c>
      <c r="P101" s="545"/>
    </row>
    <row r="102" spans="2:16" x14ac:dyDescent="0.25">
      <c r="B102" s="443" t="s">
        <v>1302</v>
      </c>
      <c r="C102" s="443" t="s">
        <v>1303</v>
      </c>
      <c r="D102" s="443" t="s">
        <v>993</v>
      </c>
      <c r="E102" s="475" t="s">
        <v>1304</v>
      </c>
      <c r="F102" s="437" t="s">
        <v>19</v>
      </c>
      <c r="G102" s="442">
        <v>7.4</v>
      </c>
      <c r="H102" s="442">
        <v>385.42</v>
      </c>
      <c r="I102" s="442">
        <f t="shared" si="30"/>
        <v>2852.1</v>
      </c>
      <c r="J102" s="544">
        <f t="shared" si="31"/>
        <v>0.31090000000000001</v>
      </c>
      <c r="K102" s="442">
        <f t="shared" si="22"/>
        <v>505.24</v>
      </c>
      <c r="L102" s="442">
        <f t="shared" si="32"/>
        <v>3738.77</v>
      </c>
      <c r="P102" s="545"/>
    </row>
    <row r="103" spans="2:16" x14ac:dyDescent="0.25">
      <c r="B103" s="443" t="s">
        <v>1305</v>
      </c>
      <c r="C103" s="443" t="s">
        <v>1306</v>
      </c>
      <c r="D103" s="443" t="s">
        <v>993</v>
      </c>
      <c r="E103" s="475" t="s">
        <v>1307</v>
      </c>
      <c r="F103" s="437" t="s">
        <v>19</v>
      </c>
      <c r="G103" s="442">
        <v>2.2200000000000002</v>
      </c>
      <c r="H103" s="442">
        <v>415.58</v>
      </c>
      <c r="I103" s="442">
        <f t="shared" si="30"/>
        <v>922.58</v>
      </c>
      <c r="J103" s="544">
        <f t="shared" si="31"/>
        <v>0.31090000000000001</v>
      </c>
      <c r="K103" s="442">
        <f t="shared" si="22"/>
        <v>544.78</v>
      </c>
      <c r="L103" s="442">
        <f t="shared" si="32"/>
        <v>1209.4100000000001</v>
      </c>
      <c r="P103" s="545"/>
    </row>
    <row r="104" spans="2:16" x14ac:dyDescent="0.25">
      <c r="B104" s="443" t="s">
        <v>1308</v>
      </c>
      <c r="C104" s="443" t="s">
        <v>1309</v>
      </c>
      <c r="D104" s="443" t="s">
        <v>993</v>
      </c>
      <c r="E104" s="475" t="s">
        <v>1310</v>
      </c>
      <c r="F104" s="437" t="s">
        <v>19</v>
      </c>
      <c r="G104" s="442">
        <v>1.8</v>
      </c>
      <c r="H104" s="442">
        <v>525.94000000000005</v>
      </c>
      <c r="I104" s="442">
        <f t="shared" si="30"/>
        <v>946.69</v>
      </c>
      <c r="J104" s="544">
        <f t="shared" si="31"/>
        <v>0.31090000000000001</v>
      </c>
      <c r="K104" s="442">
        <f t="shared" si="22"/>
        <v>689.45</v>
      </c>
      <c r="L104" s="442">
        <f t="shared" si="32"/>
        <v>1241.01</v>
      </c>
      <c r="P104" s="545"/>
    </row>
    <row r="105" spans="2:16" x14ac:dyDescent="0.25">
      <c r="B105" s="439" t="s">
        <v>1311</v>
      </c>
      <c r="C105" s="439"/>
      <c r="D105" s="439"/>
      <c r="E105" s="474" t="s">
        <v>59</v>
      </c>
      <c r="F105" s="440"/>
      <c r="G105" s="440"/>
      <c r="H105" s="438"/>
      <c r="I105" s="440">
        <f>SUBTOTAL(9,I106:I110)</f>
        <v>228.85000000000002</v>
      </c>
      <c r="J105" s="438"/>
      <c r="K105" s="440">
        <f t="shared" si="22"/>
        <v>0</v>
      </c>
      <c r="L105" s="440">
        <f>SUBTOTAL(9,L106:L110)</f>
        <v>299.96000000000004</v>
      </c>
      <c r="P105" s="545"/>
    </row>
    <row r="106" spans="2:16" x14ac:dyDescent="0.25">
      <c r="B106" s="439" t="s">
        <v>1312</v>
      </c>
      <c r="C106" s="439"/>
      <c r="D106" s="439"/>
      <c r="E106" s="474" t="s">
        <v>61</v>
      </c>
      <c r="F106" s="440"/>
      <c r="G106" s="440"/>
      <c r="H106" s="438"/>
      <c r="I106" s="440">
        <f>SUBTOTAL(9,I107:I108)</f>
        <v>77.67</v>
      </c>
      <c r="J106" s="438"/>
      <c r="K106" s="440">
        <f t="shared" si="22"/>
        <v>0</v>
      </c>
      <c r="L106" s="440">
        <f>SUBTOTAL(9,L107:L108)</f>
        <v>101.80000000000001</v>
      </c>
      <c r="P106" s="545"/>
    </row>
    <row r="107" spans="2:16" x14ac:dyDescent="0.25">
      <c r="B107" s="443" t="s">
        <v>1313</v>
      </c>
      <c r="C107" s="443" t="s">
        <v>1314</v>
      </c>
      <c r="D107" s="443" t="s">
        <v>993</v>
      </c>
      <c r="E107" s="475" t="s">
        <v>328</v>
      </c>
      <c r="F107" s="437" t="s">
        <v>19</v>
      </c>
      <c r="G107" s="442">
        <v>1.89</v>
      </c>
      <c r="H107" s="442">
        <v>21.33</v>
      </c>
      <c r="I107" s="442">
        <f t="shared" ref="I107:I108" si="33">TRUNC(G107 * H107, 2)</f>
        <v>40.31</v>
      </c>
      <c r="J107" s="544">
        <f t="shared" ref="J107:J108" si="34">+$L$5</f>
        <v>0.31090000000000001</v>
      </c>
      <c r="K107" s="442">
        <f t="shared" si="22"/>
        <v>27.96</v>
      </c>
      <c r="L107" s="442">
        <f>TRUNC(G107 * K107, 2)</f>
        <v>52.84</v>
      </c>
      <c r="P107" s="545"/>
    </row>
    <row r="108" spans="2:16" x14ac:dyDescent="0.25">
      <c r="B108" s="443" t="s">
        <v>1315</v>
      </c>
      <c r="C108" s="443" t="s">
        <v>1316</v>
      </c>
      <c r="D108" s="443" t="s">
        <v>993</v>
      </c>
      <c r="E108" s="475" t="s">
        <v>897</v>
      </c>
      <c r="F108" s="437" t="s">
        <v>19</v>
      </c>
      <c r="G108" s="442">
        <v>1.89</v>
      </c>
      <c r="H108" s="442">
        <v>19.77</v>
      </c>
      <c r="I108" s="442">
        <f t="shared" si="33"/>
        <v>37.36</v>
      </c>
      <c r="J108" s="544">
        <f t="shared" si="34"/>
        <v>0.31090000000000001</v>
      </c>
      <c r="K108" s="442">
        <f t="shared" si="22"/>
        <v>25.91</v>
      </c>
      <c r="L108" s="442">
        <f>TRUNC(G108 * K108, 2)</f>
        <v>48.96</v>
      </c>
      <c r="P108" s="545"/>
    </row>
    <row r="109" spans="2:16" x14ac:dyDescent="0.25">
      <c r="B109" s="439" t="s">
        <v>1317</v>
      </c>
      <c r="C109" s="439"/>
      <c r="D109" s="439"/>
      <c r="E109" s="474" t="s">
        <v>63</v>
      </c>
      <c r="F109" s="440"/>
      <c r="G109" s="440"/>
      <c r="H109" s="438"/>
      <c r="I109" s="440">
        <f>SUBTOTAL(9,I110:I110)</f>
        <v>151.18</v>
      </c>
      <c r="J109" s="438"/>
      <c r="K109" s="440">
        <f t="shared" si="22"/>
        <v>0</v>
      </c>
      <c r="L109" s="440">
        <f>SUBTOTAL(9,L110:L110)</f>
        <v>198.16</v>
      </c>
      <c r="P109" s="545"/>
    </row>
    <row r="110" spans="2:16" x14ac:dyDescent="0.25">
      <c r="B110" s="443" t="s">
        <v>1318</v>
      </c>
      <c r="C110" s="443" t="s">
        <v>1319</v>
      </c>
      <c r="D110" s="443" t="s">
        <v>993</v>
      </c>
      <c r="E110" s="475" t="s">
        <v>1320</v>
      </c>
      <c r="F110" s="437" t="s">
        <v>19</v>
      </c>
      <c r="G110" s="442">
        <v>1.89</v>
      </c>
      <c r="H110" s="442">
        <v>79.989999999999995</v>
      </c>
      <c r="I110" s="442">
        <f>TRUNC(G110 * H110, 2)</f>
        <v>151.18</v>
      </c>
      <c r="J110" s="544">
        <f>+$L$5</f>
        <v>0.31090000000000001</v>
      </c>
      <c r="K110" s="442">
        <f t="shared" si="22"/>
        <v>104.85</v>
      </c>
      <c r="L110" s="442">
        <f>TRUNC(G110 * K110, 2)</f>
        <v>198.16</v>
      </c>
      <c r="P110" s="545"/>
    </row>
    <row r="111" spans="2:16" x14ac:dyDescent="0.25">
      <c r="B111" s="439" t="s">
        <v>1321</v>
      </c>
      <c r="C111" s="439"/>
      <c r="D111" s="439"/>
      <c r="E111" s="474" t="s">
        <v>899</v>
      </c>
      <c r="F111" s="440"/>
      <c r="G111" s="440"/>
      <c r="H111" s="438"/>
      <c r="I111" s="440">
        <f>SUBTOTAL(9,I112:I117)</f>
        <v>2416.5</v>
      </c>
      <c r="J111" s="438"/>
      <c r="K111" s="440">
        <f t="shared" si="22"/>
        <v>0</v>
      </c>
      <c r="L111" s="440">
        <f>SUBTOTAL(9,L112:L117)</f>
        <v>3167.58</v>
      </c>
      <c r="P111" s="545"/>
    </row>
    <row r="112" spans="2:16" x14ac:dyDescent="0.25">
      <c r="B112" s="439" t="s">
        <v>1322</v>
      </c>
      <c r="C112" s="439"/>
      <c r="D112" s="439"/>
      <c r="E112" s="474" t="s">
        <v>65</v>
      </c>
      <c r="F112" s="440"/>
      <c r="G112" s="440"/>
      <c r="H112" s="438"/>
      <c r="I112" s="440">
        <f>SUBTOTAL(9,I113:I115)</f>
        <v>506.77</v>
      </c>
      <c r="J112" s="438"/>
      <c r="K112" s="440">
        <f t="shared" si="22"/>
        <v>0</v>
      </c>
      <c r="L112" s="440">
        <f>SUBTOTAL(9,L113:L115)</f>
        <v>664.17</v>
      </c>
      <c r="P112" s="545"/>
    </row>
    <row r="113" spans="2:16" x14ac:dyDescent="0.25">
      <c r="B113" s="443" t="s">
        <v>1323</v>
      </c>
      <c r="C113" s="443" t="s">
        <v>1324</v>
      </c>
      <c r="D113" s="443" t="s">
        <v>993</v>
      </c>
      <c r="E113" s="475" t="s">
        <v>904</v>
      </c>
      <c r="F113" s="437" t="s">
        <v>19</v>
      </c>
      <c r="G113" s="442">
        <v>16.88</v>
      </c>
      <c r="H113" s="442">
        <v>5.55</v>
      </c>
      <c r="I113" s="442">
        <f t="shared" ref="I113:I115" si="35">TRUNC(G113 * H113, 2)</f>
        <v>93.68</v>
      </c>
      <c r="J113" s="544">
        <f t="shared" ref="J113:J117" si="36">+$L$5</f>
        <v>0.31090000000000001</v>
      </c>
      <c r="K113" s="442">
        <f t="shared" si="22"/>
        <v>7.27</v>
      </c>
      <c r="L113" s="442">
        <f>TRUNC(G113 * K113, 2)</f>
        <v>122.71</v>
      </c>
      <c r="P113" s="545"/>
    </row>
    <row r="114" spans="2:16" x14ac:dyDescent="0.25">
      <c r="B114" s="443" t="s">
        <v>1325</v>
      </c>
      <c r="C114" s="443" t="s">
        <v>1326</v>
      </c>
      <c r="D114" s="443" t="s">
        <v>993</v>
      </c>
      <c r="E114" s="475" t="s">
        <v>905</v>
      </c>
      <c r="F114" s="437" t="s">
        <v>19</v>
      </c>
      <c r="G114" s="442">
        <v>9.1999999999999993</v>
      </c>
      <c r="H114" s="442">
        <v>22.18</v>
      </c>
      <c r="I114" s="442">
        <f t="shared" si="35"/>
        <v>204.05</v>
      </c>
      <c r="J114" s="544">
        <f t="shared" si="36"/>
        <v>0.31090000000000001</v>
      </c>
      <c r="K114" s="442">
        <f t="shared" si="22"/>
        <v>29.07</v>
      </c>
      <c r="L114" s="442">
        <f>TRUNC(G114 * K114, 2)</f>
        <v>267.44</v>
      </c>
      <c r="P114" s="545"/>
    </row>
    <row r="115" spans="2:16" x14ac:dyDescent="0.25">
      <c r="B115" s="443" t="s">
        <v>1327</v>
      </c>
      <c r="C115" s="443" t="s">
        <v>1328</v>
      </c>
      <c r="D115" s="443" t="s">
        <v>993</v>
      </c>
      <c r="E115" s="475" t="s">
        <v>906</v>
      </c>
      <c r="F115" s="437" t="s">
        <v>19</v>
      </c>
      <c r="G115" s="442">
        <v>7.68</v>
      </c>
      <c r="H115" s="442">
        <v>27.22</v>
      </c>
      <c r="I115" s="442">
        <f t="shared" si="35"/>
        <v>209.04</v>
      </c>
      <c r="J115" s="544">
        <f t="shared" si="36"/>
        <v>0.31090000000000001</v>
      </c>
      <c r="K115" s="442">
        <f t="shared" si="22"/>
        <v>35.68</v>
      </c>
      <c r="L115" s="442">
        <f>TRUNC(G115 * K115, 2)</f>
        <v>274.02</v>
      </c>
      <c r="P115" s="545"/>
    </row>
    <row r="116" spans="2:16" x14ac:dyDescent="0.25">
      <c r="B116" s="439" t="s">
        <v>1329</v>
      </c>
      <c r="C116" s="439"/>
      <c r="D116" s="439"/>
      <c r="E116" s="474" t="s">
        <v>67</v>
      </c>
      <c r="F116" s="440"/>
      <c r="G116" s="440"/>
      <c r="H116" s="438"/>
      <c r="I116" s="440">
        <f>SUBTOTAL(9,I117:I117)</f>
        <v>1909.73</v>
      </c>
      <c r="J116" s="438"/>
      <c r="K116" s="440">
        <f t="shared" si="22"/>
        <v>0</v>
      </c>
      <c r="L116" s="440">
        <f>SUBTOTAL(9,L117:L117)</f>
        <v>2503.41</v>
      </c>
      <c r="P116" s="545"/>
    </row>
    <row r="117" spans="2:16" x14ac:dyDescent="0.25">
      <c r="B117" s="443" t="s">
        <v>1330</v>
      </c>
      <c r="C117" s="443" t="s">
        <v>1331</v>
      </c>
      <c r="D117" s="443" t="s">
        <v>993</v>
      </c>
      <c r="E117" s="475" t="s">
        <v>907</v>
      </c>
      <c r="F117" s="437" t="s">
        <v>19</v>
      </c>
      <c r="G117" s="442">
        <v>9.1999999999999993</v>
      </c>
      <c r="H117" s="442">
        <v>207.58</v>
      </c>
      <c r="I117" s="442">
        <f>TRUNC(G117 * H117, 2)</f>
        <v>1909.73</v>
      </c>
      <c r="J117" s="544">
        <f t="shared" si="36"/>
        <v>0.31090000000000001</v>
      </c>
      <c r="K117" s="442">
        <f t="shared" si="22"/>
        <v>272.11</v>
      </c>
      <c r="L117" s="442">
        <f>TRUNC(G117 * K117, 2)</f>
        <v>2503.41</v>
      </c>
      <c r="P117" s="545"/>
    </row>
    <row r="118" spans="2:16" x14ac:dyDescent="0.25">
      <c r="B118" s="439" t="s">
        <v>1332</v>
      </c>
      <c r="C118" s="439"/>
      <c r="D118" s="439"/>
      <c r="E118" s="474" t="s">
        <v>329</v>
      </c>
      <c r="F118" s="440"/>
      <c r="G118" s="440"/>
      <c r="H118" s="438"/>
      <c r="I118" s="440">
        <f>SUBTOTAL(9,I119:I125)</f>
        <v>67438.25</v>
      </c>
      <c r="J118" s="438"/>
      <c r="K118" s="440">
        <f t="shared" si="22"/>
        <v>0</v>
      </c>
      <c r="L118" s="440">
        <f>SUBTOTAL(9,L119:L125)</f>
        <v>88360.43</v>
      </c>
      <c r="P118" s="545"/>
    </row>
    <row r="119" spans="2:16" x14ac:dyDescent="0.25">
      <c r="B119" s="439" t="s">
        <v>1333</v>
      </c>
      <c r="C119" s="439"/>
      <c r="D119" s="439"/>
      <c r="E119" s="474" t="s">
        <v>69</v>
      </c>
      <c r="F119" s="440"/>
      <c r="G119" s="440"/>
      <c r="H119" s="438"/>
      <c r="I119" s="440">
        <f>SUBTOTAL(9,I120:I122)</f>
        <v>7866.2199999999993</v>
      </c>
      <c r="J119" s="438"/>
      <c r="K119" s="440">
        <f t="shared" si="22"/>
        <v>0</v>
      </c>
      <c r="L119" s="440">
        <f>SUBTOTAL(9,L120:L122)</f>
        <v>10311.450000000001</v>
      </c>
      <c r="P119" s="545"/>
    </row>
    <row r="120" spans="2:16" x14ac:dyDescent="0.25">
      <c r="B120" s="443" t="s">
        <v>1334</v>
      </c>
      <c r="C120" s="443" t="s">
        <v>1314</v>
      </c>
      <c r="D120" s="443" t="s">
        <v>993</v>
      </c>
      <c r="E120" s="475" t="s">
        <v>328</v>
      </c>
      <c r="F120" s="437" t="s">
        <v>19</v>
      </c>
      <c r="G120" s="442">
        <v>7.04</v>
      </c>
      <c r="H120" s="442">
        <v>21.33</v>
      </c>
      <c r="I120" s="442">
        <f t="shared" ref="I120:I122" si="37">TRUNC(G120 * H120, 2)</f>
        <v>150.16</v>
      </c>
      <c r="J120" s="544">
        <f t="shared" ref="J120:J122" si="38">+$L$5</f>
        <v>0.31090000000000001</v>
      </c>
      <c r="K120" s="442">
        <f t="shared" si="22"/>
        <v>27.96</v>
      </c>
      <c r="L120" s="442">
        <f>TRUNC(G120 * K120, 2)</f>
        <v>196.83</v>
      </c>
      <c r="P120" s="545"/>
    </row>
    <row r="121" spans="2:16" ht="25.5" x14ac:dyDescent="0.25">
      <c r="B121" s="443" t="s">
        <v>1335</v>
      </c>
      <c r="C121" s="443" t="s">
        <v>1336</v>
      </c>
      <c r="D121" s="443" t="s">
        <v>993</v>
      </c>
      <c r="E121" s="475" t="s">
        <v>682</v>
      </c>
      <c r="F121" s="437" t="s">
        <v>19</v>
      </c>
      <c r="G121" s="442">
        <v>37.14</v>
      </c>
      <c r="H121" s="442">
        <v>83.02</v>
      </c>
      <c r="I121" s="442">
        <f t="shared" si="37"/>
        <v>3083.36</v>
      </c>
      <c r="J121" s="544">
        <f t="shared" si="38"/>
        <v>0.31090000000000001</v>
      </c>
      <c r="K121" s="442">
        <f t="shared" si="22"/>
        <v>108.83</v>
      </c>
      <c r="L121" s="442">
        <f>TRUNC(G121 * K121, 2)</f>
        <v>4041.94</v>
      </c>
      <c r="P121" s="545"/>
    </row>
    <row r="122" spans="2:16" x14ac:dyDescent="0.25">
      <c r="B122" s="443" t="s">
        <v>1337</v>
      </c>
      <c r="C122" s="443" t="s">
        <v>1338</v>
      </c>
      <c r="D122" s="443" t="s">
        <v>993</v>
      </c>
      <c r="E122" s="475" t="s">
        <v>1339</v>
      </c>
      <c r="F122" s="437" t="s">
        <v>19</v>
      </c>
      <c r="G122" s="442">
        <v>68.44</v>
      </c>
      <c r="H122" s="442">
        <v>67.69</v>
      </c>
      <c r="I122" s="442">
        <f t="shared" si="37"/>
        <v>4632.7</v>
      </c>
      <c r="J122" s="544">
        <f t="shared" si="38"/>
        <v>0.31090000000000001</v>
      </c>
      <c r="K122" s="442">
        <f t="shared" si="22"/>
        <v>88.73</v>
      </c>
      <c r="L122" s="442">
        <f>TRUNC(G122 * K122, 2)</f>
        <v>6072.68</v>
      </c>
      <c r="P122" s="545"/>
    </row>
    <row r="123" spans="2:16" x14ac:dyDescent="0.25">
      <c r="B123" s="439" t="s">
        <v>1340</v>
      </c>
      <c r="C123" s="439"/>
      <c r="D123" s="439"/>
      <c r="E123" s="474" t="s">
        <v>748</v>
      </c>
      <c r="F123" s="440"/>
      <c r="G123" s="440"/>
      <c r="H123" s="438"/>
      <c r="I123" s="440">
        <f>SUBTOTAL(9,I124:I125)</f>
        <v>59572.03</v>
      </c>
      <c r="J123" s="438"/>
      <c r="K123" s="440">
        <f t="shared" si="22"/>
        <v>0</v>
      </c>
      <c r="L123" s="440">
        <f>SUBTOTAL(9,L124:L125)</f>
        <v>78048.98</v>
      </c>
      <c r="P123" s="545"/>
    </row>
    <row r="124" spans="2:16" ht="25.5" x14ac:dyDescent="0.25">
      <c r="B124" s="443" t="s">
        <v>1341</v>
      </c>
      <c r="C124" s="443" t="s">
        <v>1342</v>
      </c>
      <c r="D124" s="443" t="s">
        <v>1071</v>
      </c>
      <c r="E124" s="475" t="s">
        <v>749</v>
      </c>
      <c r="F124" s="437" t="s">
        <v>19</v>
      </c>
      <c r="G124" s="442">
        <v>4835</v>
      </c>
      <c r="H124" s="442">
        <v>0.35</v>
      </c>
      <c r="I124" s="442">
        <f t="shared" ref="I124:I125" si="39">TRUNC(G124 * H124, 2)</f>
        <v>1692.25</v>
      </c>
      <c r="J124" s="544">
        <f t="shared" ref="J124:J125" si="40">+$L$5</f>
        <v>0.31090000000000001</v>
      </c>
      <c r="K124" s="442">
        <f t="shared" si="22"/>
        <v>0.45</v>
      </c>
      <c r="L124" s="442">
        <f>TRUNC(G124 * K124, 2)</f>
        <v>2175.75</v>
      </c>
      <c r="P124" s="545"/>
    </row>
    <row r="125" spans="2:16" ht="25.5" x14ac:dyDescent="0.25">
      <c r="B125" s="443" t="s">
        <v>1343</v>
      </c>
      <c r="C125" s="443" t="s">
        <v>1344</v>
      </c>
      <c r="D125" s="443" t="s">
        <v>1071</v>
      </c>
      <c r="E125" s="475" t="s">
        <v>750</v>
      </c>
      <c r="F125" s="437" t="s">
        <v>45</v>
      </c>
      <c r="G125" s="442">
        <v>241.75</v>
      </c>
      <c r="H125" s="442">
        <v>239.42</v>
      </c>
      <c r="I125" s="442">
        <f t="shared" si="39"/>
        <v>57879.78</v>
      </c>
      <c r="J125" s="544">
        <f t="shared" si="40"/>
        <v>0.31090000000000001</v>
      </c>
      <c r="K125" s="442">
        <f t="shared" si="22"/>
        <v>313.85000000000002</v>
      </c>
      <c r="L125" s="442">
        <f>TRUNC(G125 * K125, 2)</f>
        <v>75873.23</v>
      </c>
      <c r="P125" s="545"/>
    </row>
    <row r="126" spans="2:16" x14ac:dyDescent="0.25">
      <c r="B126" s="439" t="s">
        <v>1345</v>
      </c>
      <c r="C126" s="439"/>
      <c r="D126" s="439"/>
      <c r="E126" s="474" t="s">
        <v>70</v>
      </c>
      <c r="F126" s="440"/>
      <c r="G126" s="440"/>
      <c r="H126" s="438"/>
      <c r="I126" s="440">
        <f>SUBTOTAL(9,I127:I131)</f>
        <v>1665.24</v>
      </c>
      <c r="J126" s="438"/>
      <c r="K126" s="440">
        <f t="shared" si="22"/>
        <v>0</v>
      </c>
      <c r="L126" s="440">
        <f>SUBTOTAL(9,L127:L131)</f>
        <v>2182.88</v>
      </c>
      <c r="P126" s="545"/>
    </row>
    <row r="127" spans="2:16" x14ac:dyDescent="0.25">
      <c r="B127" s="439" t="s">
        <v>1346</v>
      </c>
      <c r="C127" s="439"/>
      <c r="D127" s="439"/>
      <c r="E127" s="474" t="s">
        <v>913</v>
      </c>
      <c r="F127" s="440"/>
      <c r="G127" s="440"/>
      <c r="H127" s="438"/>
      <c r="I127" s="440">
        <f>SUBTOTAL(9,I128:I129)</f>
        <v>179.77999999999997</v>
      </c>
      <c r="J127" s="438"/>
      <c r="K127" s="440">
        <f t="shared" si="22"/>
        <v>0</v>
      </c>
      <c r="L127" s="440">
        <f>SUBTOTAL(9,L128:L129)</f>
        <v>235.61</v>
      </c>
      <c r="P127" s="545"/>
    </row>
    <row r="128" spans="2:16" x14ac:dyDescent="0.25">
      <c r="B128" s="443" t="s">
        <v>1347</v>
      </c>
      <c r="C128" s="443" t="s">
        <v>1348</v>
      </c>
      <c r="D128" s="443" t="s">
        <v>993</v>
      </c>
      <c r="E128" s="475" t="s">
        <v>908</v>
      </c>
      <c r="F128" s="437" t="s">
        <v>19</v>
      </c>
      <c r="G128" s="442">
        <v>7.68</v>
      </c>
      <c r="H128" s="442">
        <v>11.24</v>
      </c>
      <c r="I128" s="442">
        <f t="shared" ref="I128:I129" si="41">TRUNC(G128 * H128, 2)</f>
        <v>86.32</v>
      </c>
      <c r="J128" s="544">
        <f t="shared" ref="J128:J129" si="42">+$L$5</f>
        <v>0.31090000000000001</v>
      </c>
      <c r="K128" s="442">
        <f t="shared" si="22"/>
        <v>14.73</v>
      </c>
      <c r="L128" s="442">
        <f>TRUNC(G128 * K128, 2)</f>
        <v>113.12</v>
      </c>
      <c r="P128" s="545"/>
    </row>
    <row r="129" spans="2:16" x14ac:dyDescent="0.25">
      <c r="B129" s="443" t="s">
        <v>1349</v>
      </c>
      <c r="C129" s="443" t="s">
        <v>1350</v>
      </c>
      <c r="D129" s="443" t="s">
        <v>993</v>
      </c>
      <c r="E129" s="475" t="s">
        <v>909</v>
      </c>
      <c r="F129" s="437" t="s">
        <v>19</v>
      </c>
      <c r="G129" s="442">
        <v>7.68</v>
      </c>
      <c r="H129" s="442">
        <v>12.17</v>
      </c>
      <c r="I129" s="442">
        <f t="shared" si="41"/>
        <v>93.46</v>
      </c>
      <c r="J129" s="544">
        <f t="shared" si="42"/>
        <v>0.31090000000000001</v>
      </c>
      <c r="K129" s="442">
        <f t="shared" si="22"/>
        <v>15.95</v>
      </c>
      <c r="L129" s="442">
        <f>TRUNC(G129 * K129, 2)</f>
        <v>122.49</v>
      </c>
      <c r="P129" s="545"/>
    </row>
    <row r="130" spans="2:16" x14ac:dyDescent="0.25">
      <c r="B130" s="439" t="s">
        <v>1351</v>
      </c>
      <c r="C130" s="439"/>
      <c r="D130" s="439"/>
      <c r="E130" s="474" t="s">
        <v>1352</v>
      </c>
      <c r="F130" s="440"/>
      <c r="G130" s="440"/>
      <c r="H130" s="438"/>
      <c r="I130" s="440">
        <f>SUBTOTAL(9,I131:I131)</f>
        <v>1485.46</v>
      </c>
      <c r="J130" s="438"/>
      <c r="K130" s="440">
        <f t="shared" si="22"/>
        <v>0</v>
      </c>
      <c r="L130" s="440">
        <f>SUBTOTAL(9,L131:L131)</f>
        <v>1947.27</v>
      </c>
      <c r="P130" s="545"/>
    </row>
    <row r="131" spans="2:16" x14ac:dyDescent="0.25">
      <c r="B131" s="443" t="s">
        <v>1353</v>
      </c>
      <c r="C131" s="443" t="s">
        <v>1354</v>
      </c>
      <c r="D131" s="443" t="s">
        <v>993</v>
      </c>
      <c r="E131" s="475" t="s">
        <v>1355</v>
      </c>
      <c r="F131" s="437" t="s">
        <v>19</v>
      </c>
      <c r="G131" s="442">
        <v>61.74</v>
      </c>
      <c r="H131" s="442">
        <v>24.06</v>
      </c>
      <c r="I131" s="442">
        <f>TRUNC(G131 * H131, 2)</f>
        <v>1485.46</v>
      </c>
      <c r="J131" s="544">
        <f>+$L$5</f>
        <v>0.31090000000000001</v>
      </c>
      <c r="K131" s="442">
        <f t="shared" si="22"/>
        <v>31.54</v>
      </c>
      <c r="L131" s="442">
        <f>TRUNC(G131 * K131, 2)</f>
        <v>1947.27</v>
      </c>
      <c r="P131" s="545"/>
    </row>
    <row r="132" spans="2:16" x14ac:dyDescent="0.25">
      <c r="B132" s="439" t="s">
        <v>1356</v>
      </c>
      <c r="C132" s="439"/>
      <c r="D132" s="439"/>
      <c r="E132" s="474" t="s">
        <v>73</v>
      </c>
      <c r="F132" s="440"/>
      <c r="G132" s="440"/>
      <c r="H132" s="438"/>
      <c r="I132" s="440">
        <f>SUBTOTAL(9,I133:I170)</f>
        <v>21014.609999999997</v>
      </c>
      <c r="J132" s="438"/>
      <c r="K132" s="440">
        <f t="shared" si="22"/>
        <v>0</v>
      </c>
      <c r="L132" s="440">
        <f>SUBTOTAL(9,L133:L170)</f>
        <v>27544.079999999998</v>
      </c>
      <c r="P132" s="545"/>
    </row>
    <row r="133" spans="2:16" x14ac:dyDescent="0.25">
      <c r="B133" s="439" t="s">
        <v>1357</v>
      </c>
      <c r="C133" s="439"/>
      <c r="D133" s="439"/>
      <c r="E133" s="474" t="s">
        <v>427</v>
      </c>
      <c r="F133" s="440"/>
      <c r="G133" s="440"/>
      <c r="H133" s="438"/>
      <c r="I133" s="440">
        <f>SUBTOTAL(9,I134:I137)</f>
        <v>5740.63</v>
      </c>
      <c r="J133" s="438"/>
      <c r="K133" s="440">
        <f t="shared" si="22"/>
        <v>0</v>
      </c>
      <c r="L133" s="440">
        <f>SUBTOTAL(9,L134:L137)</f>
        <v>7521.92</v>
      </c>
      <c r="P133" s="545"/>
    </row>
    <row r="134" spans="2:16" x14ac:dyDescent="0.25">
      <c r="B134" s="443" t="s">
        <v>1358</v>
      </c>
      <c r="C134" s="443" t="s">
        <v>1359</v>
      </c>
      <c r="D134" s="443" t="s">
        <v>993</v>
      </c>
      <c r="E134" s="475" t="s">
        <v>1360</v>
      </c>
      <c r="F134" s="437" t="s">
        <v>130</v>
      </c>
      <c r="G134" s="442">
        <v>64.64</v>
      </c>
      <c r="H134" s="442">
        <v>11.39</v>
      </c>
      <c r="I134" s="442">
        <f t="shared" ref="I134:I137" si="43">TRUNC(G134 * H134, 2)</f>
        <v>736.24</v>
      </c>
      <c r="J134" s="544">
        <f t="shared" ref="J134:J137" si="44">+$L$5</f>
        <v>0.31090000000000001</v>
      </c>
      <c r="K134" s="442">
        <f t="shared" si="22"/>
        <v>14.93</v>
      </c>
      <c r="L134" s="442">
        <f>TRUNC(G134 * K134, 2)</f>
        <v>965.07</v>
      </c>
      <c r="P134" s="545"/>
    </row>
    <row r="135" spans="2:16" x14ac:dyDescent="0.25">
      <c r="B135" s="443" t="s">
        <v>1361</v>
      </c>
      <c r="C135" s="443" t="s">
        <v>1362</v>
      </c>
      <c r="D135" s="443" t="s">
        <v>993</v>
      </c>
      <c r="E135" s="475" t="s">
        <v>1363</v>
      </c>
      <c r="F135" s="437" t="s">
        <v>130</v>
      </c>
      <c r="G135" s="442">
        <v>56.4</v>
      </c>
      <c r="H135" s="442">
        <v>44.37</v>
      </c>
      <c r="I135" s="442">
        <f t="shared" si="43"/>
        <v>2502.46</v>
      </c>
      <c r="J135" s="544">
        <f t="shared" si="44"/>
        <v>0.31090000000000001</v>
      </c>
      <c r="K135" s="442">
        <f t="shared" si="22"/>
        <v>58.16</v>
      </c>
      <c r="L135" s="442">
        <f>TRUNC(G135 * K135, 2)</f>
        <v>3280.22</v>
      </c>
      <c r="P135" s="545"/>
    </row>
    <row r="136" spans="2:16" x14ac:dyDescent="0.25">
      <c r="B136" s="443" t="s">
        <v>1364</v>
      </c>
      <c r="C136" s="443" t="s">
        <v>1365</v>
      </c>
      <c r="D136" s="443" t="s">
        <v>993</v>
      </c>
      <c r="E136" s="475" t="s">
        <v>1366</v>
      </c>
      <c r="F136" s="437" t="s">
        <v>130</v>
      </c>
      <c r="G136" s="442">
        <v>370.69</v>
      </c>
      <c r="H136" s="442">
        <v>6.17</v>
      </c>
      <c r="I136" s="442">
        <f t="shared" si="43"/>
        <v>2287.15</v>
      </c>
      <c r="J136" s="544">
        <f t="shared" si="44"/>
        <v>0.31090000000000001</v>
      </c>
      <c r="K136" s="442">
        <f t="shared" si="22"/>
        <v>8.08</v>
      </c>
      <c r="L136" s="442">
        <f>TRUNC(G136 * K136, 2)</f>
        <v>2995.17</v>
      </c>
      <c r="P136" s="545"/>
    </row>
    <row r="137" spans="2:16" x14ac:dyDescent="0.25">
      <c r="B137" s="443" t="s">
        <v>1367</v>
      </c>
      <c r="C137" s="443" t="s">
        <v>1368</v>
      </c>
      <c r="D137" s="443" t="s">
        <v>993</v>
      </c>
      <c r="E137" s="475" t="s">
        <v>1369</v>
      </c>
      <c r="F137" s="437" t="s">
        <v>130</v>
      </c>
      <c r="G137" s="442">
        <v>19.16</v>
      </c>
      <c r="H137" s="442">
        <v>11.21</v>
      </c>
      <c r="I137" s="442">
        <f t="shared" si="43"/>
        <v>214.78</v>
      </c>
      <c r="J137" s="544">
        <f t="shared" si="44"/>
        <v>0.31090000000000001</v>
      </c>
      <c r="K137" s="442">
        <f t="shared" si="22"/>
        <v>14.69</v>
      </c>
      <c r="L137" s="442">
        <f>TRUNC(G137 * K137, 2)</f>
        <v>281.45999999999998</v>
      </c>
      <c r="P137" s="545"/>
    </row>
    <row r="138" spans="2:16" x14ac:dyDescent="0.25">
      <c r="B138" s="439" t="s">
        <v>1370</v>
      </c>
      <c r="C138" s="439"/>
      <c r="D138" s="439"/>
      <c r="E138" s="474" t="s">
        <v>428</v>
      </c>
      <c r="F138" s="440"/>
      <c r="G138" s="440"/>
      <c r="H138" s="438"/>
      <c r="I138" s="440">
        <f>SUBTOTAL(9,I139:I170)</f>
        <v>15273.98</v>
      </c>
      <c r="J138" s="438"/>
      <c r="K138" s="440">
        <f t="shared" si="22"/>
        <v>0</v>
      </c>
      <c r="L138" s="440">
        <f>SUBTOTAL(9,L139:L170)</f>
        <v>20022.16</v>
      </c>
      <c r="P138" s="545"/>
    </row>
    <row r="139" spans="2:16" x14ac:dyDescent="0.25">
      <c r="B139" s="443" t="s">
        <v>1371</v>
      </c>
      <c r="C139" s="443" t="s">
        <v>1372</v>
      </c>
      <c r="D139" s="443" t="s">
        <v>993</v>
      </c>
      <c r="E139" s="475" t="s">
        <v>1373</v>
      </c>
      <c r="F139" s="437" t="s">
        <v>1141</v>
      </c>
      <c r="G139" s="442">
        <v>5</v>
      </c>
      <c r="H139" s="442">
        <v>68.02</v>
      </c>
      <c r="I139" s="442">
        <f t="shared" ref="I139:I170" si="45">TRUNC(G139 * H139, 2)</f>
        <v>340.1</v>
      </c>
      <c r="J139" s="544">
        <f t="shared" ref="J139:J170" si="46">+$L$5</f>
        <v>0.31090000000000001</v>
      </c>
      <c r="K139" s="442">
        <f t="shared" ref="K139:K202" si="47">TRUNC(H139 * (1 + J139), 2)</f>
        <v>89.16</v>
      </c>
      <c r="L139" s="442">
        <f t="shared" ref="L139:L170" si="48">TRUNC(G139 * K139, 2)</f>
        <v>445.8</v>
      </c>
      <c r="P139" s="545"/>
    </row>
    <row r="140" spans="2:16" x14ac:dyDescent="0.25">
      <c r="B140" s="443" t="s">
        <v>1374</v>
      </c>
      <c r="C140" s="443" t="s">
        <v>1375</v>
      </c>
      <c r="D140" s="443" t="s">
        <v>993</v>
      </c>
      <c r="E140" s="475" t="s">
        <v>1376</v>
      </c>
      <c r="F140" s="437" t="s">
        <v>1141</v>
      </c>
      <c r="G140" s="442">
        <v>14</v>
      </c>
      <c r="H140" s="442">
        <v>6.57</v>
      </c>
      <c r="I140" s="442">
        <f t="shared" si="45"/>
        <v>91.98</v>
      </c>
      <c r="J140" s="544">
        <f t="shared" si="46"/>
        <v>0.31090000000000001</v>
      </c>
      <c r="K140" s="442">
        <f t="shared" si="47"/>
        <v>8.61</v>
      </c>
      <c r="L140" s="442">
        <f t="shared" si="48"/>
        <v>120.54</v>
      </c>
      <c r="P140" s="545"/>
    </row>
    <row r="141" spans="2:16" x14ac:dyDescent="0.25">
      <c r="B141" s="443" t="s">
        <v>1377</v>
      </c>
      <c r="C141" s="443" t="s">
        <v>1378</v>
      </c>
      <c r="D141" s="443" t="s">
        <v>993</v>
      </c>
      <c r="E141" s="475" t="s">
        <v>1379</v>
      </c>
      <c r="F141" s="437" t="s">
        <v>1141</v>
      </c>
      <c r="G141" s="442">
        <v>5</v>
      </c>
      <c r="H141" s="442">
        <v>14.15</v>
      </c>
      <c r="I141" s="442">
        <f t="shared" si="45"/>
        <v>70.75</v>
      </c>
      <c r="J141" s="544">
        <f t="shared" si="46"/>
        <v>0.31090000000000001</v>
      </c>
      <c r="K141" s="442">
        <f t="shared" si="47"/>
        <v>18.54</v>
      </c>
      <c r="L141" s="442">
        <f t="shared" si="48"/>
        <v>92.7</v>
      </c>
      <c r="P141" s="545"/>
    </row>
    <row r="142" spans="2:16" x14ac:dyDescent="0.25">
      <c r="B142" s="443" t="s">
        <v>1380</v>
      </c>
      <c r="C142" s="443" t="s">
        <v>1381</v>
      </c>
      <c r="D142" s="443" t="s">
        <v>993</v>
      </c>
      <c r="E142" s="475" t="s">
        <v>1382</v>
      </c>
      <c r="F142" s="437" t="s">
        <v>1141</v>
      </c>
      <c r="G142" s="442">
        <v>5</v>
      </c>
      <c r="H142" s="442">
        <v>7.12</v>
      </c>
      <c r="I142" s="442">
        <f t="shared" si="45"/>
        <v>35.6</v>
      </c>
      <c r="J142" s="544">
        <f t="shared" si="46"/>
        <v>0.31090000000000001</v>
      </c>
      <c r="K142" s="442">
        <f t="shared" si="47"/>
        <v>9.33</v>
      </c>
      <c r="L142" s="442">
        <f t="shared" si="48"/>
        <v>46.65</v>
      </c>
      <c r="P142" s="545"/>
    </row>
    <row r="143" spans="2:16" x14ac:dyDescent="0.25">
      <c r="B143" s="443" t="s">
        <v>1383</v>
      </c>
      <c r="C143" s="443" t="s">
        <v>1384</v>
      </c>
      <c r="D143" s="443" t="s">
        <v>993</v>
      </c>
      <c r="E143" s="475" t="s">
        <v>1385</v>
      </c>
      <c r="F143" s="437" t="s">
        <v>1222</v>
      </c>
      <c r="G143" s="442">
        <v>1</v>
      </c>
      <c r="H143" s="442">
        <v>46.84</v>
      </c>
      <c r="I143" s="442">
        <f t="shared" si="45"/>
        <v>46.84</v>
      </c>
      <c r="J143" s="544">
        <f t="shared" si="46"/>
        <v>0.31090000000000001</v>
      </c>
      <c r="K143" s="442">
        <f t="shared" si="47"/>
        <v>61.4</v>
      </c>
      <c r="L143" s="442">
        <f t="shared" si="48"/>
        <v>61.4</v>
      </c>
      <c r="P143" s="545"/>
    </row>
    <row r="144" spans="2:16" x14ac:dyDescent="0.25">
      <c r="B144" s="443" t="s">
        <v>1386</v>
      </c>
      <c r="C144" s="443" t="s">
        <v>1387</v>
      </c>
      <c r="D144" s="443" t="s">
        <v>993</v>
      </c>
      <c r="E144" s="475" t="s">
        <v>1388</v>
      </c>
      <c r="F144" s="437" t="s">
        <v>1141</v>
      </c>
      <c r="G144" s="442">
        <v>16</v>
      </c>
      <c r="H144" s="442">
        <v>2.64</v>
      </c>
      <c r="I144" s="442">
        <f t="shared" si="45"/>
        <v>42.24</v>
      </c>
      <c r="J144" s="544">
        <f t="shared" si="46"/>
        <v>0.31090000000000001</v>
      </c>
      <c r="K144" s="442">
        <f t="shared" si="47"/>
        <v>3.46</v>
      </c>
      <c r="L144" s="442">
        <f t="shared" si="48"/>
        <v>55.36</v>
      </c>
      <c r="P144" s="545"/>
    </row>
    <row r="145" spans="2:16" ht="25.5" x14ac:dyDescent="0.25">
      <c r="B145" s="443" t="s">
        <v>1389</v>
      </c>
      <c r="C145" s="443" t="s">
        <v>1390</v>
      </c>
      <c r="D145" s="443" t="s">
        <v>1168</v>
      </c>
      <c r="E145" s="475" t="s">
        <v>363</v>
      </c>
      <c r="F145" s="437" t="s">
        <v>38</v>
      </c>
      <c r="G145" s="442">
        <v>2</v>
      </c>
      <c r="H145" s="442">
        <v>25.88</v>
      </c>
      <c r="I145" s="442">
        <f t="shared" si="45"/>
        <v>51.76</v>
      </c>
      <c r="J145" s="544">
        <f t="shared" si="46"/>
        <v>0.31090000000000001</v>
      </c>
      <c r="K145" s="442">
        <f t="shared" si="47"/>
        <v>33.92</v>
      </c>
      <c r="L145" s="442">
        <f t="shared" si="48"/>
        <v>67.84</v>
      </c>
      <c r="P145" s="545"/>
    </row>
    <row r="146" spans="2:16" ht="25.5" x14ac:dyDescent="0.25">
      <c r="B146" s="443" t="s">
        <v>1391</v>
      </c>
      <c r="C146" s="443" t="s">
        <v>1392</v>
      </c>
      <c r="D146" s="443" t="s">
        <v>1168</v>
      </c>
      <c r="E146" s="475" t="s">
        <v>365</v>
      </c>
      <c r="F146" s="437" t="s">
        <v>38</v>
      </c>
      <c r="G146" s="442">
        <v>1</v>
      </c>
      <c r="H146" s="442">
        <v>34.01</v>
      </c>
      <c r="I146" s="442">
        <f t="shared" si="45"/>
        <v>34.01</v>
      </c>
      <c r="J146" s="544">
        <f t="shared" si="46"/>
        <v>0.31090000000000001</v>
      </c>
      <c r="K146" s="442">
        <f t="shared" si="47"/>
        <v>44.58</v>
      </c>
      <c r="L146" s="442">
        <f t="shared" si="48"/>
        <v>44.58</v>
      </c>
      <c r="P146" s="545"/>
    </row>
    <row r="147" spans="2:16" x14ac:dyDescent="0.25">
      <c r="B147" s="443" t="s">
        <v>1393</v>
      </c>
      <c r="C147" s="443" t="s">
        <v>1394</v>
      </c>
      <c r="D147" s="443" t="s">
        <v>993</v>
      </c>
      <c r="E147" s="475" t="s">
        <v>1395</v>
      </c>
      <c r="F147" s="437" t="s">
        <v>1141</v>
      </c>
      <c r="G147" s="442">
        <v>11</v>
      </c>
      <c r="H147" s="442">
        <v>1.65</v>
      </c>
      <c r="I147" s="442">
        <f t="shared" si="45"/>
        <v>18.149999999999999</v>
      </c>
      <c r="J147" s="544">
        <f t="shared" si="46"/>
        <v>0.31090000000000001</v>
      </c>
      <c r="K147" s="442">
        <f t="shared" si="47"/>
        <v>2.16</v>
      </c>
      <c r="L147" s="442">
        <f t="shared" si="48"/>
        <v>23.76</v>
      </c>
      <c r="P147" s="545"/>
    </row>
    <row r="148" spans="2:16" x14ac:dyDescent="0.25">
      <c r="B148" s="443" t="s">
        <v>1396</v>
      </c>
      <c r="C148" s="443" t="s">
        <v>1397</v>
      </c>
      <c r="D148" s="443" t="s">
        <v>993</v>
      </c>
      <c r="E148" s="475" t="s">
        <v>1398</v>
      </c>
      <c r="F148" s="437" t="s">
        <v>1141</v>
      </c>
      <c r="G148" s="442">
        <v>1</v>
      </c>
      <c r="H148" s="442">
        <v>11.94</v>
      </c>
      <c r="I148" s="442">
        <f t="shared" si="45"/>
        <v>11.94</v>
      </c>
      <c r="J148" s="544">
        <f t="shared" si="46"/>
        <v>0.31090000000000001</v>
      </c>
      <c r="K148" s="442">
        <f t="shared" si="47"/>
        <v>15.65</v>
      </c>
      <c r="L148" s="442">
        <f t="shared" si="48"/>
        <v>15.65</v>
      </c>
      <c r="P148" s="545"/>
    </row>
    <row r="149" spans="2:16" x14ac:dyDescent="0.25">
      <c r="B149" s="443" t="s">
        <v>1399</v>
      </c>
      <c r="C149" s="443" t="s">
        <v>1400</v>
      </c>
      <c r="D149" s="443" t="s">
        <v>993</v>
      </c>
      <c r="E149" s="475" t="s">
        <v>1401</v>
      </c>
      <c r="F149" s="437" t="s">
        <v>1141</v>
      </c>
      <c r="G149" s="442">
        <v>1</v>
      </c>
      <c r="H149" s="442">
        <v>14.19</v>
      </c>
      <c r="I149" s="442">
        <f t="shared" si="45"/>
        <v>14.19</v>
      </c>
      <c r="J149" s="544">
        <f t="shared" si="46"/>
        <v>0.31090000000000001</v>
      </c>
      <c r="K149" s="442">
        <f t="shared" si="47"/>
        <v>18.600000000000001</v>
      </c>
      <c r="L149" s="442">
        <f t="shared" si="48"/>
        <v>18.600000000000001</v>
      </c>
      <c r="P149" s="545"/>
    </row>
    <row r="150" spans="2:16" x14ac:dyDescent="0.25">
      <c r="B150" s="443" t="s">
        <v>1402</v>
      </c>
      <c r="C150" s="443" t="s">
        <v>1403</v>
      </c>
      <c r="D150" s="443" t="s">
        <v>993</v>
      </c>
      <c r="E150" s="475" t="s">
        <v>1404</v>
      </c>
      <c r="F150" s="437" t="s">
        <v>1141</v>
      </c>
      <c r="G150" s="442">
        <v>1</v>
      </c>
      <c r="H150" s="442">
        <v>32.299999999999997</v>
      </c>
      <c r="I150" s="442">
        <f t="shared" si="45"/>
        <v>32.299999999999997</v>
      </c>
      <c r="J150" s="544">
        <f t="shared" si="46"/>
        <v>0.31090000000000001</v>
      </c>
      <c r="K150" s="442">
        <f t="shared" si="47"/>
        <v>42.34</v>
      </c>
      <c r="L150" s="442">
        <f t="shared" si="48"/>
        <v>42.34</v>
      </c>
      <c r="P150" s="545"/>
    </row>
    <row r="151" spans="2:16" x14ac:dyDescent="0.25">
      <c r="B151" s="443" t="s">
        <v>1405</v>
      </c>
      <c r="C151" s="443" t="s">
        <v>1406</v>
      </c>
      <c r="D151" s="443" t="s">
        <v>993</v>
      </c>
      <c r="E151" s="475" t="s">
        <v>1407</v>
      </c>
      <c r="F151" s="437" t="s">
        <v>1141</v>
      </c>
      <c r="G151" s="442">
        <v>1</v>
      </c>
      <c r="H151" s="442">
        <v>1166.69</v>
      </c>
      <c r="I151" s="442">
        <f t="shared" si="45"/>
        <v>1166.69</v>
      </c>
      <c r="J151" s="544">
        <f t="shared" si="46"/>
        <v>0.31090000000000001</v>
      </c>
      <c r="K151" s="442">
        <f t="shared" si="47"/>
        <v>1529.41</v>
      </c>
      <c r="L151" s="442">
        <f t="shared" si="48"/>
        <v>1529.41</v>
      </c>
      <c r="P151" s="545"/>
    </row>
    <row r="152" spans="2:16" x14ac:dyDescent="0.25">
      <c r="B152" s="443" t="s">
        <v>1408</v>
      </c>
      <c r="C152" s="443" t="s">
        <v>1409</v>
      </c>
      <c r="D152" s="443" t="s">
        <v>993</v>
      </c>
      <c r="E152" s="475" t="s">
        <v>1410</v>
      </c>
      <c r="F152" s="437" t="s">
        <v>1141</v>
      </c>
      <c r="G152" s="442">
        <v>3</v>
      </c>
      <c r="H152" s="442">
        <v>12.58</v>
      </c>
      <c r="I152" s="442">
        <f t="shared" si="45"/>
        <v>37.74</v>
      </c>
      <c r="J152" s="544">
        <f t="shared" si="46"/>
        <v>0.31090000000000001</v>
      </c>
      <c r="K152" s="442">
        <f t="shared" si="47"/>
        <v>16.489999999999998</v>
      </c>
      <c r="L152" s="442">
        <f t="shared" si="48"/>
        <v>49.47</v>
      </c>
      <c r="P152" s="545"/>
    </row>
    <row r="153" spans="2:16" x14ac:dyDescent="0.25">
      <c r="B153" s="443" t="s">
        <v>1411</v>
      </c>
      <c r="C153" s="443" t="s">
        <v>1412</v>
      </c>
      <c r="D153" s="443" t="s">
        <v>993</v>
      </c>
      <c r="E153" s="475" t="s">
        <v>1413</v>
      </c>
      <c r="F153" s="437" t="s">
        <v>1414</v>
      </c>
      <c r="G153" s="442">
        <v>1</v>
      </c>
      <c r="H153" s="442">
        <v>3.15</v>
      </c>
      <c r="I153" s="442">
        <f t="shared" si="45"/>
        <v>3.15</v>
      </c>
      <c r="J153" s="544">
        <f t="shared" si="46"/>
        <v>0.31090000000000001</v>
      </c>
      <c r="K153" s="442">
        <f t="shared" si="47"/>
        <v>4.12</v>
      </c>
      <c r="L153" s="442">
        <f t="shared" si="48"/>
        <v>4.12</v>
      </c>
      <c r="P153" s="545"/>
    </row>
    <row r="154" spans="2:16" x14ac:dyDescent="0.25">
      <c r="B154" s="443" t="s">
        <v>1415</v>
      </c>
      <c r="C154" s="443" t="s">
        <v>1416</v>
      </c>
      <c r="D154" s="443" t="s">
        <v>993</v>
      </c>
      <c r="E154" s="475" t="s">
        <v>1417</v>
      </c>
      <c r="F154" s="437" t="s">
        <v>1141</v>
      </c>
      <c r="G154" s="442">
        <v>6</v>
      </c>
      <c r="H154" s="442">
        <v>16.82</v>
      </c>
      <c r="I154" s="442">
        <f t="shared" si="45"/>
        <v>100.92</v>
      </c>
      <c r="J154" s="544">
        <f t="shared" si="46"/>
        <v>0.31090000000000001</v>
      </c>
      <c r="K154" s="442">
        <f t="shared" si="47"/>
        <v>22.04</v>
      </c>
      <c r="L154" s="442">
        <f t="shared" si="48"/>
        <v>132.24</v>
      </c>
      <c r="P154" s="545"/>
    </row>
    <row r="155" spans="2:16" x14ac:dyDescent="0.25">
      <c r="B155" s="443" t="s">
        <v>1418</v>
      </c>
      <c r="C155" s="443" t="s">
        <v>1419</v>
      </c>
      <c r="D155" s="443" t="s">
        <v>993</v>
      </c>
      <c r="E155" s="475" t="s">
        <v>1420</v>
      </c>
      <c r="F155" s="437" t="s">
        <v>1141</v>
      </c>
      <c r="G155" s="442">
        <v>1</v>
      </c>
      <c r="H155" s="442">
        <v>8.32</v>
      </c>
      <c r="I155" s="442">
        <f t="shared" si="45"/>
        <v>8.32</v>
      </c>
      <c r="J155" s="544">
        <f t="shared" si="46"/>
        <v>0.31090000000000001</v>
      </c>
      <c r="K155" s="442">
        <f t="shared" si="47"/>
        <v>10.9</v>
      </c>
      <c r="L155" s="442">
        <f t="shared" si="48"/>
        <v>10.9</v>
      </c>
      <c r="P155" s="545"/>
    </row>
    <row r="156" spans="2:16" x14ac:dyDescent="0.25">
      <c r="B156" s="443" t="s">
        <v>1421</v>
      </c>
      <c r="C156" s="443" t="s">
        <v>1422</v>
      </c>
      <c r="D156" s="443" t="s">
        <v>993</v>
      </c>
      <c r="E156" s="475" t="s">
        <v>409</v>
      </c>
      <c r="F156" s="437" t="s">
        <v>1141</v>
      </c>
      <c r="G156" s="442">
        <v>1</v>
      </c>
      <c r="H156" s="442">
        <v>6.75</v>
      </c>
      <c r="I156" s="442">
        <f t="shared" si="45"/>
        <v>6.75</v>
      </c>
      <c r="J156" s="544">
        <f t="shared" si="46"/>
        <v>0.31090000000000001</v>
      </c>
      <c r="K156" s="442">
        <f t="shared" si="47"/>
        <v>8.84</v>
      </c>
      <c r="L156" s="442">
        <f t="shared" si="48"/>
        <v>8.84</v>
      </c>
      <c r="P156" s="545"/>
    </row>
    <row r="157" spans="2:16" ht="38.25" x14ac:dyDescent="0.25">
      <c r="B157" s="443" t="s">
        <v>1423</v>
      </c>
      <c r="C157" s="443" t="s">
        <v>1424</v>
      </c>
      <c r="D157" s="443" t="s">
        <v>1168</v>
      </c>
      <c r="E157" s="475" t="s">
        <v>414</v>
      </c>
      <c r="F157" s="437" t="s">
        <v>38</v>
      </c>
      <c r="G157" s="442">
        <v>1</v>
      </c>
      <c r="H157" s="442">
        <v>146.91999999999999</v>
      </c>
      <c r="I157" s="442">
        <f t="shared" si="45"/>
        <v>146.91999999999999</v>
      </c>
      <c r="J157" s="544">
        <f t="shared" si="46"/>
        <v>0.31090000000000001</v>
      </c>
      <c r="K157" s="442">
        <f t="shared" si="47"/>
        <v>192.59</v>
      </c>
      <c r="L157" s="442">
        <f t="shared" si="48"/>
        <v>192.59</v>
      </c>
      <c r="P157" s="545"/>
    </row>
    <row r="158" spans="2:16" x14ac:dyDescent="0.25">
      <c r="B158" s="443" t="s">
        <v>1425</v>
      </c>
      <c r="C158" s="443" t="s">
        <v>1426</v>
      </c>
      <c r="D158" s="443" t="s">
        <v>993</v>
      </c>
      <c r="E158" s="475" t="s">
        <v>1427</v>
      </c>
      <c r="F158" s="437" t="s">
        <v>1141</v>
      </c>
      <c r="G158" s="442">
        <v>4</v>
      </c>
      <c r="H158" s="442">
        <v>21.69</v>
      </c>
      <c r="I158" s="442">
        <f t="shared" si="45"/>
        <v>86.76</v>
      </c>
      <c r="J158" s="544">
        <f t="shared" si="46"/>
        <v>0.31090000000000001</v>
      </c>
      <c r="K158" s="442">
        <f t="shared" si="47"/>
        <v>28.43</v>
      </c>
      <c r="L158" s="442">
        <f t="shared" si="48"/>
        <v>113.72</v>
      </c>
      <c r="P158" s="545"/>
    </row>
    <row r="159" spans="2:16" x14ac:dyDescent="0.25">
      <c r="B159" s="443" t="s">
        <v>1428</v>
      </c>
      <c r="C159" s="443" t="s">
        <v>1429</v>
      </c>
      <c r="D159" s="443" t="s">
        <v>993</v>
      </c>
      <c r="E159" s="475" t="s">
        <v>1430</v>
      </c>
      <c r="F159" s="437" t="s">
        <v>1141</v>
      </c>
      <c r="G159" s="442">
        <v>2</v>
      </c>
      <c r="H159" s="442">
        <v>25.01</v>
      </c>
      <c r="I159" s="442">
        <f t="shared" si="45"/>
        <v>50.02</v>
      </c>
      <c r="J159" s="544">
        <f t="shared" si="46"/>
        <v>0.31090000000000001</v>
      </c>
      <c r="K159" s="442">
        <f t="shared" si="47"/>
        <v>32.78</v>
      </c>
      <c r="L159" s="442">
        <f t="shared" si="48"/>
        <v>65.56</v>
      </c>
      <c r="P159" s="545"/>
    </row>
    <row r="160" spans="2:16" x14ac:dyDescent="0.25">
      <c r="B160" s="443" t="s">
        <v>1431</v>
      </c>
      <c r="C160" s="443" t="s">
        <v>1432</v>
      </c>
      <c r="D160" s="443" t="s">
        <v>993</v>
      </c>
      <c r="E160" s="475" t="s">
        <v>1433</v>
      </c>
      <c r="F160" s="437" t="s">
        <v>1141</v>
      </c>
      <c r="G160" s="442">
        <v>1</v>
      </c>
      <c r="H160" s="442">
        <v>99.8</v>
      </c>
      <c r="I160" s="442">
        <f t="shared" si="45"/>
        <v>99.8</v>
      </c>
      <c r="J160" s="544">
        <f t="shared" si="46"/>
        <v>0.31090000000000001</v>
      </c>
      <c r="K160" s="442">
        <f t="shared" si="47"/>
        <v>130.82</v>
      </c>
      <c r="L160" s="442">
        <f t="shared" si="48"/>
        <v>130.82</v>
      </c>
      <c r="P160" s="545"/>
    </row>
    <row r="161" spans="2:16" x14ac:dyDescent="0.25">
      <c r="B161" s="443" t="s">
        <v>1434</v>
      </c>
      <c r="C161" s="443" t="s">
        <v>1435</v>
      </c>
      <c r="D161" s="443" t="s">
        <v>993</v>
      </c>
      <c r="E161" s="475" t="s">
        <v>1436</v>
      </c>
      <c r="F161" s="437" t="s">
        <v>1141</v>
      </c>
      <c r="G161" s="442">
        <v>1</v>
      </c>
      <c r="H161" s="442">
        <v>103.79</v>
      </c>
      <c r="I161" s="442">
        <f t="shared" si="45"/>
        <v>103.79</v>
      </c>
      <c r="J161" s="544">
        <f t="shared" si="46"/>
        <v>0.31090000000000001</v>
      </c>
      <c r="K161" s="442">
        <f t="shared" si="47"/>
        <v>136.05000000000001</v>
      </c>
      <c r="L161" s="442">
        <f t="shared" si="48"/>
        <v>136.05000000000001</v>
      </c>
      <c r="P161" s="545"/>
    </row>
    <row r="162" spans="2:16" x14ac:dyDescent="0.25">
      <c r="B162" s="443" t="s">
        <v>1437</v>
      </c>
      <c r="C162" s="443" t="s">
        <v>1438</v>
      </c>
      <c r="D162" s="443" t="s">
        <v>993</v>
      </c>
      <c r="E162" s="475" t="s">
        <v>1439</v>
      </c>
      <c r="F162" s="437" t="s">
        <v>49</v>
      </c>
      <c r="G162" s="442">
        <v>8</v>
      </c>
      <c r="H162" s="442">
        <v>390.02</v>
      </c>
      <c r="I162" s="442">
        <f t="shared" si="45"/>
        <v>3120.16</v>
      </c>
      <c r="J162" s="544">
        <f t="shared" si="46"/>
        <v>0.31090000000000001</v>
      </c>
      <c r="K162" s="442">
        <f t="shared" si="47"/>
        <v>511.27</v>
      </c>
      <c r="L162" s="442">
        <f t="shared" si="48"/>
        <v>4090.16</v>
      </c>
      <c r="P162" s="545"/>
    </row>
    <row r="163" spans="2:16" x14ac:dyDescent="0.25">
      <c r="B163" s="443" t="s">
        <v>1440</v>
      </c>
      <c r="C163" s="443" t="s">
        <v>1441</v>
      </c>
      <c r="D163" s="443" t="s">
        <v>993</v>
      </c>
      <c r="E163" s="475" t="s">
        <v>1442</v>
      </c>
      <c r="F163" s="437" t="s">
        <v>45</v>
      </c>
      <c r="G163" s="442">
        <v>1.08</v>
      </c>
      <c r="H163" s="442">
        <v>42.83</v>
      </c>
      <c r="I163" s="442">
        <f t="shared" si="45"/>
        <v>46.25</v>
      </c>
      <c r="J163" s="544">
        <f t="shared" si="46"/>
        <v>0.31090000000000001</v>
      </c>
      <c r="K163" s="442">
        <f t="shared" si="47"/>
        <v>56.14</v>
      </c>
      <c r="L163" s="442">
        <f t="shared" si="48"/>
        <v>60.63</v>
      </c>
      <c r="P163" s="545"/>
    </row>
    <row r="164" spans="2:16" x14ac:dyDescent="0.25">
      <c r="B164" s="443" t="s">
        <v>1443</v>
      </c>
      <c r="C164" s="443" t="s">
        <v>1444</v>
      </c>
      <c r="D164" s="443" t="s">
        <v>993</v>
      </c>
      <c r="E164" s="475" t="s">
        <v>1445</v>
      </c>
      <c r="F164" s="437" t="s">
        <v>19</v>
      </c>
      <c r="G164" s="442">
        <v>2.16</v>
      </c>
      <c r="H164" s="442">
        <v>88.62</v>
      </c>
      <c r="I164" s="442">
        <f t="shared" si="45"/>
        <v>191.41</v>
      </c>
      <c r="J164" s="544">
        <f t="shared" si="46"/>
        <v>0.31090000000000001</v>
      </c>
      <c r="K164" s="442">
        <f t="shared" si="47"/>
        <v>116.17</v>
      </c>
      <c r="L164" s="442">
        <f t="shared" si="48"/>
        <v>250.92</v>
      </c>
      <c r="P164" s="545"/>
    </row>
    <row r="165" spans="2:16" ht="25.5" x14ac:dyDescent="0.25">
      <c r="B165" s="443" t="s">
        <v>1446</v>
      </c>
      <c r="C165" s="443" t="s">
        <v>1447</v>
      </c>
      <c r="D165" s="443" t="s">
        <v>993</v>
      </c>
      <c r="E165" s="475" t="s">
        <v>1448</v>
      </c>
      <c r="F165" s="437" t="s">
        <v>19</v>
      </c>
      <c r="G165" s="442">
        <v>7.2</v>
      </c>
      <c r="H165" s="442">
        <v>145.31</v>
      </c>
      <c r="I165" s="442">
        <f t="shared" si="45"/>
        <v>1046.23</v>
      </c>
      <c r="J165" s="544">
        <f t="shared" si="46"/>
        <v>0.31090000000000001</v>
      </c>
      <c r="K165" s="442">
        <f t="shared" si="47"/>
        <v>190.48</v>
      </c>
      <c r="L165" s="442">
        <f t="shared" si="48"/>
        <v>1371.45</v>
      </c>
      <c r="P165" s="545"/>
    </row>
    <row r="166" spans="2:16" x14ac:dyDescent="0.25">
      <c r="B166" s="443" t="s">
        <v>1449</v>
      </c>
      <c r="C166" s="443" t="s">
        <v>1450</v>
      </c>
      <c r="D166" s="443" t="s">
        <v>993</v>
      </c>
      <c r="E166" s="475" t="s">
        <v>379</v>
      </c>
      <c r="F166" s="437" t="s">
        <v>45</v>
      </c>
      <c r="G166" s="442">
        <v>0.12</v>
      </c>
      <c r="H166" s="442">
        <v>211.07</v>
      </c>
      <c r="I166" s="442">
        <f t="shared" si="45"/>
        <v>25.32</v>
      </c>
      <c r="J166" s="544">
        <f t="shared" si="46"/>
        <v>0.31090000000000001</v>
      </c>
      <c r="K166" s="442">
        <f t="shared" si="47"/>
        <v>276.69</v>
      </c>
      <c r="L166" s="442">
        <f t="shared" si="48"/>
        <v>33.200000000000003</v>
      </c>
      <c r="P166" s="545"/>
    </row>
    <row r="167" spans="2:16" ht="25.5" x14ac:dyDescent="0.25">
      <c r="B167" s="443" t="s">
        <v>1451</v>
      </c>
      <c r="C167" s="443" t="s">
        <v>1452</v>
      </c>
      <c r="D167" s="443" t="s">
        <v>1168</v>
      </c>
      <c r="E167" s="475" t="s">
        <v>381</v>
      </c>
      <c r="F167" s="437" t="s">
        <v>1141</v>
      </c>
      <c r="G167" s="442">
        <v>4</v>
      </c>
      <c r="H167" s="442">
        <v>695</v>
      </c>
      <c r="I167" s="442">
        <f t="shared" si="45"/>
        <v>2780</v>
      </c>
      <c r="J167" s="544">
        <f t="shared" si="46"/>
        <v>0.31090000000000001</v>
      </c>
      <c r="K167" s="442">
        <f t="shared" si="47"/>
        <v>911.07</v>
      </c>
      <c r="L167" s="442">
        <f t="shared" si="48"/>
        <v>3644.28</v>
      </c>
      <c r="P167" s="545"/>
    </row>
    <row r="168" spans="2:16" x14ac:dyDescent="0.25">
      <c r="B168" s="443" t="s">
        <v>1453</v>
      </c>
      <c r="C168" s="443" t="s">
        <v>1454</v>
      </c>
      <c r="D168" s="443" t="s">
        <v>993</v>
      </c>
      <c r="E168" s="475" t="s">
        <v>1455</v>
      </c>
      <c r="F168" s="437" t="s">
        <v>45</v>
      </c>
      <c r="G168" s="442">
        <v>5.2</v>
      </c>
      <c r="H168" s="442">
        <v>51.44</v>
      </c>
      <c r="I168" s="442">
        <f t="shared" si="45"/>
        <v>267.48</v>
      </c>
      <c r="J168" s="544">
        <f t="shared" si="46"/>
        <v>0.31090000000000001</v>
      </c>
      <c r="K168" s="442">
        <f t="shared" si="47"/>
        <v>67.430000000000007</v>
      </c>
      <c r="L168" s="442">
        <f t="shared" si="48"/>
        <v>350.63</v>
      </c>
      <c r="P168" s="545"/>
    </row>
    <row r="169" spans="2:16" x14ac:dyDescent="0.25">
      <c r="B169" s="443" t="s">
        <v>1456</v>
      </c>
      <c r="C169" s="443" t="s">
        <v>1457</v>
      </c>
      <c r="D169" s="443" t="s">
        <v>993</v>
      </c>
      <c r="E169" s="475" t="s">
        <v>1458</v>
      </c>
      <c r="F169" s="437" t="s">
        <v>81</v>
      </c>
      <c r="G169" s="442">
        <v>16</v>
      </c>
      <c r="H169" s="442">
        <v>200</v>
      </c>
      <c r="I169" s="442">
        <f t="shared" si="45"/>
        <v>3200</v>
      </c>
      <c r="J169" s="544">
        <f t="shared" si="46"/>
        <v>0.31090000000000001</v>
      </c>
      <c r="K169" s="442">
        <f t="shared" si="47"/>
        <v>262.18</v>
      </c>
      <c r="L169" s="442">
        <f t="shared" si="48"/>
        <v>4194.88</v>
      </c>
      <c r="P169" s="545"/>
    </row>
    <row r="170" spans="2:16" ht="38.25" x14ac:dyDescent="0.25">
      <c r="B170" s="443" t="s">
        <v>1459</v>
      </c>
      <c r="C170" s="443" t="s">
        <v>1460</v>
      </c>
      <c r="D170" s="443" t="s">
        <v>993</v>
      </c>
      <c r="E170" s="475" t="s">
        <v>1461</v>
      </c>
      <c r="F170" s="437" t="s">
        <v>19</v>
      </c>
      <c r="G170" s="442">
        <v>4.5599999999999996</v>
      </c>
      <c r="H170" s="442">
        <v>437.81</v>
      </c>
      <c r="I170" s="442">
        <f t="shared" si="45"/>
        <v>1996.41</v>
      </c>
      <c r="J170" s="544">
        <f t="shared" si="46"/>
        <v>0.31090000000000001</v>
      </c>
      <c r="K170" s="442">
        <f t="shared" si="47"/>
        <v>573.91999999999996</v>
      </c>
      <c r="L170" s="442">
        <f t="shared" si="48"/>
        <v>2617.0700000000002</v>
      </c>
      <c r="P170" s="545"/>
    </row>
    <row r="171" spans="2:16" x14ac:dyDescent="0.25">
      <c r="B171" s="439" t="s">
        <v>1462</v>
      </c>
      <c r="C171" s="439"/>
      <c r="D171" s="439"/>
      <c r="E171" s="474" t="s">
        <v>848</v>
      </c>
      <c r="F171" s="440"/>
      <c r="G171" s="440"/>
      <c r="H171" s="438"/>
      <c r="I171" s="440">
        <f>SUBTOTAL(9,I172:I189)</f>
        <v>5983.6200000000008</v>
      </c>
      <c r="J171" s="438"/>
      <c r="K171" s="440">
        <f t="shared" si="47"/>
        <v>0</v>
      </c>
      <c r="L171" s="440">
        <f>SUBTOTAL(9,L172:L189)</f>
        <v>7843.0199999999995</v>
      </c>
      <c r="P171" s="545"/>
    </row>
    <row r="172" spans="2:16" x14ac:dyDescent="0.25">
      <c r="B172" s="439" t="s">
        <v>1463</v>
      </c>
      <c r="C172" s="439"/>
      <c r="D172" s="439"/>
      <c r="E172" s="474" t="s">
        <v>427</v>
      </c>
      <c r="F172" s="440"/>
      <c r="G172" s="440"/>
      <c r="H172" s="438"/>
      <c r="I172" s="440">
        <f>SUBTOTAL(9,I173:I176)</f>
        <v>3491.9</v>
      </c>
      <c r="J172" s="438"/>
      <c r="K172" s="440">
        <f t="shared" si="47"/>
        <v>0</v>
      </c>
      <c r="L172" s="440">
        <f>SUBTOTAL(9,L173:L176)</f>
        <v>4576.97</v>
      </c>
      <c r="P172" s="545"/>
    </row>
    <row r="173" spans="2:16" x14ac:dyDescent="0.25">
      <c r="B173" s="443" t="s">
        <v>1464</v>
      </c>
      <c r="C173" s="443" t="s">
        <v>1465</v>
      </c>
      <c r="D173" s="443" t="s">
        <v>993</v>
      </c>
      <c r="E173" s="475" t="s">
        <v>1466</v>
      </c>
      <c r="F173" s="437" t="s">
        <v>130</v>
      </c>
      <c r="G173" s="442">
        <v>5</v>
      </c>
      <c r="H173" s="442">
        <v>15.78</v>
      </c>
      <c r="I173" s="442">
        <f t="shared" ref="I173:I176" si="49">TRUNC(G173 * H173, 2)</f>
        <v>78.900000000000006</v>
      </c>
      <c r="J173" s="544">
        <f t="shared" ref="J173:J176" si="50">+$L$5</f>
        <v>0.31090000000000001</v>
      </c>
      <c r="K173" s="442">
        <f t="shared" si="47"/>
        <v>20.68</v>
      </c>
      <c r="L173" s="442">
        <f>TRUNC(G173 * K173, 2)</f>
        <v>103.4</v>
      </c>
      <c r="P173" s="545"/>
    </row>
    <row r="174" spans="2:16" x14ac:dyDescent="0.25">
      <c r="B174" s="443" t="s">
        <v>1467</v>
      </c>
      <c r="C174" s="443" t="s">
        <v>1468</v>
      </c>
      <c r="D174" s="443" t="s">
        <v>993</v>
      </c>
      <c r="E174" s="475" t="s">
        <v>1469</v>
      </c>
      <c r="F174" s="437" t="s">
        <v>130</v>
      </c>
      <c r="G174" s="442">
        <v>11.51</v>
      </c>
      <c r="H174" s="442">
        <v>18.8</v>
      </c>
      <c r="I174" s="442">
        <f t="shared" si="49"/>
        <v>216.38</v>
      </c>
      <c r="J174" s="544">
        <f t="shared" si="50"/>
        <v>0.31090000000000001</v>
      </c>
      <c r="K174" s="442">
        <f t="shared" si="47"/>
        <v>24.64</v>
      </c>
      <c r="L174" s="442">
        <f>TRUNC(G174 * K174, 2)</f>
        <v>283.60000000000002</v>
      </c>
      <c r="P174" s="545"/>
    </row>
    <row r="175" spans="2:16" x14ac:dyDescent="0.25">
      <c r="B175" s="443" t="s">
        <v>1470</v>
      </c>
      <c r="C175" s="443" t="s">
        <v>1471</v>
      </c>
      <c r="D175" s="443" t="s">
        <v>993</v>
      </c>
      <c r="E175" s="475" t="s">
        <v>1472</v>
      </c>
      <c r="F175" s="437" t="s">
        <v>130</v>
      </c>
      <c r="G175" s="442">
        <v>32.119999999999997</v>
      </c>
      <c r="H175" s="442">
        <v>38.119999999999997</v>
      </c>
      <c r="I175" s="442">
        <f t="shared" si="49"/>
        <v>1224.4100000000001</v>
      </c>
      <c r="J175" s="544">
        <f t="shared" si="50"/>
        <v>0.31090000000000001</v>
      </c>
      <c r="K175" s="442">
        <f t="shared" si="47"/>
        <v>49.97</v>
      </c>
      <c r="L175" s="442">
        <f>TRUNC(G175 * K175, 2)</f>
        <v>1605.03</v>
      </c>
      <c r="P175" s="545"/>
    </row>
    <row r="176" spans="2:16" x14ac:dyDescent="0.25">
      <c r="B176" s="443" t="s">
        <v>1473</v>
      </c>
      <c r="C176" s="443" t="s">
        <v>1474</v>
      </c>
      <c r="D176" s="443" t="s">
        <v>993</v>
      </c>
      <c r="E176" s="475" t="s">
        <v>1475</v>
      </c>
      <c r="F176" s="437" t="s">
        <v>130</v>
      </c>
      <c r="G176" s="442">
        <v>44.24</v>
      </c>
      <c r="H176" s="442">
        <v>44.58</v>
      </c>
      <c r="I176" s="442">
        <f t="shared" si="49"/>
        <v>1972.21</v>
      </c>
      <c r="J176" s="544">
        <f t="shared" si="50"/>
        <v>0.31090000000000001</v>
      </c>
      <c r="K176" s="442">
        <f t="shared" si="47"/>
        <v>58.43</v>
      </c>
      <c r="L176" s="442">
        <f>TRUNC(G176 * K176, 2)</f>
        <v>2584.94</v>
      </c>
      <c r="P176" s="545"/>
    </row>
    <row r="177" spans="2:16" x14ac:dyDescent="0.25">
      <c r="B177" s="439" t="s">
        <v>1476</v>
      </c>
      <c r="C177" s="439"/>
      <c r="D177" s="439"/>
      <c r="E177" s="474" t="s">
        <v>428</v>
      </c>
      <c r="F177" s="440"/>
      <c r="G177" s="440"/>
      <c r="H177" s="438"/>
      <c r="I177" s="440">
        <f>SUBTOTAL(9,I178:I189)</f>
        <v>2491.7199999999998</v>
      </c>
      <c r="J177" s="438"/>
      <c r="K177" s="440">
        <f t="shared" si="47"/>
        <v>0</v>
      </c>
      <c r="L177" s="440">
        <f>SUBTOTAL(9,L178:L189)</f>
        <v>3266.05</v>
      </c>
      <c r="P177" s="545"/>
    </row>
    <row r="178" spans="2:16" ht="25.5" x14ac:dyDescent="0.25">
      <c r="B178" s="443" t="s">
        <v>1477</v>
      </c>
      <c r="C178" s="443" t="s">
        <v>1478</v>
      </c>
      <c r="D178" s="443" t="s">
        <v>993</v>
      </c>
      <c r="E178" s="475" t="s">
        <v>1479</v>
      </c>
      <c r="F178" s="437" t="s">
        <v>1141</v>
      </c>
      <c r="G178" s="442">
        <v>1</v>
      </c>
      <c r="H178" s="442">
        <v>248.86</v>
      </c>
      <c r="I178" s="442">
        <f t="shared" ref="I178:I189" si="51">TRUNC(G178 * H178, 2)</f>
        <v>248.86</v>
      </c>
      <c r="J178" s="544">
        <f t="shared" ref="J178:J189" si="52">+$L$5</f>
        <v>0.31090000000000001</v>
      </c>
      <c r="K178" s="442">
        <f t="shared" si="47"/>
        <v>326.23</v>
      </c>
      <c r="L178" s="442">
        <f t="shared" ref="L178:L189" si="53">TRUNC(G178 * K178, 2)</f>
        <v>326.23</v>
      </c>
      <c r="P178" s="545"/>
    </row>
    <row r="179" spans="2:16" x14ac:dyDescent="0.25">
      <c r="B179" s="443" t="s">
        <v>1480</v>
      </c>
      <c r="C179" s="443" t="s">
        <v>1375</v>
      </c>
      <c r="D179" s="443" t="s">
        <v>993</v>
      </c>
      <c r="E179" s="475" t="s">
        <v>1376</v>
      </c>
      <c r="F179" s="437" t="s">
        <v>1141</v>
      </c>
      <c r="G179" s="442">
        <v>1</v>
      </c>
      <c r="H179" s="442">
        <v>6.57</v>
      </c>
      <c r="I179" s="442">
        <f t="shared" si="51"/>
        <v>6.57</v>
      </c>
      <c r="J179" s="544">
        <f t="shared" si="52"/>
        <v>0.31090000000000001</v>
      </c>
      <c r="K179" s="442">
        <f t="shared" si="47"/>
        <v>8.61</v>
      </c>
      <c r="L179" s="442">
        <f t="shared" si="53"/>
        <v>8.61</v>
      </c>
      <c r="P179" s="545"/>
    </row>
    <row r="180" spans="2:16" x14ac:dyDescent="0.25">
      <c r="B180" s="443" t="s">
        <v>1481</v>
      </c>
      <c r="C180" s="443" t="s">
        <v>1482</v>
      </c>
      <c r="D180" s="443" t="s">
        <v>993</v>
      </c>
      <c r="E180" s="475" t="s">
        <v>1483</v>
      </c>
      <c r="F180" s="437" t="s">
        <v>41</v>
      </c>
      <c r="G180" s="442">
        <v>3</v>
      </c>
      <c r="H180" s="442">
        <v>133.91</v>
      </c>
      <c r="I180" s="442">
        <f t="shared" si="51"/>
        <v>401.73</v>
      </c>
      <c r="J180" s="544">
        <f t="shared" si="52"/>
        <v>0.31090000000000001</v>
      </c>
      <c r="K180" s="442">
        <f t="shared" si="47"/>
        <v>175.54</v>
      </c>
      <c r="L180" s="442">
        <f t="shared" si="53"/>
        <v>526.62</v>
      </c>
      <c r="P180" s="545"/>
    </row>
    <row r="181" spans="2:16" x14ac:dyDescent="0.25">
      <c r="B181" s="443" t="s">
        <v>1484</v>
      </c>
      <c r="C181" s="443" t="s">
        <v>1485</v>
      </c>
      <c r="D181" s="443" t="s">
        <v>993</v>
      </c>
      <c r="E181" s="475" t="s">
        <v>1486</v>
      </c>
      <c r="F181" s="437" t="s">
        <v>1141</v>
      </c>
      <c r="G181" s="442">
        <v>5</v>
      </c>
      <c r="H181" s="442">
        <v>6.21</v>
      </c>
      <c r="I181" s="442">
        <f t="shared" si="51"/>
        <v>31.05</v>
      </c>
      <c r="J181" s="544">
        <f t="shared" si="52"/>
        <v>0.31090000000000001</v>
      </c>
      <c r="K181" s="442">
        <f t="shared" si="47"/>
        <v>8.14</v>
      </c>
      <c r="L181" s="442">
        <f t="shared" si="53"/>
        <v>40.700000000000003</v>
      </c>
      <c r="P181" s="545"/>
    </row>
    <row r="182" spans="2:16" x14ac:dyDescent="0.25">
      <c r="B182" s="443" t="s">
        <v>1487</v>
      </c>
      <c r="C182" s="443" t="s">
        <v>1488</v>
      </c>
      <c r="D182" s="443" t="s">
        <v>993</v>
      </c>
      <c r="E182" s="475" t="s">
        <v>1489</v>
      </c>
      <c r="F182" s="437" t="s">
        <v>1141</v>
      </c>
      <c r="G182" s="442">
        <v>1</v>
      </c>
      <c r="H182" s="442">
        <v>27.24</v>
      </c>
      <c r="I182" s="442">
        <f t="shared" si="51"/>
        <v>27.24</v>
      </c>
      <c r="J182" s="544">
        <f t="shared" si="52"/>
        <v>0.31090000000000001</v>
      </c>
      <c r="K182" s="442">
        <f t="shared" si="47"/>
        <v>35.700000000000003</v>
      </c>
      <c r="L182" s="442">
        <f t="shared" si="53"/>
        <v>35.700000000000003</v>
      </c>
      <c r="P182" s="545"/>
    </row>
    <row r="183" spans="2:16" x14ac:dyDescent="0.25">
      <c r="B183" s="443" t="s">
        <v>1490</v>
      </c>
      <c r="C183" s="443" t="s">
        <v>1491</v>
      </c>
      <c r="D183" s="443" t="s">
        <v>993</v>
      </c>
      <c r="E183" s="475" t="s">
        <v>1492</v>
      </c>
      <c r="F183" s="437" t="s">
        <v>1141</v>
      </c>
      <c r="G183" s="442">
        <v>2</v>
      </c>
      <c r="H183" s="442">
        <v>8.68</v>
      </c>
      <c r="I183" s="442">
        <f t="shared" si="51"/>
        <v>17.36</v>
      </c>
      <c r="J183" s="544">
        <f t="shared" si="52"/>
        <v>0.31090000000000001</v>
      </c>
      <c r="K183" s="442">
        <f t="shared" si="47"/>
        <v>11.37</v>
      </c>
      <c r="L183" s="442">
        <f t="shared" si="53"/>
        <v>22.74</v>
      </c>
      <c r="P183" s="545"/>
    </row>
    <row r="184" spans="2:16" x14ac:dyDescent="0.25">
      <c r="B184" s="443" t="s">
        <v>1493</v>
      </c>
      <c r="C184" s="443" t="s">
        <v>1494</v>
      </c>
      <c r="D184" s="443" t="s">
        <v>993</v>
      </c>
      <c r="E184" s="475" t="s">
        <v>1495</v>
      </c>
      <c r="F184" s="437" t="s">
        <v>49</v>
      </c>
      <c r="G184" s="442">
        <v>15</v>
      </c>
      <c r="H184" s="442">
        <v>27.05</v>
      </c>
      <c r="I184" s="442">
        <f t="shared" si="51"/>
        <v>405.75</v>
      </c>
      <c r="J184" s="544">
        <f t="shared" si="52"/>
        <v>0.31090000000000001</v>
      </c>
      <c r="K184" s="442">
        <f t="shared" si="47"/>
        <v>35.450000000000003</v>
      </c>
      <c r="L184" s="442">
        <f t="shared" si="53"/>
        <v>531.75</v>
      </c>
      <c r="P184" s="545"/>
    </row>
    <row r="185" spans="2:16" ht="25.5" x14ac:dyDescent="0.25">
      <c r="B185" s="443" t="s">
        <v>1496</v>
      </c>
      <c r="C185" s="443" t="s">
        <v>1497</v>
      </c>
      <c r="D185" s="443" t="s">
        <v>1168</v>
      </c>
      <c r="E185" s="475" t="s">
        <v>470</v>
      </c>
      <c r="F185" s="437" t="s">
        <v>38</v>
      </c>
      <c r="G185" s="442">
        <v>3</v>
      </c>
      <c r="H185" s="442">
        <v>42.95</v>
      </c>
      <c r="I185" s="442">
        <f t="shared" si="51"/>
        <v>128.85</v>
      </c>
      <c r="J185" s="544">
        <f t="shared" si="52"/>
        <v>0.31090000000000001</v>
      </c>
      <c r="K185" s="442">
        <f t="shared" si="47"/>
        <v>56.3</v>
      </c>
      <c r="L185" s="442">
        <f t="shared" si="53"/>
        <v>168.9</v>
      </c>
      <c r="P185" s="545"/>
    </row>
    <row r="186" spans="2:16" x14ac:dyDescent="0.25">
      <c r="B186" s="443" t="s">
        <v>1498</v>
      </c>
      <c r="C186" s="443" t="s">
        <v>1499</v>
      </c>
      <c r="D186" s="443" t="s">
        <v>993</v>
      </c>
      <c r="E186" s="475" t="s">
        <v>1500</v>
      </c>
      <c r="F186" s="437" t="s">
        <v>1141</v>
      </c>
      <c r="G186" s="442">
        <v>5</v>
      </c>
      <c r="H186" s="442">
        <v>144.07</v>
      </c>
      <c r="I186" s="442">
        <f t="shared" si="51"/>
        <v>720.35</v>
      </c>
      <c r="J186" s="544">
        <f t="shared" si="52"/>
        <v>0.31090000000000001</v>
      </c>
      <c r="K186" s="442">
        <f t="shared" si="47"/>
        <v>188.86</v>
      </c>
      <c r="L186" s="442">
        <f t="shared" si="53"/>
        <v>944.3</v>
      </c>
      <c r="P186" s="545"/>
    </row>
    <row r="187" spans="2:16" x14ac:dyDescent="0.25">
      <c r="B187" s="443" t="s">
        <v>1501</v>
      </c>
      <c r="C187" s="443" t="s">
        <v>1502</v>
      </c>
      <c r="D187" s="443" t="s">
        <v>993</v>
      </c>
      <c r="E187" s="475" t="s">
        <v>1503</v>
      </c>
      <c r="F187" s="437" t="s">
        <v>1141</v>
      </c>
      <c r="G187" s="442">
        <v>6</v>
      </c>
      <c r="H187" s="442">
        <v>16.61</v>
      </c>
      <c r="I187" s="442">
        <f t="shared" si="51"/>
        <v>99.66</v>
      </c>
      <c r="J187" s="544">
        <f t="shared" si="52"/>
        <v>0.31090000000000001</v>
      </c>
      <c r="K187" s="442">
        <f t="shared" si="47"/>
        <v>21.77</v>
      </c>
      <c r="L187" s="442">
        <f t="shared" si="53"/>
        <v>130.62</v>
      </c>
      <c r="P187" s="545"/>
    </row>
    <row r="188" spans="2:16" x14ac:dyDescent="0.25">
      <c r="B188" s="443" t="s">
        <v>1504</v>
      </c>
      <c r="C188" s="443" t="s">
        <v>1505</v>
      </c>
      <c r="D188" s="443" t="s">
        <v>993</v>
      </c>
      <c r="E188" s="475" t="s">
        <v>1506</v>
      </c>
      <c r="F188" s="437" t="s">
        <v>1141</v>
      </c>
      <c r="G188" s="442">
        <v>1</v>
      </c>
      <c r="H188" s="442">
        <v>20.28</v>
      </c>
      <c r="I188" s="442">
        <f t="shared" si="51"/>
        <v>20.28</v>
      </c>
      <c r="J188" s="544">
        <f t="shared" si="52"/>
        <v>0.31090000000000001</v>
      </c>
      <c r="K188" s="442">
        <f t="shared" si="47"/>
        <v>26.58</v>
      </c>
      <c r="L188" s="442">
        <f t="shared" si="53"/>
        <v>26.58</v>
      </c>
      <c r="P188" s="545"/>
    </row>
    <row r="189" spans="2:16" x14ac:dyDescent="0.25">
      <c r="B189" s="443" t="s">
        <v>1507</v>
      </c>
      <c r="C189" s="443" t="s">
        <v>1508</v>
      </c>
      <c r="D189" s="443" t="s">
        <v>993</v>
      </c>
      <c r="E189" s="475" t="s">
        <v>1509</v>
      </c>
      <c r="F189" s="437" t="s">
        <v>1141</v>
      </c>
      <c r="G189" s="442">
        <v>14</v>
      </c>
      <c r="H189" s="442">
        <v>27.43</v>
      </c>
      <c r="I189" s="442">
        <f t="shared" si="51"/>
        <v>384.02</v>
      </c>
      <c r="J189" s="544">
        <f t="shared" si="52"/>
        <v>0.31090000000000001</v>
      </c>
      <c r="K189" s="442">
        <f t="shared" si="47"/>
        <v>35.950000000000003</v>
      </c>
      <c r="L189" s="442">
        <f t="shared" si="53"/>
        <v>503.3</v>
      </c>
      <c r="P189" s="545"/>
    </row>
    <row r="190" spans="2:16" x14ac:dyDescent="0.25">
      <c r="B190" s="439" t="s">
        <v>1510</v>
      </c>
      <c r="C190" s="439"/>
      <c r="D190" s="439"/>
      <c r="E190" s="474" t="s">
        <v>849</v>
      </c>
      <c r="F190" s="440"/>
      <c r="G190" s="440"/>
      <c r="H190" s="438"/>
      <c r="I190" s="440">
        <f>SUBTOTAL(9,I191:I278)</f>
        <v>873431.54999999993</v>
      </c>
      <c r="J190" s="438"/>
      <c r="K190" s="440">
        <f t="shared" si="47"/>
        <v>0</v>
      </c>
      <c r="L190" s="440">
        <f>SUBTOTAL(9,L191:L278)</f>
        <v>1089306.4200000002</v>
      </c>
      <c r="P190" s="545"/>
    </row>
    <row r="191" spans="2:16" ht="38.25" x14ac:dyDescent="0.25">
      <c r="B191" s="443" t="s">
        <v>1511</v>
      </c>
      <c r="C191" s="443" t="s">
        <v>1512</v>
      </c>
      <c r="D191" s="443" t="s">
        <v>1168</v>
      </c>
      <c r="E191" s="475" t="s">
        <v>1513</v>
      </c>
      <c r="F191" s="437" t="s">
        <v>49</v>
      </c>
      <c r="G191" s="442">
        <v>19</v>
      </c>
      <c r="H191" s="442">
        <v>40.82</v>
      </c>
      <c r="I191" s="442">
        <f t="shared" ref="I191:I254" si="54">TRUNC(G191 * H191, 2)</f>
        <v>775.58</v>
      </c>
      <c r="J191" s="544">
        <f t="shared" ref="J191:J254" si="55">+$L$5</f>
        <v>0.31090000000000001</v>
      </c>
      <c r="K191" s="442">
        <f t="shared" si="47"/>
        <v>53.51</v>
      </c>
      <c r="L191" s="442">
        <f t="shared" ref="L191:L254" si="56">TRUNC(G191 * K191, 2)</f>
        <v>1016.69</v>
      </c>
      <c r="P191" s="545"/>
    </row>
    <row r="192" spans="2:16" ht="38.25" x14ac:dyDescent="0.25">
      <c r="B192" s="443" t="s">
        <v>1514</v>
      </c>
      <c r="C192" s="443" t="s">
        <v>1515</v>
      </c>
      <c r="D192" s="443" t="s">
        <v>1168</v>
      </c>
      <c r="E192" s="475" t="s">
        <v>487</v>
      </c>
      <c r="F192" s="437" t="s">
        <v>49</v>
      </c>
      <c r="G192" s="442">
        <v>70</v>
      </c>
      <c r="H192" s="442">
        <v>124.25</v>
      </c>
      <c r="I192" s="442">
        <f t="shared" si="54"/>
        <v>8697.5</v>
      </c>
      <c r="J192" s="544">
        <f t="shared" si="55"/>
        <v>0.31090000000000001</v>
      </c>
      <c r="K192" s="442">
        <f t="shared" si="47"/>
        <v>162.87</v>
      </c>
      <c r="L192" s="442">
        <f t="shared" si="56"/>
        <v>11400.9</v>
      </c>
      <c r="P192" s="545"/>
    </row>
    <row r="193" spans="2:16" ht="38.25" x14ac:dyDescent="0.25">
      <c r="B193" s="443" t="s">
        <v>1516</v>
      </c>
      <c r="C193" s="443" t="s">
        <v>1517</v>
      </c>
      <c r="D193" s="443" t="s">
        <v>1168</v>
      </c>
      <c r="E193" s="475" t="s">
        <v>489</v>
      </c>
      <c r="F193" s="437" t="s">
        <v>49</v>
      </c>
      <c r="G193" s="442">
        <v>1</v>
      </c>
      <c r="H193" s="442">
        <v>43.7</v>
      </c>
      <c r="I193" s="442">
        <f t="shared" si="54"/>
        <v>43.7</v>
      </c>
      <c r="J193" s="544">
        <f t="shared" si="55"/>
        <v>0.31090000000000001</v>
      </c>
      <c r="K193" s="442">
        <f t="shared" si="47"/>
        <v>57.28</v>
      </c>
      <c r="L193" s="442">
        <f t="shared" si="56"/>
        <v>57.28</v>
      </c>
      <c r="P193" s="545"/>
    </row>
    <row r="194" spans="2:16" ht="38.25" x14ac:dyDescent="0.25">
      <c r="B194" s="443" t="s">
        <v>1518</v>
      </c>
      <c r="C194" s="443" t="s">
        <v>1519</v>
      </c>
      <c r="D194" s="443" t="s">
        <v>1168</v>
      </c>
      <c r="E194" s="475" t="s">
        <v>491</v>
      </c>
      <c r="F194" s="437" t="s">
        <v>49</v>
      </c>
      <c r="G194" s="442">
        <v>10</v>
      </c>
      <c r="H194" s="442">
        <v>17</v>
      </c>
      <c r="I194" s="442">
        <f t="shared" si="54"/>
        <v>170</v>
      </c>
      <c r="J194" s="544">
        <f t="shared" si="55"/>
        <v>0.31090000000000001</v>
      </c>
      <c r="K194" s="442">
        <f t="shared" si="47"/>
        <v>22.28</v>
      </c>
      <c r="L194" s="442">
        <f t="shared" si="56"/>
        <v>222.8</v>
      </c>
      <c r="P194" s="545"/>
    </row>
    <row r="195" spans="2:16" ht="38.25" x14ac:dyDescent="0.25">
      <c r="B195" s="443" t="s">
        <v>1520</v>
      </c>
      <c r="C195" s="443" t="s">
        <v>1521</v>
      </c>
      <c r="D195" s="443" t="s">
        <v>1168</v>
      </c>
      <c r="E195" s="475" t="s">
        <v>493</v>
      </c>
      <c r="F195" s="437" t="s">
        <v>49</v>
      </c>
      <c r="G195" s="442">
        <v>7</v>
      </c>
      <c r="H195" s="442">
        <v>66.349999999999994</v>
      </c>
      <c r="I195" s="442">
        <f t="shared" si="54"/>
        <v>464.45</v>
      </c>
      <c r="J195" s="544">
        <f t="shared" si="55"/>
        <v>0.31090000000000001</v>
      </c>
      <c r="K195" s="442">
        <f t="shared" si="47"/>
        <v>86.97</v>
      </c>
      <c r="L195" s="442">
        <f t="shared" si="56"/>
        <v>608.79</v>
      </c>
      <c r="P195" s="545"/>
    </row>
    <row r="196" spans="2:16" ht="38.25" x14ac:dyDescent="0.25">
      <c r="B196" s="443" t="s">
        <v>1522</v>
      </c>
      <c r="C196" s="443" t="s">
        <v>1523</v>
      </c>
      <c r="D196" s="443" t="s">
        <v>1168</v>
      </c>
      <c r="E196" s="475" t="s">
        <v>520</v>
      </c>
      <c r="F196" s="437" t="s">
        <v>49</v>
      </c>
      <c r="G196" s="442">
        <v>6</v>
      </c>
      <c r="H196" s="442">
        <v>21</v>
      </c>
      <c r="I196" s="442">
        <f t="shared" si="54"/>
        <v>126</v>
      </c>
      <c r="J196" s="544">
        <f t="shared" si="55"/>
        <v>0.31090000000000001</v>
      </c>
      <c r="K196" s="442">
        <f t="shared" si="47"/>
        <v>27.52</v>
      </c>
      <c r="L196" s="442">
        <f t="shared" si="56"/>
        <v>165.12</v>
      </c>
      <c r="P196" s="545"/>
    </row>
    <row r="197" spans="2:16" ht="38.25" x14ac:dyDescent="0.25">
      <c r="B197" s="443" t="s">
        <v>1524</v>
      </c>
      <c r="C197" s="443" t="s">
        <v>1525</v>
      </c>
      <c r="D197" s="443" t="s">
        <v>1168</v>
      </c>
      <c r="E197" s="475" t="s">
        <v>521</v>
      </c>
      <c r="F197" s="437" t="s">
        <v>49</v>
      </c>
      <c r="G197" s="442">
        <v>77</v>
      </c>
      <c r="H197" s="442">
        <v>33.950000000000003</v>
      </c>
      <c r="I197" s="442">
        <f t="shared" si="54"/>
        <v>2614.15</v>
      </c>
      <c r="J197" s="544">
        <f t="shared" si="55"/>
        <v>0.31090000000000001</v>
      </c>
      <c r="K197" s="442">
        <f t="shared" si="47"/>
        <v>44.5</v>
      </c>
      <c r="L197" s="442">
        <f t="shared" si="56"/>
        <v>3426.5</v>
      </c>
      <c r="P197" s="545"/>
    </row>
    <row r="198" spans="2:16" ht="38.25" x14ac:dyDescent="0.25">
      <c r="B198" s="443" t="s">
        <v>1526</v>
      </c>
      <c r="C198" s="443" t="s">
        <v>1527</v>
      </c>
      <c r="D198" s="443" t="s">
        <v>1168</v>
      </c>
      <c r="E198" s="475" t="s">
        <v>522</v>
      </c>
      <c r="F198" s="437" t="s">
        <v>49</v>
      </c>
      <c r="G198" s="442">
        <v>48</v>
      </c>
      <c r="H198" s="442">
        <v>42.49</v>
      </c>
      <c r="I198" s="442">
        <f t="shared" si="54"/>
        <v>2039.52</v>
      </c>
      <c r="J198" s="544">
        <f t="shared" si="55"/>
        <v>0.31090000000000001</v>
      </c>
      <c r="K198" s="442">
        <f t="shared" si="47"/>
        <v>55.7</v>
      </c>
      <c r="L198" s="442">
        <f t="shared" si="56"/>
        <v>2673.6</v>
      </c>
      <c r="P198" s="545"/>
    </row>
    <row r="199" spans="2:16" ht="38.25" x14ac:dyDescent="0.25">
      <c r="B199" s="443" t="s">
        <v>1528</v>
      </c>
      <c r="C199" s="443" t="s">
        <v>1529</v>
      </c>
      <c r="D199" s="443" t="s">
        <v>1168</v>
      </c>
      <c r="E199" s="475" t="s">
        <v>523</v>
      </c>
      <c r="F199" s="437" t="s">
        <v>49</v>
      </c>
      <c r="G199" s="442">
        <v>4</v>
      </c>
      <c r="H199" s="442">
        <v>129</v>
      </c>
      <c r="I199" s="442">
        <f t="shared" si="54"/>
        <v>516</v>
      </c>
      <c r="J199" s="544">
        <f t="shared" si="55"/>
        <v>0.31090000000000001</v>
      </c>
      <c r="K199" s="442">
        <f t="shared" si="47"/>
        <v>169.1</v>
      </c>
      <c r="L199" s="442">
        <f t="shared" si="56"/>
        <v>676.4</v>
      </c>
      <c r="P199" s="545"/>
    </row>
    <row r="200" spans="2:16" ht="38.25" x14ac:dyDescent="0.25">
      <c r="B200" s="443" t="s">
        <v>1530</v>
      </c>
      <c r="C200" s="443" t="s">
        <v>1531</v>
      </c>
      <c r="D200" s="443" t="s">
        <v>1168</v>
      </c>
      <c r="E200" s="475" t="s">
        <v>524</v>
      </c>
      <c r="F200" s="437" t="s">
        <v>49</v>
      </c>
      <c r="G200" s="442">
        <v>5</v>
      </c>
      <c r="H200" s="442">
        <v>69.260000000000005</v>
      </c>
      <c r="I200" s="442">
        <f t="shared" si="54"/>
        <v>346.3</v>
      </c>
      <c r="J200" s="544">
        <f t="shared" si="55"/>
        <v>0.31090000000000001</v>
      </c>
      <c r="K200" s="442">
        <f t="shared" si="47"/>
        <v>90.79</v>
      </c>
      <c r="L200" s="442">
        <f t="shared" si="56"/>
        <v>453.95</v>
      </c>
      <c r="P200" s="545"/>
    </row>
    <row r="201" spans="2:16" ht="25.5" x14ac:dyDescent="0.25">
      <c r="B201" s="443" t="s">
        <v>1532</v>
      </c>
      <c r="C201" s="443" t="s">
        <v>1533</v>
      </c>
      <c r="D201" s="443" t="s">
        <v>1168</v>
      </c>
      <c r="E201" s="475" t="s">
        <v>525</v>
      </c>
      <c r="F201" s="437" t="s">
        <v>49</v>
      </c>
      <c r="G201" s="442">
        <v>3</v>
      </c>
      <c r="H201" s="442">
        <v>43.03</v>
      </c>
      <c r="I201" s="442">
        <f t="shared" si="54"/>
        <v>129.09</v>
      </c>
      <c r="J201" s="544">
        <f t="shared" si="55"/>
        <v>0.31090000000000001</v>
      </c>
      <c r="K201" s="442">
        <f t="shared" si="47"/>
        <v>56.4</v>
      </c>
      <c r="L201" s="442">
        <f t="shared" si="56"/>
        <v>169.2</v>
      </c>
      <c r="P201" s="545"/>
    </row>
    <row r="202" spans="2:16" ht="38.25" x14ac:dyDescent="0.25">
      <c r="B202" s="443" t="s">
        <v>1534</v>
      </c>
      <c r="C202" s="443" t="s">
        <v>1535</v>
      </c>
      <c r="D202" s="443" t="s">
        <v>1168</v>
      </c>
      <c r="E202" s="475" t="s">
        <v>526</v>
      </c>
      <c r="F202" s="437" t="s">
        <v>49</v>
      </c>
      <c r="G202" s="442">
        <v>1</v>
      </c>
      <c r="H202" s="442">
        <v>111.52</v>
      </c>
      <c r="I202" s="442">
        <f t="shared" si="54"/>
        <v>111.52</v>
      </c>
      <c r="J202" s="544">
        <f t="shared" si="55"/>
        <v>0.31090000000000001</v>
      </c>
      <c r="K202" s="442">
        <f t="shared" si="47"/>
        <v>146.19</v>
      </c>
      <c r="L202" s="442">
        <f t="shared" si="56"/>
        <v>146.19</v>
      </c>
      <c r="P202" s="545"/>
    </row>
    <row r="203" spans="2:16" ht="38.25" x14ac:dyDescent="0.25">
      <c r="B203" s="443" t="s">
        <v>1536</v>
      </c>
      <c r="C203" s="443" t="s">
        <v>1537</v>
      </c>
      <c r="D203" s="443" t="s">
        <v>1168</v>
      </c>
      <c r="E203" s="475" t="s">
        <v>527</v>
      </c>
      <c r="F203" s="437" t="s">
        <v>49</v>
      </c>
      <c r="G203" s="442">
        <v>14</v>
      </c>
      <c r="H203" s="442">
        <v>30.15</v>
      </c>
      <c r="I203" s="442">
        <f t="shared" si="54"/>
        <v>422.1</v>
      </c>
      <c r="J203" s="544">
        <f t="shared" si="55"/>
        <v>0.31090000000000001</v>
      </c>
      <c r="K203" s="442">
        <f t="shared" ref="K203:K266" si="57">TRUNC(H203 * (1 + J203), 2)</f>
        <v>39.520000000000003</v>
      </c>
      <c r="L203" s="442">
        <f t="shared" si="56"/>
        <v>553.28</v>
      </c>
      <c r="P203" s="545"/>
    </row>
    <row r="204" spans="2:16" ht="38.25" x14ac:dyDescent="0.25">
      <c r="B204" s="443" t="s">
        <v>1538</v>
      </c>
      <c r="C204" s="443" t="s">
        <v>1539</v>
      </c>
      <c r="D204" s="443" t="s">
        <v>1168</v>
      </c>
      <c r="E204" s="475" t="s">
        <v>528</v>
      </c>
      <c r="F204" s="437" t="s">
        <v>49</v>
      </c>
      <c r="G204" s="442">
        <v>4</v>
      </c>
      <c r="H204" s="442">
        <v>44.38</v>
      </c>
      <c r="I204" s="442">
        <f t="shared" si="54"/>
        <v>177.52</v>
      </c>
      <c r="J204" s="544">
        <f t="shared" si="55"/>
        <v>0.31090000000000001</v>
      </c>
      <c r="K204" s="442">
        <f t="shared" si="57"/>
        <v>58.17</v>
      </c>
      <c r="L204" s="442">
        <f t="shared" si="56"/>
        <v>232.68</v>
      </c>
      <c r="P204" s="545"/>
    </row>
    <row r="205" spans="2:16" ht="38.25" x14ac:dyDescent="0.25">
      <c r="B205" s="443" t="s">
        <v>1540</v>
      </c>
      <c r="C205" s="443" t="s">
        <v>1541</v>
      </c>
      <c r="D205" s="443" t="s">
        <v>1168</v>
      </c>
      <c r="E205" s="475" t="s">
        <v>529</v>
      </c>
      <c r="F205" s="437" t="s">
        <v>49</v>
      </c>
      <c r="G205" s="442">
        <v>3</v>
      </c>
      <c r="H205" s="442">
        <v>87.87</v>
      </c>
      <c r="I205" s="442">
        <f t="shared" si="54"/>
        <v>263.61</v>
      </c>
      <c r="J205" s="544">
        <f t="shared" si="55"/>
        <v>0.31090000000000001</v>
      </c>
      <c r="K205" s="442">
        <f t="shared" si="57"/>
        <v>115.18</v>
      </c>
      <c r="L205" s="442">
        <f t="shared" si="56"/>
        <v>345.54</v>
      </c>
      <c r="P205" s="545"/>
    </row>
    <row r="206" spans="2:16" ht="25.5" x14ac:dyDescent="0.25">
      <c r="B206" s="443" t="s">
        <v>1542</v>
      </c>
      <c r="C206" s="443" t="s">
        <v>1543</v>
      </c>
      <c r="D206" s="443" t="s">
        <v>1168</v>
      </c>
      <c r="E206" s="475" t="s">
        <v>530</v>
      </c>
      <c r="F206" s="437" t="s">
        <v>49</v>
      </c>
      <c r="G206" s="442">
        <v>22</v>
      </c>
      <c r="H206" s="442">
        <v>17.82</v>
      </c>
      <c r="I206" s="442">
        <f t="shared" si="54"/>
        <v>392.04</v>
      </c>
      <c r="J206" s="544">
        <f t="shared" si="55"/>
        <v>0.31090000000000001</v>
      </c>
      <c r="K206" s="442">
        <f t="shared" si="57"/>
        <v>23.36</v>
      </c>
      <c r="L206" s="442">
        <f t="shared" si="56"/>
        <v>513.91999999999996</v>
      </c>
      <c r="P206" s="545"/>
    </row>
    <row r="207" spans="2:16" ht="25.5" x14ac:dyDescent="0.25">
      <c r="B207" s="443" t="s">
        <v>1544</v>
      </c>
      <c r="C207" s="443" t="s">
        <v>1545</v>
      </c>
      <c r="D207" s="443" t="s">
        <v>1168</v>
      </c>
      <c r="E207" s="475" t="s">
        <v>531</v>
      </c>
      <c r="F207" s="437" t="s">
        <v>49</v>
      </c>
      <c r="G207" s="442">
        <v>7</v>
      </c>
      <c r="H207" s="442">
        <v>29.36</v>
      </c>
      <c r="I207" s="442">
        <f t="shared" si="54"/>
        <v>205.52</v>
      </c>
      <c r="J207" s="544">
        <f t="shared" si="55"/>
        <v>0.31090000000000001</v>
      </c>
      <c r="K207" s="442">
        <f t="shared" si="57"/>
        <v>38.479999999999997</v>
      </c>
      <c r="L207" s="442">
        <f t="shared" si="56"/>
        <v>269.36</v>
      </c>
      <c r="P207" s="545"/>
    </row>
    <row r="208" spans="2:16" ht="38.25" x14ac:dyDescent="0.25">
      <c r="B208" s="443" t="s">
        <v>1546</v>
      </c>
      <c r="C208" s="443" t="s">
        <v>1547</v>
      </c>
      <c r="D208" s="443" t="s">
        <v>1168</v>
      </c>
      <c r="E208" s="475" t="s">
        <v>532</v>
      </c>
      <c r="F208" s="437" t="s">
        <v>38</v>
      </c>
      <c r="G208" s="442">
        <v>4031</v>
      </c>
      <c r="H208" s="442">
        <v>20.99</v>
      </c>
      <c r="I208" s="442">
        <f t="shared" si="54"/>
        <v>84610.69</v>
      </c>
      <c r="J208" s="544">
        <f t="shared" si="55"/>
        <v>0.31090000000000001</v>
      </c>
      <c r="K208" s="442">
        <f t="shared" si="57"/>
        <v>27.51</v>
      </c>
      <c r="L208" s="442">
        <f t="shared" si="56"/>
        <v>110892.81</v>
      </c>
      <c r="P208" s="545"/>
    </row>
    <row r="209" spans="2:16" ht="38.25" x14ac:dyDescent="0.25">
      <c r="B209" s="443" t="s">
        <v>1548</v>
      </c>
      <c r="C209" s="443" t="s">
        <v>1549</v>
      </c>
      <c r="D209" s="443" t="s">
        <v>1168</v>
      </c>
      <c r="E209" s="475" t="s">
        <v>533</v>
      </c>
      <c r="F209" s="437" t="s">
        <v>38</v>
      </c>
      <c r="G209" s="442">
        <v>452</v>
      </c>
      <c r="H209" s="442">
        <v>39.86</v>
      </c>
      <c r="I209" s="442">
        <f t="shared" si="54"/>
        <v>18016.72</v>
      </c>
      <c r="J209" s="544">
        <f t="shared" si="55"/>
        <v>0.31090000000000001</v>
      </c>
      <c r="K209" s="442">
        <f t="shared" si="57"/>
        <v>52.25</v>
      </c>
      <c r="L209" s="442">
        <f t="shared" si="56"/>
        <v>23617</v>
      </c>
      <c r="P209" s="545"/>
    </row>
    <row r="210" spans="2:16" ht="38.25" x14ac:dyDescent="0.25">
      <c r="B210" s="443" t="s">
        <v>1550</v>
      </c>
      <c r="C210" s="443" t="s">
        <v>1551</v>
      </c>
      <c r="D210" s="443" t="s">
        <v>1168</v>
      </c>
      <c r="E210" s="475" t="s">
        <v>534</v>
      </c>
      <c r="F210" s="437" t="s">
        <v>38</v>
      </c>
      <c r="G210" s="442">
        <v>352</v>
      </c>
      <c r="H210" s="442">
        <v>65.459999999999994</v>
      </c>
      <c r="I210" s="442">
        <f t="shared" si="54"/>
        <v>23041.919999999998</v>
      </c>
      <c r="J210" s="544">
        <f t="shared" si="55"/>
        <v>0.31090000000000001</v>
      </c>
      <c r="K210" s="442">
        <f t="shared" si="57"/>
        <v>85.81</v>
      </c>
      <c r="L210" s="442">
        <f t="shared" si="56"/>
        <v>30205.119999999999</v>
      </c>
      <c r="P210" s="545"/>
    </row>
    <row r="211" spans="2:16" ht="38.25" x14ac:dyDescent="0.25">
      <c r="B211" s="443" t="s">
        <v>1552</v>
      </c>
      <c r="C211" s="443" t="s">
        <v>1553</v>
      </c>
      <c r="D211" s="443" t="s">
        <v>1168</v>
      </c>
      <c r="E211" s="475" t="s">
        <v>535</v>
      </c>
      <c r="F211" s="437" t="s">
        <v>49</v>
      </c>
      <c r="G211" s="442">
        <v>1</v>
      </c>
      <c r="H211" s="442">
        <v>43.99</v>
      </c>
      <c r="I211" s="442">
        <f t="shared" si="54"/>
        <v>43.99</v>
      </c>
      <c r="J211" s="544">
        <f t="shared" si="55"/>
        <v>0.31090000000000001</v>
      </c>
      <c r="K211" s="442">
        <f t="shared" si="57"/>
        <v>57.66</v>
      </c>
      <c r="L211" s="442">
        <f t="shared" si="56"/>
        <v>57.66</v>
      </c>
      <c r="P211" s="545"/>
    </row>
    <row r="212" spans="2:16" ht="25.5" x14ac:dyDescent="0.25">
      <c r="B212" s="443" t="s">
        <v>1554</v>
      </c>
      <c r="C212" s="443" t="s">
        <v>1555</v>
      </c>
      <c r="D212" s="443" t="s">
        <v>1168</v>
      </c>
      <c r="E212" s="475" t="s">
        <v>536</v>
      </c>
      <c r="F212" s="437" t="s">
        <v>49</v>
      </c>
      <c r="G212" s="442">
        <v>4</v>
      </c>
      <c r="H212" s="442">
        <v>22.5</v>
      </c>
      <c r="I212" s="442">
        <f t="shared" si="54"/>
        <v>90</v>
      </c>
      <c r="J212" s="544">
        <f t="shared" si="55"/>
        <v>0.31090000000000001</v>
      </c>
      <c r="K212" s="442">
        <f t="shared" si="57"/>
        <v>29.49</v>
      </c>
      <c r="L212" s="442">
        <f t="shared" si="56"/>
        <v>117.96</v>
      </c>
      <c r="P212" s="545"/>
    </row>
    <row r="213" spans="2:16" ht="25.5" x14ac:dyDescent="0.25">
      <c r="B213" s="443" t="s">
        <v>1556</v>
      </c>
      <c r="C213" s="443" t="s">
        <v>1557</v>
      </c>
      <c r="D213" s="443" t="s">
        <v>1168</v>
      </c>
      <c r="E213" s="475" t="s">
        <v>537</v>
      </c>
      <c r="F213" s="437" t="s">
        <v>49</v>
      </c>
      <c r="G213" s="442">
        <v>4</v>
      </c>
      <c r="H213" s="442">
        <v>167.13</v>
      </c>
      <c r="I213" s="442">
        <f t="shared" si="54"/>
        <v>668.52</v>
      </c>
      <c r="J213" s="544">
        <f t="shared" si="55"/>
        <v>0.31090000000000001</v>
      </c>
      <c r="K213" s="442">
        <f t="shared" si="57"/>
        <v>219.09</v>
      </c>
      <c r="L213" s="442">
        <f t="shared" si="56"/>
        <v>876.36</v>
      </c>
      <c r="P213" s="545"/>
    </row>
    <row r="214" spans="2:16" ht="38.25" x14ac:dyDescent="0.25">
      <c r="B214" s="443" t="s">
        <v>1558</v>
      </c>
      <c r="C214" s="443" t="s">
        <v>1559</v>
      </c>
      <c r="D214" s="443" t="s">
        <v>1168</v>
      </c>
      <c r="E214" s="475" t="s">
        <v>539</v>
      </c>
      <c r="F214" s="437" t="s">
        <v>49</v>
      </c>
      <c r="G214" s="442">
        <v>7</v>
      </c>
      <c r="H214" s="442">
        <v>562.89</v>
      </c>
      <c r="I214" s="442">
        <f t="shared" si="54"/>
        <v>3940.23</v>
      </c>
      <c r="J214" s="544">
        <f t="shared" si="55"/>
        <v>0.31090000000000001</v>
      </c>
      <c r="K214" s="442">
        <f t="shared" si="57"/>
        <v>737.89</v>
      </c>
      <c r="L214" s="442">
        <f t="shared" si="56"/>
        <v>5165.2299999999996</v>
      </c>
      <c r="P214" s="545"/>
    </row>
    <row r="215" spans="2:16" ht="51" x14ac:dyDescent="0.25">
      <c r="B215" s="443" t="s">
        <v>1560</v>
      </c>
      <c r="C215" s="443" t="s">
        <v>1561</v>
      </c>
      <c r="D215" s="443" t="s">
        <v>1168</v>
      </c>
      <c r="E215" s="475" t="s">
        <v>541</v>
      </c>
      <c r="F215" s="437" t="s">
        <v>130</v>
      </c>
      <c r="G215" s="442">
        <v>15</v>
      </c>
      <c r="H215" s="442">
        <v>46.15</v>
      </c>
      <c r="I215" s="442">
        <f t="shared" si="54"/>
        <v>692.25</v>
      </c>
      <c r="J215" s="544">
        <f t="shared" si="55"/>
        <v>0.31090000000000001</v>
      </c>
      <c r="K215" s="442">
        <f t="shared" si="57"/>
        <v>60.49</v>
      </c>
      <c r="L215" s="442">
        <f t="shared" si="56"/>
        <v>907.35</v>
      </c>
      <c r="P215" s="545"/>
    </row>
    <row r="216" spans="2:16" ht="38.25" x14ac:dyDescent="0.25">
      <c r="B216" s="443" t="s">
        <v>1562</v>
      </c>
      <c r="C216" s="443" t="s">
        <v>1563</v>
      </c>
      <c r="D216" s="443" t="s">
        <v>1168</v>
      </c>
      <c r="E216" s="475" t="s">
        <v>542</v>
      </c>
      <c r="F216" s="437" t="s">
        <v>49</v>
      </c>
      <c r="G216" s="442">
        <v>4</v>
      </c>
      <c r="H216" s="442">
        <v>378.78</v>
      </c>
      <c r="I216" s="442">
        <f t="shared" si="54"/>
        <v>1515.12</v>
      </c>
      <c r="J216" s="544">
        <f t="shared" si="55"/>
        <v>0.31090000000000001</v>
      </c>
      <c r="K216" s="442">
        <f t="shared" si="57"/>
        <v>496.54</v>
      </c>
      <c r="L216" s="442">
        <f t="shared" si="56"/>
        <v>1986.16</v>
      </c>
      <c r="P216" s="545"/>
    </row>
    <row r="217" spans="2:16" ht="25.5" x14ac:dyDescent="0.25">
      <c r="B217" s="443" t="s">
        <v>1564</v>
      </c>
      <c r="C217" s="443" t="s">
        <v>1565</v>
      </c>
      <c r="D217" s="443" t="s">
        <v>1168</v>
      </c>
      <c r="E217" s="475" t="s">
        <v>1566</v>
      </c>
      <c r="F217" s="437" t="s">
        <v>41</v>
      </c>
      <c r="G217" s="442">
        <v>4.3</v>
      </c>
      <c r="H217" s="442">
        <v>837.03</v>
      </c>
      <c r="I217" s="442">
        <f t="shared" si="54"/>
        <v>3599.22</v>
      </c>
      <c r="J217" s="544">
        <f t="shared" si="55"/>
        <v>0.31090000000000001</v>
      </c>
      <c r="K217" s="442">
        <f t="shared" si="57"/>
        <v>1097.26</v>
      </c>
      <c r="L217" s="442">
        <f t="shared" si="56"/>
        <v>4718.21</v>
      </c>
      <c r="P217" s="545"/>
    </row>
    <row r="218" spans="2:16" ht="51" x14ac:dyDescent="0.25">
      <c r="B218" s="443" t="s">
        <v>1567</v>
      </c>
      <c r="C218" s="443" t="s">
        <v>1568</v>
      </c>
      <c r="D218" s="443" t="s">
        <v>1168</v>
      </c>
      <c r="E218" s="475" t="s">
        <v>544</v>
      </c>
      <c r="F218" s="437" t="s">
        <v>49</v>
      </c>
      <c r="G218" s="442">
        <v>8</v>
      </c>
      <c r="H218" s="442">
        <v>1263.46</v>
      </c>
      <c r="I218" s="442">
        <f t="shared" si="54"/>
        <v>10107.68</v>
      </c>
      <c r="J218" s="544">
        <f t="shared" si="55"/>
        <v>0.31090000000000001</v>
      </c>
      <c r="K218" s="442">
        <f t="shared" si="57"/>
        <v>1656.26</v>
      </c>
      <c r="L218" s="442">
        <f t="shared" si="56"/>
        <v>13250.08</v>
      </c>
      <c r="P218" s="545"/>
    </row>
    <row r="219" spans="2:16" ht="51" x14ac:dyDescent="0.25">
      <c r="B219" s="443" t="s">
        <v>1569</v>
      </c>
      <c r="C219" s="443" t="s">
        <v>1570</v>
      </c>
      <c r="D219" s="443" t="s">
        <v>1168</v>
      </c>
      <c r="E219" s="475" t="s">
        <v>545</v>
      </c>
      <c r="F219" s="437" t="s">
        <v>49</v>
      </c>
      <c r="G219" s="442">
        <v>2</v>
      </c>
      <c r="H219" s="442">
        <v>8308.39</v>
      </c>
      <c r="I219" s="442">
        <f t="shared" si="54"/>
        <v>16616.78</v>
      </c>
      <c r="J219" s="544">
        <f t="shared" si="55"/>
        <v>0.31090000000000001</v>
      </c>
      <c r="K219" s="442">
        <f t="shared" si="57"/>
        <v>10891.46</v>
      </c>
      <c r="L219" s="442">
        <f t="shared" si="56"/>
        <v>21782.92</v>
      </c>
      <c r="P219" s="545"/>
    </row>
    <row r="220" spans="2:16" ht="51" x14ac:dyDescent="0.25">
      <c r="B220" s="443" t="s">
        <v>1571</v>
      </c>
      <c r="C220" s="443" t="s">
        <v>1572</v>
      </c>
      <c r="D220" s="443" t="s">
        <v>1168</v>
      </c>
      <c r="E220" s="475" t="s">
        <v>546</v>
      </c>
      <c r="F220" s="437" t="s">
        <v>49</v>
      </c>
      <c r="G220" s="442">
        <v>3</v>
      </c>
      <c r="H220" s="442">
        <v>739.95</v>
      </c>
      <c r="I220" s="442">
        <f t="shared" si="54"/>
        <v>2219.85</v>
      </c>
      <c r="J220" s="544">
        <f t="shared" si="55"/>
        <v>0.31090000000000001</v>
      </c>
      <c r="K220" s="442">
        <f t="shared" si="57"/>
        <v>970</v>
      </c>
      <c r="L220" s="442">
        <f t="shared" si="56"/>
        <v>2910</v>
      </c>
      <c r="P220" s="545"/>
    </row>
    <row r="221" spans="2:16" ht="25.5" x14ac:dyDescent="0.25">
      <c r="B221" s="443" t="s">
        <v>1573</v>
      </c>
      <c r="C221" s="443" t="s">
        <v>1574</v>
      </c>
      <c r="D221" s="443" t="s">
        <v>1168</v>
      </c>
      <c r="E221" s="475" t="s">
        <v>548</v>
      </c>
      <c r="F221" s="437" t="s">
        <v>49</v>
      </c>
      <c r="G221" s="442">
        <v>2</v>
      </c>
      <c r="H221" s="442">
        <v>1951.6</v>
      </c>
      <c r="I221" s="442">
        <f t="shared" si="54"/>
        <v>3903.2</v>
      </c>
      <c r="J221" s="544">
        <f t="shared" si="55"/>
        <v>0.31090000000000001</v>
      </c>
      <c r="K221" s="442">
        <f t="shared" si="57"/>
        <v>2558.35</v>
      </c>
      <c r="L221" s="442">
        <f t="shared" si="56"/>
        <v>5116.7</v>
      </c>
      <c r="P221" s="545"/>
    </row>
    <row r="222" spans="2:16" x14ac:dyDescent="0.25">
      <c r="B222" s="443" t="s">
        <v>1575</v>
      </c>
      <c r="C222" s="443" t="s">
        <v>1576</v>
      </c>
      <c r="D222" s="443" t="s">
        <v>1168</v>
      </c>
      <c r="E222" s="475" t="s">
        <v>572</v>
      </c>
      <c r="F222" s="437" t="s">
        <v>1141</v>
      </c>
      <c r="G222" s="442">
        <v>1</v>
      </c>
      <c r="H222" s="442">
        <v>413.4</v>
      </c>
      <c r="I222" s="442">
        <f t="shared" si="54"/>
        <v>413.4</v>
      </c>
      <c r="J222" s="544">
        <f t="shared" si="55"/>
        <v>0.31090000000000001</v>
      </c>
      <c r="K222" s="442">
        <f t="shared" si="57"/>
        <v>541.91999999999996</v>
      </c>
      <c r="L222" s="442">
        <f t="shared" si="56"/>
        <v>541.91999999999996</v>
      </c>
      <c r="P222" s="545"/>
    </row>
    <row r="223" spans="2:16" ht="38.25" x14ac:dyDescent="0.25">
      <c r="B223" s="443" t="s">
        <v>1577</v>
      </c>
      <c r="C223" s="443" t="s">
        <v>1578</v>
      </c>
      <c r="D223" s="443" t="s">
        <v>1168</v>
      </c>
      <c r="E223" s="475" t="s">
        <v>573</v>
      </c>
      <c r="F223" s="437" t="s">
        <v>49</v>
      </c>
      <c r="G223" s="442">
        <v>2</v>
      </c>
      <c r="H223" s="442">
        <v>496.56</v>
      </c>
      <c r="I223" s="442">
        <f t="shared" si="54"/>
        <v>993.12</v>
      </c>
      <c r="J223" s="544">
        <f t="shared" si="55"/>
        <v>0.31090000000000001</v>
      </c>
      <c r="K223" s="442">
        <f t="shared" si="57"/>
        <v>650.94000000000005</v>
      </c>
      <c r="L223" s="442">
        <f t="shared" si="56"/>
        <v>1301.8800000000001</v>
      </c>
      <c r="P223" s="545"/>
    </row>
    <row r="224" spans="2:16" ht="51" x14ac:dyDescent="0.25">
      <c r="B224" s="443" t="s">
        <v>1579</v>
      </c>
      <c r="C224" s="443" t="s">
        <v>1580</v>
      </c>
      <c r="D224" s="443" t="s">
        <v>1168</v>
      </c>
      <c r="E224" s="475" t="s">
        <v>574</v>
      </c>
      <c r="F224" s="437" t="s">
        <v>49</v>
      </c>
      <c r="G224" s="442">
        <v>1</v>
      </c>
      <c r="H224" s="442">
        <v>429.89</v>
      </c>
      <c r="I224" s="442">
        <f t="shared" si="54"/>
        <v>429.89</v>
      </c>
      <c r="J224" s="544">
        <f t="shared" si="55"/>
        <v>0.31090000000000001</v>
      </c>
      <c r="K224" s="442">
        <f t="shared" si="57"/>
        <v>563.54</v>
      </c>
      <c r="L224" s="442">
        <f t="shared" si="56"/>
        <v>563.54</v>
      </c>
      <c r="P224" s="545"/>
    </row>
    <row r="225" spans="2:16" x14ac:dyDescent="0.25">
      <c r="B225" s="443" t="s">
        <v>1581</v>
      </c>
      <c r="C225" s="443" t="s">
        <v>1582</v>
      </c>
      <c r="D225" s="443" t="s">
        <v>575</v>
      </c>
      <c r="E225" s="475" t="s">
        <v>576</v>
      </c>
      <c r="F225" s="437" t="s">
        <v>49</v>
      </c>
      <c r="G225" s="442">
        <v>10</v>
      </c>
      <c r="H225" s="442">
        <v>14.04</v>
      </c>
      <c r="I225" s="442">
        <f t="shared" si="54"/>
        <v>140.4</v>
      </c>
      <c r="J225" s="544">
        <f t="shared" si="55"/>
        <v>0.31090000000000001</v>
      </c>
      <c r="K225" s="442">
        <f t="shared" si="57"/>
        <v>18.399999999999999</v>
      </c>
      <c r="L225" s="442">
        <f t="shared" si="56"/>
        <v>184</v>
      </c>
      <c r="P225" s="545"/>
    </row>
    <row r="226" spans="2:16" x14ac:dyDescent="0.25">
      <c r="B226" s="443" t="s">
        <v>1583</v>
      </c>
      <c r="C226" s="443" t="s">
        <v>1584</v>
      </c>
      <c r="D226" s="443" t="s">
        <v>1168</v>
      </c>
      <c r="E226" s="475" t="s">
        <v>577</v>
      </c>
      <c r="F226" s="437" t="s">
        <v>49</v>
      </c>
      <c r="G226" s="442">
        <v>80</v>
      </c>
      <c r="H226" s="442">
        <v>9.15</v>
      </c>
      <c r="I226" s="442">
        <f t="shared" si="54"/>
        <v>732</v>
      </c>
      <c r="J226" s="544">
        <f t="shared" si="55"/>
        <v>0.31090000000000001</v>
      </c>
      <c r="K226" s="442">
        <f t="shared" si="57"/>
        <v>11.99</v>
      </c>
      <c r="L226" s="442">
        <f t="shared" si="56"/>
        <v>959.2</v>
      </c>
      <c r="P226" s="545"/>
    </row>
    <row r="227" spans="2:16" ht="25.5" x14ac:dyDescent="0.25">
      <c r="B227" s="443" t="s">
        <v>1585</v>
      </c>
      <c r="C227" s="443" t="s">
        <v>1586</v>
      </c>
      <c r="D227" s="443" t="s">
        <v>1168</v>
      </c>
      <c r="E227" s="475" t="s">
        <v>594</v>
      </c>
      <c r="F227" s="437" t="s">
        <v>38</v>
      </c>
      <c r="G227" s="442">
        <v>2</v>
      </c>
      <c r="H227" s="442">
        <v>3047.98</v>
      </c>
      <c r="I227" s="442">
        <f t="shared" si="54"/>
        <v>6095.96</v>
      </c>
      <c r="J227" s="544">
        <f t="shared" si="55"/>
        <v>0.31090000000000001</v>
      </c>
      <c r="K227" s="442">
        <f t="shared" si="57"/>
        <v>3995.59</v>
      </c>
      <c r="L227" s="442">
        <f t="shared" si="56"/>
        <v>7991.18</v>
      </c>
      <c r="P227" s="545"/>
    </row>
    <row r="228" spans="2:16" ht="51" x14ac:dyDescent="0.25">
      <c r="B228" s="443" t="s">
        <v>1587</v>
      </c>
      <c r="C228" s="443" t="s">
        <v>1588</v>
      </c>
      <c r="D228" s="443" t="s">
        <v>1168</v>
      </c>
      <c r="E228" s="475" t="s">
        <v>1589</v>
      </c>
      <c r="F228" s="437" t="s">
        <v>49</v>
      </c>
      <c r="G228" s="442">
        <v>2</v>
      </c>
      <c r="H228" s="442">
        <v>1285.3900000000001</v>
      </c>
      <c r="I228" s="442">
        <f t="shared" si="54"/>
        <v>2570.7800000000002</v>
      </c>
      <c r="J228" s="544">
        <f t="shared" si="55"/>
        <v>0.31090000000000001</v>
      </c>
      <c r="K228" s="442">
        <f t="shared" si="57"/>
        <v>1685.01</v>
      </c>
      <c r="L228" s="442">
        <f t="shared" si="56"/>
        <v>3370.02</v>
      </c>
      <c r="P228" s="545"/>
    </row>
    <row r="229" spans="2:16" ht="63.75" x14ac:dyDescent="0.25">
      <c r="B229" s="443" t="s">
        <v>1590</v>
      </c>
      <c r="C229" s="443" t="s">
        <v>1591</v>
      </c>
      <c r="D229" s="443" t="s">
        <v>1168</v>
      </c>
      <c r="E229" s="475" t="s">
        <v>596</v>
      </c>
      <c r="F229" s="437" t="s">
        <v>49</v>
      </c>
      <c r="G229" s="442">
        <v>2</v>
      </c>
      <c r="H229" s="442">
        <v>810.62</v>
      </c>
      <c r="I229" s="442">
        <f t="shared" si="54"/>
        <v>1621.24</v>
      </c>
      <c r="J229" s="544">
        <f t="shared" si="55"/>
        <v>0.31090000000000001</v>
      </c>
      <c r="K229" s="442">
        <f t="shared" si="57"/>
        <v>1062.6400000000001</v>
      </c>
      <c r="L229" s="442">
        <f t="shared" si="56"/>
        <v>2125.2800000000002</v>
      </c>
      <c r="P229" s="545"/>
    </row>
    <row r="230" spans="2:16" ht="51" x14ac:dyDescent="0.25">
      <c r="B230" s="443" t="s">
        <v>1592</v>
      </c>
      <c r="C230" s="443" t="s">
        <v>1593</v>
      </c>
      <c r="D230" s="443" t="s">
        <v>1168</v>
      </c>
      <c r="E230" s="475" t="s">
        <v>598</v>
      </c>
      <c r="F230" s="437" t="s">
        <v>49</v>
      </c>
      <c r="G230" s="442">
        <v>1</v>
      </c>
      <c r="H230" s="442">
        <v>709.88</v>
      </c>
      <c r="I230" s="442">
        <f t="shared" si="54"/>
        <v>709.88</v>
      </c>
      <c r="J230" s="544">
        <f t="shared" si="55"/>
        <v>0.31090000000000001</v>
      </c>
      <c r="K230" s="442">
        <f t="shared" si="57"/>
        <v>930.58</v>
      </c>
      <c r="L230" s="442">
        <f t="shared" si="56"/>
        <v>930.58</v>
      </c>
      <c r="P230" s="545"/>
    </row>
    <row r="231" spans="2:16" ht="25.5" x14ac:dyDescent="0.25">
      <c r="B231" s="443" t="s">
        <v>1594</v>
      </c>
      <c r="C231" s="443" t="s">
        <v>1595</v>
      </c>
      <c r="D231" s="443" t="s">
        <v>1168</v>
      </c>
      <c r="E231" s="475" t="s">
        <v>599</v>
      </c>
      <c r="F231" s="437" t="s">
        <v>49</v>
      </c>
      <c r="G231" s="442">
        <v>2</v>
      </c>
      <c r="H231" s="442">
        <v>599.08000000000004</v>
      </c>
      <c r="I231" s="442">
        <f t="shared" si="54"/>
        <v>1198.1600000000001</v>
      </c>
      <c r="J231" s="544">
        <f t="shared" si="55"/>
        <v>0.31090000000000001</v>
      </c>
      <c r="K231" s="442">
        <f t="shared" si="57"/>
        <v>785.33</v>
      </c>
      <c r="L231" s="442">
        <f t="shared" si="56"/>
        <v>1570.66</v>
      </c>
      <c r="P231" s="545"/>
    </row>
    <row r="232" spans="2:16" ht="25.5" x14ac:dyDescent="0.25">
      <c r="B232" s="443" t="s">
        <v>1596</v>
      </c>
      <c r="C232" s="443" t="s">
        <v>1597</v>
      </c>
      <c r="D232" s="443" t="s">
        <v>1168</v>
      </c>
      <c r="E232" s="475" t="s">
        <v>600</v>
      </c>
      <c r="F232" s="437" t="s">
        <v>49</v>
      </c>
      <c r="G232" s="442">
        <v>1</v>
      </c>
      <c r="H232" s="442">
        <v>2690.91</v>
      </c>
      <c r="I232" s="442">
        <f t="shared" si="54"/>
        <v>2690.91</v>
      </c>
      <c r="J232" s="544">
        <f t="shared" si="55"/>
        <v>0.31090000000000001</v>
      </c>
      <c r="K232" s="442">
        <f t="shared" si="57"/>
        <v>3527.51</v>
      </c>
      <c r="L232" s="442">
        <f t="shared" si="56"/>
        <v>3527.51</v>
      </c>
      <c r="P232" s="545"/>
    </row>
    <row r="233" spans="2:16" ht="51" x14ac:dyDescent="0.25">
      <c r="B233" s="443" t="s">
        <v>1598</v>
      </c>
      <c r="C233" s="443" t="s">
        <v>1599</v>
      </c>
      <c r="D233" s="443" t="s">
        <v>1168</v>
      </c>
      <c r="E233" s="475" t="s">
        <v>601</v>
      </c>
      <c r="F233" s="437" t="s">
        <v>49</v>
      </c>
      <c r="G233" s="442">
        <v>2</v>
      </c>
      <c r="H233" s="442">
        <v>788.12</v>
      </c>
      <c r="I233" s="442">
        <f t="shared" si="54"/>
        <v>1576.24</v>
      </c>
      <c r="J233" s="544">
        <f t="shared" si="55"/>
        <v>0.31090000000000001</v>
      </c>
      <c r="K233" s="442">
        <f t="shared" si="57"/>
        <v>1033.1400000000001</v>
      </c>
      <c r="L233" s="442">
        <f t="shared" si="56"/>
        <v>2066.2800000000002</v>
      </c>
      <c r="P233" s="545"/>
    </row>
    <row r="234" spans="2:16" ht="25.5" x14ac:dyDescent="0.25">
      <c r="B234" s="443" t="s">
        <v>1600</v>
      </c>
      <c r="C234" s="443" t="s">
        <v>1601</v>
      </c>
      <c r="D234" s="443" t="s">
        <v>1168</v>
      </c>
      <c r="E234" s="475" t="s">
        <v>603</v>
      </c>
      <c r="F234" s="437" t="s">
        <v>38</v>
      </c>
      <c r="G234" s="442">
        <v>4</v>
      </c>
      <c r="H234" s="442">
        <v>349.32</v>
      </c>
      <c r="I234" s="442">
        <f t="shared" si="54"/>
        <v>1397.28</v>
      </c>
      <c r="J234" s="544">
        <f t="shared" si="55"/>
        <v>0.31090000000000001</v>
      </c>
      <c r="K234" s="442">
        <f t="shared" si="57"/>
        <v>457.92</v>
      </c>
      <c r="L234" s="442">
        <f t="shared" si="56"/>
        <v>1831.68</v>
      </c>
      <c r="P234" s="545"/>
    </row>
    <row r="235" spans="2:16" ht="38.25" x14ac:dyDescent="0.25">
      <c r="B235" s="443" t="s">
        <v>1602</v>
      </c>
      <c r="C235" s="443" t="s">
        <v>1603</v>
      </c>
      <c r="D235" s="443" t="s">
        <v>1168</v>
      </c>
      <c r="E235" s="475" t="s">
        <v>604</v>
      </c>
      <c r="F235" s="437" t="s">
        <v>41</v>
      </c>
      <c r="G235" s="442">
        <v>643</v>
      </c>
      <c r="H235" s="442">
        <v>95.19</v>
      </c>
      <c r="I235" s="442">
        <f t="shared" si="54"/>
        <v>61207.17</v>
      </c>
      <c r="J235" s="544">
        <f t="shared" si="55"/>
        <v>0.31090000000000001</v>
      </c>
      <c r="K235" s="442">
        <f t="shared" si="57"/>
        <v>124.78</v>
      </c>
      <c r="L235" s="442">
        <f t="shared" si="56"/>
        <v>80233.539999999994</v>
      </c>
      <c r="P235" s="545"/>
    </row>
    <row r="236" spans="2:16" ht="25.5" x14ac:dyDescent="0.25">
      <c r="B236" s="443" t="s">
        <v>1604</v>
      </c>
      <c r="C236" s="443" t="s">
        <v>1605</v>
      </c>
      <c r="D236" s="443" t="s">
        <v>1168</v>
      </c>
      <c r="E236" s="475" t="s">
        <v>605</v>
      </c>
      <c r="F236" s="437" t="s">
        <v>49</v>
      </c>
      <c r="G236" s="442">
        <v>6</v>
      </c>
      <c r="H236" s="442">
        <v>634.13</v>
      </c>
      <c r="I236" s="442">
        <f t="shared" si="54"/>
        <v>3804.78</v>
      </c>
      <c r="J236" s="544">
        <f t="shared" si="55"/>
        <v>0.31090000000000001</v>
      </c>
      <c r="K236" s="442">
        <f t="shared" si="57"/>
        <v>831.28</v>
      </c>
      <c r="L236" s="442">
        <f t="shared" si="56"/>
        <v>4987.68</v>
      </c>
      <c r="P236" s="545"/>
    </row>
    <row r="237" spans="2:16" ht="25.5" x14ac:dyDescent="0.25">
      <c r="B237" s="443" t="s">
        <v>1606</v>
      </c>
      <c r="C237" s="443" t="s">
        <v>1607</v>
      </c>
      <c r="D237" s="443" t="s">
        <v>1168</v>
      </c>
      <c r="E237" s="475" t="s">
        <v>1608</v>
      </c>
      <c r="F237" s="437" t="s">
        <v>41</v>
      </c>
      <c r="G237" s="442">
        <v>8</v>
      </c>
      <c r="H237" s="442">
        <v>1044.8399999999999</v>
      </c>
      <c r="I237" s="442">
        <f t="shared" si="54"/>
        <v>8358.7199999999993</v>
      </c>
      <c r="J237" s="544">
        <f t="shared" si="55"/>
        <v>0.31090000000000001</v>
      </c>
      <c r="K237" s="442">
        <f t="shared" si="57"/>
        <v>1369.68</v>
      </c>
      <c r="L237" s="442">
        <f t="shared" si="56"/>
        <v>10957.44</v>
      </c>
      <c r="P237" s="545"/>
    </row>
    <row r="238" spans="2:16" ht="51" x14ac:dyDescent="0.25">
      <c r="B238" s="443" t="s">
        <v>1609</v>
      </c>
      <c r="C238" s="443" t="s">
        <v>1610</v>
      </c>
      <c r="D238" s="443" t="s">
        <v>1168</v>
      </c>
      <c r="E238" s="475" t="s">
        <v>608</v>
      </c>
      <c r="F238" s="437" t="s">
        <v>49</v>
      </c>
      <c r="G238" s="442">
        <v>4</v>
      </c>
      <c r="H238" s="442">
        <v>1992.28</v>
      </c>
      <c r="I238" s="442">
        <f t="shared" si="54"/>
        <v>7969.12</v>
      </c>
      <c r="J238" s="544">
        <f t="shared" si="55"/>
        <v>0.31090000000000001</v>
      </c>
      <c r="K238" s="442">
        <f t="shared" si="57"/>
        <v>2611.67</v>
      </c>
      <c r="L238" s="442">
        <f t="shared" si="56"/>
        <v>10446.68</v>
      </c>
      <c r="P238" s="545"/>
    </row>
    <row r="239" spans="2:16" ht="51" x14ac:dyDescent="0.25">
      <c r="B239" s="443" t="s">
        <v>1611</v>
      </c>
      <c r="C239" s="443" t="s">
        <v>1612</v>
      </c>
      <c r="D239" s="443" t="s">
        <v>1168</v>
      </c>
      <c r="E239" s="475" t="s">
        <v>606</v>
      </c>
      <c r="F239" s="437" t="s">
        <v>49</v>
      </c>
      <c r="G239" s="442">
        <v>4</v>
      </c>
      <c r="H239" s="442">
        <v>912.36</v>
      </c>
      <c r="I239" s="442">
        <f t="shared" si="54"/>
        <v>3649.44</v>
      </c>
      <c r="J239" s="544">
        <f t="shared" si="55"/>
        <v>0.31090000000000001</v>
      </c>
      <c r="K239" s="442">
        <f t="shared" si="57"/>
        <v>1196.01</v>
      </c>
      <c r="L239" s="442">
        <f t="shared" si="56"/>
        <v>4784.04</v>
      </c>
      <c r="P239" s="545"/>
    </row>
    <row r="240" spans="2:16" ht="51" x14ac:dyDescent="0.25">
      <c r="B240" s="443" t="s">
        <v>1613</v>
      </c>
      <c r="C240" s="443" t="s">
        <v>1614</v>
      </c>
      <c r="D240" s="443" t="s">
        <v>1168</v>
      </c>
      <c r="E240" s="475" t="s">
        <v>609</v>
      </c>
      <c r="F240" s="437" t="s">
        <v>49</v>
      </c>
      <c r="G240" s="442">
        <v>4</v>
      </c>
      <c r="H240" s="442">
        <v>1567.13</v>
      </c>
      <c r="I240" s="442">
        <f t="shared" si="54"/>
        <v>6268.52</v>
      </c>
      <c r="J240" s="544">
        <f t="shared" si="55"/>
        <v>0.31090000000000001</v>
      </c>
      <c r="K240" s="442">
        <f t="shared" si="57"/>
        <v>2054.35</v>
      </c>
      <c r="L240" s="442">
        <f t="shared" si="56"/>
        <v>8217.4</v>
      </c>
      <c r="P240" s="545"/>
    </row>
    <row r="241" spans="2:16" ht="51" x14ac:dyDescent="0.25">
      <c r="B241" s="443" t="s">
        <v>1615</v>
      </c>
      <c r="C241" s="443" t="s">
        <v>1616</v>
      </c>
      <c r="D241" s="443" t="s">
        <v>1168</v>
      </c>
      <c r="E241" s="475" t="s">
        <v>610</v>
      </c>
      <c r="F241" s="437" t="s">
        <v>49</v>
      </c>
      <c r="G241" s="442">
        <v>1</v>
      </c>
      <c r="H241" s="442">
        <v>417.13</v>
      </c>
      <c r="I241" s="442">
        <f t="shared" si="54"/>
        <v>417.13</v>
      </c>
      <c r="J241" s="544">
        <f t="shared" si="55"/>
        <v>0.31090000000000001</v>
      </c>
      <c r="K241" s="442">
        <f t="shared" si="57"/>
        <v>546.80999999999995</v>
      </c>
      <c r="L241" s="442">
        <f t="shared" si="56"/>
        <v>546.80999999999995</v>
      </c>
      <c r="P241" s="545"/>
    </row>
    <row r="242" spans="2:16" ht="51" x14ac:dyDescent="0.25">
      <c r="B242" s="443" t="s">
        <v>1617</v>
      </c>
      <c r="C242" s="443" t="s">
        <v>1618</v>
      </c>
      <c r="D242" s="443" t="s">
        <v>1168</v>
      </c>
      <c r="E242" s="475" t="s">
        <v>611</v>
      </c>
      <c r="F242" s="437" t="s">
        <v>49</v>
      </c>
      <c r="G242" s="442">
        <v>1</v>
      </c>
      <c r="H242" s="442">
        <v>3292.01</v>
      </c>
      <c r="I242" s="442">
        <f t="shared" si="54"/>
        <v>3292.01</v>
      </c>
      <c r="J242" s="544">
        <f t="shared" si="55"/>
        <v>0.31090000000000001</v>
      </c>
      <c r="K242" s="442">
        <f t="shared" si="57"/>
        <v>4315.49</v>
      </c>
      <c r="L242" s="442">
        <f t="shared" si="56"/>
        <v>4315.49</v>
      </c>
      <c r="P242" s="545"/>
    </row>
    <row r="243" spans="2:16" ht="51" x14ac:dyDescent="0.25">
      <c r="B243" s="443" t="s">
        <v>1619</v>
      </c>
      <c r="C243" s="443" t="s">
        <v>1620</v>
      </c>
      <c r="D243" s="443" t="s">
        <v>1168</v>
      </c>
      <c r="E243" s="475" t="s">
        <v>612</v>
      </c>
      <c r="F243" s="437" t="s">
        <v>49</v>
      </c>
      <c r="G243" s="442">
        <v>1</v>
      </c>
      <c r="H243" s="442">
        <v>1470.88</v>
      </c>
      <c r="I243" s="442">
        <f t="shared" si="54"/>
        <v>1470.88</v>
      </c>
      <c r="J243" s="544">
        <f t="shared" si="55"/>
        <v>0.31090000000000001</v>
      </c>
      <c r="K243" s="442">
        <f t="shared" si="57"/>
        <v>1928.17</v>
      </c>
      <c r="L243" s="442">
        <f t="shared" si="56"/>
        <v>1928.17</v>
      </c>
      <c r="P243" s="545"/>
    </row>
    <row r="244" spans="2:16" ht="25.5" x14ac:dyDescent="0.25">
      <c r="B244" s="443" t="s">
        <v>1621</v>
      </c>
      <c r="C244" s="443" t="s">
        <v>1622</v>
      </c>
      <c r="D244" s="443" t="s">
        <v>1168</v>
      </c>
      <c r="E244" s="475" t="s">
        <v>613</v>
      </c>
      <c r="F244" s="437" t="s">
        <v>49</v>
      </c>
      <c r="G244" s="442">
        <v>1</v>
      </c>
      <c r="H244" s="442">
        <v>1587.93</v>
      </c>
      <c r="I244" s="442">
        <f t="shared" si="54"/>
        <v>1587.93</v>
      </c>
      <c r="J244" s="544">
        <f t="shared" si="55"/>
        <v>0.31090000000000001</v>
      </c>
      <c r="K244" s="442">
        <f t="shared" si="57"/>
        <v>2081.61</v>
      </c>
      <c r="L244" s="442">
        <f t="shared" si="56"/>
        <v>2081.61</v>
      </c>
      <c r="P244" s="545"/>
    </row>
    <row r="245" spans="2:16" ht="25.5" x14ac:dyDescent="0.25">
      <c r="B245" s="443" t="s">
        <v>1623</v>
      </c>
      <c r="C245" s="443" t="s">
        <v>1624</v>
      </c>
      <c r="D245" s="443" t="s">
        <v>1168</v>
      </c>
      <c r="E245" s="475" t="s">
        <v>614</v>
      </c>
      <c r="F245" s="437" t="s">
        <v>41</v>
      </c>
      <c r="G245" s="442">
        <v>14.1</v>
      </c>
      <c r="H245" s="442">
        <v>1275.3399999999999</v>
      </c>
      <c r="I245" s="442">
        <f t="shared" si="54"/>
        <v>17982.29</v>
      </c>
      <c r="J245" s="544">
        <f t="shared" si="55"/>
        <v>0.31090000000000001</v>
      </c>
      <c r="K245" s="442">
        <f t="shared" si="57"/>
        <v>1671.84</v>
      </c>
      <c r="L245" s="442">
        <f t="shared" si="56"/>
        <v>23572.94</v>
      </c>
      <c r="P245" s="545"/>
    </row>
    <row r="246" spans="2:16" ht="51" x14ac:dyDescent="0.25">
      <c r="B246" s="443" t="s">
        <v>1625</v>
      </c>
      <c r="C246" s="443" t="s">
        <v>1626</v>
      </c>
      <c r="D246" s="443" t="s">
        <v>1168</v>
      </c>
      <c r="E246" s="475" t="s">
        <v>1627</v>
      </c>
      <c r="F246" s="437" t="s">
        <v>49</v>
      </c>
      <c r="G246" s="442">
        <v>1</v>
      </c>
      <c r="H246" s="442">
        <v>1182.8499999999999</v>
      </c>
      <c r="I246" s="442">
        <f t="shared" si="54"/>
        <v>1182.8499999999999</v>
      </c>
      <c r="J246" s="544">
        <f t="shared" si="55"/>
        <v>0.31090000000000001</v>
      </c>
      <c r="K246" s="442">
        <f t="shared" si="57"/>
        <v>1550.59</v>
      </c>
      <c r="L246" s="442">
        <f t="shared" si="56"/>
        <v>1550.59</v>
      </c>
      <c r="P246" s="545"/>
    </row>
    <row r="247" spans="2:16" ht="25.5" x14ac:dyDescent="0.25">
      <c r="B247" s="443" t="s">
        <v>1628</v>
      </c>
      <c r="C247" s="443" t="s">
        <v>1629</v>
      </c>
      <c r="D247" s="443" t="s">
        <v>1168</v>
      </c>
      <c r="E247" s="475" t="s">
        <v>616</v>
      </c>
      <c r="F247" s="437" t="s">
        <v>49</v>
      </c>
      <c r="G247" s="442">
        <v>1</v>
      </c>
      <c r="H247" s="442">
        <v>2387.29</v>
      </c>
      <c r="I247" s="442">
        <f t="shared" si="54"/>
        <v>2387.29</v>
      </c>
      <c r="J247" s="544">
        <f t="shared" si="55"/>
        <v>0.31090000000000001</v>
      </c>
      <c r="K247" s="442">
        <f t="shared" si="57"/>
        <v>3129.49</v>
      </c>
      <c r="L247" s="442">
        <f t="shared" si="56"/>
        <v>3129.49</v>
      </c>
      <c r="P247" s="545"/>
    </row>
    <row r="248" spans="2:16" ht="51" x14ac:dyDescent="0.25">
      <c r="B248" s="443" t="s">
        <v>1630</v>
      </c>
      <c r="C248" s="443" t="s">
        <v>1631</v>
      </c>
      <c r="D248" s="443" t="s">
        <v>1168</v>
      </c>
      <c r="E248" s="475" t="s">
        <v>617</v>
      </c>
      <c r="F248" s="437" t="s">
        <v>49</v>
      </c>
      <c r="G248" s="442">
        <v>1</v>
      </c>
      <c r="H248" s="442">
        <v>901.83</v>
      </c>
      <c r="I248" s="442">
        <f t="shared" si="54"/>
        <v>901.83</v>
      </c>
      <c r="J248" s="544">
        <f t="shared" si="55"/>
        <v>0.31090000000000001</v>
      </c>
      <c r="K248" s="442">
        <f t="shared" si="57"/>
        <v>1182.2</v>
      </c>
      <c r="L248" s="442">
        <f t="shared" si="56"/>
        <v>1182.2</v>
      </c>
      <c r="P248" s="545"/>
    </row>
    <row r="249" spans="2:16" ht="63.75" x14ac:dyDescent="0.25">
      <c r="B249" s="443" t="s">
        <v>1632</v>
      </c>
      <c r="C249" s="443" t="s">
        <v>1633</v>
      </c>
      <c r="D249" s="443" t="s">
        <v>1168</v>
      </c>
      <c r="E249" s="475" t="s">
        <v>618</v>
      </c>
      <c r="F249" s="437" t="s">
        <v>49</v>
      </c>
      <c r="G249" s="442">
        <v>1</v>
      </c>
      <c r="H249" s="442">
        <v>1539.69</v>
      </c>
      <c r="I249" s="442">
        <f t="shared" si="54"/>
        <v>1539.69</v>
      </c>
      <c r="J249" s="544">
        <f t="shared" si="55"/>
        <v>0.31090000000000001</v>
      </c>
      <c r="K249" s="442">
        <f t="shared" si="57"/>
        <v>2018.37</v>
      </c>
      <c r="L249" s="442">
        <f t="shared" si="56"/>
        <v>2018.37</v>
      </c>
      <c r="P249" s="545"/>
    </row>
    <row r="250" spans="2:16" ht="25.5" x14ac:dyDescent="0.25">
      <c r="B250" s="443" t="s">
        <v>1634</v>
      </c>
      <c r="C250" s="443" t="s">
        <v>1635</v>
      </c>
      <c r="D250" s="443" t="s">
        <v>1168</v>
      </c>
      <c r="E250" s="475" t="s">
        <v>619</v>
      </c>
      <c r="F250" s="437" t="s">
        <v>49</v>
      </c>
      <c r="G250" s="442">
        <v>1</v>
      </c>
      <c r="H250" s="442">
        <v>2447.15</v>
      </c>
      <c r="I250" s="442">
        <f t="shared" si="54"/>
        <v>2447.15</v>
      </c>
      <c r="J250" s="544">
        <f t="shared" si="55"/>
        <v>0.31090000000000001</v>
      </c>
      <c r="K250" s="442">
        <f t="shared" si="57"/>
        <v>3207.96</v>
      </c>
      <c r="L250" s="442">
        <f t="shared" si="56"/>
        <v>3207.96</v>
      </c>
      <c r="P250" s="545"/>
    </row>
    <row r="251" spans="2:16" ht="51" x14ac:dyDescent="0.25">
      <c r="B251" s="443" t="s">
        <v>1636</v>
      </c>
      <c r="C251" s="443" t="s">
        <v>1637</v>
      </c>
      <c r="D251" s="443" t="s">
        <v>1168</v>
      </c>
      <c r="E251" s="475" t="s">
        <v>620</v>
      </c>
      <c r="F251" s="437" t="s">
        <v>49</v>
      </c>
      <c r="G251" s="442">
        <v>1</v>
      </c>
      <c r="H251" s="442">
        <v>2498.64</v>
      </c>
      <c r="I251" s="442">
        <f t="shared" si="54"/>
        <v>2498.64</v>
      </c>
      <c r="J251" s="544">
        <f t="shared" si="55"/>
        <v>0.31090000000000001</v>
      </c>
      <c r="K251" s="442">
        <f t="shared" si="57"/>
        <v>3275.46</v>
      </c>
      <c r="L251" s="442">
        <f t="shared" si="56"/>
        <v>3275.46</v>
      </c>
      <c r="P251" s="545"/>
    </row>
    <row r="252" spans="2:16" ht="63.75" x14ac:dyDescent="0.25">
      <c r="B252" s="443" t="s">
        <v>1638</v>
      </c>
      <c r="C252" s="443" t="s">
        <v>1639</v>
      </c>
      <c r="D252" s="443" t="s">
        <v>1168</v>
      </c>
      <c r="E252" s="475" t="s">
        <v>621</v>
      </c>
      <c r="F252" s="437" t="s">
        <v>49</v>
      </c>
      <c r="G252" s="442">
        <v>2</v>
      </c>
      <c r="H252" s="442">
        <v>816.53</v>
      </c>
      <c r="I252" s="442">
        <f t="shared" si="54"/>
        <v>1633.06</v>
      </c>
      <c r="J252" s="544">
        <f t="shared" si="55"/>
        <v>0.31090000000000001</v>
      </c>
      <c r="K252" s="442">
        <f t="shared" si="57"/>
        <v>1070.3800000000001</v>
      </c>
      <c r="L252" s="442">
        <f t="shared" si="56"/>
        <v>2140.7600000000002</v>
      </c>
      <c r="P252" s="545"/>
    </row>
    <row r="253" spans="2:16" ht="38.25" x14ac:dyDescent="0.25">
      <c r="B253" s="443" t="s">
        <v>1640</v>
      </c>
      <c r="C253" s="443" t="s">
        <v>1641</v>
      </c>
      <c r="D253" s="443" t="s">
        <v>1168</v>
      </c>
      <c r="E253" s="475" t="s">
        <v>1642</v>
      </c>
      <c r="F253" s="437" t="s">
        <v>49</v>
      </c>
      <c r="G253" s="442">
        <v>3</v>
      </c>
      <c r="H253" s="442">
        <v>437.54</v>
      </c>
      <c r="I253" s="442">
        <f t="shared" si="54"/>
        <v>1312.62</v>
      </c>
      <c r="J253" s="544">
        <f t="shared" si="55"/>
        <v>0.31090000000000001</v>
      </c>
      <c r="K253" s="442">
        <f t="shared" si="57"/>
        <v>573.57000000000005</v>
      </c>
      <c r="L253" s="442">
        <f t="shared" si="56"/>
        <v>1720.71</v>
      </c>
      <c r="P253" s="545"/>
    </row>
    <row r="254" spans="2:16" x14ac:dyDescent="0.25">
      <c r="B254" s="443" t="s">
        <v>1643</v>
      </c>
      <c r="C254" s="443" t="s">
        <v>1644</v>
      </c>
      <c r="D254" s="443" t="s">
        <v>993</v>
      </c>
      <c r="E254" s="475" t="s">
        <v>1645</v>
      </c>
      <c r="F254" s="437" t="s">
        <v>1141</v>
      </c>
      <c r="G254" s="442">
        <v>3</v>
      </c>
      <c r="H254" s="442">
        <v>4.82</v>
      </c>
      <c r="I254" s="442">
        <f t="shared" si="54"/>
        <v>14.46</v>
      </c>
      <c r="J254" s="544">
        <f t="shared" si="55"/>
        <v>0.31090000000000001</v>
      </c>
      <c r="K254" s="442">
        <f t="shared" si="57"/>
        <v>6.31</v>
      </c>
      <c r="L254" s="442">
        <f t="shared" si="56"/>
        <v>18.93</v>
      </c>
      <c r="P254" s="545"/>
    </row>
    <row r="255" spans="2:16" x14ac:dyDescent="0.25">
      <c r="B255" s="443" t="s">
        <v>1646</v>
      </c>
      <c r="C255" s="443" t="s">
        <v>1647</v>
      </c>
      <c r="D255" s="443" t="s">
        <v>993</v>
      </c>
      <c r="E255" s="475" t="s">
        <v>1648</v>
      </c>
      <c r="F255" s="437" t="s">
        <v>1141</v>
      </c>
      <c r="G255" s="442">
        <v>3</v>
      </c>
      <c r="H255" s="442">
        <v>63.35</v>
      </c>
      <c r="I255" s="442">
        <f t="shared" ref="I255:I278" si="58">TRUNC(G255 * H255, 2)</f>
        <v>190.05</v>
      </c>
      <c r="J255" s="544">
        <f t="shared" ref="J255:J281" si="59">+$L$5</f>
        <v>0.31090000000000001</v>
      </c>
      <c r="K255" s="442">
        <f t="shared" si="57"/>
        <v>83.04</v>
      </c>
      <c r="L255" s="442">
        <f t="shared" ref="L255:L278" si="60">TRUNC(G255 * K255, 2)</f>
        <v>249.12</v>
      </c>
      <c r="P255" s="545"/>
    </row>
    <row r="256" spans="2:16" ht="25.5" x14ac:dyDescent="0.25">
      <c r="B256" s="443" t="s">
        <v>1649</v>
      </c>
      <c r="C256" s="443" t="s">
        <v>1650</v>
      </c>
      <c r="D256" s="443" t="s">
        <v>1168</v>
      </c>
      <c r="E256" s="475" t="s">
        <v>627</v>
      </c>
      <c r="F256" s="437" t="s">
        <v>49</v>
      </c>
      <c r="G256" s="442">
        <v>3</v>
      </c>
      <c r="H256" s="442">
        <v>18.39</v>
      </c>
      <c r="I256" s="442">
        <f t="shared" si="58"/>
        <v>55.17</v>
      </c>
      <c r="J256" s="544">
        <f t="shared" si="59"/>
        <v>0.31090000000000001</v>
      </c>
      <c r="K256" s="442">
        <f t="shared" si="57"/>
        <v>24.1</v>
      </c>
      <c r="L256" s="442">
        <f t="shared" si="60"/>
        <v>72.3</v>
      </c>
      <c r="P256" s="545"/>
    </row>
    <row r="257" spans="2:16" ht="25.5" x14ac:dyDescent="0.25">
      <c r="B257" s="443" t="s">
        <v>1651</v>
      </c>
      <c r="C257" s="443" t="s">
        <v>1652</v>
      </c>
      <c r="D257" s="443" t="s">
        <v>1168</v>
      </c>
      <c r="E257" s="475" t="s">
        <v>628</v>
      </c>
      <c r="F257" s="437" t="s">
        <v>130</v>
      </c>
      <c r="G257" s="442">
        <v>1.7</v>
      </c>
      <c r="H257" s="442">
        <v>51.42</v>
      </c>
      <c r="I257" s="442">
        <f t="shared" si="58"/>
        <v>87.41</v>
      </c>
      <c r="J257" s="544">
        <f t="shared" si="59"/>
        <v>0.31090000000000001</v>
      </c>
      <c r="K257" s="442">
        <f t="shared" si="57"/>
        <v>67.400000000000006</v>
      </c>
      <c r="L257" s="442">
        <f t="shared" si="60"/>
        <v>114.58</v>
      </c>
      <c r="P257" s="545"/>
    </row>
    <row r="258" spans="2:16" x14ac:dyDescent="0.25">
      <c r="B258" s="443" t="s">
        <v>1653</v>
      </c>
      <c r="C258" s="443" t="s">
        <v>1654</v>
      </c>
      <c r="D258" s="443" t="s">
        <v>993</v>
      </c>
      <c r="E258" s="475" t="s">
        <v>1655</v>
      </c>
      <c r="F258" s="437" t="s">
        <v>1141</v>
      </c>
      <c r="G258" s="442">
        <v>3</v>
      </c>
      <c r="H258" s="442">
        <v>4.2</v>
      </c>
      <c r="I258" s="442">
        <f t="shared" si="58"/>
        <v>12.6</v>
      </c>
      <c r="J258" s="544">
        <f t="shared" si="59"/>
        <v>0.31090000000000001</v>
      </c>
      <c r="K258" s="442">
        <f t="shared" si="57"/>
        <v>5.5</v>
      </c>
      <c r="L258" s="442">
        <f t="shared" si="60"/>
        <v>16.5</v>
      </c>
      <c r="P258" s="545"/>
    </row>
    <row r="259" spans="2:16" x14ac:dyDescent="0.25">
      <c r="B259" s="443" t="s">
        <v>1656</v>
      </c>
      <c r="C259" s="443" t="s">
        <v>1657</v>
      </c>
      <c r="D259" s="443" t="s">
        <v>993</v>
      </c>
      <c r="E259" s="475" t="s">
        <v>1658</v>
      </c>
      <c r="F259" s="437" t="s">
        <v>1141</v>
      </c>
      <c r="G259" s="442">
        <v>3</v>
      </c>
      <c r="H259" s="442">
        <v>7.88</v>
      </c>
      <c r="I259" s="442">
        <f t="shared" si="58"/>
        <v>23.64</v>
      </c>
      <c r="J259" s="544">
        <f t="shared" si="59"/>
        <v>0.31090000000000001</v>
      </c>
      <c r="K259" s="442">
        <f t="shared" si="57"/>
        <v>10.32</v>
      </c>
      <c r="L259" s="442">
        <f t="shared" si="60"/>
        <v>30.96</v>
      </c>
      <c r="P259" s="545"/>
    </row>
    <row r="260" spans="2:16" x14ac:dyDescent="0.25">
      <c r="B260" s="443" t="s">
        <v>1659</v>
      </c>
      <c r="C260" s="443" t="s">
        <v>1660</v>
      </c>
      <c r="D260" s="443" t="s">
        <v>993</v>
      </c>
      <c r="E260" s="475" t="s">
        <v>1661</v>
      </c>
      <c r="F260" s="437" t="s">
        <v>1141</v>
      </c>
      <c r="G260" s="442">
        <v>8</v>
      </c>
      <c r="H260" s="442">
        <v>7.12</v>
      </c>
      <c r="I260" s="442">
        <f t="shared" si="58"/>
        <v>56.96</v>
      </c>
      <c r="J260" s="544">
        <f t="shared" si="59"/>
        <v>0.31090000000000001</v>
      </c>
      <c r="K260" s="442">
        <f t="shared" si="57"/>
        <v>9.33</v>
      </c>
      <c r="L260" s="442">
        <f t="shared" si="60"/>
        <v>74.64</v>
      </c>
      <c r="P260" s="545"/>
    </row>
    <row r="261" spans="2:16" x14ac:dyDescent="0.25">
      <c r="B261" s="443" t="s">
        <v>1662</v>
      </c>
      <c r="C261" s="443" t="s">
        <v>1663</v>
      </c>
      <c r="D261" s="443" t="s">
        <v>993</v>
      </c>
      <c r="E261" s="475" t="s">
        <v>1664</v>
      </c>
      <c r="F261" s="437" t="s">
        <v>130</v>
      </c>
      <c r="G261" s="442">
        <v>54</v>
      </c>
      <c r="H261" s="442">
        <v>7.92</v>
      </c>
      <c r="I261" s="442">
        <f t="shared" si="58"/>
        <v>427.68</v>
      </c>
      <c r="J261" s="544">
        <f t="shared" si="59"/>
        <v>0.31090000000000001</v>
      </c>
      <c r="K261" s="442">
        <f t="shared" si="57"/>
        <v>10.38</v>
      </c>
      <c r="L261" s="442">
        <f t="shared" si="60"/>
        <v>560.52</v>
      </c>
      <c r="P261" s="545"/>
    </row>
    <row r="262" spans="2:16" x14ac:dyDescent="0.25">
      <c r="B262" s="443" t="s">
        <v>1665</v>
      </c>
      <c r="C262" s="443" t="s">
        <v>1666</v>
      </c>
      <c r="D262" s="443" t="s">
        <v>1168</v>
      </c>
      <c r="E262" s="475" t="s">
        <v>637</v>
      </c>
      <c r="F262" s="437" t="s">
        <v>38</v>
      </c>
      <c r="G262" s="442">
        <v>1</v>
      </c>
      <c r="H262" s="442">
        <v>54.16</v>
      </c>
      <c r="I262" s="442">
        <f t="shared" si="58"/>
        <v>54.16</v>
      </c>
      <c r="J262" s="544">
        <f t="shared" si="59"/>
        <v>0.31090000000000001</v>
      </c>
      <c r="K262" s="442">
        <f t="shared" si="57"/>
        <v>70.989999999999995</v>
      </c>
      <c r="L262" s="442">
        <f t="shared" si="60"/>
        <v>70.989999999999995</v>
      </c>
      <c r="P262" s="545"/>
    </row>
    <row r="263" spans="2:16" x14ac:dyDescent="0.25">
      <c r="B263" s="443" t="s">
        <v>1667</v>
      </c>
      <c r="C263" s="443" t="s">
        <v>1668</v>
      </c>
      <c r="D263" s="443" t="s">
        <v>993</v>
      </c>
      <c r="E263" s="475" t="s">
        <v>1669</v>
      </c>
      <c r="F263" s="437" t="s">
        <v>1141</v>
      </c>
      <c r="G263" s="442">
        <v>1</v>
      </c>
      <c r="H263" s="442">
        <v>57.54</v>
      </c>
      <c r="I263" s="442">
        <f t="shared" si="58"/>
        <v>57.54</v>
      </c>
      <c r="J263" s="544">
        <f t="shared" si="59"/>
        <v>0.31090000000000001</v>
      </c>
      <c r="K263" s="442">
        <f t="shared" si="57"/>
        <v>75.42</v>
      </c>
      <c r="L263" s="442">
        <f t="shared" si="60"/>
        <v>75.42</v>
      </c>
      <c r="P263" s="545"/>
    </row>
    <row r="264" spans="2:16" x14ac:dyDescent="0.25">
      <c r="B264" s="443" t="s">
        <v>1670</v>
      </c>
      <c r="C264" s="443" t="s">
        <v>1671</v>
      </c>
      <c r="D264" s="443" t="s">
        <v>993</v>
      </c>
      <c r="E264" s="475" t="s">
        <v>1672</v>
      </c>
      <c r="F264" s="437" t="s">
        <v>1141</v>
      </c>
      <c r="G264" s="442">
        <v>1</v>
      </c>
      <c r="H264" s="442">
        <v>11.8</v>
      </c>
      <c r="I264" s="442">
        <f t="shared" si="58"/>
        <v>11.8</v>
      </c>
      <c r="J264" s="544">
        <f t="shared" si="59"/>
        <v>0.31090000000000001</v>
      </c>
      <c r="K264" s="442">
        <f t="shared" si="57"/>
        <v>15.46</v>
      </c>
      <c r="L264" s="442">
        <f t="shared" si="60"/>
        <v>15.46</v>
      </c>
      <c r="P264" s="545"/>
    </row>
    <row r="265" spans="2:16" ht="25.5" x14ac:dyDescent="0.25">
      <c r="B265" s="443" t="s">
        <v>1673</v>
      </c>
      <c r="C265" s="443" t="s">
        <v>1674</v>
      </c>
      <c r="D265" s="443" t="s">
        <v>1168</v>
      </c>
      <c r="E265" s="475" t="s">
        <v>643</v>
      </c>
      <c r="F265" s="437" t="s">
        <v>38</v>
      </c>
      <c r="G265" s="442">
        <v>1</v>
      </c>
      <c r="H265" s="442">
        <v>38.78</v>
      </c>
      <c r="I265" s="442">
        <f t="shared" si="58"/>
        <v>38.78</v>
      </c>
      <c r="J265" s="544">
        <f t="shared" si="59"/>
        <v>0.31090000000000001</v>
      </c>
      <c r="K265" s="442">
        <f t="shared" si="57"/>
        <v>50.83</v>
      </c>
      <c r="L265" s="442">
        <f t="shared" si="60"/>
        <v>50.83</v>
      </c>
      <c r="P265" s="545"/>
    </row>
    <row r="266" spans="2:16" x14ac:dyDescent="0.25">
      <c r="B266" s="443" t="s">
        <v>1675</v>
      </c>
      <c r="C266" s="443" t="s">
        <v>1676</v>
      </c>
      <c r="D266" s="443" t="s">
        <v>575</v>
      </c>
      <c r="E266" s="475" t="s">
        <v>657</v>
      </c>
      <c r="F266" s="437" t="s">
        <v>41</v>
      </c>
      <c r="G266" s="442">
        <v>5569.1</v>
      </c>
      <c r="H266" s="442">
        <v>1.1299999999999999</v>
      </c>
      <c r="I266" s="442">
        <f t="shared" si="58"/>
        <v>6293.08</v>
      </c>
      <c r="J266" s="544">
        <f t="shared" si="59"/>
        <v>0.31090000000000001</v>
      </c>
      <c r="K266" s="442">
        <f t="shared" si="57"/>
        <v>1.48</v>
      </c>
      <c r="L266" s="442">
        <f t="shared" si="60"/>
        <v>8242.26</v>
      </c>
      <c r="P266" s="545"/>
    </row>
    <row r="267" spans="2:16" x14ac:dyDescent="0.25">
      <c r="B267" s="443" t="s">
        <v>1677</v>
      </c>
      <c r="C267" s="443" t="s">
        <v>1678</v>
      </c>
      <c r="D267" s="443" t="s">
        <v>575</v>
      </c>
      <c r="E267" s="475" t="s">
        <v>656</v>
      </c>
      <c r="F267" s="437" t="s">
        <v>41</v>
      </c>
      <c r="G267" s="442">
        <v>5569.1</v>
      </c>
      <c r="H267" s="442">
        <v>1.39</v>
      </c>
      <c r="I267" s="442">
        <f t="shared" si="58"/>
        <v>7741.04</v>
      </c>
      <c r="J267" s="544">
        <f t="shared" si="59"/>
        <v>0.31090000000000001</v>
      </c>
      <c r="K267" s="442">
        <f t="shared" ref="K267:K281" si="61">TRUNC(H267 * (1 + J267), 2)</f>
        <v>1.82</v>
      </c>
      <c r="L267" s="442">
        <f t="shared" si="60"/>
        <v>10135.76</v>
      </c>
      <c r="P267" s="545"/>
    </row>
    <row r="268" spans="2:16" ht="25.5" x14ac:dyDescent="0.25">
      <c r="B268" s="443" t="s">
        <v>1679</v>
      </c>
      <c r="C268" s="443" t="s">
        <v>1680</v>
      </c>
      <c r="D268" s="443" t="s">
        <v>1168</v>
      </c>
      <c r="E268" s="475" t="s">
        <v>658</v>
      </c>
      <c r="F268" s="437" t="s">
        <v>130</v>
      </c>
      <c r="G268" s="442">
        <v>4031</v>
      </c>
      <c r="H268" s="442">
        <v>0.35</v>
      </c>
      <c r="I268" s="442">
        <f t="shared" si="58"/>
        <v>1410.85</v>
      </c>
      <c r="J268" s="544">
        <f t="shared" si="59"/>
        <v>0.31090000000000001</v>
      </c>
      <c r="K268" s="442">
        <f t="shared" si="61"/>
        <v>0.45</v>
      </c>
      <c r="L268" s="442">
        <f t="shared" si="60"/>
        <v>1813.95</v>
      </c>
      <c r="P268" s="545"/>
    </row>
    <row r="269" spans="2:16" ht="25.5" x14ac:dyDescent="0.25">
      <c r="B269" s="443" t="s">
        <v>1681</v>
      </c>
      <c r="C269" s="443" t="s">
        <v>1682</v>
      </c>
      <c r="D269" s="443" t="s">
        <v>1168</v>
      </c>
      <c r="E269" s="475" t="s">
        <v>659</v>
      </c>
      <c r="F269" s="437" t="s">
        <v>130</v>
      </c>
      <c r="G269" s="442">
        <v>452</v>
      </c>
      <c r="H269" s="442">
        <v>0.66</v>
      </c>
      <c r="I269" s="442">
        <f t="shared" si="58"/>
        <v>298.32</v>
      </c>
      <c r="J269" s="544">
        <f t="shared" si="59"/>
        <v>0.31090000000000001</v>
      </c>
      <c r="K269" s="442">
        <f t="shared" si="61"/>
        <v>0.86</v>
      </c>
      <c r="L269" s="442">
        <f t="shared" si="60"/>
        <v>388.72</v>
      </c>
      <c r="P269" s="545"/>
    </row>
    <row r="270" spans="2:16" ht="25.5" x14ac:dyDescent="0.25">
      <c r="B270" s="443" t="s">
        <v>1683</v>
      </c>
      <c r="C270" s="443" t="s">
        <v>1684</v>
      </c>
      <c r="D270" s="443" t="s">
        <v>1168</v>
      </c>
      <c r="E270" s="475" t="s">
        <v>660</v>
      </c>
      <c r="F270" s="437" t="s">
        <v>130</v>
      </c>
      <c r="G270" s="442">
        <v>352</v>
      </c>
      <c r="H270" s="442">
        <v>0.71</v>
      </c>
      <c r="I270" s="442">
        <f t="shared" si="58"/>
        <v>249.92</v>
      </c>
      <c r="J270" s="544">
        <f t="shared" si="59"/>
        <v>0.31090000000000001</v>
      </c>
      <c r="K270" s="442">
        <f t="shared" si="61"/>
        <v>0.93</v>
      </c>
      <c r="L270" s="442">
        <f t="shared" si="60"/>
        <v>327.36</v>
      </c>
      <c r="P270" s="545"/>
    </row>
    <row r="271" spans="2:16" ht="25.5" x14ac:dyDescent="0.25">
      <c r="B271" s="443" t="s">
        <v>1685</v>
      </c>
      <c r="C271" s="443" t="s">
        <v>1686</v>
      </c>
      <c r="D271" s="443" t="s">
        <v>1168</v>
      </c>
      <c r="E271" s="475" t="s">
        <v>886</v>
      </c>
      <c r="F271" s="437" t="s">
        <v>49</v>
      </c>
      <c r="G271" s="442">
        <v>4</v>
      </c>
      <c r="H271" s="442">
        <v>650.74</v>
      </c>
      <c r="I271" s="442">
        <f t="shared" si="58"/>
        <v>2602.96</v>
      </c>
      <c r="J271" s="544">
        <f t="shared" si="59"/>
        <v>0.31090000000000001</v>
      </c>
      <c r="K271" s="442">
        <f t="shared" si="61"/>
        <v>853.05</v>
      </c>
      <c r="L271" s="442">
        <f t="shared" si="60"/>
        <v>3412.2</v>
      </c>
      <c r="P271" s="545"/>
    </row>
    <row r="272" spans="2:16" ht="51" x14ac:dyDescent="0.25">
      <c r="B272" s="443" t="s">
        <v>1687</v>
      </c>
      <c r="C272" s="443" t="s">
        <v>1688</v>
      </c>
      <c r="D272" s="443" t="s">
        <v>1168</v>
      </c>
      <c r="E272" s="475" t="s">
        <v>888</v>
      </c>
      <c r="F272" s="437" t="s">
        <v>49</v>
      </c>
      <c r="G272" s="442">
        <v>1</v>
      </c>
      <c r="H272" s="442">
        <v>588.33000000000004</v>
      </c>
      <c r="I272" s="442">
        <f t="shared" si="58"/>
        <v>588.33000000000004</v>
      </c>
      <c r="J272" s="544">
        <f t="shared" si="59"/>
        <v>0.31090000000000001</v>
      </c>
      <c r="K272" s="442">
        <f t="shared" si="61"/>
        <v>771.24</v>
      </c>
      <c r="L272" s="442">
        <f t="shared" si="60"/>
        <v>771.24</v>
      </c>
      <c r="P272" s="545"/>
    </row>
    <row r="273" spans="2:16" ht="38.25" x14ac:dyDescent="0.25">
      <c r="B273" s="443" t="s">
        <v>1689</v>
      </c>
      <c r="C273" s="443" t="s">
        <v>1690</v>
      </c>
      <c r="D273" s="443" t="s">
        <v>1168</v>
      </c>
      <c r="E273" s="475" t="s">
        <v>877</v>
      </c>
      <c r="F273" s="437" t="s">
        <v>130</v>
      </c>
      <c r="G273" s="442">
        <v>1.2</v>
      </c>
      <c r="H273" s="442">
        <v>311.11</v>
      </c>
      <c r="I273" s="442">
        <f t="shared" si="58"/>
        <v>373.33</v>
      </c>
      <c r="J273" s="544">
        <f t="shared" si="59"/>
        <v>0.31090000000000001</v>
      </c>
      <c r="K273" s="442">
        <f t="shared" si="61"/>
        <v>407.83</v>
      </c>
      <c r="L273" s="442">
        <f t="shared" si="60"/>
        <v>489.39</v>
      </c>
      <c r="P273" s="545"/>
    </row>
    <row r="274" spans="2:16" ht="38.25" x14ac:dyDescent="0.25">
      <c r="B274" s="443" t="s">
        <v>1691</v>
      </c>
      <c r="C274" s="443" t="s">
        <v>1692</v>
      </c>
      <c r="D274" s="443" t="s">
        <v>1168</v>
      </c>
      <c r="E274" s="475" t="s">
        <v>876</v>
      </c>
      <c r="F274" s="437" t="s">
        <v>130</v>
      </c>
      <c r="G274" s="442">
        <v>11.4</v>
      </c>
      <c r="H274" s="442">
        <v>539.03</v>
      </c>
      <c r="I274" s="442">
        <f t="shared" si="58"/>
        <v>6144.94</v>
      </c>
      <c r="J274" s="544">
        <f t="shared" si="59"/>
        <v>0.31090000000000001</v>
      </c>
      <c r="K274" s="442">
        <f t="shared" si="61"/>
        <v>706.61</v>
      </c>
      <c r="L274" s="442">
        <f t="shared" si="60"/>
        <v>8055.35</v>
      </c>
      <c r="P274" s="545"/>
    </row>
    <row r="275" spans="2:16" ht="38.25" x14ac:dyDescent="0.25">
      <c r="B275" s="443" t="s">
        <v>1693</v>
      </c>
      <c r="C275" s="443" t="s">
        <v>1694</v>
      </c>
      <c r="D275" s="443" t="s">
        <v>1168</v>
      </c>
      <c r="E275" s="475" t="s">
        <v>878</v>
      </c>
      <c r="F275" s="437" t="s">
        <v>130</v>
      </c>
      <c r="G275" s="442">
        <v>6</v>
      </c>
      <c r="H275" s="442">
        <v>738.03</v>
      </c>
      <c r="I275" s="442">
        <f t="shared" si="58"/>
        <v>4428.18</v>
      </c>
      <c r="J275" s="544">
        <f t="shared" si="59"/>
        <v>0.31090000000000001</v>
      </c>
      <c r="K275" s="442">
        <f t="shared" si="61"/>
        <v>967.48</v>
      </c>
      <c r="L275" s="442">
        <f t="shared" si="60"/>
        <v>5804.88</v>
      </c>
      <c r="P275" s="545"/>
    </row>
    <row r="276" spans="2:16" ht="25.5" x14ac:dyDescent="0.25">
      <c r="B276" s="443" t="s">
        <v>1695</v>
      </c>
      <c r="C276" s="443" t="s">
        <v>1696</v>
      </c>
      <c r="D276" s="443" t="s">
        <v>1168</v>
      </c>
      <c r="E276" s="475" t="s">
        <v>881</v>
      </c>
      <c r="F276" s="437" t="s">
        <v>38</v>
      </c>
      <c r="G276" s="442">
        <v>15</v>
      </c>
      <c r="H276" s="442">
        <v>509.27</v>
      </c>
      <c r="I276" s="442">
        <f t="shared" si="58"/>
        <v>7639.05</v>
      </c>
      <c r="J276" s="544">
        <f t="shared" si="59"/>
        <v>0.31090000000000001</v>
      </c>
      <c r="K276" s="442">
        <f t="shared" si="61"/>
        <v>667.6</v>
      </c>
      <c r="L276" s="442">
        <f t="shared" si="60"/>
        <v>10014</v>
      </c>
      <c r="P276" s="545"/>
    </row>
    <row r="277" spans="2:16" ht="25.5" x14ac:dyDescent="0.25">
      <c r="B277" s="443" t="s">
        <v>1697</v>
      </c>
      <c r="C277" s="443" t="s">
        <v>1698</v>
      </c>
      <c r="D277" s="443" t="s">
        <v>1168</v>
      </c>
      <c r="E277" s="475" t="s">
        <v>884</v>
      </c>
      <c r="F277" s="437" t="s">
        <v>38</v>
      </c>
      <c r="G277" s="442">
        <v>16</v>
      </c>
      <c r="H277" s="442">
        <v>381.79</v>
      </c>
      <c r="I277" s="442">
        <f t="shared" si="58"/>
        <v>6108.64</v>
      </c>
      <c r="J277" s="544">
        <f t="shared" si="59"/>
        <v>0.31090000000000001</v>
      </c>
      <c r="K277" s="442">
        <f t="shared" si="61"/>
        <v>500.48</v>
      </c>
      <c r="L277" s="442">
        <f t="shared" si="60"/>
        <v>8007.68</v>
      </c>
      <c r="P277" s="545"/>
    </row>
    <row r="278" spans="2:16" ht="25.5" x14ac:dyDescent="0.25">
      <c r="B278" s="443" t="s">
        <v>1699</v>
      </c>
      <c r="C278" s="443" t="s">
        <v>1700</v>
      </c>
      <c r="D278" s="443" t="s">
        <v>1168</v>
      </c>
      <c r="E278" s="475" t="s">
        <v>920</v>
      </c>
      <c r="F278" s="437" t="s">
        <v>38</v>
      </c>
      <c r="G278" s="442">
        <v>1</v>
      </c>
      <c r="H278" s="442">
        <v>491481.51</v>
      </c>
      <c r="I278" s="442">
        <f t="shared" si="58"/>
        <v>491481.51</v>
      </c>
      <c r="J278" s="544">
        <f>+$L$6</f>
        <v>0.1978</v>
      </c>
      <c r="K278" s="442">
        <f t="shared" si="61"/>
        <v>588696.55000000005</v>
      </c>
      <c r="L278" s="442">
        <f t="shared" si="60"/>
        <v>588696.55000000005</v>
      </c>
      <c r="P278" s="545"/>
    </row>
    <row r="279" spans="2:16" x14ac:dyDescent="0.25">
      <c r="B279" s="439" t="s">
        <v>1701</v>
      </c>
      <c r="C279" s="439"/>
      <c r="D279" s="439"/>
      <c r="E279" s="474" t="s">
        <v>75</v>
      </c>
      <c r="F279" s="440"/>
      <c r="G279" s="440"/>
      <c r="H279" s="438"/>
      <c r="I279" s="440">
        <f>SUBTOTAL(9,I280:I281)</f>
        <v>12698.55</v>
      </c>
      <c r="J279" s="438"/>
      <c r="K279" s="440">
        <f t="shared" si="61"/>
        <v>0</v>
      </c>
      <c r="L279" s="440">
        <f>SUBTOTAL(9,L280:L281)</f>
        <v>16645.86</v>
      </c>
      <c r="P279" s="545"/>
    </row>
    <row r="280" spans="2:16" ht="25.5" x14ac:dyDescent="0.25">
      <c r="B280" s="443" t="s">
        <v>1702</v>
      </c>
      <c r="C280" s="443" t="s">
        <v>1703</v>
      </c>
      <c r="D280" s="443" t="s">
        <v>993</v>
      </c>
      <c r="E280" s="475" t="s">
        <v>687</v>
      </c>
      <c r="F280" s="437" t="s">
        <v>19</v>
      </c>
      <c r="G280" s="442">
        <v>592.63</v>
      </c>
      <c r="H280" s="442">
        <v>20.91</v>
      </c>
      <c r="I280" s="442">
        <f t="shared" ref="I280:I281" si="62">TRUNC(G280 * H280, 2)</f>
        <v>12391.89</v>
      </c>
      <c r="J280" s="544">
        <f t="shared" si="59"/>
        <v>0.31090000000000001</v>
      </c>
      <c r="K280" s="442">
        <f t="shared" si="61"/>
        <v>27.41</v>
      </c>
      <c r="L280" s="442">
        <f>TRUNC(G280 * K280, 2)</f>
        <v>16243.98</v>
      </c>
      <c r="P280" s="545"/>
    </row>
    <row r="281" spans="2:16" x14ac:dyDescent="0.25">
      <c r="B281" s="443" t="s">
        <v>1704</v>
      </c>
      <c r="C281" s="443" t="s">
        <v>1705</v>
      </c>
      <c r="D281" s="443" t="s">
        <v>993</v>
      </c>
      <c r="E281" s="475" t="s">
        <v>690</v>
      </c>
      <c r="F281" s="437" t="s">
        <v>19</v>
      </c>
      <c r="G281" s="442">
        <v>80.7</v>
      </c>
      <c r="H281" s="442">
        <v>3.8</v>
      </c>
      <c r="I281" s="442">
        <f t="shared" si="62"/>
        <v>306.66000000000003</v>
      </c>
      <c r="J281" s="544">
        <f t="shared" si="59"/>
        <v>0.31090000000000001</v>
      </c>
      <c r="K281" s="442">
        <f t="shared" si="61"/>
        <v>4.9800000000000004</v>
      </c>
      <c r="L281" s="442">
        <f>TRUNC(G281 * K281, 2)</f>
        <v>401.88</v>
      </c>
      <c r="P281" s="545"/>
    </row>
    <row r="282" spans="2:16" ht="13.5" thickBot="1" x14ac:dyDescent="0.3">
      <c r="B282" s="422"/>
      <c r="C282" s="422"/>
      <c r="D282" s="422"/>
      <c r="E282" s="422"/>
      <c r="F282" s="422"/>
      <c r="G282" s="422"/>
      <c r="H282" s="422"/>
      <c r="I282" s="422"/>
      <c r="J282" s="422"/>
      <c r="K282" s="422"/>
      <c r="L282" s="422"/>
      <c r="M282" s="422"/>
    </row>
    <row r="283" spans="2:16" ht="24.95" customHeight="1" x14ac:dyDescent="0.25">
      <c r="B283" s="595"/>
      <c r="C283" s="595"/>
      <c r="D283" s="595"/>
      <c r="E283" s="424"/>
      <c r="F283" s="445"/>
      <c r="G283" s="423"/>
      <c r="H283" s="586" t="s">
        <v>1706</v>
      </c>
      <c r="I283" s="715"/>
      <c r="J283" s="715"/>
      <c r="K283" s="587"/>
      <c r="L283" s="588">
        <f>+SUBTOTAL(9,I9:I281)</f>
        <v>1700763.8999999997</v>
      </c>
      <c r="M283" s="589"/>
    </row>
    <row r="284" spans="2:16" ht="24.95" customHeight="1" x14ac:dyDescent="0.25">
      <c r="B284" s="595"/>
      <c r="C284" s="595"/>
      <c r="D284" s="595"/>
      <c r="E284" s="424"/>
      <c r="F284" s="445"/>
      <c r="G284" s="423"/>
      <c r="H284" s="590" t="s">
        <v>1707</v>
      </c>
      <c r="I284" s="716"/>
      <c r="J284" s="716"/>
      <c r="K284" s="591"/>
      <c r="L284" s="592">
        <f>+L285-L283</f>
        <v>472943.32000000007</v>
      </c>
      <c r="M284" s="593"/>
    </row>
    <row r="285" spans="2:16" ht="24.95" customHeight="1" thickBot="1" x14ac:dyDescent="0.3">
      <c r="B285" s="595"/>
      <c r="C285" s="595"/>
      <c r="D285" s="595"/>
      <c r="E285" s="424"/>
      <c r="F285" s="445"/>
      <c r="G285" s="423"/>
      <c r="H285" s="581" t="s">
        <v>1708</v>
      </c>
      <c r="I285" s="714"/>
      <c r="J285" s="714"/>
      <c r="K285" s="582"/>
      <c r="L285" s="576">
        <f>+SUBTOTAL(9,L9:L281)</f>
        <v>2173707.2199999997</v>
      </c>
      <c r="M285" s="577"/>
      <c r="O285" s="545"/>
    </row>
  </sheetData>
  <mergeCells count="12">
    <mergeCell ref="C5:E6"/>
    <mergeCell ref="B285:D285"/>
    <mergeCell ref="H285:K285"/>
    <mergeCell ref="L285:M285"/>
    <mergeCell ref="B1:L1"/>
    <mergeCell ref="B283:D283"/>
    <mergeCell ref="H283:K283"/>
    <mergeCell ref="L283:M283"/>
    <mergeCell ref="B284:D284"/>
    <mergeCell ref="H284:K284"/>
    <mergeCell ref="L284:M284"/>
    <mergeCell ref="C3:E3"/>
  </mergeCells>
  <printOptions horizontalCentered="1"/>
  <pageMargins left="0.51181102362204722" right="0.51181102362204722" top="0.78740157480314965" bottom="0.78740157480314965" header="0.31496062992125984" footer="0.31496062992125984"/>
  <pageSetup paperSize="9" scale="68"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325E2-FB74-48D0-8101-4A94DE119053}">
  <dimension ref="B1:Y30"/>
  <sheetViews>
    <sheetView showGridLines="0" showZeros="0" view="pageBreakPreview" zoomScaleNormal="100" zoomScaleSheetLayoutView="100"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5" s="69" customFormat="1" ht="20.100000000000001" customHeight="1" x14ac:dyDescent="0.25">
      <c r="B1" s="585" t="s">
        <v>1109</v>
      </c>
      <c r="C1" s="569"/>
      <c r="D1" s="569"/>
      <c r="E1" s="569"/>
      <c r="F1" s="569"/>
      <c r="G1" s="569"/>
      <c r="H1" s="569"/>
      <c r="I1" s="569"/>
      <c r="J1" s="569"/>
      <c r="K1" s="569"/>
      <c r="L1" s="569"/>
      <c r="M1" s="569"/>
      <c r="N1" s="569"/>
      <c r="O1" s="569"/>
      <c r="P1" s="569"/>
    </row>
    <row r="2" spans="2:25" s="69" customFormat="1" ht="20.100000000000001" customHeight="1" x14ac:dyDescent="0.25">
      <c r="B2" s="569"/>
      <c r="C2" s="569"/>
      <c r="D2" s="569"/>
      <c r="E2" s="569"/>
      <c r="F2" s="569"/>
      <c r="G2" s="569"/>
      <c r="H2" s="569"/>
      <c r="I2" s="569"/>
      <c r="J2" s="569"/>
      <c r="K2" s="569"/>
      <c r="L2" s="569"/>
      <c r="M2" s="569"/>
      <c r="N2" s="569"/>
      <c r="O2" s="569"/>
      <c r="P2" s="569"/>
    </row>
    <row r="3" spans="2:25" s="69" customFormat="1" ht="15" customHeight="1" x14ac:dyDescent="0.25"/>
    <row r="4" spans="2:25"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3" t="s">
        <v>96</v>
      </c>
      <c r="O4" s="4" t="str">
        <f>+'DADOS DA OBRA'!$N$22</f>
        <v>04/11/2024</v>
      </c>
      <c r="R4" s="32"/>
      <c r="S4" s="32"/>
      <c r="T4" s="33"/>
      <c r="U4" s="33"/>
    </row>
    <row r="5" spans="2:25" s="5" customFormat="1" ht="20.100000000000001" customHeight="1" x14ac:dyDescent="0.25">
      <c r="B5" s="1" t="s">
        <v>18</v>
      </c>
      <c r="C5" s="2" t="str">
        <f>+""&amp;'DADOS DA OBRA'!$B$16&amp;", "&amp;'DADOS DA OBRA'!$B$19&amp;", "&amp;'DADOS DA OBRA'!$J$19&amp;", "&amp;'DADOS DA OBRA'!$P$19</f>
        <v>RUAS DIVERSAS, DIVERSOS, MATRINCHÃ, GO</v>
      </c>
      <c r="N5" s="3" t="s">
        <v>17</v>
      </c>
      <c r="O5" s="4" t="str">
        <f>'DADOS DA OBRA'!$N$25</f>
        <v>00</v>
      </c>
    </row>
    <row r="6" spans="2:25" s="5" customFormat="1" ht="15" customHeight="1" x14ac:dyDescent="0.25"/>
    <row r="7" spans="2:25" s="5" customFormat="1" ht="20.100000000000001" customHeight="1" x14ac:dyDescent="0.25">
      <c r="B7" s="5" t="s">
        <v>1080</v>
      </c>
      <c r="E7" s="397" t="s">
        <v>1107</v>
      </c>
      <c r="H7" s="397"/>
      <c r="I7" s="397"/>
      <c r="J7" s="397"/>
      <c r="K7" s="397"/>
      <c r="L7" s="397"/>
      <c r="M7" s="397"/>
      <c r="N7" s="397"/>
      <c r="O7" s="397"/>
      <c r="P7" s="397"/>
      <c r="Q7" s="397"/>
      <c r="R7" s="397"/>
      <c r="S7" s="397"/>
      <c r="T7" s="397"/>
      <c r="U7" s="397"/>
      <c r="V7" s="397"/>
      <c r="W7" s="397"/>
      <c r="X7" s="397"/>
      <c r="Y7" s="397"/>
    </row>
    <row r="8" spans="2:25" ht="20.100000000000001" customHeight="1" x14ac:dyDescent="0.25">
      <c r="B8" s="5" t="s">
        <v>1081</v>
      </c>
      <c r="C8" s="5"/>
      <c r="D8" s="5"/>
      <c r="E8" s="396">
        <v>1</v>
      </c>
      <c r="F8" s="385" t="s">
        <v>1082</v>
      </c>
      <c r="G8" s="386">
        <v>0.05</v>
      </c>
      <c r="H8" s="386"/>
      <c r="L8" s="386"/>
      <c r="M8" s="386"/>
      <c r="N8" s="386"/>
      <c r="O8" s="386"/>
      <c r="P8" s="386"/>
      <c r="Q8" s="386"/>
      <c r="R8" s="386"/>
      <c r="S8" s="386"/>
      <c r="T8" s="386"/>
      <c r="U8" s="386"/>
      <c r="V8" s="386"/>
      <c r="W8" s="386"/>
      <c r="X8" s="386"/>
      <c r="Y8" s="386"/>
    </row>
    <row r="9" spans="2:25" ht="20.100000000000001" customHeight="1" thickBot="1" x14ac:dyDescent="0.3">
      <c r="B9" s="306"/>
      <c r="C9" s="306"/>
      <c r="D9" s="306"/>
      <c r="E9" s="306"/>
      <c r="F9" s="306"/>
      <c r="G9" s="306"/>
      <c r="H9" s="306"/>
      <c r="I9" s="306"/>
      <c r="J9" s="306"/>
      <c r="K9" s="306"/>
      <c r="L9" s="306"/>
      <c r="O9" s="89"/>
    </row>
    <row r="10" spans="2:25" s="357" customFormat="1" ht="24" customHeight="1" thickBot="1" x14ac:dyDescent="0.3">
      <c r="B10" s="67"/>
      <c r="C10" s="686" t="s">
        <v>191</v>
      </c>
      <c r="D10" s="687"/>
      <c r="E10" s="688"/>
      <c r="F10" s="692" t="s">
        <v>1083</v>
      </c>
      <c r="G10" s="67"/>
      <c r="H10" s="67"/>
      <c r="I10" s="694" t="s">
        <v>1084</v>
      </c>
      <c r="J10" s="695"/>
      <c r="K10" s="696"/>
      <c r="L10" s="402"/>
      <c r="M10" s="694" t="s">
        <v>1098</v>
      </c>
      <c r="N10" s="695"/>
      <c r="O10" s="696"/>
    </row>
    <row r="11" spans="2:25" s="357" customFormat="1" ht="20.100000000000001" customHeight="1" thickBot="1" x14ac:dyDescent="0.3">
      <c r="B11" s="67"/>
      <c r="C11" s="689"/>
      <c r="D11" s="690"/>
      <c r="E11" s="691"/>
      <c r="F11" s="693"/>
      <c r="G11" s="360"/>
      <c r="H11" s="360"/>
      <c r="I11" s="403" t="s">
        <v>1085</v>
      </c>
      <c r="J11" s="404" t="s">
        <v>1086</v>
      </c>
      <c r="K11" s="405" t="s">
        <v>1087</v>
      </c>
      <c r="M11" s="412">
        <v>20.34</v>
      </c>
      <c r="N11" s="413">
        <v>22.12</v>
      </c>
      <c r="O11" s="414">
        <v>25</v>
      </c>
    </row>
    <row r="12" spans="2:25" s="357" customFormat="1" ht="20.100000000000001" customHeight="1" x14ac:dyDescent="0.25">
      <c r="B12" s="358"/>
      <c r="C12" s="398" t="s">
        <v>1088</v>
      </c>
      <c r="D12" s="399"/>
      <c r="E12" s="399"/>
      <c r="F12" s="400">
        <v>4</v>
      </c>
      <c r="G12" s="359"/>
      <c r="H12" s="68"/>
      <c r="I12" s="406">
        <v>3</v>
      </c>
      <c r="J12" s="407">
        <v>4</v>
      </c>
      <c r="K12" s="408">
        <v>5.5</v>
      </c>
    </row>
    <row r="13" spans="2:25" s="357" customFormat="1" ht="20.100000000000001" customHeight="1" x14ac:dyDescent="0.25">
      <c r="B13" s="358"/>
      <c r="C13" s="398" t="s">
        <v>1089</v>
      </c>
      <c r="D13" s="399"/>
      <c r="E13" s="399"/>
      <c r="F13" s="400">
        <v>0.12</v>
      </c>
      <c r="G13" s="359"/>
      <c r="H13" s="68"/>
      <c r="I13" s="406">
        <v>0.8</v>
      </c>
      <c r="J13" s="407">
        <v>0.8</v>
      </c>
      <c r="K13" s="408">
        <v>1</v>
      </c>
    </row>
    <row r="14" spans="2:25" s="357" customFormat="1" ht="20.100000000000001" customHeight="1" x14ac:dyDescent="0.25">
      <c r="B14" s="358"/>
      <c r="C14" s="398" t="s">
        <v>1090</v>
      </c>
      <c r="D14" s="399"/>
      <c r="E14" s="399"/>
      <c r="F14" s="400">
        <f t="shared" ref="F14:F18" si="0">I14</f>
        <v>0.97</v>
      </c>
      <c r="G14" s="359"/>
      <c r="H14" s="68"/>
      <c r="I14" s="406">
        <v>0.97</v>
      </c>
      <c r="J14" s="407">
        <v>1.27</v>
      </c>
      <c r="K14" s="408">
        <v>1.27</v>
      </c>
    </row>
    <row r="15" spans="2:25" s="357" customFormat="1" ht="20.100000000000001" customHeight="1" x14ac:dyDescent="0.25">
      <c r="B15" s="358"/>
      <c r="C15" s="398" t="s">
        <v>1091</v>
      </c>
      <c r="D15" s="399"/>
      <c r="E15" s="399"/>
      <c r="F15" s="400">
        <v>0.88</v>
      </c>
      <c r="G15" s="359"/>
      <c r="H15" s="68"/>
      <c r="I15" s="406">
        <v>0.59</v>
      </c>
      <c r="J15" s="407">
        <v>1.23</v>
      </c>
      <c r="K15" s="408">
        <v>1.39</v>
      </c>
    </row>
    <row r="16" spans="2:25" s="357" customFormat="1" ht="20.100000000000001" customHeight="1" x14ac:dyDescent="0.25">
      <c r="B16" s="358"/>
      <c r="C16" s="398" t="s">
        <v>1092</v>
      </c>
      <c r="D16" s="399"/>
      <c r="E16" s="399"/>
      <c r="F16" s="400">
        <v>7.4</v>
      </c>
      <c r="G16" s="359"/>
      <c r="H16" s="68"/>
      <c r="I16" s="406">
        <v>6.16</v>
      </c>
      <c r="J16" s="407">
        <v>7.4</v>
      </c>
      <c r="K16" s="408">
        <v>8.9600000000000009</v>
      </c>
    </row>
    <row r="17" spans="2:25" s="357" customFormat="1" ht="20.100000000000001" customHeight="1" x14ac:dyDescent="0.25">
      <c r="B17" s="358"/>
      <c r="C17" s="398" t="s">
        <v>1093</v>
      </c>
      <c r="D17" s="399"/>
      <c r="E17" s="399"/>
      <c r="F17" s="400">
        <f t="shared" si="0"/>
        <v>0.65</v>
      </c>
      <c r="G17" s="359"/>
      <c r="H17" s="68"/>
      <c r="I17" s="406">
        <v>0.65</v>
      </c>
      <c r="J17" s="407">
        <v>0.65</v>
      </c>
      <c r="K17" s="408">
        <v>0.65</v>
      </c>
    </row>
    <row r="18" spans="2:25" s="357" customFormat="1" ht="20.100000000000001" customHeight="1" x14ac:dyDescent="0.25">
      <c r="B18" s="358"/>
      <c r="C18" s="398" t="s">
        <v>1094</v>
      </c>
      <c r="D18" s="399"/>
      <c r="E18" s="399"/>
      <c r="F18" s="400">
        <f t="shared" si="0"/>
        <v>3</v>
      </c>
      <c r="G18" s="359"/>
      <c r="H18" s="68"/>
      <c r="I18" s="406">
        <v>3</v>
      </c>
      <c r="J18" s="407">
        <v>3</v>
      </c>
      <c r="K18" s="408">
        <v>3</v>
      </c>
    </row>
    <row r="19" spans="2:25" s="357" customFormat="1" ht="20.100000000000001" customHeight="1" thickBot="1" x14ac:dyDescent="0.3">
      <c r="B19" s="358"/>
      <c r="C19" s="398" t="s">
        <v>1095</v>
      </c>
      <c r="D19" s="399"/>
      <c r="E19" s="399"/>
      <c r="F19" s="400">
        <v>5</v>
      </c>
      <c r="G19" s="359"/>
      <c r="H19" s="68"/>
      <c r="I19" s="409">
        <v>2</v>
      </c>
      <c r="J19" s="410">
        <v>2</v>
      </c>
      <c r="K19" s="411">
        <v>5</v>
      </c>
    </row>
    <row r="20" spans="2:25" s="357" customFormat="1" ht="20.100000000000001" customHeight="1" x14ac:dyDescent="0.25">
      <c r="B20" s="358"/>
      <c r="C20" s="398" t="s">
        <v>1096</v>
      </c>
      <c r="D20" s="399"/>
      <c r="E20" s="399"/>
      <c r="F20" s="400">
        <v>4.5</v>
      </c>
      <c r="G20" s="359"/>
      <c r="H20" s="68"/>
      <c r="I20" s="367"/>
      <c r="J20" s="183"/>
      <c r="K20" s="68"/>
    </row>
    <row r="21" spans="2:25" s="357" customFormat="1" ht="20.100000000000001" customHeight="1" thickBot="1" x14ac:dyDescent="0.3">
      <c r="B21" s="358"/>
      <c r="C21" s="697" t="s">
        <v>1097</v>
      </c>
      <c r="D21" s="698"/>
      <c r="E21" s="699"/>
      <c r="F21" s="401">
        <f>TRUNC((((((1+F12/100+F13/100+F14/100)*(1+F15/100)*(1+F16/100))/(1-(F17/100+F18/100+F19/100+F20/100)))-1)*100),2)</f>
        <v>31.09</v>
      </c>
      <c r="G21" s="368"/>
      <c r="H21" s="68"/>
      <c r="I21" s="415" t="s">
        <v>1106</v>
      </c>
      <c r="J21" s="5"/>
      <c r="K21" s="5"/>
      <c r="L21" s="5"/>
      <c r="M21" s="5"/>
    </row>
    <row r="22" spans="2:25" s="357" customFormat="1" ht="15" customHeight="1" x14ac:dyDescent="0.25">
      <c r="B22" s="67"/>
      <c r="C22" s="7"/>
      <c r="D22" s="365"/>
      <c r="E22" s="372"/>
      <c r="F22" s="372"/>
      <c r="G22" s="372"/>
      <c r="H22" s="373"/>
      <c r="I22" s="387"/>
      <c r="J22" s="387"/>
      <c r="K22" s="387"/>
    </row>
    <row r="23" spans="2:25" s="357" customFormat="1" ht="20.100000000000001" customHeight="1" x14ac:dyDescent="0.25">
      <c r="B23" s="685" t="s">
        <v>1099</v>
      </c>
      <c r="C23" s="685"/>
      <c r="D23" s="685"/>
      <c r="E23" s="685"/>
      <c r="F23" s="685"/>
      <c r="G23" s="685"/>
      <c r="H23" s="685"/>
      <c r="I23" s="685"/>
      <c r="J23" s="685"/>
      <c r="K23" s="685"/>
      <c r="L23" s="685"/>
      <c r="M23" s="685"/>
      <c r="N23" s="685"/>
      <c r="O23" s="685"/>
      <c r="P23" s="685"/>
      <c r="Q23" s="685"/>
      <c r="R23" s="685"/>
      <c r="S23" s="685"/>
      <c r="T23" s="685"/>
      <c r="U23" s="685"/>
      <c r="V23" s="685"/>
      <c r="W23" s="685"/>
      <c r="X23" s="685"/>
      <c r="Y23" s="685"/>
    </row>
    <row r="24" spans="2:25" s="357" customFormat="1" ht="20.100000000000001" customHeight="1" x14ac:dyDescent="0.25">
      <c r="B24" s="392"/>
      <c r="C24" s="392"/>
      <c r="D24" s="392"/>
      <c r="E24" s="392"/>
      <c r="F24" s="392"/>
      <c r="G24" s="392"/>
      <c r="H24" s="392"/>
      <c r="I24" s="392"/>
      <c r="J24" s="392"/>
      <c r="K24" s="392"/>
      <c r="L24" s="392"/>
      <c r="M24" s="392"/>
      <c r="N24" s="392"/>
      <c r="O24" s="392"/>
      <c r="P24" s="392"/>
      <c r="Q24" s="392"/>
      <c r="R24" s="392"/>
      <c r="S24" s="392"/>
      <c r="T24" s="392"/>
      <c r="U24" s="392"/>
      <c r="V24" s="392"/>
      <c r="W24" s="392"/>
      <c r="X24" s="392"/>
      <c r="Y24" s="392"/>
    </row>
    <row r="25" spans="2:25" s="357" customFormat="1" ht="20.100000000000001" customHeight="1" x14ac:dyDescent="0.25">
      <c r="B25" s="388" t="s">
        <v>1100</v>
      </c>
      <c r="C25" s="393"/>
      <c r="D25" s="393"/>
      <c r="E25" s="393"/>
      <c r="F25" s="393"/>
      <c r="G25" s="393"/>
      <c r="H25" s="393"/>
      <c r="I25" s="393"/>
      <c r="J25" s="389"/>
      <c r="K25" s="389"/>
      <c r="L25" s="389"/>
      <c r="M25" s="394"/>
      <c r="N25" s="394"/>
      <c r="O25" s="394"/>
      <c r="P25" s="395"/>
      <c r="Q25" s="395"/>
      <c r="R25" s="395"/>
      <c r="S25" s="395"/>
      <c r="T25" s="395"/>
      <c r="U25" s="395"/>
      <c r="V25" s="395"/>
      <c r="W25" s="395"/>
      <c r="X25" s="395"/>
      <c r="Y25" s="395"/>
    </row>
    <row r="26" spans="2:25" s="357" customFormat="1" ht="20.100000000000001" customHeight="1" x14ac:dyDescent="0.25">
      <c r="B26" s="388" t="s">
        <v>1101</v>
      </c>
      <c r="C26" s="389"/>
      <c r="D26" s="390"/>
      <c r="E26" s="390"/>
      <c r="F26" s="390"/>
      <c r="G26" s="390"/>
      <c r="H26" s="390"/>
      <c r="I26" s="390"/>
      <c r="J26" s="390"/>
      <c r="K26" s="391"/>
      <c r="L26" s="391"/>
      <c r="M26" s="391"/>
      <c r="N26" s="391"/>
      <c r="O26" s="391"/>
      <c r="P26" s="391"/>
      <c r="Q26" s="391"/>
      <c r="R26" s="391"/>
      <c r="S26" s="391"/>
      <c r="T26" s="391"/>
      <c r="U26" s="391"/>
      <c r="V26" s="391"/>
      <c r="W26" s="391"/>
      <c r="X26" s="391"/>
      <c r="Y26" s="5"/>
    </row>
    <row r="27" spans="2:25" s="357" customFormat="1" ht="20.100000000000001" customHeight="1" x14ac:dyDescent="0.25">
      <c r="B27" s="388" t="s">
        <v>1102</v>
      </c>
      <c r="C27" s="389"/>
      <c r="D27" s="390"/>
      <c r="E27" s="390"/>
      <c r="F27" s="390"/>
      <c r="G27" s="390"/>
      <c r="H27" s="390"/>
      <c r="I27" s="390"/>
      <c r="J27" s="390"/>
      <c r="K27" s="391"/>
      <c r="L27" s="391"/>
      <c r="M27" s="391"/>
      <c r="N27" s="391"/>
      <c r="O27" s="391"/>
      <c r="P27" s="391"/>
      <c r="Q27" s="391"/>
      <c r="R27" s="391"/>
      <c r="S27" s="391"/>
      <c r="T27" s="391"/>
      <c r="U27" s="391"/>
      <c r="V27" s="391"/>
      <c r="W27" s="391"/>
      <c r="X27" s="391"/>
      <c r="Y27" s="5"/>
    </row>
    <row r="28" spans="2:25" s="357" customFormat="1" ht="20.100000000000001" customHeight="1" x14ac:dyDescent="0.25">
      <c r="B28" s="388" t="s">
        <v>1103</v>
      </c>
      <c r="C28" s="393"/>
      <c r="D28" s="393"/>
      <c r="E28" s="393"/>
      <c r="F28" s="393"/>
      <c r="G28" s="393"/>
      <c r="H28" s="393"/>
      <c r="I28" s="393"/>
      <c r="J28" s="389"/>
      <c r="K28" s="389"/>
      <c r="L28" s="389"/>
      <c r="M28" s="394"/>
      <c r="N28" s="394"/>
      <c r="O28" s="394"/>
      <c r="P28" s="395"/>
      <c r="Q28" s="395"/>
      <c r="R28" s="395"/>
      <c r="S28" s="395"/>
      <c r="T28" s="395"/>
      <c r="U28" s="395"/>
      <c r="V28" s="395"/>
      <c r="W28" s="395"/>
      <c r="X28" s="395"/>
      <c r="Y28" s="395"/>
    </row>
    <row r="29" spans="2:25" s="357" customFormat="1" ht="20.100000000000001" customHeight="1" x14ac:dyDescent="0.25">
      <c r="B29" s="388" t="s">
        <v>1104</v>
      </c>
      <c r="C29" s="389"/>
      <c r="D29" s="390"/>
      <c r="E29" s="390"/>
      <c r="F29" s="390"/>
      <c r="G29" s="390"/>
      <c r="H29" s="390"/>
      <c r="I29" s="390"/>
      <c r="J29" s="390"/>
      <c r="K29" s="391"/>
      <c r="L29" s="391"/>
      <c r="M29" s="391"/>
      <c r="N29" s="391"/>
      <c r="O29" s="391"/>
      <c r="P29" s="391"/>
      <c r="Q29" s="391"/>
      <c r="R29" s="391"/>
      <c r="S29" s="391"/>
      <c r="T29" s="391"/>
      <c r="U29" s="391"/>
      <c r="V29" s="391"/>
      <c r="W29" s="391"/>
      <c r="X29" s="391"/>
      <c r="Y29" s="5"/>
    </row>
    <row r="30" spans="2:25" s="357" customFormat="1" ht="20.100000000000001" customHeight="1" x14ac:dyDescent="0.25">
      <c r="B30" s="388" t="s">
        <v>1105</v>
      </c>
      <c r="C30" s="389"/>
      <c r="D30" s="390"/>
      <c r="E30" s="390"/>
      <c r="F30" s="390"/>
      <c r="G30" s="390"/>
      <c r="H30" s="390"/>
      <c r="I30" s="390"/>
      <c r="J30" s="390"/>
      <c r="K30" s="391"/>
      <c r="L30" s="391"/>
      <c r="M30" s="391"/>
      <c r="N30" s="391"/>
      <c r="O30" s="391"/>
      <c r="P30" s="391"/>
      <c r="Q30" s="391"/>
      <c r="R30" s="391"/>
      <c r="S30" s="391"/>
      <c r="T30" s="391"/>
      <c r="U30" s="391"/>
      <c r="V30" s="391"/>
      <c r="W30" s="391"/>
      <c r="X30" s="391"/>
      <c r="Y30" s="5"/>
    </row>
  </sheetData>
  <mergeCells count="8">
    <mergeCell ref="B23:Y23"/>
    <mergeCell ref="B1:P2"/>
    <mergeCell ref="C10:E11"/>
    <mergeCell ref="F10:F11"/>
    <mergeCell ref="I10:K10"/>
    <mergeCell ref="M10:O10"/>
    <mergeCell ref="C21:E21"/>
    <mergeCell ref="C4:M4"/>
  </mergeCells>
  <conditionalFormatting sqref="E7 Q7:Y7">
    <cfRule type="cellIs" dxfId="36" priority="2" stopIfTrue="1" operator="equal">
      <formula>0</formula>
    </cfRule>
  </conditionalFormatting>
  <conditionalFormatting sqref="F12:F18">
    <cfRule type="cellIs" dxfId="35" priority="1" stopIfTrue="1" operator="equal">
      <formula>0</formula>
    </cfRule>
  </conditionalFormatting>
  <printOptions horizontalCentered="1"/>
  <pageMargins left="0.51181102362204722" right="0.51181102362204722" top="0.78740157480314965" bottom="0.78740157480314965" header="0.31496062992125984" footer="0.39370078740157483"/>
  <pageSetup paperSize="9" scale="83" orientation="landscape" r:id="rId1"/>
  <headerFooter>
    <oddHeader>&amp;L&amp;G</oddHeader>
    <oddFooter>&amp;L&amp;"Arial Narrow,Normal"&amp;10&amp;A
&amp;F&amp;R&amp;"Arial Narrow,Normal"&amp;10&amp;P de &amp;N</oddFooter>
  </headerFooter>
  <colBreaks count="1" manualBreakCount="1">
    <brk id="17" max="1048575" man="1"/>
  </colBreaks>
  <drawing r:id="rId2"/>
  <legacyDrawingHF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A0F2B-83C9-4F17-AA2A-773068A226C2}">
  <dimension ref="B1:Y30"/>
  <sheetViews>
    <sheetView showGridLines="0" showZeros="0" view="pageBreakPreview" topLeftCell="A11" zoomScaleNormal="100" zoomScaleSheetLayoutView="100"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5" s="69" customFormat="1" ht="20.100000000000001" customHeight="1" x14ac:dyDescent="0.25">
      <c r="B1" s="585" t="s">
        <v>1108</v>
      </c>
      <c r="C1" s="569"/>
      <c r="D1" s="569"/>
      <c r="E1" s="569"/>
      <c r="F1" s="569"/>
      <c r="G1" s="569"/>
      <c r="H1" s="569"/>
      <c r="I1" s="569"/>
      <c r="J1" s="569"/>
      <c r="K1" s="569"/>
      <c r="L1" s="569"/>
      <c r="M1" s="569"/>
      <c r="N1" s="569"/>
      <c r="O1" s="569"/>
      <c r="P1" s="569"/>
    </row>
    <row r="2" spans="2:25" s="69" customFormat="1" ht="20.100000000000001" customHeight="1" x14ac:dyDescent="0.25">
      <c r="B2" s="569"/>
      <c r="C2" s="569"/>
      <c r="D2" s="569"/>
      <c r="E2" s="569"/>
      <c r="F2" s="569"/>
      <c r="G2" s="569"/>
      <c r="H2" s="569"/>
      <c r="I2" s="569"/>
      <c r="J2" s="569"/>
      <c r="K2" s="569"/>
      <c r="L2" s="569"/>
      <c r="M2" s="569"/>
      <c r="N2" s="569"/>
      <c r="O2" s="569"/>
      <c r="P2" s="569"/>
    </row>
    <row r="3" spans="2:25" s="69" customFormat="1" ht="15" customHeight="1" x14ac:dyDescent="0.25"/>
    <row r="4" spans="2:25"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3" t="s">
        <v>96</v>
      </c>
      <c r="O4" s="4" t="str">
        <f>+'DADOS DA OBRA'!$N$22</f>
        <v>04/11/2024</v>
      </c>
      <c r="R4" s="32"/>
      <c r="S4" s="32"/>
      <c r="T4" s="33"/>
      <c r="U4" s="33"/>
    </row>
    <row r="5" spans="2:25" s="5" customFormat="1" ht="20.100000000000001" customHeight="1" x14ac:dyDescent="0.25">
      <c r="B5" s="1" t="s">
        <v>18</v>
      </c>
      <c r="C5" s="2" t="str">
        <f>+""&amp;'DADOS DA OBRA'!$B$16&amp;", "&amp;'DADOS DA OBRA'!$B$19&amp;", "&amp;'DADOS DA OBRA'!$J$19&amp;", "&amp;'DADOS DA OBRA'!$P$19</f>
        <v>RUAS DIVERSAS, DIVERSOS, MATRINCHÃ, GO</v>
      </c>
      <c r="N5" s="3" t="s">
        <v>17</v>
      </c>
      <c r="O5" s="4" t="str">
        <f>'DADOS DA OBRA'!$N$25</f>
        <v>00</v>
      </c>
    </row>
    <row r="6" spans="2:25" s="5" customFormat="1" ht="15" customHeight="1" x14ac:dyDescent="0.25"/>
    <row r="7" spans="2:25" s="5" customFormat="1" ht="20.100000000000001" customHeight="1" x14ac:dyDescent="0.25">
      <c r="B7" s="5" t="s">
        <v>1080</v>
      </c>
      <c r="E7" s="397" t="s">
        <v>1107</v>
      </c>
      <c r="H7" s="397"/>
      <c r="I7" s="397"/>
      <c r="J7" s="397"/>
      <c r="K7" s="397"/>
      <c r="L7" s="397"/>
      <c r="M7" s="397"/>
      <c r="N7" s="397"/>
      <c r="O7" s="397"/>
      <c r="P7" s="397"/>
      <c r="Q7" s="397"/>
      <c r="R7" s="397"/>
      <c r="S7" s="397"/>
      <c r="T7" s="397"/>
      <c r="U7" s="397"/>
      <c r="V7" s="397"/>
      <c r="W7" s="397"/>
      <c r="X7" s="397"/>
      <c r="Y7" s="397"/>
    </row>
    <row r="8" spans="2:25" ht="20.100000000000001" customHeight="1" x14ac:dyDescent="0.25">
      <c r="B8" s="5" t="s">
        <v>1081</v>
      </c>
      <c r="C8" s="5"/>
      <c r="D8" s="5"/>
      <c r="E8" s="396">
        <v>1</v>
      </c>
      <c r="F8" s="385" t="s">
        <v>1082</v>
      </c>
      <c r="G8" s="386">
        <v>0.05</v>
      </c>
      <c r="H8" s="386"/>
      <c r="L8" s="386"/>
      <c r="M8" s="386"/>
      <c r="N8" s="386"/>
      <c r="O8" s="386"/>
      <c r="P8" s="386"/>
      <c r="Q8" s="386"/>
      <c r="R8" s="386"/>
      <c r="S8" s="386"/>
      <c r="T8" s="386"/>
      <c r="U8" s="386"/>
      <c r="V8" s="386"/>
      <c r="W8" s="386"/>
      <c r="X8" s="386"/>
      <c r="Y8" s="386"/>
    </row>
    <row r="9" spans="2:25" ht="20.100000000000001" customHeight="1" thickBot="1" x14ac:dyDescent="0.3">
      <c r="B9" s="306"/>
      <c r="C9" s="306"/>
      <c r="D9" s="306"/>
      <c r="E9" s="306"/>
      <c r="F9" s="306"/>
      <c r="G9" s="306"/>
      <c r="H9" s="306"/>
      <c r="I9" s="306"/>
      <c r="J9" s="306"/>
      <c r="K9" s="306"/>
      <c r="L9" s="306"/>
      <c r="O9" s="89"/>
    </row>
    <row r="10" spans="2:25" s="357" customFormat="1" ht="24" customHeight="1" thickBot="1" x14ac:dyDescent="0.3">
      <c r="B10" s="67"/>
      <c r="C10" s="686" t="s">
        <v>191</v>
      </c>
      <c r="D10" s="687"/>
      <c r="E10" s="688"/>
      <c r="F10" s="692" t="s">
        <v>1083</v>
      </c>
      <c r="G10" s="67"/>
      <c r="H10" s="67"/>
      <c r="I10" s="694" t="s">
        <v>1084</v>
      </c>
      <c r="J10" s="695"/>
      <c r="K10" s="696"/>
      <c r="L10" s="402"/>
      <c r="M10" s="694" t="s">
        <v>1098</v>
      </c>
      <c r="N10" s="695"/>
      <c r="O10" s="696"/>
    </row>
    <row r="11" spans="2:25" s="357" customFormat="1" ht="20.100000000000001" customHeight="1" thickBot="1" x14ac:dyDescent="0.3">
      <c r="B11" s="67"/>
      <c r="C11" s="689"/>
      <c r="D11" s="690"/>
      <c r="E11" s="691"/>
      <c r="F11" s="693"/>
      <c r="G11" s="360"/>
      <c r="H11" s="360"/>
      <c r="I11" s="403" t="s">
        <v>1085</v>
      </c>
      <c r="J11" s="404" t="s">
        <v>1086</v>
      </c>
      <c r="K11" s="405" t="s">
        <v>1087</v>
      </c>
      <c r="M11" s="412">
        <v>11.1</v>
      </c>
      <c r="N11" s="413">
        <v>14.02</v>
      </c>
      <c r="O11" s="414">
        <v>16.8</v>
      </c>
    </row>
    <row r="12" spans="2:25" s="357" customFormat="1" ht="20.100000000000001" customHeight="1" x14ac:dyDescent="0.25">
      <c r="B12" s="358"/>
      <c r="C12" s="398" t="s">
        <v>1088</v>
      </c>
      <c r="D12" s="399"/>
      <c r="E12" s="399"/>
      <c r="F12" s="400">
        <v>3.45</v>
      </c>
      <c r="G12" s="359"/>
      <c r="H12" s="68"/>
      <c r="I12" s="406">
        <v>1.5</v>
      </c>
      <c r="J12" s="407">
        <v>3.45</v>
      </c>
      <c r="K12" s="408">
        <v>4.49</v>
      </c>
    </row>
    <row r="13" spans="2:25" s="357" customFormat="1" ht="20.100000000000001" customHeight="1" x14ac:dyDescent="0.25">
      <c r="B13" s="358"/>
      <c r="C13" s="398" t="s">
        <v>1089</v>
      </c>
      <c r="D13" s="399"/>
      <c r="E13" s="399"/>
      <c r="F13" s="400">
        <v>0.06</v>
      </c>
      <c r="G13" s="359"/>
      <c r="H13" s="68"/>
      <c r="I13" s="406">
        <v>0.3</v>
      </c>
      <c r="J13" s="407">
        <v>0.48</v>
      </c>
      <c r="K13" s="408">
        <v>0.82</v>
      </c>
    </row>
    <row r="14" spans="2:25" s="357" customFormat="1" ht="20.100000000000001" customHeight="1" x14ac:dyDescent="0.25">
      <c r="B14" s="358"/>
      <c r="C14" s="398" t="s">
        <v>1090</v>
      </c>
      <c r="D14" s="399"/>
      <c r="E14" s="399"/>
      <c r="F14" s="400">
        <f t="shared" ref="F14:F18" si="0">I14</f>
        <v>0.56000000000000005</v>
      </c>
      <c r="G14" s="359"/>
      <c r="H14" s="68"/>
      <c r="I14" s="406">
        <v>0.56000000000000005</v>
      </c>
      <c r="J14" s="407">
        <v>0.85</v>
      </c>
      <c r="K14" s="408">
        <v>0.89</v>
      </c>
    </row>
    <row r="15" spans="2:25" s="357" customFormat="1" ht="20.100000000000001" customHeight="1" x14ac:dyDescent="0.25">
      <c r="B15" s="358"/>
      <c r="C15" s="398" t="s">
        <v>1091</v>
      </c>
      <c r="D15" s="399"/>
      <c r="E15" s="399"/>
      <c r="F15" s="400">
        <v>0.88</v>
      </c>
      <c r="G15" s="359"/>
      <c r="H15" s="68"/>
      <c r="I15" s="406">
        <v>0.85</v>
      </c>
      <c r="J15" s="407">
        <v>0.85</v>
      </c>
      <c r="K15" s="408">
        <v>1.1100000000000001</v>
      </c>
    </row>
    <row r="16" spans="2:25" s="357" customFormat="1" ht="20.100000000000001" customHeight="1" x14ac:dyDescent="0.25">
      <c r="B16" s="358"/>
      <c r="C16" s="398" t="s">
        <v>1092</v>
      </c>
      <c r="D16" s="399"/>
      <c r="E16" s="399"/>
      <c r="F16" s="400">
        <v>4.8</v>
      </c>
      <c r="G16" s="359"/>
      <c r="H16" s="68"/>
      <c r="I16" s="406">
        <v>3.5</v>
      </c>
      <c r="J16" s="407">
        <v>5.1100000000000003</v>
      </c>
      <c r="K16" s="408">
        <v>6.22</v>
      </c>
    </row>
    <row r="17" spans="2:25" s="357" customFormat="1" ht="20.100000000000001" customHeight="1" x14ac:dyDescent="0.25">
      <c r="B17" s="358"/>
      <c r="C17" s="398" t="s">
        <v>1093</v>
      </c>
      <c r="D17" s="399"/>
      <c r="E17" s="399"/>
      <c r="F17" s="400">
        <f t="shared" si="0"/>
        <v>0.65</v>
      </c>
      <c r="G17" s="359"/>
      <c r="H17" s="68"/>
      <c r="I17" s="406">
        <v>0.65</v>
      </c>
      <c r="J17" s="407">
        <v>0.65</v>
      </c>
      <c r="K17" s="408">
        <v>0.65</v>
      </c>
    </row>
    <row r="18" spans="2:25" s="357" customFormat="1" ht="20.100000000000001" customHeight="1" x14ac:dyDescent="0.25">
      <c r="B18" s="358"/>
      <c r="C18" s="398" t="s">
        <v>1094</v>
      </c>
      <c r="D18" s="399"/>
      <c r="E18" s="399"/>
      <c r="F18" s="400">
        <f t="shared" si="0"/>
        <v>3</v>
      </c>
      <c r="G18" s="359"/>
      <c r="H18" s="68"/>
      <c r="I18" s="406">
        <v>3</v>
      </c>
      <c r="J18" s="407">
        <v>3</v>
      </c>
      <c r="K18" s="408">
        <v>3</v>
      </c>
    </row>
    <row r="19" spans="2:25" s="357" customFormat="1" ht="20.100000000000001" customHeight="1" thickBot="1" x14ac:dyDescent="0.3">
      <c r="B19" s="358"/>
      <c r="C19" s="398" t="s">
        <v>1095</v>
      </c>
      <c r="D19" s="399"/>
      <c r="E19" s="399"/>
      <c r="F19" s="400"/>
      <c r="G19" s="359"/>
      <c r="H19" s="68"/>
      <c r="I19" s="409">
        <v>2</v>
      </c>
      <c r="J19" s="410">
        <v>2</v>
      </c>
      <c r="K19" s="411">
        <v>5</v>
      </c>
    </row>
    <row r="20" spans="2:25" s="357" customFormat="1" ht="20.100000000000001" customHeight="1" x14ac:dyDescent="0.25">
      <c r="B20" s="358"/>
      <c r="C20" s="398" t="s">
        <v>1096</v>
      </c>
      <c r="D20" s="399"/>
      <c r="E20" s="399"/>
      <c r="F20" s="400">
        <v>4.5</v>
      </c>
      <c r="G20" s="359"/>
      <c r="H20" s="68"/>
      <c r="I20" s="367"/>
      <c r="J20" s="183"/>
      <c r="K20" s="68"/>
    </row>
    <row r="21" spans="2:25" s="357" customFormat="1" ht="20.100000000000001" customHeight="1" thickBot="1" x14ac:dyDescent="0.3">
      <c r="B21" s="358"/>
      <c r="C21" s="697" t="s">
        <v>1097</v>
      </c>
      <c r="D21" s="698"/>
      <c r="E21" s="699"/>
      <c r="F21" s="401">
        <f>TRUNC((((((1+F12/100+F13/100+F14/100)*(1+F15/100)*(1+F16/100))/(1-(F17/100+F18/100+F19/100+F20/100)))-1)*100),2)</f>
        <v>19.78</v>
      </c>
      <c r="G21" s="368"/>
      <c r="H21" s="68"/>
      <c r="I21" s="415" t="s">
        <v>1106</v>
      </c>
      <c r="J21" s="5"/>
      <c r="K21" s="5"/>
      <c r="L21" s="5"/>
      <c r="M21" s="5"/>
    </row>
    <row r="22" spans="2:25" s="357" customFormat="1" ht="20.100000000000001" customHeight="1" x14ac:dyDescent="0.25">
      <c r="B22" s="67"/>
      <c r="C22" s="7"/>
      <c r="D22" s="365"/>
      <c r="E22" s="372"/>
      <c r="F22" s="372"/>
      <c r="G22" s="372"/>
      <c r="H22" s="373"/>
      <c r="I22" s="387"/>
      <c r="J22" s="387"/>
      <c r="K22" s="387"/>
    </row>
    <row r="23" spans="2:25" s="357" customFormat="1" ht="20.100000000000001" customHeight="1" x14ac:dyDescent="0.25">
      <c r="B23" s="685" t="s">
        <v>1099</v>
      </c>
      <c r="C23" s="685"/>
      <c r="D23" s="685"/>
      <c r="E23" s="685"/>
      <c r="F23" s="685"/>
      <c r="G23" s="685"/>
      <c r="H23" s="685"/>
      <c r="I23" s="685"/>
      <c r="J23" s="685"/>
      <c r="K23" s="685"/>
      <c r="L23" s="685"/>
      <c r="M23" s="685"/>
      <c r="N23" s="685"/>
      <c r="O23" s="685"/>
      <c r="P23" s="685"/>
      <c r="Q23" s="685"/>
      <c r="R23" s="685"/>
      <c r="S23" s="685"/>
      <c r="T23" s="685"/>
      <c r="U23" s="685"/>
      <c r="V23" s="685"/>
      <c r="W23" s="685"/>
      <c r="X23" s="685"/>
      <c r="Y23" s="685"/>
    </row>
    <row r="24" spans="2:25" s="357" customFormat="1" ht="15" customHeight="1" x14ac:dyDescent="0.25">
      <c r="B24" s="392"/>
      <c r="C24" s="392"/>
      <c r="D24" s="392"/>
      <c r="E24" s="392"/>
      <c r="F24" s="392"/>
      <c r="G24" s="392"/>
      <c r="H24" s="392"/>
      <c r="I24" s="392"/>
      <c r="J24" s="392"/>
      <c r="K24" s="392"/>
      <c r="L24" s="392"/>
      <c r="M24" s="392"/>
      <c r="N24" s="392"/>
      <c r="O24" s="392"/>
      <c r="P24" s="392"/>
      <c r="Q24" s="392"/>
      <c r="R24" s="392"/>
      <c r="S24" s="392"/>
      <c r="T24" s="392"/>
      <c r="U24" s="392"/>
      <c r="V24" s="392"/>
      <c r="W24" s="392"/>
      <c r="X24" s="392"/>
      <c r="Y24" s="392"/>
    </row>
    <row r="25" spans="2:25" s="357" customFormat="1" ht="20.100000000000001" customHeight="1" x14ac:dyDescent="0.25">
      <c r="B25" s="388" t="s">
        <v>1100</v>
      </c>
      <c r="C25" s="393"/>
      <c r="D25" s="393"/>
      <c r="E25" s="393"/>
      <c r="F25" s="393"/>
      <c r="G25" s="393"/>
      <c r="H25" s="393"/>
      <c r="I25" s="393"/>
      <c r="J25" s="389"/>
      <c r="K25" s="389"/>
      <c r="L25" s="389"/>
      <c r="M25" s="394"/>
      <c r="N25" s="394"/>
      <c r="O25" s="394"/>
      <c r="P25" s="395"/>
      <c r="Q25" s="395"/>
      <c r="R25" s="395"/>
      <c r="S25" s="395"/>
      <c r="T25" s="395"/>
      <c r="U25" s="395"/>
      <c r="V25" s="395"/>
      <c r="W25" s="395"/>
      <c r="X25" s="395"/>
      <c r="Y25" s="395"/>
    </row>
    <row r="26" spans="2:25" s="357" customFormat="1" ht="20.100000000000001" customHeight="1" x14ac:dyDescent="0.25">
      <c r="B26" s="388" t="s">
        <v>1101</v>
      </c>
      <c r="C26" s="389"/>
      <c r="D26" s="390"/>
      <c r="E26" s="390"/>
      <c r="F26" s="390"/>
      <c r="G26" s="390"/>
      <c r="H26" s="390"/>
      <c r="I26" s="390"/>
      <c r="J26" s="390"/>
      <c r="K26" s="391"/>
      <c r="L26" s="391"/>
      <c r="M26" s="391"/>
      <c r="N26" s="391"/>
      <c r="O26" s="391"/>
      <c r="P26" s="391"/>
      <c r="Q26" s="391"/>
      <c r="R26" s="391"/>
      <c r="S26" s="391"/>
      <c r="T26" s="391"/>
      <c r="U26" s="391"/>
      <c r="V26" s="391"/>
      <c r="W26" s="391"/>
      <c r="X26" s="391"/>
      <c r="Y26" s="5"/>
    </row>
    <row r="27" spans="2:25" s="357" customFormat="1" ht="20.100000000000001" customHeight="1" x14ac:dyDescent="0.25">
      <c r="B27" s="388" t="s">
        <v>1102</v>
      </c>
      <c r="C27" s="389"/>
      <c r="D27" s="390"/>
      <c r="E27" s="390"/>
      <c r="F27" s="390"/>
      <c r="G27" s="390"/>
      <c r="H27" s="390"/>
      <c r="I27" s="390"/>
      <c r="J27" s="390"/>
      <c r="K27" s="391"/>
      <c r="L27" s="391"/>
      <c r="M27" s="391"/>
      <c r="N27" s="391"/>
      <c r="O27" s="391"/>
      <c r="P27" s="391"/>
      <c r="Q27" s="391"/>
      <c r="R27" s="391"/>
      <c r="S27" s="391"/>
      <c r="T27" s="391"/>
      <c r="U27" s="391"/>
      <c r="V27" s="391"/>
      <c r="W27" s="391"/>
      <c r="X27" s="391"/>
      <c r="Y27" s="5"/>
    </row>
    <row r="28" spans="2:25" s="357" customFormat="1" ht="20.100000000000001" customHeight="1" x14ac:dyDescent="0.25">
      <c r="B28" s="388" t="s">
        <v>1103</v>
      </c>
      <c r="C28" s="393"/>
      <c r="D28" s="393"/>
      <c r="E28" s="393"/>
      <c r="F28" s="393"/>
      <c r="G28" s="393"/>
      <c r="H28" s="393"/>
      <c r="I28" s="393"/>
      <c r="J28" s="389"/>
      <c r="K28" s="389"/>
      <c r="L28" s="389"/>
      <c r="M28" s="394"/>
      <c r="N28" s="394"/>
      <c r="O28" s="394"/>
      <c r="P28" s="395"/>
      <c r="Q28" s="395"/>
      <c r="R28" s="395"/>
      <c r="S28" s="395"/>
      <c r="T28" s="395"/>
      <c r="U28" s="395"/>
      <c r="V28" s="395"/>
      <c r="W28" s="395"/>
      <c r="X28" s="395"/>
      <c r="Y28" s="395"/>
    </row>
    <row r="29" spans="2:25" s="357" customFormat="1" ht="20.100000000000001" customHeight="1" x14ac:dyDescent="0.25">
      <c r="B29" s="388" t="s">
        <v>1104</v>
      </c>
      <c r="C29" s="389"/>
      <c r="D29" s="390"/>
      <c r="E29" s="390"/>
      <c r="F29" s="390"/>
      <c r="G29" s="390"/>
      <c r="H29" s="390"/>
      <c r="I29" s="390"/>
      <c r="J29" s="390"/>
      <c r="K29" s="391"/>
      <c r="L29" s="391"/>
      <c r="M29" s="391"/>
      <c r="N29" s="391"/>
      <c r="O29" s="391"/>
      <c r="P29" s="391"/>
      <c r="Q29" s="391"/>
      <c r="R29" s="391"/>
      <c r="S29" s="391"/>
      <c r="T29" s="391"/>
      <c r="U29" s="391"/>
      <c r="V29" s="391"/>
      <c r="W29" s="391"/>
      <c r="X29" s="391"/>
      <c r="Y29" s="5"/>
    </row>
    <row r="30" spans="2:25" s="357" customFormat="1" ht="20.100000000000001" customHeight="1" x14ac:dyDescent="0.25">
      <c r="B30" s="388" t="s">
        <v>1105</v>
      </c>
      <c r="C30" s="389"/>
      <c r="D30" s="390"/>
      <c r="E30" s="390"/>
      <c r="F30" s="390"/>
      <c r="G30" s="390"/>
      <c r="H30" s="390"/>
      <c r="I30" s="390"/>
      <c r="J30" s="390"/>
      <c r="K30" s="391"/>
      <c r="L30" s="391"/>
      <c r="M30" s="391"/>
      <c r="N30" s="391"/>
      <c r="O30" s="391"/>
      <c r="P30" s="391"/>
      <c r="Q30" s="391"/>
      <c r="R30" s="391"/>
      <c r="S30" s="391"/>
      <c r="T30" s="391"/>
      <c r="U30" s="391"/>
      <c r="V30" s="391"/>
      <c r="W30" s="391"/>
      <c r="X30" s="391"/>
      <c r="Y30" s="5"/>
    </row>
  </sheetData>
  <mergeCells count="8">
    <mergeCell ref="B1:P2"/>
    <mergeCell ref="B23:Y23"/>
    <mergeCell ref="F10:F11"/>
    <mergeCell ref="C10:E11"/>
    <mergeCell ref="C21:E21"/>
    <mergeCell ref="I10:K10"/>
    <mergeCell ref="M10:O10"/>
    <mergeCell ref="C4:M4"/>
  </mergeCells>
  <conditionalFormatting sqref="E7 Q7:Y7">
    <cfRule type="cellIs" dxfId="34" priority="2" stopIfTrue="1" operator="equal">
      <formula>0</formula>
    </cfRule>
  </conditionalFormatting>
  <conditionalFormatting sqref="F12:F18">
    <cfRule type="cellIs" dxfId="33" priority="1" stopIfTrue="1" operator="equal">
      <formula>0</formula>
    </cfRule>
  </conditionalFormatting>
  <printOptions horizontalCentered="1"/>
  <pageMargins left="0.51181102362204722" right="0.51181102362204722" top="0.78740157480314965" bottom="0.78740157480314965" header="0.31496062992125984" footer="0.39370078740157483"/>
  <pageSetup paperSize="9" scale="83" orientation="landscape" r:id="rId1"/>
  <headerFooter>
    <oddHeader>&amp;L&amp;G</oddHeader>
    <oddFooter>&amp;L&amp;"Arial Narrow,Normal"&amp;10&amp;A
&amp;F&amp;R&amp;"Arial Narrow,Normal"&amp;10&amp;P de &amp;N</oddFooter>
  </headerFooter>
  <colBreaks count="1" manualBreakCount="1">
    <brk id="17" max="1048575" man="1"/>
  </colBreaks>
  <drawing r:id="rId2"/>
  <legacyDrawingHF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ABCCE-482C-42C5-B43E-D8A4D09FE771}">
  <dimension ref="B1:U27"/>
  <sheetViews>
    <sheetView showGridLines="0" showZeros="0" view="pageBreakPreview" zoomScaleNormal="100" zoomScaleSheetLayoutView="100"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1" s="69" customFormat="1" ht="20.100000000000001" customHeight="1" x14ac:dyDescent="0.25">
      <c r="B1" s="569"/>
      <c r="C1" s="569"/>
      <c r="D1" s="569"/>
      <c r="E1" s="569"/>
      <c r="F1" s="569"/>
      <c r="G1" s="569"/>
      <c r="H1" s="569"/>
      <c r="I1" s="569"/>
      <c r="J1" s="569"/>
      <c r="K1" s="569"/>
      <c r="L1" s="569"/>
      <c r="M1" s="569"/>
      <c r="N1" s="569"/>
      <c r="O1" s="569"/>
      <c r="P1" s="569"/>
    </row>
    <row r="2" spans="2:21" s="69" customFormat="1" ht="20.100000000000001" customHeight="1" x14ac:dyDescent="0.25">
      <c r="B2" s="569"/>
      <c r="C2" s="569"/>
      <c r="D2" s="569"/>
      <c r="E2" s="569"/>
      <c r="F2" s="569"/>
      <c r="G2" s="569"/>
      <c r="H2" s="569"/>
      <c r="I2" s="569"/>
      <c r="J2" s="569"/>
      <c r="K2" s="569"/>
      <c r="L2" s="569"/>
      <c r="M2" s="569"/>
      <c r="N2" s="569"/>
      <c r="O2" s="569"/>
      <c r="P2" s="569"/>
    </row>
    <row r="3" spans="2:21" s="69" customFormat="1" ht="20.100000000000001" customHeight="1" x14ac:dyDescent="0.25"/>
    <row r="4" spans="2:21" s="5" customFormat="1" ht="20.100000000000001" customHeight="1" x14ac:dyDescent="0.25">
      <c r="B4" s="1"/>
      <c r="C4" s="2"/>
      <c r="E4" s="2"/>
      <c r="F4" s="2"/>
      <c r="G4" s="2"/>
      <c r="H4" s="2"/>
      <c r="I4" s="2"/>
      <c r="J4" s="2"/>
      <c r="K4" s="2"/>
      <c r="L4" s="2"/>
      <c r="N4" s="3"/>
      <c r="O4" s="4"/>
      <c r="R4" s="32"/>
      <c r="S4" s="32"/>
      <c r="T4" s="33"/>
      <c r="U4" s="33"/>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39"/>
      <c r="N7" s="3"/>
      <c r="O7" s="64"/>
    </row>
    <row r="8" spans="2:21" s="67" customFormat="1" ht="20.100000000000001" customHeight="1" x14ac:dyDescent="0.25">
      <c r="B8" s="52"/>
      <c r="C8" s="53"/>
      <c r="D8" s="9"/>
      <c r="E8" s="9"/>
      <c r="F8" s="9"/>
      <c r="G8" s="10"/>
      <c r="H8" s="10"/>
      <c r="I8" s="10"/>
      <c r="J8" s="10"/>
      <c r="K8" s="9"/>
      <c r="M8" s="10"/>
      <c r="N8" s="10"/>
    </row>
    <row r="9" spans="2:21" ht="20.100000000000001" customHeight="1" x14ac:dyDescent="0.25">
      <c r="B9" s="306"/>
      <c r="C9" s="570" t="s">
        <v>1079</v>
      </c>
      <c r="D9" s="570"/>
      <c r="E9" s="570"/>
      <c r="F9" s="570"/>
      <c r="G9" s="570"/>
      <c r="H9" s="570"/>
      <c r="I9" s="570"/>
      <c r="J9" s="570"/>
      <c r="K9" s="570"/>
      <c r="L9" s="570"/>
      <c r="M9" s="570"/>
      <c r="N9" s="570"/>
      <c r="O9" s="90"/>
    </row>
    <row r="10" spans="2:21" ht="20.100000000000001" customHeight="1" x14ac:dyDescent="0.25">
      <c r="B10" s="306"/>
      <c r="C10" s="570"/>
      <c r="D10" s="570"/>
      <c r="E10" s="570"/>
      <c r="F10" s="570"/>
      <c r="G10" s="570"/>
      <c r="H10" s="570"/>
      <c r="I10" s="570"/>
      <c r="J10" s="570"/>
      <c r="K10" s="570"/>
      <c r="L10" s="570"/>
      <c r="M10" s="570"/>
      <c r="N10" s="570"/>
      <c r="O10" s="90"/>
    </row>
    <row r="11" spans="2:21" ht="20.100000000000001" customHeight="1" x14ac:dyDescent="0.25">
      <c r="B11" s="306"/>
      <c r="C11" s="306"/>
      <c r="D11" s="309"/>
      <c r="E11" s="308"/>
      <c r="F11" s="306"/>
      <c r="G11" s="306"/>
      <c r="H11" s="306"/>
      <c r="I11" s="306"/>
      <c r="J11" s="306"/>
      <c r="K11" s="306"/>
      <c r="L11" s="309"/>
      <c r="M11" s="308"/>
      <c r="N11" s="306"/>
      <c r="O11" s="90"/>
    </row>
    <row r="12" spans="2:21" ht="20.100000000000001" customHeight="1" x14ac:dyDescent="0.25">
      <c r="B12" s="306"/>
      <c r="C12" s="306"/>
      <c r="D12" s="309"/>
      <c r="E12" s="308"/>
      <c r="F12" s="306"/>
      <c r="G12" s="306"/>
      <c r="H12" s="306"/>
      <c r="I12" s="306"/>
      <c r="J12" s="306"/>
      <c r="K12" s="306"/>
      <c r="L12" s="309"/>
      <c r="M12" s="308"/>
      <c r="N12" s="306"/>
      <c r="O12" s="90"/>
    </row>
    <row r="13" spans="2:21" ht="20.100000000000001" customHeight="1" x14ac:dyDescent="0.25">
      <c r="B13" s="306"/>
      <c r="C13" s="306"/>
      <c r="D13" s="309"/>
      <c r="E13" s="308"/>
      <c r="F13" s="306"/>
      <c r="G13" s="306"/>
      <c r="H13" s="306"/>
      <c r="I13" s="306"/>
      <c r="J13" s="306"/>
      <c r="K13" s="306"/>
      <c r="L13" s="309"/>
      <c r="M13" s="308"/>
      <c r="N13" s="306"/>
      <c r="O13" s="90"/>
    </row>
    <row r="14" spans="2:21" ht="20.100000000000001" customHeight="1" x14ac:dyDescent="0.25">
      <c r="B14" s="306"/>
      <c r="C14" s="306"/>
      <c r="D14" s="309"/>
      <c r="E14" s="308"/>
      <c r="F14" s="306"/>
      <c r="G14" s="306"/>
      <c r="H14" s="306"/>
      <c r="I14" s="306"/>
      <c r="J14" s="306"/>
      <c r="K14" s="306"/>
      <c r="L14" s="309"/>
      <c r="M14" s="308"/>
      <c r="N14" s="306"/>
      <c r="O14" s="90"/>
    </row>
    <row r="15" spans="2:21" ht="20.100000000000001" customHeight="1" x14ac:dyDescent="0.25">
      <c r="B15" s="306"/>
      <c r="C15" s="298"/>
      <c r="D15" s="310"/>
      <c r="E15" s="311"/>
      <c r="F15" s="298"/>
      <c r="G15" s="306"/>
      <c r="H15" s="306"/>
      <c r="I15" s="306"/>
      <c r="J15" s="306"/>
      <c r="K15" s="298"/>
      <c r="L15" s="310"/>
      <c r="M15" s="311"/>
      <c r="N15" s="298"/>
      <c r="O15" s="90"/>
    </row>
    <row r="16" spans="2:21" s="67" customFormat="1" ht="20.100000000000001" customHeight="1" x14ac:dyDescent="0.25">
      <c r="B16" s="52"/>
      <c r="C16" s="53"/>
      <c r="D16" s="9"/>
      <c r="E16" s="9"/>
      <c r="F16" s="9"/>
      <c r="G16" s="10"/>
      <c r="H16" s="10"/>
      <c r="I16" s="10"/>
      <c r="J16" s="10"/>
      <c r="K16" s="9"/>
      <c r="M16" s="10"/>
      <c r="N16" s="10"/>
    </row>
    <row r="17" spans="2:15" ht="20.100000000000001" customHeight="1" x14ac:dyDescent="0.25">
      <c r="B17" s="306"/>
      <c r="C17" s="307"/>
      <c r="D17" s="306"/>
      <c r="E17" s="306"/>
      <c r="F17" s="306"/>
      <c r="G17" s="306"/>
      <c r="H17" s="306"/>
      <c r="I17" s="306"/>
      <c r="J17" s="306"/>
      <c r="K17" s="193"/>
      <c r="L17" s="306"/>
      <c r="M17" s="306"/>
      <c r="N17" s="306"/>
      <c r="O17" s="90"/>
    </row>
    <row r="18" spans="2:15" ht="20.100000000000001" customHeight="1" x14ac:dyDescent="0.25">
      <c r="B18" s="306"/>
      <c r="C18" s="306"/>
      <c r="D18" s="309"/>
      <c r="E18" s="308"/>
      <c r="F18" s="306"/>
      <c r="G18" s="306"/>
      <c r="H18" s="306"/>
      <c r="I18" s="306"/>
      <c r="J18" s="306"/>
      <c r="K18" s="306"/>
      <c r="L18" s="309"/>
      <c r="M18" s="308"/>
      <c r="N18" s="306"/>
      <c r="O18" s="90"/>
    </row>
    <row r="19" spans="2:15" ht="20.100000000000001" customHeight="1" x14ac:dyDescent="0.25">
      <c r="B19" s="306"/>
      <c r="C19" s="306"/>
      <c r="D19" s="309"/>
      <c r="E19" s="308"/>
      <c r="F19" s="306"/>
      <c r="G19" s="306"/>
      <c r="H19" s="306"/>
      <c r="I19" s="306"/>
      <c r="J19" s="306"/>
      <c r="K19" s="306"/>
      <c r="L19" s="309"/>
      <c r="M19" s="308"/>
      <c r="N19" s="306"/>
      <c r="O19" s="90"/>
    </row>
    <row r="20" spans="2:15" ht="20.100000000000001" customHeight="1" x14ac:dyDescent="0.25">
      <c r="B20" s="306"/>
      <c r="C20" s="306"/>
      <c r="D20" s="309"/>
      <c r="E20" s="308"/>
      <c r="F20" s="306"/>
      <c r="G20" s="306"/>
      <c r="H20" s="306"/>
      <c r="I20" s="306"/>
      <c r="J20" s="306"/>
      <c r="K20" s="306"/>
      <c r="L20" s="309"/>
      <c r="M20" s="308"/>
      <c r="N20" s="306"/>
      <c r="O20" s="90"/>
    </row>
    <row r="21" spans="2:15" ht="20.100000000000001" customHeight="1" x14ac:dyDescent="0.25">
      <c r="B21" s="306"/>
      <c r="C21" s="306"/>
      <c r="D21" s="309"/>
      <c r="E21" s="308"/>
      <c r="F21" s="306"/>
      <c r="G21" s="306"/>
      <c r="H21" s="306"/>
      <c r="I21" s="306"/>
      <c r="J21" s="306"/>
      <c r="K21" s="306"/>
      <c r="L21" s="309"/>
      <c r="M21" s="308"/>
      <c r="N21" s="306"/>
      <c r="O21" s="90"/>
    </row>
    <row r="22" spans="2:15" ht="20.100000000000001" customHeight="1" x14ac:dyDescent="0.25">
      <c r="B22" s="306"/>
      <c r="C22" s="306"/>
      <c r="D22" s="309"/>
      <c r="E22" s="308"/>
      <c r="F22" s="306"/>
      <c r="G22" s="306"/>
      <c r="H22" s="306"/>
      <c r="I22" s="306"/>
      <c r="J22" s="306"/>
      <c r="K22" s="306"/>
      <c r="L22" s="309"/>
      <c r="M22" s="308"/>
      <c r="N22" s="306"/>
      <c r="O22" s="90"/>
    </row>
    <row r="23" spans="2:15" ht="20.100000000000001" customHeight="1" x14ac:dyDescent="0.25">
      <c r="B23" s="306"/>
      <c r="C23" s="298"/>
      <c r="D23" s="310"/>
      <c r="E23" s="311"/>
      <c r="F23" s="298"/>
      <c r="G23" s="306"/>
      <c r="H23" s="306"/>
      <c r="I23" s="306"/>
      <c r="J23" s="306"/>
      <c r="K23" s="298"/>
      <c r="L23" s="310"/>
      <c r="M23" s="311"/>
      <c r="N23" s="298"/>
      <c r="O23" s="90"/>
    </row>
    <row r="24" spans="2:15" s="67" customFormat="1" ht="20.100000000000001" customHeight="1" x14ac:dyDescent="0.25">
      <c r="B24" s="52"/>
      <c r="C24" s="53"/>
      <c r="D24" s="9"/>
      <c r="E24" s="9"/>
      <c r="F24" s="9"/>
      <c r="G24" s="10"/>
      <c r="H24" s="10"/>
      <c r="I24" s="10"/>
      <c r="J24" s="10"/>
      <c r="K24" s="9"/>
      <c r="M24" s="10"/>
      <c r="N24" s="10"/>
    </row>
    <row r="25" spans="2:15" ht="20.100000000000001" customHeight="1" x14ac:dyDescent="0.25">
      <c r="B25" s="306"/>
      <c r="C25" s="307"/>
      <c r="D25" s="306"/>
      <c r="E25" s="306"/>
      <c r="F25" s="306"/>
      <c r="G25" s="306"/>
      <c r="H25" s="306"/>
      <c r="I25" s="306"/>
      <c r="J25" s="306"/>
      <c r="K25" s="193"/>
      <c r="L25" s="306"/>
      <c r="M25" s="306"/>
      <c r="N25" s="306"/>
      <c r="O25" s="90"/>
    </row>
    <row r="26" spans="2:15" ht="20.100000000000001" customHeight="1" x14ac:dyDescent="0.25">
      <c r="B26" s="306"/>
      <c r="C26" s="306"/>
      <c r="D26" s="309"/>
      <c r="E26" s="308"/>
      <c r="F26" s="306"/>
      <c r="G26" s="306"/>
      <c r="H26" s="306"/>
      <c r="I26" s="306"/>
      <c r="J26" s="306"/>
      <c r="K26" s="306"/>
      <c r="L26" s="309"/>
      <c r="M26" s="308"/>
      <c r="N26" s="306"/>
      <c r="O26" s="90"/>
    </row>
    <row r="27" spans="2:15" ht="20.100000000000001" customHeight="1" x14ac:dyDescent="0.25">
      <c r="B27" s="306"/>
      <c r="C27" s="298"/>
      <c r="D27" s="310"/>
      <c r="E27" s="311"/>
      <c r="F27" s="298"/>
      <c r="G27" s="306"/>
      <c r="H27" s="306"/>
      <c r="I27" s="306"/>
      <c r="J27" s="306"/>
      <c r="K27" s="298"/>
      <c r="L27" s="310"/>
      <c r="M27" s="311"/>
      <c r="N27" s="298"/>
      <c r="O27" s="90"/>
    </row>
  </sheetData>
  <mergeCells count="2">
    <mergeCell ref="B1:P2"/>
    <mergeCell ref="C9:N10"/>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309"/>
  <sheetViews>
    <sheetView showGridLines="0" showZeros="0" view="pageBreakPreview" zoomScale="85" zoomScaleNormal="70" zoomScaleSheetLayoutView="85" workbookViewId="0">
      <selection activeCell="Q14" sqref="Q14:Q15"/>
    </sheetView>
  </sheetViews>
  <sheetFormatPr defaultRowHeight="12.75" x14ac:dyDescent="0.25"/>
  <cols>
    <col min="1" max="1" width="1.7109375" style="11" customWidth="1"/>
    <col min="2" max="2" width="9.140625" style="11" customWidth="1"/>
    <col min="3" max="3" width="10" style="11" customWidth="1"/>
    <col min="4" max="4" width="11.7109375" style="11" bestFit="1" customWidth="1"/>
    <col min="5" max="8" width="1.7109375" style="11" customWidth="1"/>
    <col min="9" max="12" width="16.7109375" style="11" customWidth="1"/>
    <col min="13" max="13" width="12.85546875" style="11" customWidth="1"/>
    <col min="14" max="14" width="8.5703125" style="11" customWidth="1"/>
    <col min="15" max="15" width="10.7109375" style="47" customWidth="1"/>
    <col min="16" max="16" width="11.7109375" style="47" customWidth="1"/>
    <col min="17" max="17" width="12.140625" style="47" bestFit="1" customWidth="1"/>
    <col min="18" max="18" width="10.7109375" style="47" customWidth="1"/>
    <col min="19" max="19" width="10.7109375" style="46" customWidth="1"/>
    <col min="20" max="20" width="12.7109375" style="47" customWidth="1"/>
    <col min="21" max="21" width="1.7109375" style="11" customWidth="1"/>
    <col min="22" max="22" width="13" style="11" customWidth="1"/>
    <col min="23" max="23" width="11.7109375" style="11" bestFit="1" customWidth="1"/>
    <col min="24" max="24" width="47.28515625" style="11" bestFit="1" customWidth="1"/>
    <col min="25" max="25" width="11.42578125" style="11" bestFit="1" customWidth="1"/>
    <col min="26" max="16384" width="9.140625" style="11"/>
  </cols>
  <sheetData>
    <row r="1" spans="1:22" ht="9.9499999999999993" customHeight="1" x14ac:dyDescent="0.25">
      <c r="A1" s="69"/>
      <c r="B1" s="569" t="s">
        <v>95</v>
      </c>
      <c r="C1" s="569"/>
      <c r="D1" s="569"/>
      <c r="E1" s="569"/>
      <c r="F1" s="569"/>
      <c r="G1" s="569"/>
      <c r="H1" s="569"/>
      <c r="I1" s="569"/>
      <c r="J1" s="569"/>
      <c r="K1" s="569"/>
      <c r="L1" s="569"/>
      <c r="M1" s="569"/>
      <c r="N1" s="569"/>
      <c r="O1" s="569"/>
      <c r="P1" s="569"/>
      <c r="Q1" s="569"/>
      <c r="R1" s="569"/>
      <c r="S1" s="569"/>
      <c r="T1" s="569"/>
      <c r="U1" s="69"/>
      <c r="V1" s="69"/>
    </row>
    <row r="2" spans="1:22" ht="9.9499999999999993" customHeight="1" x14ac:dyDescent="0.25">
      <c r="A2" s="69"/>
      <c r="B2" s="569"/>
      <c r="C2" s="569"/>
      <c r="D2" s="569"/>
      <c r="E2" s="569"/>
      <c r="F2" s="569"/>
      <c r="G2" s="569"/>
      <c r="H2" s="569"/>
      <c r="I2" s="569"/>
      <c r="J2" s="569"/>
      <c r="K2" s="569"/>
      <c r="L2" s="569"/>
      <c r="M2" s="569"/>
      <c r="N2" s="569"/>
      <c r="O2" s="569"/>
      <c r="P2" s="569"/>
      <c r="Q2" s="569"/>
      <c r="R2" s="569"/>
      <c r="S2" s="569"/>
      <c r="T2" s="569"/>
      <c r="U2" s="69"/>
      <c r="V2" s="69"/>
    </row>
    <row r="3" spans="1:22" ht="9.9499999999999993" customHeight="1" x14ac:dyDescent="0.25">
      <c r="A3" s="69"/>
      <c r="B3" s="569"/>
      <c r="C3" s="569"/>
      <c r="D3" s="569"/>
      <c r="E3" s="569"/>
      <c r="F3" s="569"/>
      <c r="G3" s="569"/>
      <c r="H3" s="569"/>
      <c r="I3" s="569"/>
      <c r="J3" s="569"/>
      <c r="K3" s="569"/>
      <c r="L3" s="569"/>
      <c r="M3" s="569"/>
      <c r="N3" s="569"/>
      <c r="O3" s="569"/>
      <c r="P3" s="569"/>
      <c r="Q3" s="569"/>
      <c r="R3" s="569"/>
      <c r="S3" s="569"/>
      <c r="T3" s="569"/>
      <c r="U3" s="69"/>
      <c r="V3" s="69"/>
    </row>
    <row r="4" spans="1:22" ht="9.9499999999999993" customHeight="1" x14ac:dyDescent="0.25">
      <c r="A4" s="69"/>
      <c r="B4" s="569"/>
      <c r="C4" s="569"/>
      <c r="D4" s="569"/>
      <c r="E4" s="569"/>
      <c r="F4" s="569"/>
      <c r="G4" s="569"/>
      <c r="H4" s="569"/>
      <c r="I4" s="569"/>
      <c r="J4" s="569"/>
      <c r="K4" s="569"/>
      <c r="L4" s="569"/>
      <c r="M4" s="569"/>
      <c r="N4" s="569"/>
      <c r="O4" s="569"/>
      <c r="P4" s="569"/>
      <c r="Q4" s="569"/>
      <c r="R4" s="569"/>
      <c r="S4" s="569"/>
      <c r="T4" s="569"/>
      <c r="U4" s="69"/>
      <c r="V4" s="69"/>
    </row>
    <row r="5" spans="1:22" ht="9.9499999999999993" customHeight="1" x14ac:dyDescent="0.25">
      <c r="A5" s="69"/>
      <c r="B5" s="569"/>
      <c r="C5" s="569"/>
      <c r="D5" s="569"/>
      <c r="E5" s="569"/>
      <c r="F5" s="569"/>
      <c r="G5" s="569"/>
      <c r="H5" s="569"/>
      <c r="I5" s="569"/>
      <c r="J5" s="569"/>
      <c r="K5" s="569"/>
      <c r="L5" s="569"/>
      <c r="M5" s="569"/>
      <c r="N5" s="569"/>
      <c r="O5" s="569"/>
      <c r="P5" s="569"/>
      <c r="Q5" s="569"/>
      <c r="R5" s="569"/>
      <c r="S5" s="569"/>
      <c r="T5" s="569"/>
      <c r="U5" s="69"/>
      <c r="V5" s="69"/>
    </row>
    <row r="6" spans="1:22" ht="9.9499999999999993" customHeight="1" x14ac:dyDescent="0.25">
      <c r="A6" s="69"/>
      <c r="B6" s="569"/>
      <c r="C6" s="569"/>
      <c r="D6" s="569"/>
      <c r="E6" s="569"/>
      <c r="F6" s="569"/>
      <c r="G6" s="569"/>
      <c r="H6" s="569"/>
      <c r="I6" s="569"/>
      <c r="J6" s="569"/>
      <c r="K6" s="569"/>
      <c r="L6" s="569"/>
      <c r="M6" s="569"/>
      <c r="N6" s="569"/>
      <c r="O6" s="569"/>
      <c r="P6" s="569"/>
      <c r="Q6" s="569"/>
      <c r="R6" s="569"/>
      <c r="S6" s="569"/>
      <c r="T6" s="569"/>
      <c r="U6" s="69"/>
      <c r="V6" s="69"/>
    </row>
    <row r="7" spans="1:22" x14ac:dyDescent="0.25">
      <c r="A7" s="69"/>
      <c r="B7" s="69"/>
      <c r="C7" s="69"/>
      <c r="D7" s="69"/>
      <c r="E7" s="69"/>
      <c r="F7" s="69"/>
      <c r="G7" s="69"/>
      <c r="H7" s="69"/>
      <c r="I7" s="69"/>
      <c r="J7" s="69"/>
      <c r="K7" s="69"/>
      <c r="L7" s="69"/>
      <c r="M7" s="69"/>
      <c r="N7" s="69"/>
      <c r="O7" s="69"/>
      <c r="P7" s="69"/>
      <c r="Q7" s="69"/>
      <c r="R7" s="69"/>
      <c r="S7" s="69"/>
      <c r="T7" s="69"/>
      <c r="U7" s="69"/>
      <c r="V7" s="69"/>
    </row>
    <row r="8" spans="1:22" s="5" customFormat="1" ht="24.95" customHeight="1" x14ac:dyDescent="0.25">
      <c r="B8" s="1" t="s">
        <v>16</v>
      </c>
      <c r="C8" s="674" t="str">
        <f>'ORÇAMENTO SINTÉTICO (SD)'!C3</f>
        <v>DEMOLIÇÃO DO RESERVATÓRIO EXISTENTE, EXECUÇÃO DE RESERVATÓRIO METÁLICO ELEVADO E REESTRUTURAÇÃO (COM AMPLIAÇÃO) DA REDE DE DISTRIBUIÇÃO DE ÁGUA TRATADA EXISTENTE NO MUNICÍPIO DE MATRINCHÃ</v>
      </c>
      <c r="D8" s="674"/>
      <c r="E8" s="674"/>
      <c r="F8" s="674"/>
      <c r="G8" s="674"/>
      <c r="H8" s="674"/>
      <c r="I8" s="674"/>
      <c r="J8" s="674"/>
      <c r="K8" s="674"/>
      <c r="L8" s="674"/>
      <c r="M8" s="674"/>
      <c r="N8" s="674"/>
      <c r="O8" s="674"/>
      <c r="P8" s="674"/>
      <c r="Q8" s="674"/>
      <c r="R8" s="674"/>
      <c r="S8" s="3" t="s">
        <v>96</v>
      </c>
      <c r="T8" s="4" t="str">
        <f>'ORÇAMENTO SINTÉTICO (SD)'!G3</f>
        <v>04/11/2024</v>
      </c>
    </row>
    <row r="9" spans="1:22" s="5" customFormat="1" ht="15" customHeight="1" x14ac:dyDescent="0.25">
      <c r="B9" s="1" t="s">
        <v>18</v>
      </c>
      <c r="C9" s="2" t="str">
        <f>'ORÇAMENTO SINTÉTICO (SD)'!C4</f>
        <v>RUAS DIVERSAS, MATRINCHÃ, GO</v>
      </c>
      <c r="S9" s="3" t="s">
        <v>17</v>
      </c>
      <c r="T9" s="4" t="str">
        <f>'ORÇAMENTO SINTÉTICO (SD)'!G4</f>
        <v>00</v>
      </c>
    </row>
    <row r="10" spans="1:22" s="5" customFormat="1" ht="20.100000000000001" customHeight="1" x14ac:dyDescent="0.25"/>
    <row r="11" spans="1:22" s="5" customFormat="1" ht="12.75" customHeight="1" x14ac:dyDescent="0.25">
      <c r="B11" s="1" t="s">
        <v>97</v>
      </c>
      <c r="C11" s="2" t="s">
        <v>98</v>
      </c>
      <c r="S11" s="3" t="s">
        <v>1714</v>
      </c>
      <c r="T11" s="6" t="s">
        <v>100</v>
      </c>
    </row>
    <row r="12" spans="1:22" s="8" customFormat="1" ht="6.95" customHeight="1" thickBot="1" x14ac:dyDescent="0.3">
      <c r="A12" s="67"/>
      <c r="B12" s="67"/>
      <c r="C12" s="67"/>
      <c r="D12" s="67"/>
      <c r="E12" s="67"/>
      <c r="F12" s="67"/>
      <c r="G12" s="67"/>
      <c r="H12" s="67"/>
      <c r="I12" s="34"/>
      <c r="J12" s="35"/>
      <c r="K12" s="35"/>
      <c r="L12" s="36"/>
      <c r="M12" s="37"/>
      <c r="N12" s="38"/>
      <c r="O12" s="68"/>
      <c r="P12" s="68"/>
      <c r="Q12" s="68"/>
      <c r="R12" s="68"/>
      <c r="S12" s="67"/>
      <c r="T12" s="67"/>
      <c r="U12" s="67"/>
      <c r="V12" s="67"/>
    </row>
    <row r="13" spans="1:22" ht="27.95" customHeight="1" x14ac:dyDescent="0.25">
      <c r="A13" s="43"/>
      <c r="B13" s="721" t="s">
        <v>101</v>
      </c>
      <c r="C13" s="725" t="s">
        <v>316</v>
      </c>
      <c r="D13" s="725" t="s">
        <v>76</v>
      </c>
      <c r="E13" s="723" t="s">
        <v>102</v>
      </c>
      <c r="F13" s="723"/>
      <c r="G13" s="723"/>
      <c r="H13" s="723"/>
      <c r="I13" s="723"/>
      <c r="J13" s="723"/>
      <c r="K13" s="723"/>
      <c r="L13" s="723"/>
      <c r="M13" s="723"/>
      <c r="N13" s="723" t="s">
        <v>103</v>
      </c>
      <c r="O13" s="725" t="s">
        <v>319</v>
      </c>
      <c r="P13" s="725" t="s">
        <v>202</v>
      </c>
      <c r="Q13" s="725" t="s">
        <v>622</v>
      </c>
      <c r="R13" s="725"/>
      <c r="S13" s="727"/>
      <c r="T13" s="728" t="s">
        <v>104</v>
      </c>
      <c r="U13" s="69"/>
      <c r="V13" s="69"/>
    </row>
    <row r="14" spans="1:22" ht="27.95" customHeight="1" thickBot="1" x14ac:dyDescent="0.3">
      <c r="A14" s="43"/>
      <c r="B14" s="722"/>
      <c r="C14" s="726"/>
      <c r="D14" s="726"/>
      <c r="E14" s="724"/>
      <c r="F14" s="724"/>
      <c r="G14" s="724"/>
      <c r="H14" s="724"/>
      <c r="I14" s="724"/>
      <c r="J14" s="724"/>
      <c r="K14" s="724"/>
      <c r="L14" s="724"/>
      <c r="M14" s="724"/>
      <c r="N14" s="724"/>
      <c r="O14" s="726"/>
      <c r="P14" s="726"/>
      <c r="Q14" s="726"/>
      <c r="R14" s="726"/>
      <c r="S14" s="726"/>
      <c r="T14" s="729"/>
      <c r="U14" s="69"/>
      <c r="V14" s="69"/>
    </row>
    <row r="15" spans="1:22" s="8" customFormat="1" ht="24.95" customHeight="1" x14ac:dyDescent="0.25">
      <c r="A15" s="44"/>
      <c r="B15" s="12">
        <v>1</v>
      </c>
      <c r="C15" s="206"/>
      <c r="D15" s="201"/>
      <c r="E15" s="13"/>
      <c r="F15" s="14" t="s">
        <v>43</v>
      </c>
      <c r="G15" s="14"/>
      <c r="H15" s="14"/>
      <c r="I15" s="14"/>
      <c r="J15" s="14"/>
      <c r="K15" s="14"/>
      <c r="L15" s="14"/>
      <c r="M15" s="15"/>
      <c r="N15" s="16"/>
      <c r="O15" s="17"/>
      <c r="P15" s="17"/>
      <c r="Q15" s="17"/>
      <c r="R15" s="17"/>
      <c r="S15" s="17"/>
      <c r="T15" s="18">
        <f t="shared" ref="T15:T86" si="0">SUM(O15:S15)</f>
        <v>0</v>
      </c>
      <c r="U15" s="67"/>
      <c r="V15" s="67"/>
    </row>
    <row r="16" spans="1:22" s="8" customFormat="1" ht="24.95" customHeight="1" x14ac:dyDescent="0.25">
      <c r="A16" s="45"/>
      <c r="B16" s="23" t="s">
        <v>21</v>
      </c>
      <c r="C16" s="208" t="str">
        <f>'ADMINISTRAÇÃO LOCAL'!B9</f>
        <v>GOINFRA</v>
      </c>
      <c r="D16" s="203">
        <f>'ADMINISTRAÇÃO LOCAL'!C9</f>
        <v>250101</v>
      </c>
      <c r="E16" s="20"/>
      <c r="F16" s="21"/>
      <c r="G16" s="21"/>
      <c r="H16" s="718" t="str">
        <f>'ADMINISTRAÇÃO LOCAL'!D9</f>
        <v xml:space="preserve">ENGENHEIRO - (OBRAS CIVIS) </v>
      </c>
      <c r="I16" s="718"/>
      <c r="J16" s="718"/>
      <c r="K16" s="718"/>
      <c r="L16" s="718"/>
      <c r="M16" s="719"/>
      <c r="N16" s="22" t="str">
        <f>+'ADMINISTRAÇÃO LOCAL'!F15</f>
        <v>H</v>
      </c>
      <c r="O16" s="17"/>
      <c r="P16" s="17">
        <f>+'ADMINISTRAÇÃO LOCAL'!E15</f>
        <v>300</v>
      </c>
      <c r="Q16" s="17"/>
      <c r="R16" s="17"/>
      <c r="S16" s="17"/>
      <c r="T16" s="18">
        <f t="shared" si="0"/>
        <v>300</v>
      </c>
      <c r="U16" s="67"/>
      <c r="V16" s="67"/>
    </row>
    <row r="17" spans="1:22" s="8" customFormat="1" ht="24.95" customHeight="1" x14ac:dyDescent="0.25">
      <c r="A17" s="45"/>
      <c r="B17" s="23" t="s">
        <v>22</v>
      </c>
      <c r="C17" s="208" t="str">
        <f>'ADMINISTRAÇÃO LOCAL'!B17</f>
        <v>GOINFRA</v>
      </c>
      <c r="D17" s="203" t="str">
        <f>'ADMINISTRAÇÃO LOCAL'!C17</f>
        <v>250103</v>
      </c>
      <c r="E17" s="20"/>
      <c r="F17" s="21"/>
      <c r="G17" s="21"/>
      <c r="H17" s="718" t="str">
        <f>'ADMINISTRAÇÃO LOCAL'!D17</f>
        <v>ENCARREGADO - (OBRAS CIVIS)</v>
      </c>
      <c r="I17" s="718"/>
      <c r="J17" s="718"/>
      <c r="K17" s="718"/>
      <c r="L17" s="718"/>
      <c r="M17" s="719"/>
      <c r="N17" s="22" t="str">
        <f>+'ADMINISTRAÇÃO LOCAL'!F23</f>
        <v>H</v>
      </c>
      <c r="O17" s="17"/>
      <c r="P17" s="17">
        <f>+'ADMINISTRAÇÃO LOCAL'!E23</f>
        <v>880</v>
      </c>
      <c r="Q17" s="17"/>
      <c r="R17" s="17"/>
      <c r="S17" s="17"/>
      <c r="T17" s="18">
        <f t="shared" si="0"/>
        <v>880</v>
      </c>
      <c r="U17" s="67"/>
      <c r="V17" s="67"/>
    </row>
    <row r="18" spans="1:22" s="8" customFormat="1" ht="24.95" customHeight="1" x14ac:dyDescent="0.25">
      <c r="A18" s="45"/>
      <c r="B18" s="23" t="s">
        <v>23</v>
      </c>
      <c r="C18" s="208" t="str">
        <f>'ADMINISTRAÇÃO LOCAL'!J17</f>
        <v>GOINFRA</v>
      </c>
      <c r="D18" s="203">
        <f>'ADMINISTRAÇÃO LOCAL'!K17</f>
        <v>250105</v>
      </c>
      <c r="E18" s="20"/>
      <c r="F18" s="21"/>
      <c r="G18" s="21"/>
      <c r="H18" s="718" t="str">
        <f>'ADMINISTRAÇÃO LOCAL'!L17</f>
        <v xml:space="preserve">ALMOXARIFE - (OBRAS CIVIS) </v>
      </c>
      <c r="I18" s="718"/>
      <c r="J18" s="718"/>
      <c r="K18" s="718"/>
      <c r="L18" s="718"/>
      <c r="M18" s="719"/>
      <c r="N18" s="22" t="str">
        <f>+'ADMINISTRAÇÃO LOCAL'!N23</f>
        <v>H</v>
      </c>
      <c r="O18" s="17"/>
      <c r="P18" s="17">
        <f>+'ADMINISTRAÇÃO LOCAL'!M23</f>
        <v>880</v>
      </c>
      <c r="Q18" s="17"/>
      <c r="R18" s="17"/>
      <c r="S18" s="17"/>
      <c r="T18" s="18">
        <f t="shared" ref="T18" si="1">SUM(O18:S18)</f>
        <v>880</v>
      </c>
      <c r="U18" s="67"/>
      <c r="V18" s="67"/>
    </row>
    <row r="19" spans="1:22" s="8" customFormat="1" ht="24.95" customHeight="1" x14ac:dyDescent="0.25">
      <c r="A19" s="45"/>
      <c r="B19" s="23" t="s">
        <v>24</v>
      </c>
      <c r="C19" s="208" t="str">
        <f>'ADMINISTRAÇÃO LOCAL'!B25</f>
        <v>GOINFRA</v>
      </c>
      <c r="D19" s="203">
        <f>'ADMINISTRAÇÃO LOCAL'!C25</f>
        <v>250110</v>
      </c>
      <c r="E19" s="20"/>
      <c r="F19" s="21"/>
      <c r="G19" s="21"/>
      <c r="H19" s="718" t="str">
        <f>'ADMINISTRAÇÃO LOCAL'!D25</f>
        <v xml:space="preserve">VIGIA DE OBRAS - (NOTURNO E NO SÁBADO/DOMINGO DIURNO) - O.C.	</v>
      </c>
      <c r="I19" s="718"/>
      <c r="J19" s="718"/>
      <c r="K19" s="718"/>
      <c r="L19" s="718"/>
      <c r="M19" s="719"/>
      <c r="N19" s="22" t="str">
        <f>+'ADMINISTRAÇÃO LOCAL'!F31</f>
        <v>H</v>
      </c>
      <c r="O19" s="17"/>
      <c r="P19" s="17">
        <f>+'ADMINISTRAÇÃO LOCAL'!E31</f>
        <v>1760</v>
      </c>
      <c r="Q19" s="17"/>
      <c r="R19" s="17"/>
      <c r="S19" s="17"/>
      <c r="T19" s="18">
        <f t="shared" si="0"/>
        <v>1760</v>
      </c>
      <c r="U19" s="67"/>
      <c r="V19" s="67"/>
    </row>
    <row r="20" spans="1:22" s="8" customFormat="1" ht="24.95" customHeight="1" x14ac:dyDescent="0.25">
      <c r="A20" s="44"/>
      <c r="B20" s="19"/>
      <c r="C20" s="207"/>
      <c r="D20" s="202"/>
      <c r="E20" s="13"/>
      <c r="F20" s="14"/>
      <c r="G20" s="24"/>
      <c r="H20" s="14"/>
      <c r="I20" s="14"/>
      <c r="J20" s="14"/>
      <c r="K20" s="14"/>
      <c r="L20" s="24"/>
      <c r="M20" s="15"/>
      <c r="N20" s="16"/>
      <c r="O20" s="17"/>
      <c r="P20" s="17"/>
      <c r="Q20" s="17"/>
      <c r="R20" s="17"/>
      <c r="S20" s="17"/>
      <c r="T20" s="18">
        <f t="shared" si="0"/>
        <v>0</v>
      </c>
      <c r="U20" s="67"/>
      <c r="V20" s="67"/>
    </row>
    <row r="21" spans="1:22" s="8" customFormat="1" ht="24.95" customHeight="1" x14ac:dyDescent="0.25">
      <c r="A21" s="44"/>
      <c r="B21" s="12">
        <v>2</v>
      </c>
      <c r="C21" s="206"/>
      <c r="D21" s="201"/>
      <c r="E21" s="13"/>
      <c r="F21" s="14" t="s">
        <v>713</v>
      </c>
      <c r="G21" s="14"/>
      <c r="H21" s="14"/>
      <c r="I21" s="14"/>
      <c r="J21" s="14"/>
      <c r="K21" s="14"/>
      <c r="L21" s="14"/>
      <c r="M21" s="15"/>
      <c r="N21" s="16"/>
      <c r="O21" s="17"/>
      <c r="P21" s="17"/>
      <c r="Q21" s="17"/>
      <c r="R21" s="17"/>
      <c r="S21" s="17"/>
      <c r="T21" s="18">
        <f t="shared" si="0"/>
        <v>0</v>
      </c>
      <c r="U21" s="67"/>
      <c r="V21" s="67"/>
    </row>
    <row r="22" spans="1:22" s="8" customFormat="1" ht="39.950000000000003" customHeight="1" x14ac:dyDescent="0.25">
      <c r="A22" s="45"/>
      <c r="B22" s="23" t="s">
        <v>25</v>
      </c>
      <c r="C22" s="208" t="str">
        <f>CANTEIRO!B9</f>
        <v>GOINFRA</v>
      </c>
      <c r="D22" s="203" t="str">
        <f>CANTEIRO!C9</f>
        <v>020212</v>
      </c>
      <c r="E22" s="20"/>
      <c r="F22" s="21"/>
      <c r="G22" s="21"/>
      <c r="H22" s="718" t="str">
        <f>CANTEIRO!D9</f>
        <v>BARRACÃO DE OBRAS PADRÃO GOINFRA ( BLOCOS,COBERTURAS, PASSARELAS E MÓVEIS), SEM ALOJAMENTO E LAVANDERIA , COM PINTURA, EM CONSONÂNCIA COM AS NR's, EM ESPECIAL A NR-18, INCLUSO INSTALAÇÕES ELÉTRICAS E HIDROSSANITÁRIAS - ( COM REAPROVEITAMENTO 1 VEZ ).</v>
      </c>
      <c r="I22" s="718"/>
      <c r="J22" s="718"/>
      <c r="K22" s="718"/>
      <c r="L22" s="718"/>
      <c r="M22" s="719"/>
      <c r="N22" s="305" t="str">
        <f>N26</f>
        <v>M2</v>
      </c>
      <c r="O22" s="17"/>
      <c r="P22" s="17">
        <f>CANTEIRO!N48</f>
        <v>235.42</v>
      </c>
      <c r="Q22" s="17"/>
      <c r="R22" s="17"/>
      <c r="S22" s="17"/>
      <c r="T22" s="18">
        <f t="shared" si="0"/>
        <v>235.42</v>
      </c>
      <c r="U22" s="67"/>
      <c r="V22" s="67"/>
    </row>
    <row r="23" spans="1:22" s="8" customFormat="1" ht="24.95" customHeight="1" x14ac:dyDescent="0.25">
      <c r="A23" s="45"/>
      <c r="B23" s="23" t="s">
        <v>26</v>
      </c>
      <c r="C23" s="208" t="str">
        <f>CANTEIRO!B50</f>
        <v>GOINFRA</v>
      </c>
      <c r="D23" s="203" t="str">
        <f>CANTEIRO!C50</f>
        <v>020303</v>
      </c>
      <c r="E23" s="20"/>
      <c r="F23" s="21"/>
      <c r="G23" s="21"/>
      <c r="H23" s="718" t="str">
        <f>CANTEIRO!D50</f>
        <v>DEPÓSITO PARA CIMENTO TIPO II COM PINTURA PADRÃO GOINFRA (3 ,30 X 3,30 M) A=10,89 M2 (C/ REAPROV. 1 VEZ ) - INCLUSO PALETES</v>
      </c>
      <c r="I23" s="718"/>
      <c r="J23" s="718"/>
      <c r="K23" s="718"/>
      <c r="L23" s="718"/>
      <c r="M23" s="719"/>
      <c r="N23" s="305" t="str">
        <f>CANTEIRO!G52</f>
        <v xml:space="preserve">UN </v>
      </c>
      <c r="O23" s="17"/>
      <c r="P23" s="17">
        <f>CANTEIRO!F52</f>
        <v>1</v>
      </c>
      <c r="Q23" s="17"/>
      <c r="R23" s="17"/>
      <c r="S23" s="17"/>
      <c r="T23" s="18">
        <f t="shared" si="0"/>
        <v>1</v>
      </c>
      <c r="U23" s="67"/>
      <c r="V23" s="67"/>
    </row>
    <row r="24" spans="1:22" s="8" customFormat="1" ht="24.95" customHeight="1" x14ac:dyDescent="0.25">
      <c r="A24" s="45"/>
      <c r="B24" s="23" t="s">
        <v>27</v>
      </c>
      <c r="C24" s="208" t="str">
        <f>CANTEIRO!B54</f>
        <v>GOINFRA</v>
      </c>
      <c r="D24" s="203" t="str">
        <f>CANTEIRO!C54</f>
        <v>020400</v>
      </c>
      <c r="E24" s="20"/>
      <c r="F24" s="21"/>
      <c r="G24" s="21"/>
      <c r="H24" s="718" t="str">
        <f>CANTEIRO!D54</f>
        <v>LIGAÇÃO PROVISÓRIA DE ÁGUA (INCLUSO RETIRADA DO ESGOTO SANITÁRIO) - PD. GOINFRA</v>
      </c>
      <c r="I24" s="718"/>
      <c r="J24" s="718"/>
      <c r="K24" s="718"/>
      <c r="L24" s="718"/>
      <c r="M24" s="719"/>
      <c r="N24" s="305" t="str">
        <f>CANTEIRO!G56</f>
        <v xml:space="preserve">UN </v>
      </c>
      <c r="O24" s="17"/>
      <c r="P24" s="17">
        <f>CANTEIRO!F56</f>
        <v>1</v>
      </c>
      <c r="Q24" s="17"/>
      <c r="R24" s="17"/>
      <c r="S24" s="17"/>
      <c r="T24" s="18">
        <f t="shared" ref="T24:T26" si="2">SUM(O24:S24)</f>
        <v>1</v>
      </c>
      <c r="U24" s="67"/>
      <c r="V24" s="67"/>
    </row>
    <row r="25" spans="1:22" s="8" customFormat="1" ht="24.95" customHeight="1" x14ac:dyDescent="0.25">
      <c r="A25" s="45"/>
      <c r="B25" s="23" t="s">
        <v>28</v>
      </c>
      <c r="C25" s="208" t="str">
        <f>CANTEIRO!B58</f>
        <v>GOINFRA</v>
      </c>
      <c r="D25" s="203" t="str">
        <f>CANTEIRO!C58</f>
        <v>020501</v>
      </c>
      <c r="E25" s="20"/>
      <c r="F25" s="21"/>
      <c r="G25" s="21"/>
      <c r="H25" s="718" t="str">
        <f>CANTEIRO!D58</f>
        <v>LIGAÇÃO PROVISÓRIA LUZ E FORÇA - PD. GOINFRA</v>
      </c>
      <c r="I25" s="718"/>
      <c r="J25" s="718"/>
      <c r="K25" s="718"/>
      <c r="L25" s="718"/>
      <c r="M25" s="719"/>
      <c r="N25" s="305" t="str">
        <f>CANTEIRO!G60</f>
        <v xml:space="preserve">UN </v>
      </c>
      <c r="O25" s="17"/>
      <c r="P25" s="17">
        <f>CANTEIRO!F60</f>
        <v>1</v>
      </c>
      <c r="Q25" s="17"/>
      <c r="R25" s="17"/>
      <c r="S25" s="17"/>
      <c r="T25" s="18">
        <f t="shared" si="2"/>
        <v>1</v>
      </c>
      <c r="U25" s="67"/>
      <c r="V25" s="67"/>
    </row>
    <row r="26" spans="1:22" s="8" customFormat="1" ht="24.95" customHeight="1" x14ac:dyDescent="0.25">
      <c r="A26" s="45"/>
      <c r="B26" s="23" t="s">
        <v>29</v>
      </c>
      <c r="C26" s="208" t="str">
        <f>CANTEIRO!B62</f>
        <v>GOINFRA</v>
      </c>
      <c r="D26" s="203" t="str">
        <f>CANTEIRO!C62</f>
        <v>021602</v>
      </c>
      <c r="E26" s="20"/>
      <c r="F26" s="21"/>
      <c r="G26" s="21"/>
      <c r="H26" s="718" t="str">
        <f>+CANTEIRO!D62</f>
        <v>EPI/PGR/PCMSO/EXAMES/TREINAMENTOS/VISITAS - ÁREAS EDIFICADAS/COBERTAS/FECHADAS</v>
      </c>
      <c r="I26" s="718"/>
      <c r="J26" s="718"/>
      <c r="K26" s="718"/>
      <c r="L26" s="718"/>
      <c r="M26" s="719"/>
      <c r="N26" s="22" t="str">
        <f>+CANTEIRO!J72</f>
        <v>M2</v>
      </c>
      <c r="O26" s="17"/>
      <c r="P26" s="17">
        <f>CANTEIRO!J64</f>
        <v>451.2</v>
      </c>
      <c r="Q26" s="17"/>
      <c r="R26" s="17"/>
      <c r="S26" s="17"/>
      <c r="T26" s="18">
        <f t="shared" si="2"/>
        <v>451.2</v>
      </c>
      <c r="U26" s="67"/>
      <c r="V26" s="67"/>
    </row>
    <row r="27" spans="1:22" s="8" customFormat="1" ht="24.95" customHeight="1" x14ac:dyDescent="0.25">
      <c r="A27" s="45"/>
      <c r="B27" s="23" t="s">
        <v>30</v>
      </c>
      <c r="C27" s="208" t="str">
        <f>CANTEIRO!B66</f>
        <v>GOINFRA</v>
      </c>
      <c r="D27" s="203" t="str">
        <f>CANTEIRO!C66</f>
        <v>020200</v>
      </c>
      <c r="E27" s="20"/>
      <c r="F27" s="21"/>
      <c r="G27" s="21"/>
      <c r="H27" s="718" t="str">
        <f>CANTEIRO!D66</f>
        <v>FERRAMENTAS (MANUAIS/ELÉTRICAS) E MATERIAL DE LIMPEZA PERMANENTE DA OBRA - ÁREAS EDIFICADAS/COBERTAS/FECHADAS</v>
      </c>
      <c r="I27" s="718"/>
      <c r="J27" s="718"/>
      <c r="K27" s="718"/>
      <c r="L27" s="718"/>
      <c r="M27" s="719"/>
      <c r="N27" s="22" t="str">
        <f>+CANTEIRO!J73</f>
        <v>M2</v>
      </c>
      <c r="O27" s="17"/>
      <c r="P27" s="17">
        <f>CANTEIRO!I68</f>
        <v>902.4</v>
      </c>
      <c r="Q27" s="17"/>
      <c r="R27" s="17"/>
      <c r="S27" s="17"/>
      <c r="T27" s="18">
        <f t="shared" si="0"/>
        <v>902.4</v>
      </c>
      <c r="U27" s="67"/>
      <c r="V27" s="67"/>
    </row>
    <row r="28" spans="1:22" s="8" customFormat="1" ht="24.95" customHeight="1" x14ac:dyDescent="0.25">
      <c r="A28" s="45"/>
      <c r="B28" s="23" t="s">
        <v>31</v>
      </c>
      <c r="C28" s="208" t="str">
        <f>CANTEIRO!B70</f>
        <v>GOINFRA</v>
      </c>
      <c r="D28" s="203" t="str">
        <f>CANTEIRO!C70</f>
        <v>021301</v>
      </c>
      <c r="E28" s="20"/>
      <c r="F28" s="21"/>
      <c r="G28" s="21"/>
      <c r="H28" s="718" t="str">
        <f>CANTEIRO!D70</f>
        <v>PLACA DE OBRA PLOTADA EM CHAPA METÁLICA 26 , AFIXADA EM CAVALETES DE MADEIRA DE LEI (VIGOTAS 6X12CM) - PADRÃO GOINFRA</v>
      </c>
      <c r="I28" s="718"/>
      <c r="J28" s="718"/>
      <c r="K28" s="718"/>
      <c r="L28" s="718"/>
      <c r="M28" s="719"/>
      <c r="N28" s="22" t="str">
        <f>+CANTEIRO!J74</f>
        <v>M2</v>
      </c>
      <c r="O28" s="17"/>
      <c r="P28" s="17">
        <f>+CANTEIRO!I74</f>
        <v>7.5</v>
      </c>
      <c r="Q28" s="17"/>
      <c r="R28" s="17"/>
      <c r="S28" s="17"/>
      <c r="T28" s="18">
        <f t="shared" si="0"/>
        <v>7.5</v>
      </c>
      <c r="U28" s="67"/>
      <c r="V28" s="67"/>
    </row>
    <row r="29" spans="1:22" s="8" customFormat="1" ht="24.95" customHeight="1" x14ac:dyDescent="0.25">
      <c r="A29" s="45"/>
      <c r="B29" s="23" t="s">
        <v>32</v>
      </c>
      <c r="C29" s="208" t="str">
        <f>CANTEIRO!B76</f>
        <v>GOINFRA</v>
      </c>
      <c r="D29" s="203">
        <f>CANTEIRO!C76</f>
        <v>271502</v>
      </c>
      <c r="E29" s="20"/>
      <c r="F29" s="21"/>
      <c r="G29" s="21"/>
      <c r="H29" s="718" t="str">
        <f>CANTEIRO!D76</f>
        <v>CANTINA - (OBRAS CIVIS)</v>
      </c>
      <c r="I29" s="718"/>
      <c r="J29" s="718"/>
      <c r="K29" s="718"/>
      <c r="L29" s="718"/>
      <c r="M29" s="719"/>
      <c r="N29" s="305" t="str">
        <f>N25</f>
        <v xml:space="preserve">UN </v>
      </c>
      <c r="O29" s="17"/>
      <c r="P29" s="17">
        <f>CANTEIRO!L98</f>
        <v>1736</v>
      </c>
      <c r="Q29" s="17"/>
      <c r="R29" s="17"/>
      <c r="S29" s="17"/>
      <c r="T29" s="18">
        <f t="shared" si="0"/>
        <v>1736</v>
      </c>
      <c r="U29" s="67"/>
      <c r="V29" s="67"/>
    </row>
    <row r="30" spans="1:22" s="8" customFormat="1" ht="24.95" customHeight="1" x14ac:dyDescent="0.25">
      <c r="A30" s="45"/>
      <c r="B30" s="23" t="s">
        <v>32</v>
      </c>
      <c r="C30" s="208" t="str">
        <f>CANTEIRO!G76</f>
        <v>GOINFRA</v>
      </c>
      <c r="D30" s="203">
        <f>CANTEIRO!H76</f>
        <v>271500</v>
      </c>
      <c r="E30" s="20"/>
      <c r="F30" s="21"/>
      <c r="G30" s="21"/>
      <c r="H30" s="718" t="str">
        <f>CANTEIRO!I76</f>
        <v>CAFE DA MANHA</v>
      </c>
      <c r="I30" s="718"/>
      <c r="J30" s="718"/>
      <c r="K30" s="718"/>
      <c r="L30" s="718"/>
      <c r="M30" s="719"/>
      <c r="N30" s="305" t="str">
        <f>N29</f>
        <v xml:space="preserve">UN </v>
      </c>
      <c r="O30" s="17"/>
      <c r="P30" s="17">
        <f>CANTEIRO!L98</f>
        <v>1736</v>
      </c>
      <c r="Q30" s="17"/>
      <c r="R30" s="17"/>
      <c r="S30" s="17"/>
      <c r="T30" s="18">
        <f t="shared" ref="T30" si="3">SUM(O30:S30)</f>
        <v>1736</v>
      </c>
      <c r="U30" s="67"/>
      <c r="V30" s="67"/>
    </row>
    <row r="31" spans="1:22" s="8" customFormat="1" ht="24.95" customHeight="1" x14ac:dyDescent="0.25">
      <c r="A31" s="44"/>
      <c r="B31" s="19"/>
      <c r="C31" s="207"/>
      <c r="D31" s="202"/>
      <c r="E31" s="13"/>
      <c r="F31" s="14"/>
      <c r="G31" s="24"/>
      <c r="H31" s="14"/>
      <c r="I31" s="14"/>
      <c r="J31" s="14"/>
      <c r="K31" s="14"/>
      <c r="L31" s="24"/>
      <c r="M31" s="15"/>
      <c r="N31" s="16"/>
      <c r="O31" s="17"/>
      <c r="P31" s="17"/>
      <c r="Q31" s="17"/>
      <c r="R31" s="17"/>
      <c r="S31" s="17"/>
      <c r="T31" s="18">
        <f t="shared" si="0"/>
        <v>0</v>
      </c>
      <c r="U31" s="67"/>
      <c r="V31" s="67"/>
    </row>
    <row r="32" spans="1:22" s="8" customFormat="1" ht="24.95" customHeight="1" x14ac:dyDescent="0.25">
      <c r="A32" s="44"/>
      <c r="B32" s="12">
        <v>3</v>
      </c>
      <c r="C32" s="206"/>
      <c r="D32" s="201"/>
      <c r="E32" s="13"/>
      <c r="F32" s="14" t="s">
        <v>40</v>
      </c>
      <c r="G32" s="14"/>
      <c r="H32" s="14"/>
      <c r="I32" s="14"/>
      <c r="J32" s="14"/>
      <c r="K32" s="14"/>
      <c r="L32" s="14"/>
      <c r="M32" s="15"/>
      <c r="N32" s="16"/>
      <c r="O32" s="17"/>
      <c r="P32" s="17"/>
      <c r="Q32" s="17"/>
      <c r="R32" s="17"/>
      <c r="S32" s="17"/>
      <c r="T32" s="18">
        <f t="shared" si="0"/>
        <v>0</v>
      </c>
      <c r="U32" s="67"/>
      <c r="V32" s="67"/>
    </row>
    <row r="33" spans="1:23" s="8" customFormat="1" ht="24.95" customHeight="1" x14ac:dyDescent="0.25">
      <c r="A33" s="45"/>
      <c r="B33" s="23" t="s">
        <v>788</v>
      </c>
      <c r="C33" s="208" t="str">
        <f>'SERVIÇOS PRELIMINARES'!B9</f>
        <v>GOINFRA</v>
      </c>
      <c r="D33" s="203" t="str">
        <f>'SERVIÇOS PRELIMINARES'!C9</f>
        <v>020190</v>
      </c>
      <c r="E33" s="20"/>
      <c r="F33" s="21"/>
      <c r="G33" s="21"/>
      <c r="H33" s="718" t="str">
        <f>'SERVIÇOS PRELIMINARES'!D9</f>
        <v>LIMPEZA MECÂNICA DE TERRENO</v>
      </c>
      <c r="I33" s="718"/>
      <c r="J33" s="718"/>
      <c r="K33" s="718"/>
      <c r="L33" s="718"/>
      <c r="M33" s="719"/>
      <c r="N33" s="305" t="str">
        <f>'SERVIÇOS PRELIMINARES'!G11</f>
        <v>M2</v>
      </c>
      <c r="O33" s="17"/>
      <c r="P33" s="17">
        <f>'SERVIÇOS PRELIMINARES'!F11</f>
        <v>592.63</v>
      </c>
      <c r="Q33" s="17"/>
      <c r="R33" s="17"/>
      <c r="S33" s="17"/>
      <c r="T33" s="18">
        <f t="shared" si="0"/>
        <v>592.63</v>
      </c>
      <c r="U33" s="67"/>
      <c r="V33" s="67"/>
      <c r="W33" s="67"/>
    </row>
    <row r="34" spans="1:23" s="8" customFormat="1" ht="24.95" customHeight="1" x14ac:dyDescent="0.25">
      <c r="A34" s="45"/>
      <c r="B34" s="23" t="s">
        <v>789</v>
      </c>
      <c r="C34" s="208" t="str">
        <f>'SERVIÇOS PRELIMINARES'!B15</f>
        <v>GOINFRA</v>
      </c>
      <c r="D34" s="203" t="str">
        <f>'SERVIÇOS PRELIMINARES'!C15</f>
        <v>020702</v>
      </c>
      <c r="E34" s="20"/>
      <c r="F34" s="21"/>
      <c r="G34" s="21"/>
      <c r="H34" s="718" t="str">
        <f>'SERVIÇOS PRELIMINARES'!D15</f>
        <v>LOCAÇÃO DE OBRAS DE PEQUENO PORTE COM CAVALETE, INCLUSO PINTURA (FACE INTERNA DO SARRAFO 10CM) E PIQUETE COM TESTEMUNHA</v>
      </c>
      <c r="I34" s="718"/>
      <c r="J34" s="718"/>
      <c r="K34" s="718"/>
      <c r="L34" s="718"/>
      <c r="M34" s="719"/>
      <c r="N34" s="305" t="str">
        <f>'SERVIÇOS PRELIMINARES'!I17</f>
        <v>M2</v>
      </c>
      <c r="O34" s="17"/>
      <c r="P34" s="17">
        <f>'SERVIÇOS PRELIMINARES'!H19</f>
        <v>58.884999999999998</v>
      </c>
      <c r="Q34" s="17"/>
      <c r="R34" s="17"/>
      <c r="S34" s="17"/>
      <c r="T34" s="18">
        <f t="shared" si="0"/>
        <v>58.884999999999998</v>
      </c>
      <c r="U34" s="67"/>
      <c r="V34" s="67"/>
    </row>
    <row r="35" spans="1:23" s="8" customFormat="1" ht="24.95" customHeight="1" x14ac:dyDescent="0.25">
      <c r="A35" s="45"/>
      <c r="B35" s="23" t="s">
        <v>789</v>
      </c>
      <c r="C35" s="208" t="str">
        <f>'SERVIÇOS PRELIMINARES'!B23</f>
        <v>GOINFRA</v>
      </c>
      <c r="D35" s="203" t="str">
        <f>'SERVIÇOS PRELIMINARES'!C23</f>
        <v>050250</v>
      </c>
      <c r="E35" s="20"/>
      <c r="F35" s="21"/>
      <c r="G35" s="21"/>
      <c r="H35" s="718" t="str">
        <f>'SERVIÇOS PRELIMINARES'!D23</f>
        <v xml:space="preserve">TRAÇO DE CONCRETO	</v>
      </c>
      <c r="I35" s="718"/>
      <c r="J35" s="718"/>
      <c r="K35" s="718"/>
      <c r="L35" s="718"/>
      <c r="M35" s="719"/>
      <c r="N35" s="305" t="str">
        <f>'SERVIÇOS PRELIMINARES'!I25</f>
        <v>UN</v>
      </c>
      <c r="O35" s="17"/>
      <c r="P35" s="17">
        <f>'SERVIÇOS PRELIMINARES'!H25</f>
        <v>1</v>
      </c>
      <c r="Q35" s="17"/>
      <c r="R35" s="17"/>
      <c r="S35" s="17"/>
      <c r="T35" s="18">
        <f t="shared" si="0"/>
        <v>1</v>
      </c>
      <c r="U35" s="67"/>
      <c r="V35" s="67"/>
    </row>
    <row r="36" spans="1:23" s="8" customFormat="1" ht="24.95" customHeight="1" x14ac:dyDescent="0.25">
      <c r="A36" s="45"/>
      <c r="B36" s="23" t="s">
        <v>789</v>
      </c>
      <c r="C36" s="208" t="str">
        <f>'SERVIÇOS PRELIMINARES'!B28</f>
        <v>GOINFRA</v>
      </c>
      <c r="D36" s="203" t="str">
        <f>'SERVIÇOS PRELIMINARES'!C28</f>
        <v>050251</v>
      </c>
      <c r="E36" s="20"/>
      <c r="F36" s="21"/>
      <c r="G36" s="21"/>
      <c r="H36" s="718" t="str">
        <f>'SERVIÇOS PRELIMINARES'!D28</f>
        <v xml:space="preserve">CORPO DE PROVA	</v>
      </c>
      <c r="I36" s="718"/>
      <c r="J36" s="718"/>
      <c r="K36" s="718"/>
      <c r="L36" s="718"/>
      <c r="M36" s="719"/>
      <c r="N36" s="305" t="str">
        <f>'SERVIÇOS PRELIMINARES'!H32</f>
        <v>UN</v>
      </c>
      <c r="O36" s="17"/>
      <c r="P36" s="17">
        <f>'SERVIÇOS PRELIMINARES'!G32</f>
        <v>42</v>
      </c>
      <c r="Q36" s="17"/>
      <c r="R36" s="17"/>
      <c r="S36" s="17"/>
      <c r="T36" s="18">
        <f t="shared" ref="T36" si="4">SUM(O36:S36)</f>
        <v>42</v>
      </c>
      <c r="U36" s="67"/>
      <c r="V36" s="67"/>
    </row>
    <row r="37" spans="1:23" s="8" customFormat="1" ht="54.95" customHeight="1" x14ac:dyDescent="0.25">
      <c r="A37" s="45"/>
      <c r="B37" s="23" t="s">
        <v>789</v>
      </c>
      <c r="C37" s="208" t="str">
        <f>'SERVIÇOS PRELIMINARES'!B36</f>
        <v>PRÓPRIO</v>
      </c>
      <c r="D37" s="203" t="str">
        <f>'SERVIÇOS PRELIMINARES'!C36</f>
        <v>SEINFRA-0131</v>
      </c>
      <c r="E37" s="20"/>
      <c r="F37" s="21"/>
      <c r="G37" s="21"/>
      <c r="H37" s="718" t="str">
        <f>'SERVIÇOS PRELIMINARES'!D36</f>
        <v>PLACA DE SINALIZACAO PARA OBRA NA VIA PUBLICA, TIPO CAVALETE ARTICULADO, CONFECCIONADO EM CHAPA PET 2,4MM, FUNDO, TEXTOS E SIMBOLOS EM VINIL AUTO ADESIVO, ESTRUTURA EM ACO TRATADO A BASE DE WASH PRIMER, PINTADO PELO PROCESSO ELETROSTATICO, NAS DIMENSOES DE 0,60M X 1,00M. FORNECIMENTO. (ADAPTADO DE SCO AD 20.25.0210)</v>
      </c>
      <c r="I37" s="718"/>
      <c r="J37" s="718"/>
      <c r="K37" s="718"/>
      <c r="L37" s="718"/>
      <c r="M37" s="719"/>
      <c r="N37" s="305" t="str">
        <f>'SERVIÇOS PRELIMINARES'!I37</f>
        <v>UN</v>
      </c>
      <c r="O37" s="17"/>
      <c r="P37" s="17">
        <f>'SERVIÇOS PRELIMINARES'!G33</f>
        <v>0</v>
      </c>
      <c r="Q37" s="17">
        <f>'SERVIÇOS PRELIMINARES'!H37</f>
        <v>10</v>
      </c>
      <c r="R37" s="17"/>
      <c r="S37" s="17"/>
      <c r="T37" s="18">
        <f t="shared" ref="T37" si="5">SUM(O37:S37)</f>
        <v>10</v>
      </c>
      <c r="U37" s="67"/>
      <c r="V37" s="67"/>
    </row>
    <row r="38" spans="1:23" s="8" customFormat="1" ht="24.95" customHeight="1" x14ac:dyDescent="0.25">
      <c r="A38" s="45"/>
      <c r="B38" s="23" t="s">
        <v>789</v>
      </c>
      <c r="C38" s="208" t="str">
        <f>'SERVIÇOS PRELIMINARES'!B41</f>
        <v>PRÓPRIO</v>
      </c>
      <c r="D38" s="203" t="str">
        <f>'SERVIÇOS PRELIMINARES'!C41</f>
        <v>SEINFRA-0132</v>
      </c>
      <c r="E38" s="20"/>
      <c r="F38" s="21"/>
      <c r="G38" s="21"/>
      <c r="H38" s="718" t="str">
        <f>'SERVIÇOS PRELIMINARES'!D41</f>
        <v>CONE PLASTICO PARA SINALIZAÇÃO</v>
      </c>
      <c r="I38" s="718"/>
      <c r="J38" s="718"/>
      <c r="K38" s="718"/>
      <c r="L38" s="718"/>
      <c r="M38" s="719"/>
      <c r="N38" s="305" t="str">
        <f>'SERVIÇOS PRELIMINARES'!I42</f>
        <v>UN</v>
      </c>
      <c r="O38" s="17"/>
      <c r="P38" s="17">
        <f>'SERVIÇOS PRELIMINARES'!G34</f>
        <v>0</v>
      </c>
      <c r="Q38" s="17">
        <f>'SERVIÇOS PRELIMINARES'!H42</f>
        <v>20</v>
      </c>
      <c r="R38" s="17"/>
      <c r="S38" s="17"/>
      <c r="T38" s="18">
        <f t="shared" ref="T38" si="6">SUM(O38:S38)</f>
        <v>20</v>
      </c>
      <c r="U38" s="67"/>
      <c r="V38" s="67"/>
    </row>
    <row r="39" spans="1:23" s="8" customFormat="1" ht="24.95" customHeight="1" x14ac:dyDescent="0.25">
      <c r="A39" s="45"/>
      <c r="B39" s="23" t="s">
        <v>789</v>
      </c>
      <c r="C39" s="351" t="str">
        <f>'SERVIÇOS PRELIMINARES'!B46</f>
        <v>GOINFRA
RODOVIÁRIA</v>
      </c>
      <c r="D39" s="203">
        <f>'SERVIÇOS PRELIMINARES'!C46</f>
        <v>42301</v>
      </c>
      <c r="E39" s="20"/>
      <c r="F39" s="21"/>
      <c r="G39" s="21"/>
      <c r="H39" s="718" t="str">
        <f>'SERVIÇOS PRELIMINARES'!D46</f>
        <v>MOBILIZAÇÃO / DESMOBILIZAÇÃO - CONFORME DEMONSTRATIVO</v>
      </c>
      <c r="I39" s="718"/>
      <c r="J39" s="718"/>
      <c r="K39" s="718"/>
      <c r="L39" s="718"/>
      <c r="M39" s="719"/>
      <c r="N39" s="305" t="str">
        <f>+N38</f>
        <v>UN</v>
      </c>
      <c r="O39" s="17"/>
      <c r="P39" s="17">
        <f>+'SERVIÇOS PRELIMINARES'!I52</f>
        <v>1</v>
      </c>
      <c r="Q39" s="17">
        <f>'SERVIÇOS PRELIMINARES'!H43</f>
        <v>0</v>
      </c>
      <c r="R39" s="17"/>
      <c r="S39" s="17"/>
      <c r="T39" s="18">
        <f t="shared" ref="T39" si="7">SUM(O39:S39)</f>
        <v>1</v>
      </c>
      <c r="U39" s="67"/>
      <c r="V39" s="67"/>
    </row>
    <row r="40" spans="1:23" s="8" customFormat="1" ht="24.95" customHeight="1" x14ac:dyDescent="0.25">
      <c r="A40" s="44"/>
      <c r="B40" s="19"/>
      <c r="C40" s="207"/>
      <c r="D40" s="202"/>
      <c r="E40" s="13"/>
      <c r="F40" s="14"/>
      <c r="G40" s="24"/>
      <c r="H40" s="14"/>
      <c r="I40" s="14"/>
      <c r="J40" s="14"/>
      <c r="K40" s="14"/>
      <c r="L40" s="24"/>
      <c r="M40" s="15"/>
      <c r="N40" s="16"/>
      <c r="O40" s="17"/>
      <c r="P40" s="17"/>
      <c r="Q40" s="17"/>
      <c r="R40" s="17"/>
      <c r="S40" s="17"/>
      <c r="T40" s="18">
        <f t="shared" si="0"/>
        <v>0</v>
      </c>
      <c r="U40" s="67"/>
      <c r="V40" s="67"/>
    </row>
    <row r="41" spans="1:23" s="8" customFormat="1" ht="24.95" customHeight="1" x14ac:dyDescent="0.25">
      <c r="A41" s="44"/>
      <c r="B41" s="12">
        <v>4</v>
      </c>
      <c r="C41" s="206"/>
      <c r="D41" s="201"/>
      <c r="E41" s="13"/>
      <c r="F41" s="14" t="s">
        <v>725</v>
      </c>
      <c r="G41" s="14"/>
      <c r="H41" s="14"/>
      <c r="I41" s="14"/>
      <c r="J41" s="14"/>
      <c r="K41" s="14"/>
      <c r="L41" s="14"/>
      <c r="M41" s="15"/>
      <c r="N41" s="16"/>
      <c r="O41" s="17"/>
      <c r="P41" s="17"/>
      <c r="Q41" s="17"/>
      <c r="R41" s="17"/>
      <c r="S41" s="17"/>
      <c r="T41" s="18">
        <f t="shared" si="0"/>
        <v>0</v>
      </c>
      <c r="U41" s="67"/>
      <c r="V41" s="67"/>
    </row>
    <row r="42" spans="1:23" s="8" customFormat="1" ht="24.95" customHeight="1" x14ac:dyDescent="0.25">
      <c r="A42" s="45"/>
      <c r="B42" s="23" t="s">
        <v>790</v>
      </c>
      <c r="C42" s="208" t="str">
        <f>DEMOLIÇÕES!B9</f>
        <v>PRÓPRIO</v>
      </c>
      <c r="D42" s="203" t="str">
        <f>DEMOLIÇÕES!C9</f>
        <v>SEINFRA-0111</v>
      </c>
      <c r="E42" s="20"/>
      <c r="F42" s="21"/>
      <c r="G42" s="21"/>
      <c r="H42" s="718" t="str">
        <f>DEMOLIÇÕES!D9</f>
        <v>DEMOLIÇÃO DE LAJES, EM CONCRETO ARMADO, DE FORMA MECANIZADA COM MARTELETE, SEM REAPROVEITAMENTO. (ADAPTADO DE SINAPI 97629)</v>
      </c>
      <c r="I42" s="718"/>
      <c r="J42" s="718"/>
      <c r="K42" s="718"/>
      <c r="L42" s="718"/>
      <c r="M42" s="719"/>
      <c r="N42" s="22" t="str">
        <f>DEMOLIÇÕES!I15</f>
        <v>M3</v>
      </c>
      <c r="O42" s="17"/>
      <c r="P42" s="17">
        <f>DEMOLIÇÕES!H15</f>
        <v>39.140042147019621</v>
      </c>
      <c r="Q42" s="17"/>
      <c r="R42" s="17"/>
      <c r="S42" s="17"/>
      <c r="T42" s="18">
        <f t="shared" si="0"/>
        <v>39.140042147019621</v>
      </c>
      <c r="U42" s="67"/>
      <c r="V42" s="67"/>
    </row>
    <row r="43" spans="1:23" s="8" customFormat="1" ht="24.95" customHeight="1" x14ac:dyDescent="0.25">
      <c r="A43" s="45"/>
      <c r="B43" s="23" t="s">
        <v>791</v>
      </c>
      <c r="C43" s="208" t="str">
        <f>DEMOLIÇÕES!B17</f>
        <v>PRÓPRIO</v>
      </c>
      <c r="D43" s="203" t="str">
        <f>DEMOLIÇÕES!C17</f>
        <v>SEINFRA-0112</v>
      </c>
      <c r="E43" s="20"/>
      <c r="F43" s="21"/>
      <c r="G43" s="21"/>
      <c r="H43" s="718" t="str">
        <f>DEMOLIÇÕES!D17</f>
        <v>DEMOLIÇÃO DE PILARES E VIGAS EM CONCRETO ARMADO, DE FORMA MECANIZADA COM MARTELETE, SEM REAPROVEITAMENTO. (ADAPTADO DE SINAPI 97627)</v>
      </c>
      <c r="I43" s="718"/>
      <c r="J43" s="718"/>
      <c r="K43" s="718"/>
      <c r="L43" s="718"/>
      <c r="M43" s="719"/>
      <c r="N43" s="22" t="str">
        <f>DEMOLIÇÕES!J21</f>
        <v>M3</v>
      </c>
      <c r="O43" s="17"/>
      <c r="P43" s="17">
        <f>DEMOLIÇÕES!I21</f>
        <v>12.000000000000002</v>
      </c>
      <c r="Q43" s="17"/>
      <c r="R43" s="17"/>
      <c r="S43" s="17"/>
      <c r="T43" s="18">
        <f t="shared" si="0"/>
        <v>12.000000000000002</v>
      </c>
      <c r="U43" s="67"/>
      <c r="V43" s="67"/>
    </row>
    <row r="44" spans="1:23" s="8" customFormat="1" ht="24.95" customHeight="1" x14ac:dyDescent="0.25">
      <c r="A44" s="45"/>
      <c r="B44" s="23" t="s">
        <v>792</v>
      </c>
      <c r="C44" s="208" t="str">
        <f>DEMOLIÇÕES!B23</f>
        <v>GOINFRA</v>
      </c>
      <c r="D44" s="203" t="str">
        <f>DEMOLIÇÕES!C23</f>
        <v>020130</v>
      </c>
      <c r="E44" s="20"/>
      <c r="F44" s="21"/>
      <c r="G44" s="21"/>
      <c r="H44" s="718" t="str">
        <f>DEMOLIÇÕES!D23</f>
        <v>DEMOLIÇÃO MANUAL DE ALAMBRADO - POSTE DE CONCRETO/TELA/VIGA COM TRANSPORTE ATE CAÇAMBA E CARGA</v>
      </c>
      <c r="I44" s="718"/>
      <c r="J44" s="718"/>
      <c r="K44" s="718"/>
      <c r="L44" s="718"/>
      <c r="M44" s="719"/>
      <c r="N44" s="22" t="str">
        <f>DEMOLIÇÕES!I27</f>
        <v>M</v>
      </c>
      <c r="O44" s="17"/>
      <c r="P44" s="17">
        <f>DEMOLIÇÕES!H27</f>
        <v>57.7</v>
      </c>
      <c r="Q44" s="17"/>
      <c r="R44" s="17"/>
      <c r="S44" s="17"/>
      <c r="T44" s="18">
        <f t="shared" si="0"/>
        <v>57.7</v>
      </c>
      <c r="U44" s="67"/>
      <c r="V44" s="67"/>
    </row>
    <row r="45" spans="1:23" s="8" customFormat="1" ht="24.95" customHeight="1" x14ac:dyDescent="0.25">
      <c r="A45" s="45"/>
      <c r="B45" s="23" t="s">
        <v>793</v>
      </c>
      <c r="C45" s="208" t="str">
        <f>DEMOLIÇÕES!B29</f>
        <v>PRÓPRIO</v>
      </c>
      <c r="D45" s="203" t="str">
        <f>+DEMOLIÇÕES!C29</f>
        <v>SEINFRA-0117</v>
      </c>
      <c r="E45" s="20"/>
      <c r="F45" s="21"/>
      <c r="G45" s="21"/>
      <c r="H45" s="718" t="str">
        <f>DEMOLIÇÕES!D29</f>
        <v>DEMOLIÇÃO PARCIAL DE PAVIMENTO ASFÁLTICO, DE FORMA MECANIZADA, SEM REAPROVEITAMENTO. (ADAPTADO DE SINAPI 97636)</v>
      </c>
      <c r="I45" s="718"/>
      <c r="J45" s="718"/>
      <c r="K45" s="718"/>
      <c r="L45" s="718"/>
      <c r="M45" s="719"/>
      <c r="N45" s="22" t="str">
        <f>DEMOLIÇÕES!L32</f>
        <v>M3</v>
      </c>
      <c r="O45" s="17"/>
      <c r="P45" s="17"/>
      <c r="Q45" s="17">
        <f>DEMOLIÇÕES!I32</f>
        <v>241.75</v>
      </c>
      <c r="R45" s="17"/>
      <c r="S45" s="17"/>
      <c r="T45" s="18">
        <f t="shared" si="0"/>
        <v>241.75</v>
      </c>
      <c r="U45" s="67"/>
      <c r="V45" s="67"/>
    </row>
    <row r="46" spans="1:23" s="8" customFormat="1" ht="24.95" customHeight="1" x14ac:dyDescent="0.25">
      <c r="A46" s="45"/>
      <c r="B46" s="23" t="s">
        <v>794</v>
      </c>
      <c r="C46" s="208" t="str">
        <f>DEMOLIÇÕES!B34</f>
        <v>GOINFRA</v>
      </c>
      <c r="D46" s="203" t="str">
        <f>DEMOLIÇÕES!C34</f>
        <v>030101</v>
      </c>
      <c r="E46" s="20"/>
      <c r="F46" s="21"/>
      <c r="G46" s="21"/>
      <c r="H46" s="718" t="str">
        <f>DEMOLIÇÕES!D34</f>
        <v>TRANSPORTE DE ENTULHO EM CAMINHÃO INCLUSO A CARGA MANUAL</v>
      </c>
      <c r="I46" s="718"/>
      <c r="J46" s="718"/>
      <c r="K46" s="718"/>
      <c r="L46" s="718"/>
      <c r="M46" s="719"/>
      <c r="N46" s="22" t="str">
        <f>DEMOLIÇÕES!I41</f>
        <v>M3</v>
      </c>
      <c r="O46" s="17">
        <f>DEMOLIÇÕES!H38</f>
        <v>25.160850000000003</v>
      </c>
      <c r="P46" s="17">
        <f>SUM(DEMOLIÇÕES!H36:H37)+'SERVIÇOS PRELIMINARES'!K11</f>
        <v>193.80119322052946</v>
      </c>
      <c r="Q46" s="17">
        <f>SUM(DEMOLIÇÕES!H39:H40)</f>
        <v>365.82209518046869</v>
      </c>
      <c r="R46" s="17"/>
      <c r="S46" s="17"/>
      <c r="T46" s="18">
        <f t="shared" si="0"/>
        <v>584.78413840099813</v>
      </c>
      <c r="U46" s="67"/>
      <c r="V46" s="67"/>
    </row>
    <row r="47" spans="1:23" s="8" customFormat="1" ht="24.95" customHeight="1" x14ac:dyDescent="0.25">
      <c r="A47" s="44"/>
      <c r="B47" s="19"/>
      <c r="C47" s="207"/>
      <c r="D47" s="202"/>
      <c r="E47" s="13"/>
      <c r="F47" s="14"/>
      <c r="G47" s="24"/>
      <c r="H47" s="14"/>
      <c r="I47" s="14"/>
      <c r="J47" s="14"/>
      <c r="K47" s="14"/>
      <c r="L47" s="24"/>
      <c r="M47" s="15"/>
      <c r="N47" s="16"/>
      <c r="O47" s="17"/>
      <c r="P47" s="17"/>
      <c r="Q47" s="17"/>
      <c r="R47" s="17"/>
      <c r="S47" s="17"/>
      <c r="T47" s="18">
        <f t="shared" si="0"/>
        <v>0</v>
      </c>
      <c r="U47" s="67"/>
      <c r="V47" s="67"/>
    </row>
    <row r="48" spans="1:23" s="8" customFormat="1" ht="24.95" customHeight="1" x14ac:dyDescent="0.25">
      <c r="A48" s="44"/>
      <c r="B48" s="12">
        <v>5</v>
      </c>
      <c r="C48" s="206"/>
      <c r="D48" s="201"/>
      <c r="E48" s="13"/>
      <c r="F48" s="14" t="s">
        <v>44</v>
      </c>
      <c r="G48" s="14"/>
      <c r="H48" s="14"/>
      <c r="I48" s="14"/>
      <c r="J48" s="14"/>
      <c r="K48" s="14"/>
      <c r="L48" s="14"/>
      <c r="M48" s="15"/>
      <c r="N48" s="16"/>
      <c r="O48" s="17"/>
      <c r="P48" s="17"/>
      <c r="Q48" s="17"/>
      <c r="R48" s="17"/>
      <c r="S48" s="17"/>
      <c r="T48" s="18">
        <f t="shared" si="0"/>
        <v>0</v>
      </c>
      <c r="U48" s="67"/>
      <c r="V48" s="67"/>
    </row>
    <row r="49" spans="1:22" s="8" customFormat="1" ht="24.95" customHeight="1" x14ac:dyDescent="0.25">
      <c r="A49" s="45"/>
      <c r="B49" s="23" t="s">
        <v>795</v>
      </c>
      <c r="C49" s="208" t="str">
        <f>'RESER-ELE-ESCAVAÇÕES'!B26</f>
        <v>GOINFRA</v>
      </c>
      <c r="D49" s="208" t="str">
        <f>'RESER-ELE-ESCAVAÇÕES'!E26</f>
        <v>040101</v>
      </c>
      <c r="E49" s="20"/>
      <c r="F49" s="21"/>
      <c r="G49" s="21"/>
      <c r="H49" s="718" t="str">
        <f>'RESER-ELE-ESCAVAÇÕES'!F26</f>
        <v>ESCAVACAO MANUAL DE VALAS &lt; 1 MTS. (OBRAS CIVIS)</v>
      </c>
      <c r="I49" s="718"/>
      <c r="J49" s="718"/>
      <c r="K49" s="718"/>
      <c r="L49" s="718"/>
      <c r="M49" s="719"/>
      <c r="N49" s="22">
        <f>+'CAIXAS-MOV. TERRA'!R17</f>
        <v>0</v>
      </c>
      <c r="O49" s="17">
        <f>+'CAIXAS-MOV. TERRA'!S17</f>
        <v>0</v>
      </c>
      <c r="P49" s="17">
        <f>'RESER-ELE-ESCAVAÇÕES'!Q26+'RESER-SPDA-ESCAVAÇÕES'!Q33</f>
        <v>14.7972</v>
      </c>
      <c r="Q49" s="17">
        <f>+'REDE ABAST-MOV. TERRA'!O23</f>
        <v>18.225000000000001</v>
      </c>
      <c r="R49" s="17"/>
      <c r="S49" s="17"/>
      <c r="T49" s="18">
        <f t="shared" si="0"/>
        <v>33.022199999999998</v>
      </c>
      <c r="U49" s="67"/>
      <c r="V49" s="67"/>
    </row>
    <row r="50" spans="1:22" s="8" customFormat="1" ht="24.95" customHeight="1" x14ac:dyDescent="0.25">
      <c r="A50" s="45"/>
      <c r="B50" s="23" t="s">
        <v>796</v>
      </c>
      <c r="C50" s="208" t="str">
        <f>+'CAIXAS-MOV. TERRA'!B18</f>
        <v>GOINFRA</v>
      </c>
      <c r="D50" s="208" t="str">
        <f>+'CAIXAS-MOV. TERRA'!C18</f>
        <v>040103</v>
      </c>
      <c r="E50" s="20"/>
      <c r="F50" s="21"/>
      <c r="G50" s="21"/>
      <c r="H50" s="718" t="str">
        <f>+'CAIXAS-MOV. TERRA'!D18</f>
        <v xml:space="preserve">ESCAVAÇAO MANUAL DE VALAS PROF. 1 A 2 M	</v>
      </c>
      <c r="I50" s="718"/>
      <c r="J50" s="718"/>
      <c r="K50" s="718"/>
      <c r="L50" s="718"/>
      <c r="M50" s="719"/>
      <c r="N50" s="22" t="str">
        <f>+'CAIXAS-MOV. TERRA'!R18</f>
        <v>M3</v>
      </c>
      <c r="O50" s="17">
        <f>+'CAIXAS-MOV. TERRA'!S18</f>
        <v>51.930500000000002</v>
      </c>
      <c r="P50" s="17"/>
      <c r="Q50" s="17"/>
      <c r="R50" s="17"/>
      <c r="S50" s="17"/>
      <c r="T50" s="18">
        <f t="shared" si="0"/>
        <v>51.930500000000002</v>
      </c>
      <c r="U50" s="67"/>
      <c r="V50" s="67"/>
    </row>
    <row r="51" spans="1:22" s="8" customFormat="1" ht="24.95" customHeight="1" x14ac:dyDescent="0.25">
      <c r="A51" s="45"/>
      <c r="B51" s="23" t="s">
        <v>797</v>
      </c>
      <c r="C51" s="208" t="str">
        <f>+'REDE ABAST-MOV. TERRA'!B24</f>
        <v>GOINFRA</v>
      </c>
      <c r="D51" s="208" t="str">
        <f>+'REDE ABAST-MOV. TERRA'!C24</f>
        <v>041004</v>
      </c>
      <c r="E51" s="20"/>
      <c r="F51" s="21"/>
      <c r="G51" s="21"/>
      <c r="H51" s="718" t="str">
        <f>+'REDE ABAST-MOV. TERRA'!D24</f>
        <v xml:space="preserve">ESCAVACAO MECANICA	</v>
      </c>
      <c r="I51" s="718"/>
      <c r="J51" s="718"/>
      <c r="K51" s="718"/>
      <c r="L51" s="718"/>
      <c r="M51" s="719"/>
      <c r="N51" s="22" t="str">
        <f>+'REDE ABAST-MOV. TERRA'!N24</f>
        <v>M3</v>
      </c>
      <c r="O51" s="17"/>
      <c r="P51" s="17"/>
      <c r="Q51" s="17">
        <f>'REDE ABAST-MOV. TERRA'!O24+'REDE ABAST-CAIXAS e POÇOS'!Y21</f>
        <v>4125.1234999999997</v>
      </c>
      <c r="R51" s="17"/>
      <c r="S51" s="17"/>
      <c r="T51" s="18">
        <f t="shared" si="0"/>
        <v>4125.1234999999997</v>
      </c>
      <c r="U51" s="67"/>
      <c r="V51" s="67"/>
    </row>
    <row r="52" spans="1:22" s="8" customFormat="1" ht="24.95" customHeight="1" x14ac:dyDescent="0.25">
      <c r="A52" s="45"/>
      <c r="B52" s="23" t="s">
        <v>798</v>
      </c>
      <c r="C52" s="208" t="str">
        <f>+'RESERV-FUN-BLOCO'!B21</f>
        <v>GOINFRA</v>
      </c>
      <c r="D52" s="203" t="str">
        <f>+'RESERV-FUN-BLOCO'!C21</f>
        <v xml:space="preserve">050901 </v>
      </c>
      <c r="E52" s="20"/>
      <c r="F52" s="21"/>
      <c r="G52" s="21"/>
      <c r="H52" s="718" t="str">
        <f>+'RESERV-FUN-BLOCO'!D21</f>
        <v>ESCAVACAO MANUAL DE VALAS (SAPATAS/BLOCOS)</v>
      </c>
      <c r="I52" s="718"/>
      <c r="J52" s="718"/>
      <c r="K52" s="718"/>
      <c r="L52" s="718"/>
      <c r="M52" s="719"/>
      <c r="N52" s="22" t="str">
        <f>+'RESERV-FUN-BLOCO'!U21</f>
        <v>M3</v>
      </c>
      <c r="O52" s="17"/>
      <c r="P52" s="17">
        <f>+'RESERV-FUN-BLOCO'!V21</f>
        <v>33.896000000000001</v>
      </c>
      <c r="Q52" s="17"/>
      <c r="R52" s="17"/>
      <c r="S52" s="17"/>
      <c r="T52" s="18">
        <f t="shared" si="0"/>
        <v>33.896000000000001</v>
      </c>
      <c r="U52" s="67"/>
      <c r="V52" s="67"/>
    </row>
    <row r="53" spans="1:22" s="8" customFormat="1" ht="24.95" customHeight="1" x14ac:dyDescent="0.25">
      <c r="A53" s="45"/>
      <c r="B53" s="23" t="s">
        <v>799</v>
      </c>
      <c r="C53" s="208" t="str">
        <f>+'CAIXAS-MOV. TERRA'!B19</f>
        <v>GOINFRA</v>
      </c>
      <c r="D53" s="208" t="str">
        <f>+'CAIXAS-MOV. TERRA'!C19</f>
        <v xml:space="preserve">041002 </v>
      </c>
      <c r="E53" s="20"/>
      <c r="F53" s="21"/>
      <c r="G53" s="21"/>
      <c r="H53" s="718" t="str">
        <f>+'CAIXAS-MOV. TERRA'!D19</f>
        <v>APILOAMENTO</v>
      </c>
      <c r="I53" s="718"/>
      <c r="J53" s="718"/>
      <c r="K53" s="718"/>
      <c r="L53" s="718"/>
      <c r="M53" s="719"/>
      <c r="N53" s="22" t="str">
        <f>+'CAIXAS-MOV. TERRA'!R19</f>
        <v>M2</v>
      </c>
      <c r="O53" s="17">
        <f>+'CAIXAS-MOV. TERRA'!S19</f>
        <v>25.819999999999997</v>
      </c>
      <c r="P53" s="17">
        <f>+'RESERV-FUN-BLOCO'!V22+'RESER-ELE-ESCAVAÇÕES'!Q27+'RESER-SPDA-ESCAVAÇÕES'!Q34</f>
        <v>66.420999999999992</v>
      </c>
      <c r="Q53" s="17">
        <f>'REDE ABAST-MOV. TERRA'!O25+'REDE ABAST-CAIXAS e POÇOS'!Y22</f>
        <v>3274.05</v>
      </c>
      <c r="R53" s="17"/>
      <c r="S53" s="17"/>
      <c r="T53" s="18">
        <f t="shared" si="0"/>
        <v>3366.2910000000002</v>
      </c>
      <c r="U53" s="67"/>
      <c r="V53" s="67"/>
    </row>
    <row r="54" spans="1:22" s="8" customFormat="1" ht="24.95" customHeight="1" x14ac:dyDescent="0.25">
      <c r="A54" s="45"/>
      <c r="B54" s="23" t="s">
        <v>800</v>
      </c>
      <c r="C54" s="208" t="str">
        <f>+'CAIXAS-MOV. TERRA'!B20</f>
        <v>GOINFRA</v>
      </c>
      <c r="D54" s="208" t="str">
        <f>+'CAIXAS-MOV. TERRA'!C20</f>
        <v xml:space="preserve">041146 </v>
      </c>
      <c r="E54" s="20"/>
      <c r="F54" s="21"/>
      <c r="G54" s="21"/>
      <c r="H54" s="718" t="str">
        <f>+'CAIXAS-MOV. TERRA'!D20</f>
        <v>FORNECIMENTO DE SOLO PARA ATERRO - EXCLUSO TRANSPORTE PARA OBRA</v>
      </c>
      <c r="I54" s="718"/>
      <c r="J54" s="718"/>
      <c r="K54" s="718"/>
      <c r="L54" s="718"/>
      <c r="M54" s="719"/>
      <c r="N54" s="22" t="str">
        <f>+'CAIXAS-MOV. TERRA'!R20</f>
        <v>M3</v>
      </c>
      <c r="O54" s="17">
        <f>+'CAIXAS-MOV. TERRA'!S20</f>
        <v>5.1724999999999994</v>
      </c>
      <c r="P54" s="17"/>
      <c r="Q54" s="17"/>
      <c r="R54" s="17"/>
      <c r="S54" s="17"/>
      <c r="T54" s="18">
        <f t="shared" si="0"/>
        <v>5.1724999999999994</v>
      </c>
      <c r="U54" s="67"/>
      <c r="V54" s="67"/>
    </row>
    <row r="55" spans="1:22" s="8" customFormat="1" ht="24.95" customHeight="1" x14ac:dyDescent="0.25">
      <c r="A55" s="45"/>
      <c r="B55" s="23" t="s">
        <v>801</v>
      </c>
      <c r="C55" s="208" t="str">
        <f>+'CAIXAS-MOV. TERRA'!B21</f>
        <v>GOINFRA</v>
      </c>
      <c r="D55" s="208" t="str">
        <f>+'CAIXAS-MOV. TERRA'!C21</f>
        <v xml:space="preserve">041006 </v>
      </c>
      <c r="E55" s="20"/>
      <c r="F55" s="21"/>
      <c r="G55" s="21"/>
      <c r="H55" s="718" t="str">
        <f>+'CAIXAS-MOV. TERRA'!D21</f>
        <v>TRANSPORTE DE MATERIAL ESCAVADO M3.KM</v>
      </c>
      <c r="I55" s="718"/>
      <c r="J55" s="718"/>
      <c r="K55" s="718"/>
      <c r="L55" s="718"/>
      <c r="M55" s="719"/>
      <c r="N55" s="22" t="str">
        <f>+'CAIXAS-MOV. TERRA'!R21</f>
        <v>M3.KM</v>
      </c>
      <c r="O55" s="17">
        <f>+'CAIXAS-MOV. TERRA'!S21</f>
        <v>33.621249999999996</v>
      </c>
      <c r="P55" s="17"/>
      <c r="Q55" s="17"/>
      <c r="R55" s="17"/>
      <c r="S55" s="17"/>
      <c r="T55" s="18">
        <f t="shared" si="0"/>
        <v>33.621249999999996</v>
      </c>
      <c r="U55" s="67"/>
      <c r="V55" s="67"/>
    </row>
    <row r="56" spans="1:22" s="8" customFormat="1" ht="24.95" customHeight="1" x14ac:dyDescent="0.25">
      <c r="A56" s="45"/>
      <c r="B56" s="23" t="s">
        <v>802</v>
      </c>
      <c r="C56" s="208" t="str">
        <f>+'CAIXAS-MOV. TERRA'!B22</f>
        <v>GOINFRA</v>
      </c>
      <c r="D56" s="208" t="str">
        <f>+'CAIXAS-MOV. TERRA'!C22</f>
        <v xml:space="preserve">051027 </v>
      </c>
      <c r="E56" s="20"/>
      <c r="F56" s="21"/>
      <c r="G56" s="21"/>
      <c r="H56" s="718" t="str">
        <f>+'CAIXAS-MOV. TERRA'!D22</f>
        <v>LASTRO DE BRITA (OBRAS CIVIS)</v>
      </c>
      <c r="I56" s="718"/>
      <c r="J56" s="718"/>
      <c r="K56" s="718"/>
      <c r="L56" s="718"/>
      <c r="M56" s="719"/>
      <c r="N56" s="22" t="str">
        <f>+'CAIXAS-MOV. TERRA'!R22</f>
        <v>M3</v>
      </c>
      <c r="O56" s="17">
        <f>+'CAIXAS-MOV. TERRA'!S22</f>
        <v>3.718065482457436</v>
      </c>
      <c r="P56" s="17"/>
      <c r="Q56" s="17">
        <f>+'REDE ABAST-MOV. TERRA'!O27+'REDE ABAST-CAIXAS e POÇOS'!Y23</f>
        <v>164.62412587657744</v>
      </c>
      <c r="R56" s="17"/>
      <c r="S56" s="17"/>
      <c r="T56" s="18">
        <f t="shared" si="0"/>
        <v>168.34219135903487</v>
      </c>
      <c r="U56" s="67"/>
      <c r="V56" s="67"/>
    </row>
    <row r="57" spans="1:22" s="8" customFormat="1" ht="24.95" customHeight="1" x14ac:dyDescent="0.25">
      <c r="A57" s="45"/>
      <c r="B57" s="23" t="s">
        <v>803</v>
      </c>
      <c r="C57" s="208" t="str">
        <f>+'CAIXAS-MOV. TERRA'!B23</f>
        <v>GOINFRA</v>
      </c>
      <c r="D57" s="208" t="str">
        <f>+'CAIXAS-MOV. TERRA'!C23</f>
        <v xml:space="preserve">041013 </v>
      </c>
      <c r="E57" s="20"/>
      <c r="F57" s="21"/>
      <c r="G57" s="21"/>
      <c r="H57" s="718" t="str">
        <f>+'CAIXAS-MOV. TERRA'!D23</f>
        <v>COMPACTAÇÃO MECÂNICA DE SOLO COM COMPACTADOR DE PERCUSSÃO (SAPO MECÂNICO)</v>
      </c>
      <c r="I57" s="718"/>
      <c r="J57" s="718"/>
      <c r="K57" s="718"/>
      <c r="L57" s="718"/>
      <c r="M57" s="719"/>
      <c r="N57" s="22" t="str">
        <f>+'CAIXAS-MOV. TERRA'!R23</f>
        <v>M3</v>
      </c>
      <c r="O57" s="17">
        <f>+'CAIXAS-MOV. TERRA'!S23</f>
        <v>8.8905654824574363</v>
      </c>
      <c r="P57" s="17"/>
      <c r="Q57" s="17">
        <f>+'REDE ABAST-MOV. TERRA'!O28</f>
        <v>3195.2045370300516</v>
      </c>
      <c r="R57" s="17"/>
      <c r="S57" s="17"/>
      <c r="T57" s="18">
        <f t="shared" si="0"/>
        <v>3204.0951025125091</v>
      </c>
      <c r="U57" s="67"/>
      <c r="V57" s="67"/>
    </row>
    <row r="58" spans="1:22" s="8" customFormat="1" ht="24.95" customHeight="1" x14ac:dyDescent="0.25">
      <c r="A58" s="45"/>
      <c r="B58" s="23" t="s">
        <v>804</v>
      </c>
      <c r="C58" s="208" t="str">
        <f>+'CAIXAS-MOV. TERRA'!B24</f>
        <v>GOINFRA</v>
      </c>
      <c r="D58" s="208" t="str">
        <f>+'CAIXAS-MOV. TERRA'!C24</f>
        <v xml:space="preserve">050905 </v>
      </c>
      <c r="E58" s="20"/>
      <c r="F58" s="21"/>
      <c r="G58" s="21"/>
      <c r="H58" s="718" t="str">
        <f>+'CAIXAS-MOV. TERRA'!D24</f>
        <v>REATERRO COM APILOAMENTO MECÂNICO (BLOCOS/SAPATAS)</v>
      </c>
      <c r="I58" s="718"/>
      <c r="J58" s="718"/>
      <c r="K58" s="718"/>
      <c r="L58" s="718"/>
      <c r="M58" s="719"/>
      <c r="N58" s="22" t="str">
        <f>+'CAIXAS-MOV. TERRA'!R24</f>
        <v>M3</v>
      </c>
      <c r="O58" s="17">
        <f>+'CAIXAS-MOV. TERRA'!S24</f>
        <v>32.575999999999993</v>
      </c>
      <c r="P58" s="17">
        <f>+'RESERV-FUN-BLOCO'!V30+'RESER-ELE-ESCAVAÇÕES'!Q28+'RESER-SPDA-ESCAVAÇÕES'!Q30</f>
        <v>33.825199999999995</v>
      </c>
      <c r="Q58" s="17">
        <f>'REDE ABAST-CAIXAS e POÇOS'!Y33</f>
        <v>27.124388322716431</v>
      </c>
      <c r="R58" s="17"/>
      <c r="S58" s="17"/>
      <c r="T58" s="18">
        <f t="shared" si="0"/>
        <v>93.525588322716416</v>
      </c>
      <c r="U58" s="67"/>
      <c r="V58" s="67"/>
    </row>
    <row r="59" spans="1:22" s="8" customFormat="1" ht="24.95" customHeight="1" x14ac:dyDescent="0.25">
      <c r="A59" s="45"/>
      <c r="B59" s="23" t="s">
        <v>805</v>
      </c>
      <c r="C59" s="208" t="str">
        <f>+'REDE ABAST-MOV. TERRA'!B26</f>
        <v>GOINFRA</v>
      </c>
      <c r="D59" s="208" t="str">
        <f>+'REDE ABAST-MOV. TERRA'!C26</f>
        <v>050903</v>
      </c>
      <c r="E59" s="20"/>
      <c r="F59" s="21"/>
      <c r="G59" s="21"/>
      <c r="H59" s="718" t="str">
        <f>+'REDE ABAST-MOV. TERRA'!D26</f>
        <v xml:space="preserve">REATERRO COM APILOAMENTO MANUAL (BLOCOS/SAPATAS)	</v>
      </c>
      <c r="I59" s="718"/>
      <c r="J59" s="718"/>
      <c r="K59" s="718"/>
      <c r="L59" s="718"/>
      <c r="M59" s="719"/>
      <c r="N59" s="22" t="str">
        <f>+'CAIXAS-MOV. TERRA'!R24</f>
        <v>M3</v>
      </c>
      <c r="O59" s="17"/>
      <c r="P59" s="17"/>
      <c r="Q59" s="17">
        <f>+'REDE ABAST-MOV. TERRA'!O26</f>
        <v>881.3679629699476</v>
      </c>
      <c r="R59" s="17"/>
      <c r="S59" s="17"/>
      <c r="T59" s="18">
        <f t="shared" si="0"/>
        <v>881.3679629699476</v>
      </c>
      <c r="U59" s="67"/>
      <c r="V59" s="67"/>
    </row>
    <row r="60" spans="1:22" s="8" customFormat="1" ht="24.95" customHeight="1" x14ac:dyDescent="0.25">
      <c r="A60" s="45"/>
      <c r="B60" s="23" t="s">
        <v>806</v>
      </c>
      <c r="C60" s="208" t="str">
        <f>+'REDE ABAST-MOV. TERRA'!B29</f>
        <v>PRÓPRIO</v>
      </c>
      <c r="D60" s="208" t="str">
        <f>+'REDE ABAST-MOV. TERRA'!C29</f>
        <v>SEINFRA -0105</v>
      </c>
      <c r="E60" s="20"/>
      <c r="F60" s="21"/>
      <c r="G60" s="21"/>
      <c r="H60" s="718" t="str">
        <f>+'REDE ABAST-MOV. TERRA'!D29</f>
        <v>ESCORAMENTO DE VALA, TIPO PONTALETEAMENTO, COM PROFUNDIDADE DE 0 A 1,5 M, LARGURA MENOR QUE 1,5 M. (ADAPTADO DE SINAPI 101570)</v>
      </c>
      <c r="I60" s="718"/>
      <c r="J60" s="718"/>
      <c r="K60" s="718"/>
      <c r="L60" s="718"/>
      <c r="M60" s="719"/>
      <c r="N60" s="22" t="str">
        <f>+'REDE ABAST-MOV. TERRA'!N29</f>
        <v>M2</v>
      </c>
      <c r="O60" s="17">
        <f>+'CAIXAS-MOV. TERRA'!S25</f>
        <v>0</v>
      </c>
      <c r="P60" s="17">
        <f>+'RESERV-FUN-BLOCO'!V31+'RESER-ELE-ESCAVAÇÕES'!Q29+'RESER-SPDA-ESCAVAÇÕES'!Q31</f>
        <v>0</v>
      </c>
      <c r="Q60" s="17">
        <f>+'REDE ABAST-MOV. TERRA'!O29</f>
        <v>1057.0500000000002</v>
      </c>
      <c r="R60" s="17"/>
      <c r="S60" s="17"/>
      <c r="T60" s="18">
        <f t="shared" si="0"/>
        <v>1057.0500000000002</v>
      </c>
      <c r="U60" s="67"/>
      <c r="V60" s="67"/>
    </row>
    <row r="61" spans="1:22" s="8" customFormat="1" ht="24.95" customHeight="1" x14ac:dyDescent="0.25">
      <c r="A61" s="44"/>
      <c r="B61" s="19"/>
      <c r="C61" s="207"/>
      <c r="D61" s="202"/>
      <c r="E61" s="13"/>
      <c r="F61" s="14"/>
      <c r="G61" s="24"/>
      <c r="H61" s="14"/>
      <c r="I61" s="14"/>
      <c r="J61" s="14"/>
      <c r="K61" s="14"/>
      <c r="L61" s="24"/>
      <c r="M61" s="15"/>
      <c r="N61" s="16"/>
      <c r="O61" s="17"/>
      <c r="P61" s="17"/>
      <c r="Q61" s="17"/>
      <c r="R61" s="17"/>
      <c r="S61" s="17"/>
      <c r="T61" s="18">
        <f t="shared" si="0"/>
        <v>0</v>
      </c>
      <c r="U61" s="67"/>
      <c r="V61" s="67"/>
    </row>
    <row r="62" spans="1:22" s="8" customFormat="1" ht="24.95" customHeight="1" x14ac:dyDescent="0.25">
      <c r="A62" s="44"/>
      <c r="B62" s="12">
        <v>6</v>
      </c>
      <c r="C62" s="206"/>
      <c r="D62" s="201"/>
      <c r="E62" s="13"/>
      <c r="F62" s="14" t="s">
        <v>47</v>
      </c>
      <c r="G62" s="14"/>
      <c r="H62" s="14"/>
      <c r="I62" s="14"/>
      <c r="J62" s="14"/>
      <c r="K62" s="14"/>
      <c r="L62" s="14"/>
      <c r="M62" s="15"/>
      <c r="N62" s="16"/>
      <c r="O62" s="17"/>
      <c r="P62" s="17"/>
      <c r="Q62" s="17"/>
      <c r="R62" s="17"/>
      <c r="S62" s="17"/>
      <c r="T62" s="18">
        <f t="shared" si="0"/>
        <v>0</v>
      </c>
      <c r="U62" s="67"/>
      <c r="V62" s="67"/>
    </row>
    <row r="63" spans="1:22" s="8" customFormat="1" ht="24.95" customHeight="1" x14ac:dyDescent="0.25">
      <c r="A63" s="45"/>
      <c r="B63" s="19" t="s">
        <v>807</v>
      </c>
      <c r="C63" s="207"/>
      <c r="D63" s="202"/>
      <c r="E63" s="20"/>
      <c r="F63" s="21"/>
      <c r="G63" s="14" t="s">
        <v>317</v>
      </c>
      <c r="H63" s="40"/>
      <c r="I63" s="40"/>
      <c r="J63" s="40"/>
      <c r="K63" s="40"/>
      <c r="L63" s="40"/>
      <c r="M63" s="41"/>
      <c r="N63" s="22"/>
      <c r="O63" s="17"/>
      <c r="P63" s="17"/>
      <c r="Q63" s="17"/>
      <c r="R63" s="17"/>
      <c r="S63" s="17"/>
      <c r="T63" s="18">
        <f t="shared" si="0"/>
        <v>0</v>
      </c>
      <c r="U63" s="67"/>
      <c r="V63" s="67"/>
    </row>
    <row r="64" spans="1:22" s="8" customFormat="1" ht="24.95" customHeight="1" x14ac:dyDescent="0.25">
      <c r="A64" s="45"/>
      <c r="B64" s="23" t="s">
        <v>808</v>
      </c>
      <c r="C64" s="208" t="str">
        <f>+'CAIXAS-FUN-CONTENÇÕES'!B32</f>
        <v>GOINFRA</v>
      </c>
      <c r="D64" s="203" t="str">
        <f>+'CAIXAS-FUN-CONTENÇÕES'!C32</f>
        <v xml:space="preserve">051024 </v>
      </c>
      <c r="E64" s="20"/>
      <c r="F64" s="21"/>
      <c r="G64" s="21"/>
      <c r="H64" s="718" t="str">
        <f>+'CAIXAS-FUN-CONTENÇÕES'!D32</f>
        <v>PREPARO COM BETONEIRA E TRANSPORTE MANUAL DE CONCRETO PARA LASTRO  - (O.C.)</v>
      </c>
      <c r="I64" s="718"/>
      <c r="J64" s="718"/>
      <c r="K64" s="718"/>
      <c r="L64" s="718"/>
      <c r="M64" s="719"/>
      <c r="N64" s="22" t="str">
        <f>+'CAIXAS-FUN-CONTENÇÕES'!R32</f>
        <v>M3</v>
      </c>
      <c r="O64" s="17">
        <f>+'CAIXAS-FUN-CONTENÇÕES'!S32</f>
        <v>0.56699999999999995</v>
      </c>
      <c r="P64" s="17"/>
      <c r="Q64" s="17"/>
      <c r="R64" s="17"/>
      <c r="S64" s="17"/>
      <c r="T64" s="18">
        <f t="shared" si="0"/>
        <v>0.56699999999999995</v>
      </c>
      <c r="U64" s="67"/>
      <c r="V64" s="67"/>
    </row>
    <row r="65" spans="1:22" s="8" customFormat="1" ht="24.95" customHeight="1" x14ac:dyDescent="0.25">
      <c r="A65" s="45"/>
      <c r="B65" s="23" t="s">
        <v>809</v>
      </c>
      <c r="C65" s="208" t="str">
        <f>+'CAIXAS-FUN-CONTENÇÕES'!B33</f>
        <v>GOINFRA</v>
      </c>
      <c r="D65" s="203" t="str">
        <f>+'CAIXAS-FUN-CONTENÇÕES'!C33</f>
        <v xml:space="preserve">051009 </v>
      </c>
      <c r="E65" s="20"/>
      <c r="F65" s="21"/>
      <c r="G65" s="21"/>
      <c r="H65" s="718" t="str">
        <f>+'CAIXAS-FUN-CONTENÇÕES'!D33</f>
        <v>FORMA TABUA PINHO PARA FUNDACOES U=3V - (OBRAS CIVIS)</v>
      </c>
      <c r="I65" s="718"/>
      <c r="J65" s="718"/>
      <c r="K65" s="718"/>
      <c r="L65" s="718"/>
      <c r="M65" s="719"/>
      <c r="N65" s="22" t="str">
        <f>+'CAIXAS-FUN-CONTENÇÕES'!R33</f>
        <v>M2</v>
      </c>
      <c r="O65" s="17">
        <f>+'CAIXAS-FUN-CONTENÇÕES'!S33</f>
        <v>13.559000000000001</v>
      </c>
      <c r="P65" s="17"/>
      <c r="Q65" s="17"/>
      <c r="R65" s="17"/>
      <c r="S65" s="17"/>
      <c r="T65" s="18">
        <f t="shared" si="0"/>
        <v>13.559000000000001</v>
      </c>
      <c r="U65" s="67"/>
      <c r="V65" s="67"/>
    </row>
    <row r="66" spans="1:22" s="8" customFormat="1" ht="24.95" customHeight="1" x14ac:dyDescent="0.25">
      <c r="A66" s="45"/>
      <c r="B66" s="23" t="s">
        <v>810</v>
      </c>
      <c r="C66" s="208" t="str">
        <f>+'CAIXAS-FUN-CONTENÇÕES'!B34</f>
        <v>GOINFRA</v>
      </c>
      <c r="D66" s="203" t="str">
        <f>+'CAIXAS-FUN-CONTENÇÕES'!C34</f>
        <v xml:space="preserve">052003 </v>
      </c>
      <c r="E66" s="20"/>
      <c r="F66" s="21"/>
      <c r="G66" s="21"/>
      <c r="H66" s="718" t="str">
        <f>+'CAIXAS-FUN-CONTENÇÕES'!D34</f>
        <v>ACO CA-50A - 6,3 MM (1/4") - (OBRAS CIVIS)</v>
      </c>
      <c r="I66" s="718"/>
      <c r="J66" s="718"/>
      <c r="K66" s="718"/>
      <c r="L66" s="718"/>
      <c r="M66" s="719"/>
      <c r="N66" s="22" t="str">
        <f>+'CAIXAS-FUN-CONTENÇÕES'!R34</f>
        <v>KG</v>
      </c>
      <c r="O66" s="17">
        <f>+'CAIXAS-FUN-CONTENÇÕES'!S34</f>
        <v>104.44349999999999</v>
      </c>
      <c r="P66" s="17"/>
      <c r="Q66" s="17"/>
      <c r="R66" s="17"/>
      <c r="S66" s="17"/>
      <c r="T66" s="18">
        <f t="shared" si="0"/>
        <v>104.44349999999999</v>
      </c>
      <c r="U66" s="67"/>
      <c r="V66" s="67"/>
    </row>
    <row r="67" spans="1:22" s="8" customFormat="1" ht="24.95" customHeight="1" x14ac:dyDescent="0.25">
      <c r="A67" s="45"/>
      <c r="B67" s="23" t="s">
        <v>811</v>
      </c>
      <c r="C67" s="208" t="str">
        <f>+'CAIXAS-FUN-CONTENÇÕES'!B35</f>
        <v>GOINFRA</v>
      </c>
      <c r="D67" s="203" t="str">
        <f>+'CAIXAS-FUN-CONTENÇÕES'!C35</f>
        <v xml:space="preserve">052004 </v>
      </c>
      <c r="E67" s="20"/>
      <c r="F67" s="21"/>
      <c r="G67" s="21"/>
      <c r="H67" s="718" t="str">
        <f>+'CAIXAS-FUN-CONTENÇÕES'!D35</f>
        <v>ACO CA 50-A - 8,0 MM (5/16") - (OBRAS CIVIS)</v>
      </c>
      <c r="I67" s="718"/>
      <c r="J67" s="718"/>
      <c r="K67" s="718"/>
      <c r="L67" s="718"/>
      <c r="M67" s="719"/>
      <c r="N67" s="22" t="str">
        <f>+'CAIXAS-FUN-CONTENÇÕES'!R35</f>
        <v>KG</v>
      </c>
      <c r="O67" s="17">
        <f>+'CAIXAS-FUN-CONTENÇÕES'!S35</f>
        <v>90.31280000000001</v>
      </c>
      <c r="P67" s="17"/>
      <c r="Q67" s="17"/>
      <c r="R67" s="17"/>
      <c r="S67" s="17"/>
      <c r="T67" s="18">
        <f t="shared" si="0"/>
        <v>90.31280000000001</v>
      </c>
      <c r="U67" s="67"/>
      <c r="V67" s="67"/>
    </row>
    <row r="68" spans="1:22" s="8" customFormat="1" ht="24.95" customHeight="1" x14ac:dyDescent="0.25">
      <c r="A68" s="45"/>
      <c r="B68" s="23" t="s">
        <v>812</v>
      </c>
      <c r="C68" s="208" t="str">
        <f>+'CAIXAS-FUN-CONTENÇÕES'!B36</f>
        <v>GOINFRA</v>
      </c>
      <c r="D68" s="203" t="str">
        <f>+'CAIXAS-FUN-CONTENÇÕES'!C36</f>
        <v xml:space="preserve">052005 </v>
      </c>
      <c r="E68" s="20"/>
      <c r="F68" s="21"/>
      <c r="G68" s="21"/>
      <c r="H68" s="718" t="str">
        <f>+'CAIXAS-FUN-CONTENÇÕES'!D36</f>
        <v>ACO CA-50A - 10,0 MM (3/8") - (OBRAS CIVIS)</v>
      </c>
      <c r="I68" s="718"/>
      <c r="J68" s="718"/>
      <c r="K68" s="718"/>
      <c r="L68" s="718"/>
      <c r="M68" s="719"/>
      <c r="N68" s="22" t="str">
        <f>+'CAIXAS-FUN-CONTENÇÕES'!R36</f>
        <v>KG</v>
      </c>
      <c r="O68" s="17">
        <f>+'CAIXAS-FUN-CONTENÇÕES'!S36</f>
        <v>35.440480000000001</v>
      </c>
      <c r="P68" s="17"/>
      <c r="Q68" s="17"/>
      <c r="R68" s="17"/>
      <c r="S68" s="17"/>
      <c r="T68" s="18">
        <f t="shared" si="0"/>
        <v>35.440480000000001</v>
      </c>
      <c r="U68" s="67"/>
      <c r="V68" s="67"/>
    </row>
    <row r="69" spans="1:22" s="8" customFormat="1" ht="24.95" customHeight="1" x14ac:dyDescent="0.25">
      <c r="A69" s="45"/>
      <c r="B69" s="23" t="s">
        <v>813</v>
      </c>
      <c r="C69" s="208" t="str">
        <f>+'CAIXAS-FUN-CONTENÇÕES'!B37</f>
        <v>GOINFRA</v>
      </c>
      <c r="D69" s="203" t="str">
        <f>+'CAIXAS-FUN-CONTENÇÕES'!C37</f>
        <v xml:space="preserve">052014 </v>
      </c>
      <c r="E69" s="20"/>
      <c r="F69" s="21"/>
      <c r="G69" s="21"/>
      <c r="H69" s="718" t="str">
        <f>+'CAIXAS-FUN-CONTENÇÕES'!D37</f>
        <v>ACO CA-60 - 5,0 MM - (OBRAS CIVIS)</v>
      </c>
      <c r="I69" s="718"/>
      <c r="J69" s="718"/>
      <c r="K69" s="718"/>
      <c r="L69" s="718"/>
      <c r="M69" s="719"/>
      <c r="N69" s="22" t="str">
        <f>+'CAIXAS-FUN-CONTENÇÕES'!R37</f>
        <v>KG</v>
      </c>
      <c r="O69" s="17">
        <f>+'CAIXAS-FUN-CONTENÇÕES'!S37</f>
        <v>6.9454000000000002</v>
      </c>
      <c r="P69" s="17"/>
      <c r="Q69" s="17"/>
      <c r="R69" s="17"/>
      <c r="S69" s="17"/>
      <c r="T69" s="18">
        <f t="shared" si="0"/>
        <v>6.9454000000000002</v>
      </c>
      <c r="U69" s="67"/>
      <c r="V69" s="67"/>
    </row>
    <row r="70" spans="1:22" s="8" customFormat="1" ht="24.95" customHeight="1" x14ac:dyDescent="0.25">
      <c r="A70" s="45"/>
      <c r="B70" s="23" t="s">
        <v>814</v>
      </c>
      <c r="C70" s="208" t="str">
        <f>+'CAIXAS-FUN-CONTENÇÕES'!B38</f>
        <v>GOINFRA</v>
      </c>
      <c r="D70" s="203" t="str">
        <f>+'CAIXAS-FUN-CONTENÇÕES'!C38</f>
        <v xml:space="preserve">051030 </v>
      </c>
      <c r="E70" s="20"/>
      <c r="F70" s="21"/>
      <c r="G70" s="21"/>
      <c r="H70" s="718" t="str">
        <f>+'CAIXAS-FUN-CONTENÇÕES'!D38</f>
        <v>PREPARO COM BETONEIRA E TRANSPORTE MANUAL DE CONCRETO FCK=25 MPA</v>
      </c>
      <c r="I70" s="718"/>
      <c r="J70" s="718"/>
      <c r="K70" s="718"/>
      <c r="L70" s="718"/>
      <c r="M70" s="719"/>
      <c r="N70" s="22" t="str">
        <f>+'CAIXAS-FUN-CONTENÇÕES'!R38</f>
        <v>M3</v>
      </c>
      <c r="O70" s="17">
        <f>+'CAIXAS-FUN-CONTENÇÕES'!S38</f>
        <v>3.9825134587712818</v>
      </c>
      <c r="P70" s="17"/>
      <c r="Q70" s="17"/>
      <c r="R70" s="17"/>
      <c r="S70" s="17"/>
      <c r="T70" s="18">
        <f t="shared" si="0"/>
        <v>3.9825134587712818</v>
      </c>
      <c r="U70" s="67"/>
      <c r="V70" s="67"/>
    </row>
    <row r="71" spans="1:22" s="8" customFormat="1" ht="24.95" customHeight="1" x14ac:dyDescent="0.25">
      <c r="A71" s="45"/>
      <c r="B71" s="23" t="s">
        <v>815</v>
      </c>
      <c r="C71" s="208" t="str">
        <f>+'CAIXAS-FUN-CONTENÇÕES'!B39</f>
        <v>GOINFRA</v>
      </c>
      <c r="D71" s="203" t="str">
        <f>+'CAIXAS-FUN-CONTENÇÕES'!C39</f>
        <v xml:space="preserve">051055 </v>
      </c>
      <c r="E71" s="20"/>
      <c r="F71" s="21"/>
      <c r="G71" s="21"/>
      <c r="H71" s="718" t="str">
        <f>+'CAIXAS-FUN-CONTENÇÕES'!D39</f>
        <v>LANÇAMENTO/APLICAÇÃO/ADENSAMENTO MANUAL DE CONCRETO - (O.C.)</v>
      </c>
      <c r="I71" s="718"/>
      <c r="J71" s="718"/>
      <c r="K71" s="718"/>
      <c r="L71" s="718"/>
      <c r="M71" s="719"/>
      <c r="N71" s="22" t="str">
        <f>+'CAIXAS-FUN-CONTENÇÕES'!R39</f>
        <v>M3</v>
      </c>
      <c r="O71" s="17">
        <f>+'CAIXAS-FUN-CONTENÇÕES'!S39</f>
        <v>3.9825134587712818</v>
      </c>
      <c r="P71" s="17"/>
      <c r="Q71" s="17"/>
      <c r="R71" s="17"/>
      <c r="S71" s="17"/>
      <c r="T71" s="18">
        <f t="shared" si="0"/>
        <v>3.9825134587712818</v>
      </c>
      <c r="U71" s="67"/>
      <c r="V71" s="67"/>
    </row>
    <row r="72" spans="1:22" s="8" customFormat="1" ht="24.95" customHeight="1" x14ac:dyDescent="0.25">
      <c r="A72" s="45"/>
      <c r="B72" s="23" t="s">
        <v>816</v>
      </c>
      <c r="C72" s="208" t="str">
        <f>+'CAIXAS-FUN-CONTENÇÕES'!B40</f>
        <v>PRÓPRIO</v>
      </c>
      <c r="D72" s="203" t="str">
        <f>+'CAIXAS-FUN-CONTENÇÕES'!C40</f>
        <v>SEINFRA-0022</v>
      </c>
      <c r="E72" s="20"/>
      <c r="F72" s="21"/>
      <c r="G72" s="21"/>
      <c r="H72" s="718" t="str">
        <f>+'CAIXAS-FUN-CONTENÇÕES'!D40</f>
        <v>CORTINA CANALETA CONCRETO 14X19X39 PARA SER CHEIA CONCRETO ARMADO (0,0568M3/M2) - EXCLUSO O CONCRETO. (ADAPTADO DE GOINFRA CIVIL 110106)</v>
      </c>
      <c r="I72" s="718"/>
      <c r="J72" s="718"/>
      <c r="K72" s="718"/>
      <c r="L72" s="718"/>
      <c r="M72" s="719"/>
      <c r="N72" s="22" t="str">
        <f>+'CAIXAS-FUN-CONTENÇÕES'!R40</f>
        <v>M2</v>
      </c>
      <c r="O72" s="17">
        <f>+'CAIXAS-FUN-CONTENÇÕES'!S40</f>
        <v>30.158000000000001</v>
      </c>
      <c r="P72" s="17"/>
      <c r="Q72" s="17"/>
      <c r="R72" s="17"/>
      <c r="S72" s="17"/>
      <c r="T72" s="18">
        <f t="shared" si="0"/>
        <v>30.158000000000001</v>
      </c>
      <c r="U72" s="67"/>
      <c r="V72" s="67"/>
    </row>
    <row r="73" spans="1:22" s="8" customFormat="1" ht="24.95" customHeight="1" x14ac:dyDescent="0.25">
      <c r="A73" s="45"/>
      <c r="B73" s="19" t="s">
        <v>817</v>
      </c>
      <c r="C73" s="207"/>
      <c r="D73" s="202"/>
      <c r="E73" s="20"/>
      <c r="F73" s="21"/>
      <c r="G73" s="14" t="s">
        <v>48</v>
      </c>
      <c r="H73" s="40"/>
      <c r="I73" s="40"/>
      <c r="J73" s="40"/>
      <c r="K73" s="40"/>
      <c r="L73" s="40"/>
      <c r="M73" s="41"/>
      <c r="N73" s="22"/>
      <c r="O73" s="17"/>
      <c r="P73" s="17"/>
      <c r="Q73" s="17"/>
      <c r="R73" s="17"/>
      <c r="S73" s="17"/>
      <c r="T73" s="18">
        <f t="shared" si="0"/>
        <v>0</v>
      </c>
      <c r="U73" s="67"/>
      <c r="V73" s="67"/>
    </row>
    <row r="74" spans="1:22" s="8" customFormat="1" ht="24.95" customHeight="1" x14ac:dyDescent="0.25">
      <c r="A74" s="45"/>
      <c r="B74" s="23" t="s">
        <v>818</v>
      </c>
      <c r="C74" s="208">
        <f>+'RESERV-FUN-ESTACAS'!B18</f>
        <v>0</v>
      </c>
      <c r="D74" s="203">
        <f>+'RESERV-FUN-ESTACAS'!C18</f>
        <v>0</v>
      </c>
      <c r="E74" s="20"/>
      <c r="F74" s="21"/>
      <c r="G74" s="21"/>
      <c r="H74" s="718" t="str">
        <f>+'RESERV-FUN-ESTACAS'!D18</f>
        <v>MOBILIZAÇÃO</v>
      </c>
      <c r="I74" s="718"/>
      <c r="J74" s="718"/>
      <c r="K74" s="718"/>
      <c r="L74" s="718"/>
      <c r="M74" s="719"/>
      <c r="N74" s="22" t="str">
        <f>+'RESERV-FUN-ESTACAS'!N18</f>
        <v>M</v>
      </c>
      <c r="O74" s="17"/>
      <c r="P74" s="17">
        <f>+'RESERV-FUN-ESTACAS'!O18</f>
        <v>0</v>
      </c>
      <c r="Q74" s="17"/>
      <c r="R74" s="17"/>
      <c r="S74" s="17"/>
      <c r="T74" s="18">
        <f t="shared" si="0"/>
        <v>0</v>
      </c>
      <c r="U74" s="67"/>
      <c r="V74" s="67"/>
    </row>
    <row r="75" spans="1:22" s="8" customFormat="1" ht="24.95" customHeight="1" x14ac:dyDescent="0.25">
      <c r="A75" s="45"/>
      <c r="B75" s="23" t="s">
        <v>819</v>
      </c>
      <c r="C75" s="208" t="str">
        <f>+'RESERV-FUN-ESTACAS'!B19</f>
        <v>PRÓPRIO</v>
      </c>
      <c r="D75" s="203" t="str">
        <f>+'RESERV-FUN-ESTACAS'!C19</f>
        <v>SEINFRA-0023</v>
      </c>
      <c r="E75" s="20"/>
      <c r="F75" s="21"/>
      <c r="G75" s="21"/>
      <c r="H75" s="718" t="str">
        <f>+'RESERV-FUN-ESTACAS'!D19</f>
        <v>ESTACA ESCAVADA MECANICAMENTE - Ø 400MM</v>
      </c>
      <c r="I75" s="718"/>
      <c r="J75" s="718"/>
      <c r="K75" s="718"/>
      <c r="L75" s="718"/>
      <c r="M75" s="719"/>
      <c r="N75" s="22" t="str">
        <f>+'RESERV-FUN-ESTACAS'!N19</f>
        <v>M</v>
      </c>
      <c r="O75" s="17"/>
      <c r="P75" s="17">
        <f>+'RESERV-FUN-ESTACAS'!O19</f>
        <v>300</v>
      </c>
      <c r="Q75" s="17"/>
      <c r="R75" s="17"/>
      <c r="S75" s="17"/>
      <c r="T75" s="18">
        <f t="shared" si="0"/>
        <v>300</v>
      </c>
      <c r="U75" s="67"/>
      <c r="V75" s="67"/>
    </row>
    <row r="76" spans="1:22" s="8" customFormat="1" ht="24.95" customHeight="1" x14ac:dyDescent="0.25">
      <c r="A76" s="45"/>
      <c r="B76" s="23" t="s">
        <v>820</v>
      </c>
      <c r="C76" s="208" t="str">
        <f>+'RESERV-FUN-ESTACAS'!B20</f>
        <v>GOINFRA</v>
      </c>
      <c r="D76" s="203" t="str">
        <f>+'RESERV-FUN-ESTACAS'!C20</f>
        <v xml:space="preserve">052003 </v>
      </c>
      <c r="E76" s="20"/>
      <c r="F76" s="21"/>
      <c r="G76" s="21"/>
      <c r="H76" s="718" t="str">
        <f>+'RESERV-FUN-ESTACAS'!D20</f>
        <v>ACO CA-50A - 6,3 MM (1/4") - (OBRAS CIVIS)</v>
      </c>
      <c r="I76" s="718"/>
      <c r="J76" s="718"/>
      <c r="K76" s="718"/>
      <c r="L76" s="718"/>
      <c r="M76" s="719"/>
      <c r="N76" s="22" t="str">
        <f>+'RESERV-FUN-ESTACAS'!N20</f>
        <v>KG</v>
      </c>
      <c r="O76" s="17"/>
      <c r="P76" s="17">
        <f>+'RESERV-FUN-ESTACAS'!O20</f>
        <v>185.22000000000003</v>
      </c>
      <c r="Q76" s="17"/>
      <c r="R76" s="17"/>
      <c r="S76" s="17"/>
      <c r="T76" s="18">
        <f t="shared" si="0"/>
        <v>185.22000000000003</v>
      </c>
      <c r="U76" s="67"/>
      <c r="V76" s="67"/>
    </row>
    <row r="77" spans="1:22" s="8" customFormat="1" ht="24.95" customHeight="1" x14ac:dyDescent="0.25">
      <c r="A77" s="45"/>
      <c r="B77" s="23" t="s">
        <v>821</v>
      </c>
      <c r="C77" s="208" t="str">
        <f>+'RESERV-FUN-ESTACAS'!B21</f>
        <v>GOINFRA</v>
      </c>
      <c r="D77" s="203" t="str">
        <f>+'RESERV-FUN-ESTACAS'!C21</f>
        <v xml:space="preserve">052007 </v>
      </c>
      <c r="E77" s="20"/>
      <c r="F77" s="21"/>
      <c r="G77" s="21"/>
      <c r="H77" s="718" t="str">
        <f>+'RESERV-FUN-ESTACAS'!D21</f>
        <v>ACO CA - 50 - 16,0 MM (5/8") - (OBRAS CIVIS)</v>
      </c>
      <c r="I77" s="718"/>
      <c r="J77" s="718"/>
      <c r="K77" s="718"/>
      <c r="L77" s="718"/>
      <c r="M77" s="719"/>
      <c r="N77" s="22" t="str">
        <f>+'RESERV-FUN-ESTACAS'!N21</f>
        <v>KG</v>
      </c>
      <c r="O77" s="17"/>
      <c r="P77" s="17">
        <f>+'RESERV-FUN-ESTACAS'!O21</f>
        <v>1136.1600000000001</v>
      </c>
      <c r="Q77" s="17"/>
      <c r="R77" s="17"/>
      <c r="S77" s="17"/>
      <c r="T77" s="18">
        <f t="shared" si="0"/>
        <v>1136.1600000000001</v>
      </c>
      <c r="U77" s="67"/>
      <c r="V77" s="67"/>
    </row>
    <row r="78" spans="1:22" s="8" customFormat="1" ht="24.95" customHeight="1" x14ac:dyDescent="0.25">
      <c r="A78" s="45"/>
      <c r="B78" s="23" t="s">
        <v>822</v>
      </c>
      <c r="C78" s="208" t="str">
        <f>+'RESERV-FUN-ESTACAS'!B22</f>
        <v>GOINFRA</v>
      </c>
      <c r="D78" s="203" t="str">
        <f>+'RESERV-FUN-ESTACAS'!C22</f>
        <v xml:space="preserve">051030 </v>
      </c>
      <c r="E78" s="20"/>
      <c r="F78" s="21"/>
      <c r="G78" s="21"/>
      <c r="H78" s="718" t="str">
        <f>+'RESERV-FUN-ESTACAS'!D22</f>
        <v>PREPARO COM BETONEIRA E TRANSPORTE MANUAL DE CONCRETO FCK=25 MPA</v>
      </c>
      <c r="I78" s="718"/>
      <c r="J78" s="718"/>
      <c r="K78" s="718"/>
      <c r="L78" s="718"/>
      <c r="M78" s="719"/>
      <c r="N78" s="22" t="str">
        <f>+'RESERV-FUN-ESTACAS'!N22</f>
        <v>M3</v>
      </c>
      <c r="O78" s="17"/>
      <c r="P78" s="17">
        <f>+'RESERV-FUN-ESTACAS'!O22</f>
        <v>37.700000000000003</v>
      </c>
      <c r="Q78" s="17"/>
      <c r="R78" s="17"/>
      <c r="S78" s="17"/>
      <c r="T78" s="18">
        <f t="shared" si="0"/>
        <v>37.700000000000003</v>
      </c>
      <c r="U78" s="67"/>
      <c r="V78" s="67"/>
    </row>
    <row r="79" spans="1:22" s="8" customFormat="1" ht="24.95" customHeight="1" x14ac:dyDescent="0.25">
      <c r="A79" s="45"/>
      <c r="B79" s="23" t="s">
        <v>823</v>
      </c>
      <c r="C79" s="208" t="str">
        <f>+'RESERV-FUN-ESTACAS'!B23</f>
        <v>GOINFRA</v>
      </c>
      <c r="D79" s="203" t="str">
        <f>+'RESERV-FUN-ESTACAS'!C23</f>
        <v xml:space="preserve">051055 </v>
      </c>
      <c r="E79" s="20"/>
      <c r="F79" s="21"/>
      <c r="G79" s="21"/>
      <c r="H79" s="718" t="str">
        <f>+'RESERV-FUN-ESTACAS'!D23</f>
        <v>LANÇAMENTO/APLICAÇÃO/ADENSAMENTO MANUAL DE CONCRETO - (O.C.)</v>
      </c>
      <c r="I79" s="718"/>
      <c r="J79" s="718"/>
      <c r="K79" s="718"/>
      <c r="L79" s="718"/>
      <c r="M79" s="719"/>
      <c r="N79" s="22" t="str">
        <f>+'RESERV-FUN-ESTACAS'!N23</f>
        <v>M3</v>
      </c>
      <c r="O79" s="17"/>
      <c r="P79" s="17">
        <f>+'RESERV-FUN-ESTACAS'!O23</f>
        <v>37.700000000000003</v>
      </c>
      <c r="Q79" s="17"/>
      <c r="R79" s="17"/>
      <c r="S79" s="17"/>
      <c r="T79" s="18">
        <f t="shared" si="0"/>
        <v>37.700000000000003</v>
      </c>
      <c r="U79" s="67"/>
      <c r="V79" s="67"/>
    </row>
    <row r="80" spans="1:22" s="8" customFormat="1" ht="24.95" customHeight="1" x14ac:dyDescent="0.25">
      <c r="A80" s="45"/>
      <c r="B80" s="23" t="s">
        <v>824</v>
      </c>
      <c r="C80" s="208" t="str">
        <f>+'RESERV-FUN-ESTACAS'!B24</f>
        <v>PRÓPRIO</v>
      </c>
      <c r="D80" s="203" t="str">
        <f>+'RESERV-FUN-ESTACAS'!C24</f>
        <v>SEINFRA-0024</v>
      </c>
      <c r="E80" s="20"/>
      <c r="F80" s="21"/>
      <c r="G80" s="21"/>
      <c r="H80" s="718" t="str">
        <f>+'RESERV-FUN-ESTACAS'!D24</f>
        <v>ARRASAMENTO MECANICO DE ESTACA DE CONCRETO ARMADO, DIAMETROS DE ATÉ 40 CM. (ADAPTADO DE SINAPI 95601)</v>
      </c>
      <c r="I80" s="718"/>
      <c r="J80" s="718"/>
      <c r="K80" s="718"/>
      <c r="L80" s="718"/>
      <c r="M80" s="719"/>
      <c r="N80" s="22" t="str">
        <f>+'RESERV-FUN-ESTACAS'!N24</f>
        <v xml:space="preserve">UN </v>
      </c>
      <c r="O80" s="17"/>
      <c r="P80" s="17">
        <f>+'RESERV-FUN-ESTACAS'!O24</f>
        <v>20</v>
      </c>
      <c r="Q80" s="17"/>
      <c r="R80" s="17"/>
      <c r="S80" s="17"/>
      <c r="T80" s="18">
        <f t="shared" si="0"/>
        <v>20</v>
      </c>
      <c r="U80" s="67"/>
      <c r="V80" s="67"/>
    </row>
    <row r="81" spans="1:23" s="8" customFormat="1" ht="24.95" customHeight="1" x14ac:dyDescent="0.25">
      <c r="A81" s="45"/>
      <c r="B81" s="19" t="s">
        <v>825</v>
      </c>
      <c r="C81" s="207"/>
      <c r="D81" s="202"/>
      <c r="E81" s="20"/>
      <c r="F81" s="21"/>
      <c r="G81" s="14" t="s">
        <v>50</v>
      </c>
      <c r="H81" s="40"/>
      <c r="I81" s="40"/>
      <c r="J81" s="40"/>
      <c r="K81" s="40"/>
      <c r="L81" s="40"/>
      <c r="M81" s="41"/>
      <c r="N81" s="22"/>
      <c r="O81" s="17"/>
      <c r="P81" s="17"/>
      <c r="Q81" s="17"/>
      <c r="R81" s="17"/>
      <c r="S81" s="17"/>
      <c r="T81" s="18">
        <f t="shared" si="0"/>
        <v>0</v>
      </c>
      <c r="U81" s="67"/>
      <c r="V81" s="67"/>
    </row>
    <row r="82" spans="1:23" s="8" customFormat="1" ht="24.95" customHeight="1" x14ac:dyDescent="0.25">
      <c r="A82" s="45"/>
      <c r="B82" s="23" t="s">
        <v>826</v>
      </c>
      <c r="C82" s="208" t="str">
        <f>+'RESERV-FUN-BLOCO'!B23</f>
        <v>GOINFRA</v>
      </c>
      <c r="D82" s="203" t="str">
        <f>+'RESERV-FUN-BLOCO'!C23</f>
        <v xml:space="preserve">051024 </v>
      </c>
      <c r="E82" s="20"/>
      <c r="F82" s="21"/>
      <c r="G82" s="21"/>
      <c r="H82" s="718" t="str">
        <f>+'RESERV-FUN-BLOCO'!D23</f>
        <v>PREPARO COM BETONEIRA E TRANSPORTE MANUAL DE CONCRETO PARA LASTRO  - (O.C.)</v>
      </c>
      <c r="I82" s="718"/>
      <c r="J82" s="718"/>
      <c r="K82" s="718"/>
      <c r="L82" s="718"/>
      <c r="M82" s="719"/>
      <c r="N82" s="22" t="str">
        <f>+'RESERV-FUN-BLOCO'!U23</f>
        <v>M3</v>
      </c>
      <c r="O82" s="17"/>
      <c r="P82" s="17">
        <f>+'RESERV-FUN-BLOCO'!V23</f>
        <v>1.8402499999999999</v>
      </c>
      <c r="Q82" s="17"/>
      <c r="R82" s="17"/>
      <c r="S82" s="17"/>
      <c r="T82" s="18">
        <f t="shared" si="0"/>
        <v>1.8402499999999999</v>
      </c>
      <c r="U82" s="67"/>
      <c r="V82" s="67"/>
    </row>
    <row r="83" spans="1:23" s="8" customFormat="1" ht="24.95" customHeight="1" x14ac:dyDescent="0.25">
      <c r="A83" s="45"/>
      <c r="B83" s="23" t="s">
        <v>827</v>
      </c>
      <c r="C83" s="208" t="str">
        <f>+'RESERV-FUN-BLOCO'!B24</f>
        <v>GOINFRA</v>
      </c>
      <c r="D83" s="203" t="str">
        <f>+'RESERV-FUN-BLOCO'!C24</f>
        <v xml:space="preserve">051009 </v>
      </c>
      <c r="E83" s="20"/>
      <c r="F83" s="21"/>
      <c r="G83" s="21"/>
      <c r="H83" s="718" t="str">
        <f>+'RESERV-FUN-BLOCO'!D24</f>
        <v>FORMA TABUA PINHO PARA FUNDACOES U=3V - (OBRAS CIVIS)</v>
      </c>
      <c r="I83" s="718"/>
      <c r="J83" s="718"/>
      <c r="K83" s="718"/>
      <c r="L83" s="718"/>
      <c r="M83" s="719"/>
      <c r="N83" s="22" t="str">
        <f>+'RESERV-FUN-BLOCO'!U24</f>
        <v>M2</v>
      </c>
      <c r="O83" s="17"/>
      <c r="P83" s="17">
        <f>+'RESERV-FUN-BLOCO'!V24</f>
        <v>29.250000000000004</v>
      </c>
      <c r="Q83" s="17">
        <f>'REDE ABAST-ANCORAGEM'!I23</f>
        <v>84.772500000000008</v>
      </c>
      <c r="R83" s="17"/>
      <c r="S83" s="17"/>
      <c r="T83" s="18">
        <f t="shared" si="0"/>
        <v>114.02250000000001</v>
      </c>
      <c r="U83" s="67"/>
      <c r="V83" s="67"/>
    </row>
    <row r="84" spans="1:23" s="8" customFormat="1" ht="24.95" customHeight="1" x14ac:dyDescent="0.25">
      <c r="A84" s="45"/>
      <c r="B84" s="23" t="s">
        <v>828</v>
      </c>
      <c r="C84" s="208" t="str">
        <f>+'RESERV-FUN-BLOCO'!B25</f>
        <v>GOINFRA</v>
      </c>
      <c r="D84" s="203" t="str">
        <f>+'RESERV-FUN-BLOCO'!C25</f>
        <v xml:space="preserve">052003 </v>
      </c>
      <c r="E84" s="20"/>
      <c r="F84" s="21"/>
      <c r="G84" s="21"/>
      <c r="H84" s="718" t="str">
        <f>+'RESERV-FUN-BLOCO'!D25</f>
        <v>ACO CA-50A - 6,3 MM (1/4") - (OBRAS CIVIS)</v>
      </c>
      <c r="I84" s="718"/>
      <c r="J84" s="718"/>
      <c r="K84" s="718"/>
      <c r="L84" s="718"/>
      <c r="M84" s="719"/>
      <c r="N84" s="22" t="str">
        <f>+'RESERV-FUN-BLOCO'!U25</f>
        <v>KG</v>
      </c>
      <c r="O84" s="17"/>
      <c r="P84" s="17">
        <f>+'RESERV-FUN-BLOCO'!V25</f>
        <v>156.99600000000001</v>
      </c>
      <c r="Q84" s="17"/>
      <c r="R84" s="17"/>
      <c r="S84" s="17"/>
      <c r="T84" s="18">
        <f t="shared" si="0"/>
        <v>156.99600000000001</v>
      </c>
      <c r="U84" s="67"/>
      <c r="V84" s="67"/>
    </row>
    <row r="85" spans="1:23" s="8" customFormat="1" ht="24.95" customHeight="1" x14ac:dyDescent="0.25">
      <c r="A85" s="45"/>
      <c r="B85" s="23" t="s">
        <v>829</v>
      </c>
      <c r="C85" s="208" t="str">
        <f>+'RESERV-FUN-BLOCO'!B26</f>
        <v>GOINFRA</v>
      </c>
      <c r="D85" s="203" t="str">
        <f>+'RESERV-FUN-BLOCO'!C26</f>
        <v xml:space="preserve">052004 </v>
      </c>
      <c r="E85" s="20"/>
      <c r="F85" s="21"/>
      <c r="G85" s="21"/>
      <c r="H85" s="718" t="str">
        <f>+'RESERV-FUN-BLOCO'!D26</f>
        <v>ACO CA 50-A - 8,0 MM (5/16") - (OBRAS CIVIS)</v>
      </c>
      <c r="I85" s="718"/>
      <c r="J85" s="718"/>
      <c r="K85" s="718"/>
      <c r="L85" s="718"/>
      <c r="M85" s="719"/>
      <c r="N85" s="22" t="str">
        <f>+'RESERV-FUN-BLOCO'!U26</f>
        <v>KG</v>
      </c>
      <c r="O85" s="17"/>
      <c r="P85" s="17">
        <f>+'RESERV-FUN-BLOCO'!V26</f>
        <v>42.830640000000002</v>
      </c>
      <c r="Q85" s="17"/>
      <c r="R85" s="17"/>
      <c r="S85" s="17"/>
      <c r="T85" s="18">
        <f t="shared" si="0"/>
        <v>42.830640000000002</v>
      </c>
      <c r="U85" s="67"/>
      <c r="V85" s="67"/>
    </row>
    <row r="86" spans="1:23" s="8" customFormat="1" ht="24.95" customHeight="1" x14ac:dyDescent="0.25">
      <c r="A86" s="45"/>
      <c r="B86" s="23" t="s">
        <v>830</v>
      </c>
      <c r="C86" s="208" t="str">
        <f>+'RESERV-FUN-BLOCO'!B27</f>
        <v>GOINFRA</v>
      </c>
      <c r="D86" s="203" t="str">
        <f>+'RESERV-FUN-BLOCO'!C27</f>
        <v xml:space="preserve">052007 </v>
      </c>
      <c r="E86" s="20"/>
      <c r="F86" s="21"/>
      <c r="G86" s="21"/>
      <c r="H86" s="718" t="str">
        <f>+'RESERV-FUN-BLOCO'!D27</f>
        <v>ACO CA - 50 - 16,0 MM (5/8") - (OBRAS CIVIS)</v>
      </c>
      <c r="I86" s="718"/>
      <c r="J86" s="718"/>
      <c r="K86" s="718"/>
      <c r="L86" s="718"/>
      <c r="M86" s="719"/>
      <c r="N86" s="22" t="str">
        <f>+'RESERV-FUN-BLOCO'!U27</f>
        <v>KG</v>
      </c>
      <c r="O86" s="17"/>
      <c r="P86" s="17">
        <f>+'RESERV-FUN-BLOCO'!V27</f>
        <v>534.62639999999999</v>
      </c>
      <c r="Q86" s="17"/>
      <c r="R86" s="17"/>
      <c r="S86" s="17"/>
      <c r="T86" s="18">
        <f t="shared" si="0"/>
        <v>534.62639999999999</v>
      </c>
      <c r="U86" s="67"/>
      <c r="V86" s="67"/>
    </row>
    <row r="87" spans="1:23" s="8" customFormat="1" ht="24.95" customHeight="1" x14ac:dyDescent="0.25">
      <c r="A87" s="45"/>
      <c r="B87" s="23" t="s">
        <v>831</v>
      </c>
      <c r="C87" s="208" t="str">
        <f>+'RESERV-FUN-BLOCO'!B28</f>
        <v>GOINFRA</v>
      </c>
      <c r="D87" s="203" t="str">
        <f>+'RESERV-FUN-BLOCO'!C28</f>
        <v xml:space="preserve">051030 </v>
      </c>
      <c r="E87" s="20"/>
      <c r="F87" s="21"/>
      <c r="G87" s="21"/>
      <c r="H87" s="718" t="str">
        <f>+'RESERV-FUN-BLOCO'!D28</f>
        <v>PREPARO COM BETONEIRA E TRANSPORTE MANUAL DE CONCRETO FCK=25 MPA</v>
      </c>
      <c r="I87" s="718"/>
      <c r="J87" s="718"/>
      <c r="K87" s="718"/>
      <c r="L87" s="718"/>
      <c r="M87" s="719"/>
      <c r="N87" s="22" t="str">
        <f>+'RESERV-FUN-BLOCO'!U28</f>
        <v>M3</v>
      </c>
      <c r="O87" s="17"/>
      <c r="P87" s="17">
        <f>+'RESERV-FUN-BLOCO'!V28</f>
        <v>15.205500000000001</v>
      </c>
      <c r="Q87" s="17">
        <f>'REDE ABAST-ANCORAGEM'!I24+'REDE ABAST-CAIXAS e POÇOS'!Y24</f>
        <v>18.542300000000001</v>
      </c>
      <c r="R87" s="17"/>
      <c r="S87" s="17"/>
      <c r="T87" s="18">
        <f t="shared" ref="T87:T126" si="8">SUM(O87:S87)</f>
        <v>33.747799999999998</v>
      </c>
      <c r="U87" s="67"/>
      <c r="V87" s="67"/>
    </row>
    <row r="88" spans="1:23" s="8" customFormat="1" ht="24.95" customHeight="1" x14ac:dyDescent="0.25">
      <c r="A88" s="45"/>
      <c r="B88" s="23" t="s">
        <v>870</v>
      </c>
      <c r="C88" s="208" t="str">
        <f>+'RESERV-FUN-BLOCO'!B29</f>
        <v>GOINFRA</v>
      </c>
      <c r="D88" s="203" t="str">
        <f>+'RESERV-FUN-BLOCO'!C29</f>
        <v xml:space="preserve">051055 </v>
      </c>
      <c r="E88" s="20"/>
      <c r="F88" s="21"/>
      <c r="G88" s="21"/>
      <c r="H88" s="718" t="str">
        <f>+'RESERV-FUN-BLOCO'!D29</f>
        <v>LANÇAMENTO/APLICAÇÃO/ADENSAMENTO MANUAL DE CONCRETO - (O.C.)</v>
      </c>
      <c r="I88" s="718"/>
      <c r="J88" s="718"/>
      <c r="K88" s="718"/>
      <c r="L88" s="718"/>
      <c r="M88" s="719"/>
      <c r="N88" s="22" t="str">
        <f>+'RESERV-FUN-BLOCO'!U29</f>
        <v>M3</v>
      </c>
      <c r="O88" s="17"/>
      <c r="P88" s="17">
        <f>+'RESERV-FUN-BLOCO'!V29</f>
        <v>15.205500000000001</v>
      </c>
      <c r="Q88" s="17">
        <f>'REDE ABAST-ANCORAGEM'!I25+'REDE ABAST-CAIXAS e POÇOS'!Y25</f>
        <v>18.542300000000001</v>
      </c>
      <c r="R88" s="17"/>
      <c r="S88" s="17"/>
      <c r="T88" s="18">
        <f t="shared" si="8"/>
        <v>33.747799999999998</v>
      </c>
      <c r="U88" s="67"/>
      <c r="V88" s="67"/>
    </row>
    <row r="89" spans="1:23" s="8" customFormat="1" ht="24.95" customHeight="1" x14ac:dyDescent="0.25">
      <c r="A89" s="45"/>
      <c r="B89" s="23" t="s">
        <v>870</v>
      </c>
      <c r="C89" s="208" t="str">
        <f>'REDE ABAST-CAIXAS e POÇOS'!B26</f>
        <v>PRÓPRIO</v>
      </c>
      <c r="D89" s="203" t="str">
        <f>'REDE ABAST-CAIXAS e POÇOS'!C26</f>
        <v>SEINFRA-0119</v>
      </c>
      <c r="E89" s="20"/>
      <c r="F89" s="21"/>
      <c r="G89" s="21"/>
      <c r="H89" s="718" t="str">
        <f>'REDE ABAST-CAIXAS e POÇOS'!D26</f>
        <v>CONCRETO CICLÓPICO FCK = 15MPA, 30% PEDRA DE MÃO EM VOLUME REAL, INCLUSIVE LANÇAMENTO. (ADAPTADO DE SINAPI 102487)</v>
      </c>
      <c r="I89" s="718"/>
      <c r="J89" s="718"/>
      <c r="K89" s="718"/>
      <c r="L89" s="718"/>
      <c r="M89" s="719"/>
      <c r="N89" s="22" t="str">
        <f>'REDE ABAST-CAIXAS e POÇOS'!X26</f>
        <v>M3</v>
      </c>
      <c r="O89" s="17"/>
      <c r="P89" s="17"/>
      <c r="Q89" s="17">
        <f>'REDE ABAST-CAIXAS e POÇOS'!Y26</f>
        <v>2.3792851961962302</v>
      </c>
      <c r="R89" s="17"/>
      <c r="S89" s="17"/>
      <c r="T89" s="18">
        <f t="shared" ref="T89" si="9">SUM(O89:S89)</f>
        <v>2.3792851961962302</v>
      </c>
      <c r="U89" s="67"/>
      <c r="V89" s="67"/>
    </row>
    <row r="90" spans="1:23" s="8" customFormat="1" ht="24.95" customHeight="1" x14ac:dyDescent="0.25">
      <c r="A90" s="44"/>
      <c r="B90" s="19"/>
      <c r="C90" s="207"/>
      <c r="D90" s="202"/>
      <c r="E90" s="13"/>
      <c r="F90" s="14"/>
      <c r="G90" s="24"/>
      <c r="H90" s="14"/>
      <c r="I90" s="14"/>
      <c r="J90" s="14"/>
      <c r="K90" s="14"/>
      <c r="L90" s="24"/>
      <c r="M90" s="15"/>
      <c r="N90" s="16"/>
      <c r="O90" s="17"/>
      <c r="P90" s="17"/>
      <c r="Q90" s="17"/>
      <c r="R90" s="17"/>
      <c r="S90" s="17"/>
      <c r="T90" s="18">
        <f t="shared" si="8"/>
        <v>0</v>
      </c>
      <c r="U90" s="67"/>
      <c r="V90" s="67"/>
    </row>
    <row r="91" spans="1:23" s="8" customFormat="1" ht="24.95" customHeight="1" x14ac:dyDescent="0.25">
      <c r="A91" s="44"/>
      <c r="B91" s="12">
        <v>7</v>
      </c>
      <c r="C91" s="206"/>
      <c r="D91" s="201"/>
      <c r="E91" s="13"/>
      <c r="F91" s="14" t="s">
        <v>51</v>
      </c>
      <c r="G91" s="14"/>
      <c r="H91" s="14"/>
      <c r="I91" s="14"/>
      <c r="J91" s="14"/>
      <c r="K91" s="14"/>
      <c r="L91" s="14"/>
      <c r="M91" s="15"/>
      <c r="N91" s="16"/>
      <c r="O91" s="17"/>
      <c r="P91" s="17"/>
      <c r="Q91" s="17"/>
      <c r="R91" s="17"/>
      <c r="S91" s="17"/>
      <c r="T91" s="18">
        <f t="shared" si="8"/>
        <v>0</v>
      </c>
      <c r="U91" s="67"/>
      <c r="V91" s="67"/>
    </row>
    <row r="92" spans="1:23" s="8" customFormat="1" ht="24.95" customHeight="1" x14ac:dyDescent="0.25">
      <c r="A92" s="45"/>
      <c r="B92" s="19" t="s">
        <v>832</v>
      </c>
      <c r="C92" s="207"/>
      <c r="D92" s="202"/>
      <c r="E92" s="20"/>
      <c r="F92" s="21"/>
      <c r="G92" s="14" t="s">
        <v>52</v>
      </c>
      <c r="H92" s="40"/>
      <c r="I92" s="40"/>
      <c r="J92" s="40"/>
      <c r="K92" s="40"/>
      <c r="L92" s="40"/>
      <c r="M92" s="41"/>
      <c r="N92" s="22"/>
      <c r="O92" s="17"/>
      <c r="P92" s="17"/>
      <c r="Q92" s="17"/>
      <c r="R92" s="17"/>
      <c r="S92" s="17"/>
      <c r="T92" s="18">
        <f t="shared" si="8"/>
        <v>0</v>
      </c>
      <c r="U92" s="67"/>
      <c r="V92" s="67"/>
    </row>
    <row r="93" spans="1:23" s="8" customFormat="1" ht="24.95" customHeight="1" x14ac:dyDescent="0.25">
      <c r="A93" s="45"/>
      <c r="B93" s="23" t="s">
        <v>833</v>
      </c>
      <c r="C93" s="208" t="str">
        <f>+'RESERV-EST-PILARES'!B19</f>
        <v>GOINFRA</v>
      </c>
      <c r="D93" s="203" t="str">
        <f>+'RESERV-EST-PILARES'!C19</f>
        <v>060214</v>
      </c>
      <c r="E93" s="20"/>
      <c r="F93" s="21"/>
      <c r="G93" s="21"/>
      <c r="H93" s="718" t="str">
        <f>+'RESERV-EST-PILARES'!D19</f>
        <v>FORMA CHAPA DE COMPENSADO PLASTIFICADO 12 MM-VIGA/PILAR U=1V- (OBRAS CIVIS)</v>
      </c>
      <c r="I93" s="718"/>
      <c r="J93" s="718"/>
      <c r="K93" s="718"/>
      <c r="L93" s="718"/>
      <c r="M93" s="719"/>
      <c r="N93" s="22" t="str">
        <f>+'RESERV-EST-PILARES'!V19</f>
        <v>M2</v>
      </c>
      <c r="O93" s="17"/>
      <c r="P93" s="17">
        <f>+'RESERV-EST-PILARES'!W19+'RESER-EST-VIGA'!W19</f>
        <v>92.8</v>
      </c>
      <c r="Q93" s="17"/>
      <c r="R93" s="17"/>
      <c r="S93" s="17"/>
      <c r="T93" s="18">
        <f t="shared" si="8"/>
        <v>92.8</v>
      </c>
      <c r="U93" s="67"/>
      <c r="V93" s="67"/>
      <c r="W93" s="67"/>
    </row>
    <row r="94" spans="1:23" s="8" customFormat="1" ht="24.95" customHeight="1" x14ac:dyDescent="0.25">
      <c r="A94" s="45"/>
      <c r="B94" s="19" t="s">
        <v>834</v>
      </c>
      <c r="C94" s="207"/>
      <c r="D94" s="202"/>
      <c r="E94" s="20"/>
      <c r="F94" s="21"/>
      <c r="G94" s="14" t="s">
        <v>53</v>
      </c>
      <c r="H94" s="40"/>
      <c r="I94" s="40"/>
      <c r="J94" s="40"/>
      <c r="K94" s="40"/>
      <c r="L94" s="40"/>
      <c r="M94" s="41"/>
      <c r="N94" s="22"/>
      <c r="O94" s="17"/>
      <c r="P94" s="17"/>
      <c r="Q94" s="17"/>
      <c r="R94" s="17"/>
      <c r="S94" s="17"/>
      <c r="T94" s="18">
        <f t="shared" si="8"/>
        <v>0</v>
      </c>
      <c r="U94" s="67"/>
      <c r="V94" s="67"/>
      <c r="W94" s="67"/>
    </row>
    <row r="95" spans="1:23" s="8" customFormat="1" ht="24.95" customHeight="1" x14ac:dyDescent="0.25">
      <c r="A95" s="45"/>
      <c r="B95" s="23" t="s">
        <v>835</v>
      </c>
      <c r="C95" s="208" t="str">
        <f>+'RESERV-EST-PILARES'!B20</f>
        <v>GOINFRA</v>
      </c>
      <c r="D95" s="203" t="str">
        <f>+'RESERV-EST-PILARES'!C20</f>
        <v>060303</v>
      </c>
      <c r="E95" s="20"/>
      <c r="F95" s="21"/>
      <c r="G95" s="21"/>
      <c r="H95" s="718" t="str">
        <f>+'RESERV-EST-PILARES'!D20</f>
        <v>ACO CA-50-A - 6,3 MM (1/4") - (OBRAS CIVIS)</v>
      </c>
      <c r="I95" s="718"/>
      <c r="J95" s="718"/>
      <c r="K95" s="718"/>
      <c r="L95" s="718"/>
      <c r="M95" s="719"/>
      <c r="N95" s="22" t="str">
        <f>+'RESERV-EST-PILARES'!V20</f>
        <v>KG</v>
      </c>
      <c r="O95" s="17"/>
      <c r="P95" s="17">
        <f>+'RESERV-EST-PILARES'!W20</f>
        <v>23.990400000000001</v>
      </c>
      <c r="Q95" s="17"/>
      <c r="R95" s="17"/>
      <c r="S95" s="17"/>
      <c r="T95" s="18">
        <f t="shared" si="8"/>
        <v>23.990400000000001</v>
      </c>
      <c r="U95" s="67"/>
      <c r="V95" s="68"/>
      <c r="W95" s="68"/>
    </row>
    <row r="96" spans="1:23" s="8" customFormat="1" ht="24.95" customHeight="1" x14ac:dyDescent="0.25">
      <c r="A96" s="45"/>
      <c r="B96" s="23" t="s">
        <v>836</v>
      </c>
      <c r="C96" s="208" t="str">
        <f>+'RESER-EST-VIGA'!B20</f>
        <v>GOINFRA</v>
      </c>
      <c r="D96" s="208" t="str">
        <f>+'RESER-EST-VIGA'!D20</f>
        <v>060304</v>
      </c>
      <c r="E96" s="20"/>
      <c r="F96" s="21"/>
      <c r="G96" s="21"/>
      <c r="H96" s="718" t="str">
        <f>+'RESER-EST-VIGA'!E20</f>
        <v>ACO CA-50 A - 8,0 MM (5/16") - (OBRAS CIVIS)</v>
      </c>
      <c r="I96" s="718"/>
      <c r="J96" s="718"/>
      <c r="K96" s="718"/>
      <c r="L96" s="718"/>
      <c r="M96" s="719"/>
      <c r="N96" s="22" t="str">
        <f>+'RESER-EST-VIGA'!V20</f>
        <v>KG</v>
      </c>
      <c r="O96" s="17"/>
      <c r="P96" s="17">
        <f>+'RESER-EST-VIGA'!W20</f>
        <v>694.94720000000007</v>
      </c>
      <c r="Q96" s="17"/>
      <c r="R96" s="17"/>
      <c r="S96" s="17"/>
      <c r="T96" s="18">
        <f t="shared" si="8"/>
        <v>694.94720000000007</v>
      </c>
      <c r="U96" s="67"/>
      <c r="V96" s="68"/>
      <c r="W96" s="68"/>
    </row>
    <row r="97" spans="1:23" s="8" customFormat="1" ht="24.95" customHeight="1" x14ac:dyDescent="0.25">
      <c r="A97" s="45"/>
      <c r="B97" s="23" t="s">
        <v>837</v>
      </c>
      <c r="C97" s="208" t="str">
        <f>+'RESER-EST-VIGA'!B21</f>
        <v>GOINFRA</v>
      </c>
      <c r="D97" s="208" t="str">
        <f>+'RESER-EST-VIGA'!D21</f>
        <v>060305</v>
      </c>
      <c r="E97" s="20"/>
      <c r="F97" s="21"/>
      <c r="G97" s="21"/>
      <c r="H97" s="718" t="str">
        <f>+'RESER-EST-VIGA'!E21</f>
        <v>ACO CA-50A - 10,0 MM (3/8") - (OBRAS CIVIS)</v>
      </c>
      <c r="I97" s="718"/>
      <c r="J97" s="718"/>
      <c r="K97" s="718"/>
      <c r="L97" s="718"/>
      <c r="M97" s="719"/>
      <c r="N97" s="22" t="str">
        <f>+'RESER-EST-VIGA'!V21</f>
        <v>KG</v>
      </c>
      <c r="O97" s="17"/>
      <c r="P97" s="17">
        <f>+'RESER-EST-VIGA'!W21</f>
        <v>96.622199999999992</v>
      </c>
      <c r="Q97" s="17"/>
      <c r="R97" s="17"/>
      <c r="S97" s="17"/>
      <c r="T97" s="18">
        <f t="shared" si="8"/>
        <v>96.622199999999992</v>
      </c>
      <c r="U97" s="67"/>
      <c r="V97" s="68"/>
      <c r="W97" s="68"/>
    </row>
    <row r="98" spans="1:23" s="8" customFormat="1" ht="24.95" customHeight="1" x14ac:dyDescent="0.25">
      <c r="A98" s="45"/>
      <c r="B98" s="23" t="s">
        <v>838</v>
      </c>
      <c r="C98" s="208" t="str">
        <f>+'RESER-EST-VIGA'!B22</f>
        <v>GOINFRA</v>
      </c>
      <c r="D98" s="208" t="str">
        <f>+'RESER-EST-VIGA'!D22</f>
        <v>060308</v>
      </c>
      <c r="E98" s="20"/>
      <c r="F98" s="21"/>
      <c r="G98" s="21"/>
      <c r="H98" s="718" t="str">
        <f>+'RESER-EST-VIGA'!E22</f>
        <v>ACO CA 50-A - 20,0 MM (3/4") - (OBRAS CIVIS)</v>
      </c>
      <c r="I98" s="718"/>
      <c r="J98" s="718"/>
      <c r="K98" s="718"/>
      <c r="L98" s="718"/>
      <c r="M98" s="719"/>
      <c r="N98" s="22" t="str">
        <f>+'RESER-EST-VIGA'!V22</f>
        <v>KG</v>
      </c>
      <c r="O98" s="17"/>
      <c r="P98" s="17">
        <f>+'RESERV-EST-PILARES'!W21+'RESER-EST-VIGA'!W22+'RESER-EST-LAJE'!AB19</f>
        <v>6101.9443800000008</v>
      </c>
      <c r="Q98" s="17"/>
      <c r="R98" s="17"/>
      <c r="S98" s="17"/>
      <c r="T98" s="18">
        <f t="shared" si="8"/>
        <v>6101.9443800000008</v>
      </c>
      <c r="U98" s="67"/>
      <c r="V98" s="68"/>
      <c r="W98" s="68"/>
    </row>
    <row r="99" spans="1:23" s="8" customFormat="1" ht="24.95" customHeight="1" x14ac:dyDescent="0.25">
      <c r="A99" s="45"/>
      <c r="B99" s="23" t="s">
        <v>839</v>
      </c>
      <c r="C99" s="208" t="str">
        <f>+'RESER-EST-VIGA'!B23</f>
        <v>GOINFRA</v>
      </c>
      <c r="D99" s="208" t="str">
        <f>+'RESER-EST-VIGA'!D23</f>
        <v>060310</v>
      </c>
      <c r="E99" s="20"/>
      <c r="F99" s="21"/>
      <c r="G99" s="21"/>
      <c r="H99" s="718" t="str">
        <f>+'RESER-EST-VIGA'!E23</f>
        <v>ACO CA 50-A - 25,0 MM (1") - (OBRAS CIVIS)'</v>
      </c>
      <c r="I99" s="718"/>
      <c r="J99" s="718"/>
      <c r="K99" s="718"/>
      <c r="L99" s="718"/>
      <c r="M99" s="719"/>
      <c r="N99" s="22" t="str">
        <f>+'RESER-EST-VIGA'!V23</f>
        <v>KG</v>
      </c>
      <c r="O99" s="17"/>
      <c r="P99" s="17">
        <f>+'RESER-EST-VIGA'!W23</f>
        <v>819.91840000000013</v>
      </c>
      <c r="Q99" s="17"/>
      <c r="R99" s="17"/>
      <c r="S99" s="17"/>
      <c r="T99" s="18">
        <f t="shared" si="8"/>
        <v>819.91840000000013</v>
      </c>
      <c r="U99" s="67"/>
      <c r="V99" s="68"/>
      <c r="W99" s="68"/>
    </row>
    <row r="100" spans="1:23" s="8" customFormat="1" ht="24.95" customHeight="1" x14ac:dyDescent="0.25">
      <c r="A100" s="45"/>
      <c r="B100" s="23" t="s">
        <v>840</v>
      </c>
      <c r="C100" s="208" t="str">
        <f>+'RESERV-EST-PILARES'!B22</f>
        <v>GOINFRA</v>
      </c>
      <c r="D100" s="203" t="str">
        <f>+'RESERV-EST-PILARES'!C22</f>
        <v>060314</v>
      </c>
      <c r="E100" s="20"/>
      <c r="F100" s="21"/>
      <c r="G100" s="21"/>
      <c r="H100" s="718" t="str">
        <f>+'RESERV-EST-PILARES'!D22</f>
        <v>ACO CA - 60 - 5,0 MM - (OBRAS CIVIS)</v>
      </c>
      <c r="I100" s="718"/>
      <c r="J100" s="718"/>
      <c r="K100" s="718"/>
      <c r="L100" s="718"/>
      <c r="M100" s="719"/>
      <c r="N100" s="22" t="str">
        <f>+'RESERV-EST-PILARES'!V22</f>
        <v>KG</v>
      </c>
      <c r="O100" s="17"/>
      <c r="P100" s="17">
        <f>+'RESERV-EST-PILARES'!W22</f>
        <v>1.3552000000000002</v>
      </c>
      <c r="Q100" s="17"/>
      <c r="R100" s="17"/>
      <c r="S100" s="17"/>
      <c r="T100" s="18">
        <f t="shared" si="8"/>
        <v>1.3552000000000002</v>
      </c>
      <c r="U100" s="67"/>
      <c r="V100" s="67"/>
      <c r="W100" s="68"/>
    </row>
    <row r="101" spans="1:23" s="8" customFormat="1" ht="24.95" customHeight="1" x14ac:dyDescent="0.25">
      <c r="A101" s="45"/>
      <c r="B101" s="19" t="s">
        <v>841</v>
      </c>
      <c r="C101" s="207"/>
      <c r="D101" s="202"/>
      <c r="E101" s="20"/>
      <c r="F101" s="21"/>
      <c r="G101" s="14" t="s">
        <v>54</v>
      </c>
      <c r="H101" s="40"/>
      <c r="I101" s="40"/>
      <c r="J101" s="40"/>
      <c r="K101" s="40"/>
      <c r="L101" s="40"/>
      <c r="M101" s="41"/>
      <c r="N101" s="22"/>
      <c r="O101" s="17"/>
      <c r="P101" s="17"/>
      <c r="Q101" s="17"/>
      <c r="R101" s="17"/>
      <c r="S101" s="17"/>
      <c r="T101" s="18">
        <f t="shared" si="8"/>
        <v>0</v>
      </c>
      <c r="U101" s="67"/>
      <c r="V101" s="67"/>
      <c r="W101" s="67"/>
    </row>
    <row r="102" spans="1:23" s="8" customFormat="1" ht="24.95" customHeight="1" x14ac:dyDescent="0.25">
      <c r="A102" s="45"/>
      <c r="B102" s="23" t="s">
        <v>842</v>
      </c>
      <c r="C102" s="208" t="str">
        <f>+'RESERV-EST-PILARES'!B23</f>
        <v>GOINFRA</v>
      </c>
      <c r="D102" s="208" t="str">
        <f>+'RESERV-EST-PILARES'!C23</f>
        <v>060517</v>
      </c>
      <c r="E102" s="20"/>
      <c r="F102" s="21"/>
      <c r="G102" s="21"/>
      <c r="H102" s="718" t="str">
        <f>'RESERV-EST-PILARES'!D23</f>
        <v>PREPARO COM BETONEIRA E TRANSPORTE MANUAL DE CONCRETO
FCK=25 MPA</v>
      </c>
      <c r="I102" s="718"/>
      <c r="J102" s="718"/>
      <c r="K102" s="718"/>
      <c r="L102" s="718"/>
      <c r="M102" s="719"/>
      <c r="N102" s="22" t="str">
        <f>+'RESERV-EST-PILARES'!V23</f>
        <v>M3</v>
      </c>
      <c r="O102" s="17"/>
      <c r="P102" s="17">
        <f>+'RESERV-EST-PILARES'!W23+'RESER-EST-VIGA'!W24+'RESER-EST-LAJE'!AB20</f>
        <v>81.919999999999987</v>
      </c>
      <c r="Q102" s="17"/>
      <c r="R102" s="17"/>
      <c r="S102" s="17"/>
      <c r="T102" s="18">
        <f t="shared" si="8"/>
        <v>81.919999999999987</v>
      </c>
      <c r="U102" s="67"/>
      <c r="V102" s="67"/>
      <c r="W102" s="67"/>
    </row>
    <row r="103" spans="1:23" s="8" customFormat="1" ht="24.95" customHeight="1" x14ac:dyDescent="0.25">
      <c r="A103" s="45"/>
      <c r="B103" s="23" t="s">
        <v>843</v>
      </c>
      <c r="C103" s="208" t="str">
        <f>+'RESERV-EST-PILARES'!B24</f>
        <v>GOINFRA</v>
      </c>
      <c r="D103" s="208" t="str">
        <f>+'RESERV-EST-PILARES'!C24</f>
        <v>060802</v>
      </c>
      <c r="E103" s="20"/>
      <c r="F103" s="21"/>
      <c r="G103" s="21"/>
      <c r="H103" s="718" t="str">
        <f>'RESERV-EST-PILARES'!D24</f>
        <v>LANÇAMENTO/APLICAÇÃO/ADENSAMENTO DE CONCRETO EM
ESTRUTURA - (O.C.)</v>
      </c>
      <c r="I103" s="718"/>
      <c r="J103" s="718"/>
      <c r="K103" s="718"/>
      <c r="L103" s="718"/>
      <c r="M103" s="719"/>
      <c r="N103" s="22" t="str">
        <f>+'RESERV-EST-PILARES'!V24</f>
        <v>M3</v>
      </c>
      <c r="O103" s="17"/>
      <c r="P103" s="17">
        <f>+'RESERV-EST-PILARES'!W24+'RESER-EST-VIGA'!W25+'RESER-EST-LAJE'!AB21</f>
        <v>81.919999999999987</v>
      </c>
      <c r="Q103" s="17"/>
      <c r="R103" s="17"/>
      <c r="S103" s="17"/>
      <c r="T103" s="18">
        <f t="shared" si="8"/>
        <v>81.919999999999987</v>
      </c>
      <c r="U103" s="67"/>
      <c r="V103" s="67"/>
      <c r="W103" s="67"/>
    </row>
    <row r="104" spans="1:23" s="8" customFormat="1" ht="24.95" customHeight="1" x14ac:dyDescent="0.25">
      <c r="A104" s="45"/>
      <c r="B104" s="19" t="s">
        <v>841</v>
      </c>
      <c r="C104" s="207"/>
      <c r="D104" s="202"/>
      <c r="E104" s="20"/>
      <c r="F104" s="21"/>
      <c r="G104" s="14" t="s">
        <v>483</v>
      </c>
      <c r="H104" s="40"/>
      <c r="I104" s="40"/>
      <c r="J104" s="40"/>
      <c r="K104" s="40"/>
      <c r="L104" s="40"/>
      <c r="M104" s="41"/>
      <c r="N104" s="22"/>
      <c r="O104" s="17"/>
      <c r="P104" s="17"/>
      <c r="Q104" s="17"/>
      <c r="R104" s="17"/>
      <c r="S104" s="17"/>
      <c r="T104" s="18">
        <f t="shared" ref="T104:T105" si="10">SUM(O104:S104)</f>
        <v>0</v>
      </c>
      <c r="U104" s="67"/>
      <c r="V104" s="67"/>
      <c r="W104" s="67"/>
    </row>
    <row r="105" spans="1:23" s="8" customFormat="1" ht="24.95" customHeight="1" x14ac:dyDescent="0.25">
      <c r="A105" s="45"/>
      <c r="B105" s="23" t="s">
        <v>842</v>
      </c>
      <c r="C105" s="208" t="str">
        <f>'RESER-EST-LAJE CUBÍCULO'!B19</f>
        <v>GOINFRA</v>
      </c>
      <c r="D105" s="208" t="str">
        <f>+'RESER-EST-LAJE CUBÍCULO'!C19</f>
        <v>061101</v>
      </c>
      <c r="E105" s="20"/>
      <c r="F105" s="21"/>
      <c r="G105" s="21"/>
      <c r="H105" s="718" t="str">
        <f>+'RESER-EST-LAJE CUBÍCULO'!D19</f>
        <v>FORRO EM LAJE PRE-MOLDADA INCLUSO CAPEAMENTO/ARMADURA DE DISTRIBUIÇÃO/ESCORAMENTO E FORMA/DESFORMA</v>
      </c>
      <c r="I105" s="718"/>
      <c r="J105" s="718"/>
      <c r="K105" s="718"/>
      <c r="L105" s="718"/>
      <c r="M105" s="719"/>
      <c r="N105" s="22" t="str">
        <f>'RESER-EST-LAJE CUBÍCULO'!X19</f>
        <v>M2</v>
      </c>
      <c r="O105" s="17"/>
      <c r="P105" s="17">
        <f>'RESER-EST-LAJE CUBÍCULO'!AB19</f>
        <v>1.8900000000000001</v>
      </c>
      <c r="Q105" s="17"/>
      <c r="R105" s="17"/>
      <c r="S105" s="17"/>
      <c r="T105" s="18">
        <f t="shared" si="10"/>
        <v>1.8900000000000001</v>
      </c>
      <c r="U105" s="67"/>
      <c r="V105" s="67"/>
      <c r="W105" s="67"/>
    </row>
    <row r="106" spans="1:23" s="8" customFormat="1" ht="24.95" customHeight="1" x14ac:dyDescent="0.25">
      <c r="A106" s="44"/>
      <c r="B106" s="19"/>
      <c r="C106" s="207"/>
      <c r="D106" s="202"/>
      <c r="E106" s="13"/>
      <c r="F106" s="14"/>
      <c r="G106" s="24"/>
      <c r="H106" s="14"/>
      <c r="I106" s="14"/>
      <c r="J106" s="14"/>
      <c r="K106" s="14"/>
      <c r="L106" s="24"/>
      <c r="M106" s="15"/>
      <c r="N106" s="16"/>
      <c r="O106" s="17"/>
      <c r="P106" s="17"/>
      <c r="Q106" s="17"/>
      <c r="R106" s="17"/>
      <c r="S106" s="17"/>
      <c r="T106" s="18">
        <f t="shared" si="8"/>
        <v>0</v>
      </c>
      <c r="U106" s="67"/>
      <c r="V106" s="67"/>
      <c r="W106" s="67"/>
    </row>
    <row r="107" spans="1:23" s="8" customFormat="1" ht="24.95" customHeight="1" x14ac:dyDescent="0.25">
      <c r="A107" s="44"/>
      <c r="B107" s="12">
        <v>8</v>
      </c>
      <c r="C107" s="206"/>
      <c r="D107" s="201"/>
      <c r="E107" s="13"/>
      <c r="F107" s="14" t="s">
        <v>844</v>
      </c>
      <c r="G107" s="14"/>
      <c r="H107" s="14"/>
      <c r="I107" s="14"/>
      <c r="J107" s="14"/>
      <c r="K107" s="14"/>
      <c r="L107" s="14"/>
      <c r="M107" s="15"/>
      <c r="N107" s="16"/>
      <c r="O107" s="17"/>
      <c r="P107" s="17"/>
      <c r="Q107" s="17"/>
      <c r="R107" s="17"/>
      <c r="S107" s="17"/>
      <c r="T107" s="18">
        <f t="shared" si="8"/>
        <v>0</v>
      </c>
      <c r="U107" s="67"/>
      <c r="V107" s="67"/>
      <c r="W107" s="67"/>
    </row>
    <row r="108" spans="1:23" s="8" customFormat="1" ht="24.95" customHeight="1" x14ac:dyDescent="0.25">
      <c r="A108" s="45"/>
      <c r="B108" s="23" t="s">
        <v>845</v>
      </c>
      <c r="C108" s="208" t="str">
        <f>'CAIXAS-PAREDES'!B19</f>
        <v>GOINFRA</v>
      </c>
      <c r="D108" s="203" t="str">
        <f>'CAIXAS-PAREDES'!D19</f>
        <v>100102</v>
      </c>
      <c r="E108" s="20"/>
      <c r="F108" s="21"/>
      <c r="G108" s="21"/>
      <c r="H108" s="720" t="str">
        <f>'CAIXAS-PAREDES'!G19</f>
        <v>ALVENARIA DE TIJOLO COMUM 1/2 VEZ - ARGAMASSA (1CI : 2CH : 8ARML)</v>
      </c>
      <c r="I108" s="718"/>
      <c r="J108" s="718"/>
      <c r="K108" s="718"/>
      <c r="L108" s="718"/>
      <c r="M108" s="719"/>
      <c r="N108" s="22" t="str">
        <f>'CAIXAS-PAREDES'!N19</f>
        <v>M2</v>
      </c>
      <c r="O108" s="17">
        <f>'CAIXAS-PAREDES'!O19</f>
        <v>0.75</v>
      </c>
      <c r="P108" s="17"/>
      <c r="Q108" s="17">
        <f>'REDE ABAST-CAIXAS e POÇOS'!Y27</f>
        <v>21.111502632123411</v>
      </c>
      <c r="R108" s="17"/>
      <c r="S108" s="17"/>
      <c r="T108" s="18">
        <f t="shared" si="8"/>
        <v>21.861502632123411</v>
      </c>
      <c r="U108" s="67"/>
      <c r="V108" s="67"/>
      <c r="W108" s="67"/>
    </row>
    <row r="109" spans="1:23" s="8" customFormat="1" ht="39.950000000000003" customHeight="1" x14ac:dyDescent="0.25">
      <c r="A109" s="45"/>
      <c r="B109" s="23" t="s">
        <v>846</v>
      </c>
      <c r="C109" s="208" t="str">
        <f>'RESER-PAREDES'!B27</f>
        <v>PRÓPRIO</v>
      </c>
      <c r="D109" s="203" t="str">
        <f>'RESER-PAREDES'!D27</f>
        <v>SEINFRA-0107</v>
      </c>
      <c r="E109" s="20"/>
      <c r="F109" s="21"/>
      <c r="G109" s="21"/>
      <c r="H109" s="718" t="str">
        <f>'RESER-PAREDES'!G27</f>
        <v>MURO DIVISÓRIO EM BLOCO DE CONCRETO COM ACABAMENTO APARENTE, ESP. 15 CM, ALTURA DE 220 CM, COM ESTACA BROCA, PROF.: 250 CM, FORMA EM CONTRA BARRANCO, INCLUSIVE ESCAVAÇÃO COM TRANSPORTE E RETIRADA DO MATERIAL ESCAVADO (EM CAÇAMBA)</v>
      </c>
      <c r="I109" s="718"/>
      <c r="J109" s="718"/>
      <c r="K109" s="718"/>
      <c r="L109" s="718"/>
      <c r="M109" s="719"/>
      <c r="N109" s="22" t="str">
        <f>'RESER-PAREDES'!N27</f>
        <v>M2</v>
      </c>
      <c r="O109" s="17"/>
      <c r="P109" s="17">
        <f>'RESER-PAREDES'!O27</f>
        <v>126.94</v>
      </c>
      <c r="Q109" s="17"/>
      <c r="R109" s="17"/>
      <c r="S109" s="17"/>
      <c r="T109" s="18">
        <f t="shared" si="8"/>
        <v>126.94</v>
      </c>
      <c r="U109" s="67"/>
      <c r="V109" s="67"/>
      <c r="W109" s="67"/>
    </row>
    <row r="110" spans="1:23" s="8" customFormat="1" ht="24.95" customHeight="1" x14ac:dyDescent="0.25">
      <c r="A110" s="45"/>
      <c r="B110" s="23" t="s">
        <v>846</v>
      </c>
      <c r="C110" s="208" t="str">
        <f>'RESER-PAREDES'!B28</f>
        <v>GOINFRA</v>
      </c>
      <c r="D110" s="203">
        <f>'RESER-PAREDES'!D28</f>
        <v>100155</v>
      </c>
      <c r="E110" s="20"/>
      <c r="F110" s="21"/>
      <c r="G110" s="21"/>
      <c r="H110" s="720" t="str">
        <f>'RESER-PAREDES'!G28</f>
        <v xml:space="preserve">ALVENARIA DE TIJOLO FURADO 1/2 VEZ 11,5 X 19 X 19 - ARG. ( 1 CALH	</v>
      </c>
      <c r="I110" s="718"/>
      <c r="J110" s="718"/>
      <c r="K110" s="718"/>
      <c r="L110" s="718"/>
      <c r="M110" s="719"/>
      <c r="N110" s="22" t="str">
        <f>'RESER-PAREDES'!N28</f>
        <v>M2</v>
      </c>
      <c r="O110" s="17"/>
      <c r="P110" s="17">
        <f>'RESER-PAREDES'!O28</f>
        <v>6.3000000000000007</v>
      </c>
      <c r="Q110" s="17"/>
      <c r="R110" s="17"/>
      <c r="S110" s="17"/>
      <c r="T110" s="18">
        <f t="shared" ref="T110" si="11">SUM(O110:S110)</f>
        <v>6.3000000000000007</v>
      </c>
      <c r="U110" s="67"/>
      <c r="V110" s="67"/>
      <c r="W110" s="67"/>
    </row>
    <row r="111" spans="1:23" s="8" customFormat="1" ht="24.95" customHeight="1" x14ac:dyDescent="0.25">
      <c r="A111" s="44"/>
      <c r="B111" s="19"/>
      <c r="C111" s="207"/>
      <c r="D111" s="202"/>
      <c r="E111" s="13"/>
      <c r="F111" s="14"/>
      <c r="G111" s="24"/>
      <c r="H111" s="14"/>
      <c r="I111" s="14"/>
      <c r="J111" s="14"/>
      <c r="K111" s="14"/>
      <c r="L111" s="24"/>
      <c r="M111" s="15"/>
      <c r="N111" s="16"/>
      <c r="O111" s="17"/>
      <c r="P111" s="17"/>
      <c r="Q111" s="17"/>
      <c r="R111" s="17"/>
      <c r="S111" s="17"/>
      <c r="T111" s="18">
        <f t="shared" si="8"/>
        <v>0</v>
      </c>
      <c r="U111" s="67"/>
      <c r="V111" s="67"/>
    </row>
    <row r="112" spans="1:23" s="8" customFormat="1" ht="24.95" customHeight="1" x14ac:dyDescent="0.25">
      <c r="A112" s="44"/>
      <c r="B112" s="12" t="s">
        <v>30</v>
      </c>
      <c r="C112" s="206"/>
      <c r="D112" s="201"/>
      <c r="E112" s="13"/>
      <c r="F112" s="14" t="s">
        <v>56</v>
      </c>
      <c r="G112" s="14"/>
      <c r="H112" s="14"/>
      <c r="I112" s="14"/>
      <c r="J112" s="14"/>
      <c r="K112" s="14"/>
      <c r="L112" s="14"/>
      <c r="M112" s="15"/>
      <c r="N112" s="16"/>
      <c r="O112" s="17"/>
      <c r="P112" s="17"/>
      <c r="Q112" s="17"/>
      <c r="R112" s="17"/>
      <c r="S112" s="17"/>
      <c r="T112" s="18">
        <f t="shared" si="8"/>
        <v>0</v>
      </c>
      <c r="U112" s="67"/>
      <c r="V112" s="67"/>
    </row>
    <row r="113" spans="1:22" s="8" customFormat="1" ht="24.95" customHeight="1" x14ac:dyDescent="0.25">
      <c r="A113" s="45"/>
      <c r="B113" s="19" t="s">
        <v>57</v>
      </c>
      <c r="C113" s="207"/>
      <c r="D113" s="202"/>
      <c r="E113" s="20"/>
      <c r="F113" s="21"/>
      <c r="G113" s="14" t="s">
        <v>58</v>
      </c>
      <c r="H113" s="40"/>
      <c r="I113" s="40"/>
      <c r="J113" s="40"/>
      <c r="K113" s="40"/>
      <c r="L113" s="40"/>
      <c r="M113" s="41"/>
      <c r="N113" s="22"/>
      <c r="O113" s="17"/>
      <c r="P113" s="17"/>
      <c r="Q113" s="17"/>
      <c r="R113" s="17"/>
      <c r="S113" s="17"/>
      <c r="T113" s="18">
        <f t="shared" si="8"/>
        <v>0</v>
      </c>
      <c r="U113" s="67"/>
      <c r="V113" s="67"/>
    </row>
    <row r="114" spans="1:22" s="8" customFormat="1" ht="24.95" customHeight="1" x14ac:dyDescent="0.25">
      <c r="A114" s="45"/>
      <c r="B114" s="23" t="s">
        <v>106</v>
      </c>
      <c r="C114" s="208" t="str">
        <f>+'CAIXAS-ESQUADRIAS'!B12</f>
        <v>PRÓPRIO</v>
      </c>
      <c r="D114" s="203" t="str">
        <f>+'CAIXAS-ESQUADRIAS'!C12</f>
        <v>SEINFRA-0027</v>
      </c>
      <c r="E114" s="20"/>
      <c r="F114" s="21"/>
      <c r="G114" s="21"/>
      <c r="H114" s="718" t="str">
        <f>+'CAIXAS-ESQUADRIAS'!D12</f>
        <v>TAMPA DE INSPEÇÃO EM CHAPA METÁLICA DE 3/8". (ADAPTADO DE ORSE 4117)</v>
      </c>
      <c r="I114" s="718"/>
      <c r="J114" s="718"/>
      <c r="K114" s="718"/>
      <c r="L114" s="718"/>
      <c r="M114" s="719"/>
      <c r="N114" s="22" t="s">
        <v>222</v>
      </c>
      <c r="O114" s="17">
        <f>'CAIXAS-ESQUADRIAS'!S12</f>
        <v>9.120000000000001</v>
      </c>
      <c r="P114" s="17"/>
      <c r="Q114" s="17"/>
      <c r="R114" s="17"/>
      <c r="S114" s="17"/>
      <c r="T114" s="18">
        <f t="shared" si="8"/>
        <v>9.120000000000001</v>
      </c>
      <c r="U114" s="67"/>
      <c r="V114" s="67"/>
    </row>
    <row r="115" spans="1:22" s="8" customFormat="1" ht="24.95" customHeight="1" x14ac:dyDescent="0.25">
      <c r="A115" s="45"/>
      <c r="B115" s="23" t="s">
        <v>107</v>
      </c>
      <c r="C115" s="208" t="str">
        <f>+'CAIXAS-ESQUADRIAS'!B13</f>
        <v>GOINFRA</v>
      </c>
      <c r="D115" s="203" t="str">
        <f>+'CAIXAS-ESQUADRIAS'!C13</f>
        <v>080840</v>
      </c>
      <c r="E115" s="20"/>
      <c r="F115" s="21"/>
      <c r="G115" s="21"/>
      <c r="H115" s="718" t="str">
        <f>+'CAIXAS-ESQUADRIAS'!D13</f>
        <v xml:space="preserve">	TAMPA T-5 ARTICULADA 20X20</v>
      </c>
      <c r="I115" s="718"/>
      <c r="J115" s="718"/>
      <c r="K115" s="718"/>
      <c r="L115" s="718"/>
      <c r="M115" s="719"/>
      <c r="N115" s="220" t="s">
        <v>293</v>
      </c>
      <c r="O115" s="17">
        <f>'CAIXAS-ESQUADRIAS'!R13</f>
        <v>1</v>
      </c>
      <c r="P115" s="17"/>
      <c r="Q115" s="17"/>
      <c r="R115" s="17"/>
      <c r="S115" s="17"/>
      <c r="T115" s="18">
        <f t="shared" si="8"/>
        <v>1</v>
      </c>
      <c r="U115" s="67"/>
      <c r="V115" s="67"/>
    </row>
    <row r="116" spans="1:22" s="8" customFormat="1" ht="24.95" customHeight="1" x14ac:dyDescent="0.25">
      <c r="A116" s="45"/>
      <c r="B116" s="23" t="s">
        <v>107</v>
      </c>
      <c r="C116" s="208" t="str">
        <f>+'CAIXAS-ESQUADRIAS'!B14</f>
        <v>GOINFRA</v>
      </c>
      <c r="D116" s="203" t="str">
        <f>+'CAIXAS-ESQUADRIAS'!C14</f>
        <v>180703</v>
      </c>
      <c r="E116" s="20"/>
      <c r="F116" s="21"/>
      <c r="G116" s="21"/>
      <c r="H116" s="718" t="str">
        <f>+'CAIXAS-ESQUADRIAS'!D14</f>
        <v>ESCADA TIPO MARINHEIRO SEM GUARDA CORPO PADRÃO GOINFRA ( H &lt;= 3M)</v>
      </c>
      <c r="I116" s="718"/>
      <c r="J116" s="718"/>
      <c r="K116" s="718"/>
      <c r="L116" s="718"/>
      <c r="M116" s="719"/>
      <c r="N116" s="220" t="s">
        <v>130</v>
      </c>
      <c r="O116" s="17">
        <f>+'CAIXAS-ESQUADRIAS'!S14</f>
        <v>3.2</v>
      </c>
      <c r="P116" s="17"/>
      <c r="Q116" s="17"/>
      <c r="R116" s="17"/>
      <c r="S116" s="17"/>
      <c r="T116" s="18">
        <f t="shared" si="8"/>
        <v>3.2</v>
      </c>
      <c r="U116" s="67"/>
      <c r="V116" s="67"/>
    </row>
    <row r="117" spans="1:22" s="8" customFormat="1" ht="24.95" customHeight="1" x14ac:dyDescent="0.25">
      <c r="A117" s="45"/>
      <c r="B117" s="23" t="s">
        <v>107</v>
      </c>
      <c r="C117" s="208" t="str">
        <f>+'RESER-ESQUADRIAS'!B12</f>
        <v>GOINFRA</v>
      </c>
      <c r="D117" s="203" t="str">
        <f>+'RESER-ESQUADRIAS'!C12</f>
        <v>180280</v>
      </c>
      <c r="E117" s="20"/>
      <c r="F117" s="21"/>
      <c r="G117" s="21"/>
      <c r="H117" s="718" t="str">
        <f>+'RESER-ESQUADRIAS'!D12</f>
        <v>PORTÃO DE ABRIR 02 FOLHAS DE TELA/TUBO FoGo 1.1/2" PT1/PT2 C/ FERRAGENS</v>
      </c>
      <c r="I117" s="718"/>
      <c r="J117" s="718"/>
      <c r="K117" s="718"/>
      <c r="L117" s="718"/>
      <c r="M117" s="719"/>
      <c r="N117" s="22" t="s">
        <v>222</v>
      </c>
      <c r="O117" s="17"/>
      <c r="P117" s="17">
        <f>+'RESER-ESQUADRIAS'!S12</f>
        <v>7.4</v>
      </c>
      <c r="Q117" s="17"/>
      <c r="R117" s="17"/>
      <c r="S117" s="17"/>
      <c r="T117" s="18">
        <f t="shared" si="8"/>
        <v>7.4</v>
      </c>
      <c r="U117" s="67"/>
      <c r="V117" s="67"/>
    </row>
    <row r="118" spans="1:22" s="8" customFormat="1" ht="24.95" customHeight="1" x14ac:dyDescent="0.25">
      <c r="A118" s="45"/>
      <c r="B118" s="23" t="s">
        <v>107</v>
      </c>
      <c r="C118" s="208" t="str">
        <f>+'RESER-ESQUADRIAS'!B13</f>
        <v>GOINFRA</v>
      </c>
      <c r="D118" s="203" t="str">
        <f>+'RESER-ESQUADRIAS'!C13</f>
        <v>180281</v>
      </c>
      <c r="E118" s="20"/>
      <c r="F118" s="21"/>
      <c r="G118" s="21"/>
      <c r="H118" s="718" t="str">
        <f>+'RESER-ESQUADRIAS'!D13</f>
        <v>PORTÃO DE ABRIR 01 FOLHA TELA/TUBO FoGo 1.1/2" PT3 C/ FERRAGENS</v>
      </c>
      <c r="I118" s="718"/>
      <c r="J118" s="718"/>
      <c r="K118" s="718"/>
      <c r="L118" s="718"/>
      <c r="M118" s="719"/>
      <c r="N118" s="22" t="s">
        <v>222</v>
      </c>
      <c r="O118" s="17"/>
      <c r="P118" s="17">
        <f>+'RESER-ESQUADRIAS'!S13</f>
        <v>2.2200000000000002</v>
      </c>
      <c r="Q118" s="17"/>
      <c r="R118" s="17"/>
      <c r="S118" s="17"/>
      <c r="T118" s="18">
        <f t="shared" si="8"/>
        <v>2.2200000000000002</v>
      </c>
      <c r="U118" s="67"/>
      <c r="V118" s="67"/>
    </row>
    <row r="119" spans="1:22" s="8" customFormat="1" ht="24.95" customHeight="1" x14ac:dyDescent="0.25">
      <c r="A119" s="45"/>
      <c r="B119" s="23" t="s">
        <v>107</v>
      </c>
      <c r="C119" s="208" t="str">
        <f>+'RESER-ESQUADRIAS'!B14</f>
        <v>GOINFRA</v>
      </c>
      <c r="D119" s="203">
        <f>+'RESER-ESQUADRIAS'!C14</f>
        <v>180505</v>
      </c>
      <c r="E119" s="20"/>
      <c r="F119" s="21"/>
      <c r="G119" s="21"/>
      <c r="H119" s="718" t="str">
        <f>+'RESER-ESQUADRIAS'!D14</f>
        <v xml:space="preserve">PORTA DE ABRIR DE 02 FOLHAS EM VENEZIANA PF-5 C/FERRAGENS	</v>
      </c>
      <c r="I119" s="718"/>
      <c r="J119" s="718"/>
      <c r="K119" s="718"/>
      <c r="L119" s="718"/>
      <c r="M119" s="719"/>
      <c r="N119" s="22" t="s">
        <v>222</v>
      </c>
      <c r="O119" s="17"/>
      <c r="P119" s="17">
        <f>+'RESER-ESQUADRIAS'!S14</f>
        <v>1.8</v>
      </c>
      <c r="Q119" s="17"/>
      <c r="R119" s="17"/>
      <c r="S119" s="17"/>
      <c r="T119" s="18">
        <f t="shared" ref="T119" si="12">SUM(O119:S119)</f>
        <v>1.8</v>
      </c>
      <c r="U119" s="67"/>
      <c r="V119" s="67"/>
    </row>
    <row r="120" spans="1:22" s="8" customFormat="1" ht="24.95" customHeight="1" x14ac:dyDescent="0.25">
      <c r="A120" s="44"/>
      <c r="B120" s="19"/>
      <c r="C120" s="207"/>
      <c r="D120" s="202"/>
      <c r="E120" s="13"/>
      <c r="F120" s="14"/>
      <c r="G120" s="24"/>
      <c r="H120" s="14"/>
      <c r="I120" s="14"/>
      <c r="J120" s="14"/>
      <c r="K120" s="14"/>
      <c r="L120" s="24"/>
      <c r="M120" s="15"/>
      <c r="N120" s="16"/>
      <c r="O120" s="17"/>
      <c r="P120" s="17"/>
      <c r="Q120" s="17"/>
      <c r="R120" s="17"/>
      <c r="S120" s="17"/>
      <c r="T120" s="18">
        <f t="shared" si="8"/>
        <v>0</v>
      </c>
      <c r="U120" s="67"/>
      <c r="V120" s="67"/>
    </row>
    <row r="121" spans="1:22" s="8" customFormat="1" ht="24.95" customHeight="1" x14ac:dyDescent="0.25">
      <c r="A121" s="44"/>
      <c r="B121" s="12" t="s">
        <v>31</v>
      </c>
      <c r="C121" s="206"/>
      <c r="D121" s="201"/>
      <c r="E121" s="13"/>
      <c r="F121" s="14" t="s">
        <v>59</v>
      </c>
      <c r="G121" s="14"/>
      <c r="H121" s="14"/>
      <c r="I121" s="14"/>
      <c r="J121" s="14"/>
      <c r="K121" s="14"/>
      <c r="L121" s="14"/>
      <c r="M121" s="15"/>
      <c r="N121" s="16"/>
      <c r="O121" s="17"/>
      <c r="P121" s="17"/>
      <c r="Q121" s="17"/>
      <c r="R121" s="17"/>
      <c r="S121" s="17"/>
      <c r="T121" s="18">
        <f t="shared" si="8"/>
        <v>0</v>
      </c>
      <c r="U121" s="67"/>
      <c r="V121" s="67"/>
    </row>
    <row r="122" spans="1:22" s="8" customFormat="1" ht="24.95" customHeight="1" x14ac:dyDescent="0.25">
      <c r="A122" s="45"/>
      <c r="B122" s="19" t="s">
        <v>60</v>
      </c>
      <c r="C122" s="207"/>
      <c r="D122" s="202"/>
      <c r="E122" s="20"/>
      <c r="F122" s="21"/>
      <c r="G122" s="14" t="s">
        <v>61</v>
      </c>
      <c r="H122" s="40"/>
      <c r="I122" s="40"/>
      <c r="J122" s="40"/>
      <c r="K122" s="40"/>
      <c r="L122" s="40"/>
      <c r="M122" s="41"/>
      <c r="N122" s="22"/>
      <c r="O122" s="17"/>
      <c r="P122" s="17"/>
      <c r="Q122" s="17"/>
      <c r="R122" s="17"/>
      <c r="S122" s="17"/>
      <c r="T122" s="18">
        <f t="shared" si="8"/>
        <v>0</v>
      </c>
      <c r="U122" s="67"/>
      <c r="V122" s="67"/>
    </row>
    <row r="123" spans="1:22" s="8" customFormat="1" ht="24.95" customHeight="1" x14ac:dyDescent="0.25">
      <c r="A123" s="45"/>
      <c r="B123" s="23" t="s">
        <v>108</v>
      </c>
      <c r="C123" s="208" t="str">
        <f>+'RESERV-IMPERMEABILIZAÇÃO'!B17</f>
        <v>GOINFRA</v>
      </c>
      <c r="D123" s="203">
        <f>+'RESERV-IMPERMEABILIZAÇÃO'!C17</f>
        <v>120101</v>
      </c>
      <c r="E123" s="20"/>
      <c r="F123" s="21"/>
      <c r="G123" s="21"/>
      <c r="H123" s="718" t="str">
        <f>'RESERV-IMPERMEABILIZAÇÃO'!D17</f>
        <v>REGULARIZAÇÃO (1:3) E=2 CM</v>
      </c>
      <c r="I123" s="718"/>
      <c r="J123" s="718"/>
      <c r="K123" s="718"/>
      <c r="L123" s="718"/>
      <c r="M123" s="719"/>
      <c r="N123" s="22" t="str">
        <f>+'RESERV-IMPERMEABILIZAÇÃO'!X17</f>
        <v>M2</v>
      </c>
      <c r="O123" s="17"/>
      <c r="P123" s="17">
        <f>+'RESERV-IMPERMEABILIZAÇÃO'!W17</f>
        <v>1.8900000000000001</v>
      </c>
      <c r="Q123" s="17"/>
      <c r="R123" s="17"/>
      <c r="S123" s="17"/>
      <c r="T123" s="18">
        <f t="shared" si="8"/>
        <v>1.8900000000000001</v>
      </c>
      <c r="U123" s="67"/>
      <c r="V123" s="67"/>
    </row>
    <row r="124" spans="1:22" s="8" customFormat="1" ht="24.95" customHeight="1" x14ac:dyDescent="0.25">
      <c r="A124" s="45"/>
      <c r="B124" s="23" t="s">
        <v>109</v>
      </c>
      <c r="C124" s="208" t="str">
        <f>+'RESERV-IMPERMEABILIZAÇÃO'!B18</f>
        <v>GOINFRA</v>
      </c>
      <c r="D124" s="203">
        <f>+'RESERV-IMPERMEABILIZAÇÃO'!C18</f>
        <v>120207</v>
      </c>
      <c r="E124" s="20"/>
      <c r="F124" s="21"/>
      <c r="G124" s="21"/>
      <c r="H124" s="718" t="str">
        <f>'RESERV-IMPERMEABILIZAÇÃO'!D18</f>
        <v>PROTECAO MECANICA (1:3) E=2 CM</v>
      </c>
      <c r="I124" s="718"/>
      <c r="J124" s="718"/>
      <c r="K124" s="718"/>
      <c r="L124" s="718"/>
      <c r="M124" s="719"/>
      <c r="N124" s="22" t="str">
        <f>+'RESERV-IMPERMEABILIZAÇÃO'!X18</f>
        <v>M2</v>
      </c>
      <c r="O124" s="17"/>
      <c r="P124" s="17">
        <f>+'RESERV-IMPERMEABILIZAÇÃO'!W18</f>
        <v>1.8900000000000001</v>
      </c>
      <c r="Q124" s="17"/>
      <c r="R124" s="17"/>
      <c r="S124" s="17"/>
      <c r="T124" s="18">
        <f t="shared" si="8"/>
        <v>1.8900000000000001</v>
      </c>
      <c r="U124" s="67"/>
      <c r="V124" s="67"/>
    </row>
    <row r="125" spans="1:22" s="8" customFormat="1" ht="24.95" customHeight="1" x14ac:dyDescent="0.25">
      <c r="A125" s="45"/>
      <c r="B125" s="19" t="s">
        <v>62</v>
      </c>
      <c r="C125" s="207"/>
      <c r="D125" s="202"/>
      <c r="E125" s="20"/>
      <c r="F125" s="21"/>
      <c r="G125" s="14" t="s">
        <v>63</v>
      </c>
      <c r="H125" s="40"/>
      <c r="I125" s="40"/>
      <c r="J125" s="40"/>
      <c r="K125" s="40"/>
      <c r="L125" s="40"/>
      <c r="M125" s="41"/>
      <c r="N125" s="22"/>
      <c r="O125" s="17"/>
      <c r="P125" s="17"/>
      <c r="Q125" s="17"/>
      <c r="R125" s="17"/>
      <c r="S125" s="17"/>
      <c r="T125" s="18">
        <f t="shared" si="8"/>
        <v>0</v>
      </c>
      <c r="U125" s="67"/>
      <c r="V125" s="67"/>
    </row>
    <row r="126" spans="1:22" s="8" customFormat="1" ht="24.95" customHeight="1" x14ac:dyDescent="0.25">
      <c r="A126" s="45"/>
      <c r="B126" s="23" t="s">
        <v>110</v>
      </c>
      <c r="C126" s="208" t="str">
        <f>+'RESERV-IMPERMEABILIZAÇÃO'!B20</f>
        <v>GOINFRA</v>
      </c>
      <c r="D126" s="203">
        <f>+'RESERV-IMPERMEABILIZAÇÃO'!C20</f>
        <v>120107</v>
      </c>
      <c r="E126" s="20"/>
      <c r="F126" s="21"/>
      <c r="G126" s="21"/>
      <c r="H126" s="718" t="str">
        <f>'RESERV-IMPERMEABILIZAÇÃO'!D20</f>
        <v xml:space="preserve">MANTA ASFÁLTICA TIPO III - B ( 3 MM) </v>
      </c>
      <c r="I126" s="718"/>
      <c r="J126" s="718"/>
      <c r="K126" s="718"/>
      <c r="L126" s="718"/>
      <c r="M126" s="719"/>
      <c r="N126" s="22" t="str">
        <f>+'RESERV-IMPERMEABILIZAÇÃO'!X20</f>
        <v>M2</v>
      </c>
      <c r="O126" s="17"/>
      <c r="P126" s="17">
        <f>+'RESERV-IMPERMEABILIZAÇÃO'!W20</f>
        <v>1.8900000000000001</v>
      </c>
      <c r="Q126" s="17"/>
      <c r="R126" s="17"/>
      <c r="S126" s="17"/>
      <c r="T126" s="18">
        <f t="shared" si="8"/>
        <v>1.8900000000000001</v>
      </c>
      <c r="U126" s="67"/>
      <c r="V126" s="67"/>
    </row>
    <row r="127" spans="1:22" s="8" customFormat="1" ht="24.95" customHeight="1" x14ac:dyDescent="0.25">
      <c r="A127" s="44"/>
      <c r="B127" s="19"/>
      <c r="C127" s="207"/>
      <c r="D127" s="202"/>
      <c r="E127" s="13"/>
      <c r="F127" s="14"/>
      <c r="G127" s="24"/>
      <c r="H127" s="14"/>
      <c r="I127" s="14"/>
      <c r="J127" s="14"/>
      <c r="K127" s="14"/>
      <c r="L127" s="24"/>
      <c r="M127" s="15"/>
      <c r="N127" s="16"/>
      <c r="O127" s="17"/>
      <c r="P127" s="17"/>
      <c r="Q127" s="17"/>
      <c r="R127" s="17"/>
      <c r="S127" s="17"/>
      <c r="T127" s="18">
        <f t="shared" ref="T127:T171" si="13">SUM(O127:S127)</f>
        <v>0</v>
      </c>
      <c r="U127" s="67"/>
      <c r="V127" s="67"/>
    </row>
    <row r="128" spans="1:22" s="8" customFormat="1" ht="24.95" customHeight="1" x14ac:dyDescent="0.25">
      <c r="A128" s="44"/>
      <c r="B128" s="12" t="s">
        <v>33</v>
      </c>
      <c r="C128" s="206"/>
      <c r="D128" s="201"/>
      <c r="E128" s="13"/>
      <c r="F128" s="14" t="s">
        <v>899</v>
      </c>
      <c r="G128" s="14"/>
      <c r="H128" s="14"/>
      <c r="I128" s="14"/>
      <c r="J128" s="14"/>
      <c r="K128" s="14"/>
      <c r="L128" s="14"/>
      <c r="M128" s="15"/>
      <c r="N128" s="16"/>
      <c r="O128" s="17"/>
      <c r="P128" s="17"/>
      <c r="Q128" s="17"/>
      <c r="R128" s="17"/>
      <c r="S128" s="17"/>
      <c r="T128" s="18">
        <f t="shared" si="13"/>
        <v>0</v>
      </c>
      <c r="U128" s="67"/>
      <c r="V128" s="67"/>
    </row>
    <row r="129" spans="1:22" s="8" customFormat="1" ht="24.95" customHeight="1" x14ac:dyDescent="0.25">
      <c r="A129" s="44"/>
      <c r="B129" s="12" t="s">
        <v>64</v>
      </c>
      <c r="C129" s="206"/>
      <c r="D129" s="201"/>
      <c r="E129" s="13"/>
      <c r="F129" s="14"/>
      <c r="G129" s="14" t="s">
        <v>65</v>
      </c>
      <c r="H129" s="14"/>
      <c r="I129" s="14"/>
      <c r="J129" s="14"/>
      <c r="K129" s="14"/>
      <c r="L129" s="14"/>
      <c r="M129" s="15"/>
      <c r="N129" s="16">
        <v>0</v>
      </c>
      <c r="O129" s="17"/>
      <c r="P129" s="17"/>
      <c r="Q129" s="17"/>
      <c r="R129" s="17"/>
      <c r="S129" s="17"/>
      <c r="T129" s="18">
        <f t="shared" si="13"/>
        <v>0</v>
      </c>
      <c r="U129" s="67"/>
      <c r="V129" s="67"/>
    </row>
    <row r="130" spans="1:22" s="8" customFormat="1" ht="24.95" customHeight="1" x14ac:dyDescent="0.25">
      <c r="A130" s="45"/>
      <c r="B130" s="23" t="s">
        <v>111</v>
      </c>
      <c r="C130" s="208" t="str">
        <f>'RESERV-REVESTIMENTOS'!B17</f>
        <v>GOINFRA</v>
      </c>
      <c r="D130" s="203">
        <f>'RESERV-REVESTIMENTOS'!C17</f>
        <v>200101</v>
      </c>
      <c r="E130" s="20"/>
      <c r="F130" s="21"/>
      <c r="G130" s="21"/>
      <c r="H130" s="718" t="str">
        <f>'RESERV-REVESTIMENTOS'!D17</f>
        <v>CHAPISCO COMUM</v>
      </c>
      <c r="I130" s="718"/>
      <c r="J130" s="718"/>
      <c r="K130" s="718"/>
      <c r="L130" s="718"/>
      <c r="M130" s="719"/>
      <c r="N130" s="22" t="str">
        <f>'RESERV-REVESTIMENTOS'!X17</f>
        <v>M2</v>
      </c>
      <c r="O130" s="17"/>
      <c r="P130" s="17">
        <f>'RESERV-REVESTIMENTOS'!W17</f>
        <v>16.88</v>
      </c>
      <c r="Q130" s="17"/>
      <c r="R130" s="17"/>
      <c r="S130" s="17"/>
      <c r="T130" s="18">
        <f t="shared" si="13"/>
        <v>16.88</v>
      </c>
      <c r="U130" s="67"/>
      <c r="V130" s="67"/>
    </row>
    <row r="131" spans="1:22" s="8" customFormat="1" ht="24.95" customHeight="1" x14ac:dyDescent="0.25">
      <c r="A131" s="45"/>
      <c r="B131" s="23" t="s">
        <v>111</v>
      </c>
      <c r="C131" s="208" t="str">
        <f>'RESERV-REVESTIMENTOS'!B18</f>
        <v>GOINFRA</v>
      </c>
      <c r="D131" s="203">
        <f>'RESERV-REVESTIMENTOS'!C18</f>
        <v>200201</v>
      </c>
      <c r="E131" s="20"/>
      <c r="F131" s="21"/>
      <c r="G131" s="21"/>
      <c r="H131" s="718" t="str">
        <f>'RESERV-REVESTIMENTOS'!D18</f>
        <v>EMBOÇO (1CI:4 ARML)</v>
      </c>
      <c r="I131" s="718"/>
      <c r="J131" s="718"/>
      <c r="K131" s="718"/>
      <c r="L131" s="718"/>
      <c r="M131" s="719"/>
      <c r="N131" s="22" t="str">
        <f>'RESERV-REVESTIMENTOS'!X18</f>
        <v>M2</v>
      </c>
      <c r="O131" s="17"/>
      <c r="P131" s="17">
        <f>'RESERV-REVESTIMENTOS'!W18</f>
        <v>9.1999999999999993</v>
      </c>
      <c r="Q131" s="17"/>
      <c r="R131" s="17"/>
      <c r="S131" s="17"/>
      <c r="T131" s="18">
        <f t="shared" ref="T131:T132" si="14">SUM(O131:S131)</f>
        <v>9.1999999999999993</v>
      </c>
      <c r="U131" s="67"/>
      <c r="V131" s="67"/>
    </row>
    <row r="132" spans="1:22" s="8" customFormat="1" ht="24.95" customHeight="1" x14ac:dyDescent="0.25">
      <c r="A132" s="45"/>
      <c r="B132" s="23" t="s">
        <v>111</v>
      </c>
      <c r="C132" s="208" t="str">
        <f>'RESERV-REVESTIMENTOS'!B19</f>
        <v>GOINFRA</v>
      </c>
      <c r="D132" s="203">
        <f>'RESERV-REVESTIMENTOS'!C19</f>
        <v>200500</v>
      </c>
      <c r="E132" s="20"/>
      <c r="F132" s="21"/>
      <c r="G132" s="21"/>
      <c r="H132" s="718" t="str">
        <f>'RESERV-REVESTIMENTOS'!D19</f>
        <v>REBOCO PAULISTA A-7 (1 CALH,4 ARMLC)</v>
      </c>
      <c r="I132" s="718"/>
      <c r="J132" s="718"/>
      <c r="K132" s="718"/>
      <c r="L132" s="718"/>
      <c r="M132" s="719"/>
      <c r="N132" s="22" t="str">
        <f>'RESERV-REVESTIMENTOS'!X19</f>
        <v>M2</v>
      </c>
      <c r="O132" s="17"/>
      <c r="P132" s="17">
        <f>'RESERV-REVESTIMENTOS'!W19</f>
        <v>7.6800000000000006</v>
      </c>
      <c r="Q132" s="17"/>
      <c r="R132" s="17"/>
      <c r="S132" s="17"/>
      <c r="T132" s="18">
        <f t="shared" si="14"/>
        <v>7.6800000000000006</v>
      </c>
      <c r="U132" s="67"/>
      <c r="V132" s="67"/>
    </row>
    <row r="133" spans="1:22" s="8" customFormat="1" ht="24.95" customHeight="1" x14ac:dyDescent="0.25">
      <c r="A133" s="44"/>
      <c r="B133" s="12" t="s">
        <v>66</v>
      </c>
      <c r="C133" s="206"/>
      <c r="D133" s="201"/>
      <c r="E133" s="13"/>
      <c r="F133" s="14"/>
      <c r="G133" s="14" t="s">
        <v>67</v>
      </c>
      <c r="H133" s="14"/>
      <c r="I133" s="14"/>
      <c r="J133" s="14"/>
      <c r="K133" s="14"/>
      <c r="L133" s="14"/>
      <c r="M133" s="15"/>
      <c r="N133" s="16">
        <v>0</v>
      </c>
      <c r="O133" s="17"/>
      <c r="P133" s="17"/>
      <c r="Q133" s="17"/>
      <c r="R133" s="17"/>
      <c r="S133" s="17"/>
      <c r="T133" s="18">
        <f t="shared" si="13"/>
        <v>0</v>
      </c>
      <c r="U133" s="67"/>
      <c r="V133" s="67"/>
    </row>
    <row r="134" spans="1:22" s="8" customFormat="1" ht="24.95" customHeight="1" x14ac:dyDescent="0.25">
      <c r="A134" s="45"/>
      <c r="B134" s="23" t="s">
        <v>111</v>
      </c>
      <c r="C134" s="208" t="str">
        <f>'RESERV-REVESTIMENTOS'!B21</f>
        <v>GOINFRA</v>
      </c>
      <c r="D134" s="203">
        <f>'RESERV-REVESTIMENTOS'!C21</f>
        <v>201003</v>
      </c>
      <c r="E134" s="20"/>
      <c r="F134" s="21"/>
      <c r="G134" s="21"/>
      <c r="H134" s="718" t="str">
        <f>'RESERV-REVESTIMENTOS'!D21</f>
        <v>PASTILHA PORCELANA C/ARGAMASSA FLEXIVEL</v>
      </c>
      <c r="I134" s="718"/>
      <c r="J134" s="718"/>
      <c r="K134" s="718"/>
      <c r="L134" s="718"/>
      <c r="M134" s="719"/>
      <c r="N134" s="22" t="str">
        <f>'RESERV-REVESTIMENTOS'!X21</f>
        <v>M2</v>
      </c>
      <c r="O134" s="17"/>
      <c r="P134" s="17">
        <f>'RESERV-REVESTIMENTOS'!W21</f>
        <v>9.1999999999999993</v>
      </c>
      <c r="Q134" s="17"/>
      <c r="R134" s="17"/>
      <c r="S134" s="17"/>
      <c r="T134" s="18">
        <f t="shared" ref="T134" si="15">SUM(O134:S134)</f>
        <v>9.1999999999999993</v>
      </c>
      <c r="U134" s="67"/>
      <c r="V134" s="67"/>
    </row>
    <row r="135" spans="1:22" s="8" customFormat="1" ht="24.95" customHeight="1" x14ac:dyDescent="0.25">
      <c r="A135" s="44"/>
      <c r="B135" s="19"/>
      <c r="C135" s="207"/>
      <c r="D135" s="202"/>
      <c r="E135" s="13"/>
      <c r="F135" s="14"/>
      <c r="G135" s="24"/>
      <c r="H135" s="14"/>
      <c r="I135" s="14"/>
      <c r="J135" s="14"/>
      <c r="K135" s="14"/>
      <c r="L135" s="24"/>
      <c r="M135" s="15"/>
      <c r="N135" s="16"/>
      <c r="O135" s="17"/>
      <c r="P135" s="17"/>
      <c r="Q135" s="17"/>
      <c r="R135" s="17"/>
      <c r="S135" s="17"/>
      <c r="T135" s="18">
        <f t="shared" si="13"/>
        <v>0</v>
      </c>
      <c r="U135" s="67"/>
      <c r="V135" s="67"/>
    </row>
    <row r="136" spans="1:22" s="8" customFormat="1" ht="24.95" customHeight="1" x14ac:dyDescent="0.25">
      <c r="A136" s="44"/>
      <c r="B136" s="12" t="s">
        <v>34</v>
      </c>
      <c r="C136" s="206"/>
      <c r="D136" s="201"/>
      <c r="E136" s="13"/>
      <c r="F136" s="14" t="s">
        <v>329</v>
      </c>
      <c r="G136" s="14"/>
      <c r="H136" s="14"/>
      <c r="I136" s="14"/>
      <c r="J136" s="14"/>
      <c r="K136" s="14"/>
      <c r="L136" s="14"/>
      <c r="M136" s="15"/>
      <c r="N136" s="16"/>
      <c r="O136" s="17"/>
      <c r="P136" s="17"/>
      <c r="Q136" s="17"/>
      <c r="R136" s="17"/>
      <c r="S136" s="17"/>
      <c r="T136" s="18">
        <f t="shared" si="13"/>
        <v>0</v>
      </c>
      <c r="U136" s="67"/>
      <c r="V136" s="67"/>
    </row>
    <row r="137" spans="1:22" s="8" customFormat="1" ht="24.95" customHeight="1" x14ac:dyDescent="0.25">
      <c r="A137" s="44"/>
      <c r="B137" s="12" t="s">
        <v>68</v>
      </c>
      <c r="C137" s="206"/>
      <c r="D137" s="201"/>
      <c r="E137" s="13"/>
      <c r="F137" s="14"/>
      <c r="G137" s="14" t="s">
        <v>69</v>
      </c>
      <c r="H137" s="14"/>
      <c r="I137" s="14"/>
      <c r="J137" s="14"/>
      <c r="K137" s="14"/>
      <c r="L137" s="14"/>
      <c r="M137" s="15"/>
      <c r="N137" s="16">
        <v>0</v>
      </c>
      <c r="O137" s="17"/>
      <c r="P137" s="17"/>
      <c r="Q137" s="17"/>
      <c r="R137" s="17"/>
      <c r="S137" s="17"/>
      <c r="T137" s="18">
        <f t="shared" si="13"/>
        <v>0</v>
      </c>
      <c r="U137" s="67"/>
      <c r="V137" s="67"/>
    </row>
    <row r="138" spans="1:22" s="8" customFormat="1" ht="24.95" customHeight="1" x14ac:dyDescent="0.25">
      <c r="A138" s="45"/>
      <c r="B138" s="23" t="s">
        <v>112</v>
      </c>
      <c r="C138" s="208" t="str">
        <f>+'CAIXAS-PAVIM'!B17</f>
        <v>GOINFRA</v>
      </c>
      <c r="D138" s="203" t="str">
        <f>+'CAIXAS-PAVIM'!C17</f>
        <v>120101</v>
      </c>
      <c r="E138" s="20"/>
      <c r="F138" s="21"/>
      <c r="G138" s="21"/>
      <c r="H138" s="718" t="str">
        <f>+'CAIXAS-PAVIM'!D17</f>
        <v>REGULARIZAÇÃO (1:3) E=2 CM</v>
      </c>
      <c r="I138" s="718"/>
      <c r="J138" s="718"/>
      <c r="K138" s="718"/>
      <c r="L138" s="718"/>
      <c r="M138" s="719"/>
      <c r="N138" s="22" t="str">
        <f>+'CAIXAS-PAVIM'!X17</f>
        <v>M2</v>
      </c>
      <c r="O138" s="17">
        <f>+'CAIXAS-PAVIM'!W17</f>
        <v>7.044336293856408</v>
      </c>
      <c r="P138" s="17"/>
      <c r="Q138" s="17"/>
      <c r="R138" s="17"/>
      <c r="S138" s="17"/>
      <c r="T138" s="18">
        <f t="shared" si="13"/>
        <v>7.044336293856408</v>
      </c>
      <c r="U138" s="67"/>
      <c r="V138" s="67"/>
    </row>
    <row r="139" spans="1:22" s="8" customFormat="1" ht="24.95" customHeight="1" x14ac:dyDescent="0.25">
      <c r="A139" s="45"/>
      <c r="B139" s="23" t="s">
        <v>112</v>
      </c>
      <c r="C139" s="208" t="str">
        <f>'RESERV-PAVIMENTAÇÃO'!B17</f>
        <v>GOINFRA</v>
      </c>
      <c r="D139" s="203" t="str">
        <f>'RESERV-PAVIMENTAÇÃO'!C17</f>
        <v>220100</v>
      </c>
      <c r="E139" s="20"/>
      <c r="F139" s="21"/>
      <c r="G139" s="21"/>
      <c r="H139" s="718" t="str">
        <f>'RESERV-PAVIMENTAÇÃO'!D17</f>
        <v>PASSEIO PROTECAO EM CONC.DESEMPEN.5 CM 1:2,5:3,5 (INCLUSO ESPELHO DE 30CM/ESCAVAÇÃO/REATERRO/APILOAMENTO/ATERRO INTERNO)</v>
      </c>
      <c r="I139" s="718"/>
      <c r="J139" s="718"/>
      <c r="K139" s="718"/>
      <c r="L139" s="718"/>
      <c r="M139" s="719"/>
      <c r="N139" s="22" t="str">
        <f>'RESERV-PAVIMENTAÇÃO'!X17</f>
        <v>M2</v>
      </c>
      <c r="O139" s="17"/>
      <c r="P139" s="17">
        <f>'RESERV-PAVIMENTAÇÃO'!W17</f>
        <v>37.14</v>
      </c>
      <c r="Q139" s="17"/>
      <c r="R139" s="17"/>
      <c r="S139" s="17"/>
      <c r="T139" s="18">
        <f t="shared" si="13"/>
        <v>37.14</v>
      </c>
      <c r="U139" s="67"/>
      <c r="V139" s="67"/>
    </row>
    <row r="140" spans="1:22" s="8" customFormat="1" ht="24.95" customHeight="1" x14ac:dyDescent="0.25">
      <c r="A140" s="45"/>
      <c r="B140" s="23" t="s">
        <v>112</v>
      </c>
      <c r="C140" s="208" t="str">
        <f>'RESERV-PAVIMENTAÇÃO'!B18</f>
        <v>GOINFRA</v>
      </c>
      <c r="D140" s="203" t="str">
        <f>'RESERV-PAVIMENTAÇÃO'!C18</f>
        <v>220108</v>
      </c>
      <c r="E140" s="20"/>
      <c r="F140" s="21"/>
      <c r="G140" s="21"/>
      <c r="H140" s="718" t="str">
        <f>'RESERV-PAVIMENTAÇÃO'!D18</f>
        <v xml:space="preserve">PISO CONCRETO SEMI POLIDO COM LASTRO (BASE) E=7,0 CM </v>
      </c>
      <c r="I140" s="718"/>
      <c r="J140" s="718"/>
      <c r="K140" s="718"/>
      <c r="L140" s="718"/>
      <c r="M140" s="719"/>
      <c r="N140" s="22" t="str">
        <f>'RESERV-PAVIMENTAÇÃO'!X18</f>
        <v>M2</v>
      </c>
      <c r="O140" s="17">
        <f>+'CAIXAS-PAVIM'!W18</f>
        <v>0</v>
      </c>
      <c r="P140" s="17">
        <f>'RESERV-PAVIMENTAÇÃO'!W18</f>
        <v>68.44</v>
      </c>
      <c r="Q140" s="17"/>
      <c r="R140" s="17"/>
      <c r="S140" s="17"/>
      <c r="T140" s="18">
        <f t="shared" si="13"/>
        <v>68.44</v>
      </c>
      <c r="U140" s="67"/>
      <c r="V140" s="67"/>
    </row>
    <row r="141" spans="1:22" s="8" customFormat="1" ht="24.95" customHeight="1" x14ac:dyDescent="0.25">
      <c r="A141" s="44"/>
      <c r="B141" s="12" t="s">
        <v>68</v>
      </c>
      <c r="C141" s="206"/>
      <c r="D141" s="201"/>
      <c r="E141" s="13"/>
      <c r="F141" s="14"/>
      <c r="G141" s="14" t="s">
        <v>748</v>
      </c>
      <c r="H141" s="14"/>
      <c r="I141" s="14"/>
      <c r="J141" s="14"/>
      <c r="K141" s="14"/>
      <c r="L141" s="14"/>
      <c r="M141" s="15"/>
      <c r="N141" s="16">
        <v>0</v>
      </c>
      <c r="O141" s="17"/>
      <c r="P141" s="17"/>
      <c r="Q141" s="17"/>
      <c r="R141" s="17"/>
      <c r="S141" s="17"/>
      <c r="T141" s="18">
        <f t="shared" si="13"/>
        <v>0</v>
      </c>
      <c r="U141" s="67"/>
      <c r="V141" s="67"/>
    </row>
    <row r="142" spans="1:22" s="8" customFormat="1" ht="24.95" customHeight="1" x14ac:dyDescent="0.25">
      <c r="A142" s="45"/>
      <c r="B142" s="23" t="s">
        <v>112</v>
      </c>
      <c r="C142" s="208" t="str">
        <f>'REDE ABAST-PAVIMENTAÇÃO'!B17</f>
        <v>GOINFRA</v>
      </c>
      <c r="D142" s="203">
        <f>'REDE ABAST-PAVIMENTAÇÃO'!C17</f>
        <v>44201</v>
      </c>
      <c r="E142" s="20"/>
      <c r="F142" s="21"/>
      <c r="G142" s="21"/>
      <c r="H142" s="718" t="str">
        <f>'REDE ABAST-PAVIMENTAÇÃO'!D17</f>
        <v>PINTURA DE LIGAÇÃO (PAV.URB.)</v>
      </c>
      <c r="I142" s="718"/>
      <c r="J142" s="718"/>
      <c r="K142" s="718"/>
      <c r="L142" s="718"/>
      <c r="M142" s="719"/>
      <c r="N142" s="22" t="str">
        <f>'REDE ABAST-PAVIMENTAÇÃO'!X17</f>
        <v>M2</v>
      </c>
      <c r="O142" s="17">
        <f>+'CAIXAS-PAVIM'!W18</f>
        <v>0</v>
      </c>
      <c r="P142" s="17"/>
      <c r="Q142" s="17">
        <f>'REDE ABAST-PAVIMENTAÇÃO'!W17</f>
        <v>4835</v>
      </c>
      <c r="R142" s="17"/>
      <c r="S142" s="17"/>
      <c r="T142" s="18">
        <f t="shared" si="13"/>
        <v>4835</v>
      </c>
      <c r="U142" s="67"/>
      <c r="V142" s="67"/>
    </row>
    <row r="143" spans="1:22" s="8" customFormat="1" ht="24.95" customHeight="1" x14ac:dyDescent="0.25">
      <c r="A143" s="45"/>
      <c r="B143" s="23" t="s">
        <v>112</v>
      </c>
      <c r="C143" s="208" t="str">
        <f>'REDE ABAST-PAVIMENTAÇÃO'!B18</f>
        <v>GOINFRA</v>
      </c>
      <c r="D143" s="203">
        <f>'REDE ABAST-PAVIMENTAÇÃO'!C18</f>
        <v>44205</v>
      </c>
      <c r="E143" s="20"/>
      <c r="F143" s="21"/>
      <c r="G143" s="21"/>
      <c r="H143" s="718" t="str">
        <f>'REDE ABAST-PAVIMENTAÇÃO'!D18</f>
        <v>PRÉ-MISTURADO A FRIO - PMF (PAV.URB.)</v>
      </c>
      <c r="I143" s="718"/>
      <c r="J143" s="718"/>
      <c r="K143" s="718"/>
      <c r="L143" s="718"/>
      <c r="M143" s="719"/>
      <c r="N143" s="22" t="str">
        <f>'REDE ABAST-PAVIMENTAÇÃO'!X18</f>
        <v>M3</v>
      </c>
      <c r="O143" s="17">
        <f>+'CAIXAS-PAVIM'!W19</f>
        <v>0</v>
      </c>
      <c r="P143" s="17"/>
      <c r="Q143" s="17">
        <f>'REDE ABAST-PAVIMENTAÇÃO'!W18</f>
        <v>241.75</v>
      </c>
      <c r="R143" s="17"/>
      <c r="S143" s="17"/>
      <c r="T143" s="18">
        <f t="shared" si="13"/>
        <v>241.75</v>
      </c>
      <c r="U143" s="67"/>
      <c r="V143" s="67"/>
    </row>
    <row r="144" spans="1:22" s="8" customFormat="1" ht="24.95" customHeight="1" x14ac:dyDescent="0.25">
      <c r="A144" s="44"/>
      <c r="B144" s="19"/>
      <c r="C144" s="207"/>
      <c r="D144" s="202"/>
      <c r="E144" s="13"/>
      <c r="F144" s="14"/>
      <c r="G144" s="24"/>
      <c r="H144" s="14"/>
      <c r="I144" s="14"/>
      <c r="J144" s="14"/>
      <c r="K144" s="14"/>
      <c r="L144" s="24"/>
      <c r="M144" s="15"/>
      <c r="N144" s="16"/>
      <c r="O144" s="17"/>
      <c r="P144" s="17"/>
      <c r="Q144" s="17"/>
      <c r="R144" s="17"/>
      <c r="S144" s="17"/>
      <c r="T144" s="18">
        <f t="shared" si="13"/>
        <v>0</v>
      </c>
      <c r="U144" s="67"/>
      <c r="V144" s="67"/>
    </row>
    <row r="145" spans="1:22" s="8" customFormat="1" ht="24.95" customHeight="1" x14ac:dyDescent="0.25">
      <c r="A145" s="44"/>
      <c r="B145" s="12" t="s">
        <v>35</v>
      </c>
      <c r="C145" s="206"/>
      <c r="D145" s="201"/>
      <c r="E145" s="13"/>
      <c r="F145" s="14" t="s">
        <v>113</v>
      </c>
      <c r="G145" s="14"/>
      <c r="H145" s="14"/>
      <c r="I145" s="14"/>
      <c r="J145" s="14"/>
      <c r="K145" s="14"/>
      <c r="L145" s="14"/>
      <c r="M145" s="15"/>
      <c r="N145" s="16"/>
      <c r="O145" s="17"/>
      <c r="P145" s="17"/>
      <c r="Q145" s="17"/>
      <c r="R145" s="17"/>
      <c r="S145" s="17"/>
      <c r="T145" s="18">
        <f t="shared" si="13"/>
        <v>0</v>
      </c>
      <c r="U145" s="67"/>
      <c r="V145" s="67"/>
    </row>
    <row r="146" spans="1:22" s="8" customFormat="1" ht="24.95" customHeight="1" x14ac:dyDescent="0.25">
      <c r="A146" s="44"/>
      <c r="B146" s="12" t="s">
        <v>68</v>
      </c>
      <c r="C146" s="206"/>
      <c r="D146" s="201"/>
      <c r="E146" s="13"/>
      <c r="F146" s="14"/>
      <c r="G146" s="14" t="s">
        <v>913</v>
      </c>
      <c r="H146" s="14"/>
      <c r="I146" s="14"/>
      <c r="J146" s="14"/>
      <c r="K146" s="14"/>
      <c r="L146" s="14"/>
      <c r="M146" s="15"/>
      <c r="N146" s="16">
        <v>0</v>
      </c>
      <c r="O146" s="17"/>
      <c r="P146" s="17"/>
      <c r="Q146" s="17"/>
      <c r="R146" s="17"/>
      <c r="S146" s="17"/>
      <c r="T146" s="18">
        <f t="shared" ref="T146:T147" si="16">SUM(O146:S146)</f>
        <v>0</v>
      </c>
      <c r="U146" s="67"/>
      <c r="V146" s="67"/>
    </row>
    <row r="147" spans="1:22" s="8" customFormat="1" ht="24.95" customHeight="1" x14ac:dyDescent="0.25">
      <c r="A147" s="45"/>
      <c r="B147" s="23" t="s">
        <v>112</v>
      </c>
      <c r="C147" s="208" t="str">
        <f>'RESERV-REVESTIMENTOS'!B23</f>
        <v>GOINFRA</v>
      </c>
      <c r="D147" s="203">
        <f>'RESERV-REVESTIMENTOS'!C23</f>
        <v>261300</v>
      </c>
      <c r="E147" s="20"/>
      <c r="F147" s="21"/>
      <c r="G147" s="21"/>
      <c r="H147" s="718" t="str">
        <f>'RESERV-REVESTIMENTOS'!D23</f>
        <v>EMASSAMENTO COM MASSA PVA DUAS DEMAOS</v>
      </c>
      <c r="I147" s="718"/>
      <c r="J147" s="718"/>
      <c r="K147" s="718"/>
      <c r="L147" s="718"/>
      <c r="M147" s="719"/>
      <c r="N147" s="22" t="str">
        <f>'RESERV-REVESTIMENTOS'!X23</f>
        <v>M2</v>
      </c>
      <c r="O147" s="17">
        <f>+'CAIXAS-PAVIM'!W23</f>
        <v>0</v>
      </c>
      <c r="P147" s="17">
        <f>'RESERV-REVESTIMENTOS'!W23</f>
        <v>7.6800000000000006</v>
      </c>
      <c r="Q147" s="17">
        <f>'REDE ABAST-PAVIMENTAÇÃO'!W22</f>
        <v>0</v>
      </c>
      <c r="R147" s="17"/>
      <c r="S147" s="17"/>
      <c r="T147" s="18">
        <f t="shared" si="16"/>
        <v>7.6800000000000006</v>
      </c>
      <c r="U147" s="67"/>
      <c r="V147" s="67"/>
    </row>
    <row r="148" spans="1:22" s="8" customFormat="1" ht="24.95" customHeight="1" x14ac:dyDescent="0.25">
      <c r="A148" s="45"/>
      <c r="B148" s="23" t="s">
        <v>112</v>
      </c>
      <c r="C148" s="208" t="str">
        <f>'RESERV-REVESTIMENTOS'!B24</f>
        <v>GOINFRA</v>
      </c>
      <c r="D148" s="203">
        <f>'RESERV-REVESTIMENTOS'!C24</f>
        <v>261000</v>
      </c>
      <c r="E148" s="20"/>
      <c r="F148" s="21"/>
      <c r="G148" s="21"/>
      <c r="H148" s="718" t="str">
        <f>'RESERV-REVESTIMENTOS'!D24</f>
        <v>PINTURA LATEX ACRILICA 2 DEMAOS C/SELADOR</v>
      </c>
      <c r="I148" s="718"/>
      <c r="J148" s="718"/>
      <c r="K148" s="718"/>
      <c r="L148" s="718"/>
      <c r="M148" s="719"/>
      <c r="N148" s="22" t="str">
        <f>'RESERV-REVESTIMENTOS'!X24</f>
        <v>M2</v>
      </c>
      <c r="O148" s="17">
        <f>+'CAIXAS-PAVIM'!W24</f>
        <v>0</v>
      </c>
      <c r="P148" s="17">
        <f>'RESERV-REVESTIMENTOS'!W24</f>
        <v>7.6800000000000006</v>
      </c>
      <c r="Q148" s="17">
        <f>'REDE ABAST-PAVIMENTAÇÃO'!W23</f>
        <v>0</v>
      </c>
      <c r="R148" s="17"/>
      <c r="S148" s="17"/>
      <c r="T148" s="18">
        <f t="shared" ref="T148" si="17">SUM(O148:S148)</f>
        <v>7.6800000000000006</v>
      </c>
      <c r="U148" s="67"/>
      <c r="V148" s="67"/>
    </row>
    <row r="149" spans="1:22" s="8" customFormat="1" ht="24.95" customHeight="1" x14ac:dyDescent="0.25">
      <c r="A149" s="44"/>
      <c r="B149" s="12" t="s">
        <v>71</v>
      </c>
      <c r="C149" s="206"/>
      <c r="D149" s="201"/>
      <c r="E149" s="13"/>
      <c r="F149" s="14"/>
      <c r="G149" s="14" t="s">
        <v>336</v>
      </c>
      <c r="H149" s="14"/>
      <c r="I149" s="14"/>
      <c r="J149" s="14"/>
      <c r="K149" s="14"/>
      <c r="L149" s="14"/>
      <c r="M149" s="15"/>
      <c r="N149" s="16">
        <v>0</v>
      </c>
      <c r="O149" s="17"/>
      <c r="P149" s="17"/>
      <c r="Q149" s="17"/>
      <c r="R149" s="17"/>
      <c r="S149" s="17"/>
      <c r="T149" s="18">
        <f t="shared" si="13"/>
        <v>0</v>
      </c>
      <c r="U149" s="67"/>
      <c r="V149" s="67"/>
    </row>
    <row r="150" spans="1:22" s="8" customFormat="1" ht="24.95" customHeight="1" x14ac:dyDescent="0.25">
      <c r="A150" s="45"/>
      <c r="B150" s="23" t="s">
        <v>114</v>
      </c>
      <c r="C150" s="208" t="str">
        <f>+'CAIXAS-ESQUADRIAS'!B19</f>
        <v>GOINFRA</v>
      </c>
      <c r="D150" s="203">
        <f>+'CAIXAS-ESQUADRIAS'!C19</f>
        <v>261602</v>
      </c>
      <c r="E150" s="20"/>
      <c r="F150" s="21"/>
      <c r="G150" s="21"/>
      <c r="H150" s="718" t="str">
        <f>+'CAIXAS-ESQUADRIAS'!D19</f>
        <v>PINTURA TINTA ESMALTE PARA ESQUADRIAS DE FERRO C FUNDO ANTICORROSIVO</v>
      </c>
      <c r="I150" s="718"/>
      <c r="J150" s="718"/>
      <c r="K150" s="718"/>
      <c r="L150" s="718"/>
      <c r="M150" s="719"/>
      <c r="N150" s="22" t="str">
        <f>+'CAIXAS-ESQUADRIAS'!X19</f>
        <v>M2</v>
      </c>
      <c r="O150" s="17">
        <f>+'CAIXAS-ESQUADRIAS'!Y19</f>
        <v>27.480000000000004</v>
      </c>
      <c r="P150" s="17">
        <f>+'RESER-ESQUADRIAS'!Y19</f>
        <v>34.260000000000005</v>
      </c>
      <c r="Q150" s="17"/>
      <c r="R150" s="17"/>
      <c r="S150" s="17"/>
      <c r="T150" s="18">
        <f t="shared" si="13"/>
        <v>61.740000000000009</v>
      </c>
      <c r="U150" s="67"/>
      <c r="V150" s="67"/>
    </row>
    <row r="151" spans="1:22" s="8" customFormat="1" ht="24.95" customHeight="1" x14ac:dyDescent="0.25">
      <c r="A151" s="44"/>
      <c r="B151" s="19"/>
      <c r="C151" s="207"/>
      <c r="D151" s="202"/>
      <c r="E151" s="13"/>
      <c r="F151" s="14"/>
      <c r="G151" s="24"/>
      <c r="H151" s="14"/>
      <c r="I151" s="14"/>
      <c r="J151" s="14"/>
      <c r="K151" s="14"/>
      <c r="L151" s="24"/>
      <c r="M151" s="15"/>
      <c r="N151" s="16"/>
      <c r="O151" s="17"/>
      <c r="P151" s="17"/>
      <c r="Q151" s="17"/>
      <c r="R151" s="17"/>
      <c r="S151" s="17"/>
      <c r="T151" s="18">
        <f t="shared" si="13"/>
        <v>0</v>
      </c>
      <c r="U151" s="67"/>
      <c r="V151" s="67"/>
    </row>
    <row r="152" spans="1:22" s="8" customFormat="1" ht="24.95" customHeight="1" x14ac:dyDescent="0.25">
      <c r="A152" s="44"/>
      <c r="B152" s="12" t="s">
        <v>36</v>
      </c>
      <c r="C152" s="206"/>
      <c r="D152" s="201"/>
      <c r="E152" s="13"/>
      <c r="F152" s="14" t="s">
        <v>73</v>
      </c>
      <c r="G152" s="14"/>
      <c r="H152" s="14"/>
      <c r="I152" s="14"/>
      <c r="J152" s="14"/>
      <c r="K152" s="14"/>
      <c r="L152" s="14"/>
      <c r="M152" s="15"/>
      <c r="N152" s="16"/>
      <c r="O152" s="17"/>
      <c r="P152" s="17"/>
      <c r="Q152" s="17"/>
      <c r="R152" s="17"/>
      <c r="S152" s="17"/>
      <c r="T152" s="18">
        <f t="shared" si="13"/>
        <v>0</v>
      </c>
      <c r="U152" s="67"/>
      <c r="V152" s="67"/>
    </row>
    <row r="153" spans="1:22" s="8" customFormat="1" ht="24.95" customHeight="1" x14ac:dyDescent="0.25">
      <c r="A153" s="44"/>
      <c r="B153" s="12" t="s">
        <v>72</v>
      </c>
      <c r="C153" s="206"/>
      <c r="D153" s="201"/>
      <c r="E153" s="13"/>
      <c r="F153" s="14"/>
      <c r="G153" s="14" t="s">
        <v>427</v>
      </c>
      <c r="H153" s="14"/>
      <c r="I153" s="14"/>
      <c r="J153" s="14"/>
      <c r="K153" s="14"/>
      <c r="L153" s="14"/>
      <c r="M153" s="15"/>
      <c r="N153" s="16"/>
      <c r="O153" s="17"/>
      <c r="P153" s="17"/>
      <c r="Q153" s="17"/>
      <c r="R153" s="17"/>
      <c r="S153" s="17"/>
      <c r="T153" s="18">
        <f t="shared" si="13"/>
        <v>0</v>
      </c>
      <c r="U153" s="67"/>
      <c r="V153" s="67"/>
    </row>
    <row r="154" spans="1:22" s="8" customFormat="1" ht="24.95" customHeight="1" x14ac:dyDescent="0.25">
      <c r="A154" s="45"/>
      <c r="B154" s="23" t="s">
        <v>115</v>
      </c>
      <c r="C154" s="208" t="str">
        <f>+'RESER-ELE-ELETRODUTO E CABOS'!B39</f>
        <v>GOINFRA</v>
      </c>
      <c r="D154" s="203" t="str">
        <f>+'RESER-ELE-ELETRODUTO E CABOS'!E39</f>
        <v>071201</v>
      </c>
      <c r="E154" s="20"/>
      <c r="F154" s="21"/>
      <c r="G154" s="21"/>
      <c r="H154" s="718" t="str">
        <f>+'RESER-ELE-ELETRODUTO E CABOS'!F39</f>
        <v xml:space="preserve">ELETRODUTO DE PVC RIGIDO DIAMETRO 3/4"	</v>
      </c>
      <c r="I154" s="718"/>
      <c r="J154" s="718"/>
      <c r="K154" s="718"/>
      <c r="L154" s="718"/>
      <c r="M154" s="719"/>
      <c r="N154" s="22" t="str">
        <f>+'RESER-ELE-ELETRODUTO E CABOS'!O39</f>
        <v>M</v>
      </c>
      <c r="O154" s="17"/>
      <c r="P154" s="17">
        <f>+'RESER-ELE-ELETRODUTO E CABOS'!P39</f>
        <v>64.64</v>
      </c>
      <c r="Q154" s="17"/>
      <c r="R154" s="17"/>
      <c r="S154" s="17"/>
      <c r="T154" s="18">
        <f t="shared" si="13"/>
        <v>64.64</v>
      </c>
      <c r="U154" s="67"/>
      <c r="V154" s="67"/>
    </row>
    <row r="155" spans="1:22" s="8" customFormat="1" ht="24.95" customHeight="1" x14ac:dyDescent="0.25">
      <c r="A155" s="45"/>
      <c r="B155" s="23" t="s">
        <v>116</v>
      </c>
      <c r="C155" s="208" t="str">
        <f>+'RESER-ELE-ELETRODUTO E CABOS'!B40</f>
        <v>GOINFRA</v>
      </c>
      <c r="D155" s="203" t="str">
        <f>+'RESER-ELE-ELETRODUTO E CABOS'!E40</f>
        <v>071212</v>
      </c>
      <c r="E155" s="20"/>
      <c r="F155" s="21"/>
      <c r="G155" s="21"/>
      <c r="H155" s="718" t="str">
        <f>+'RESER-ELE-ELETRODUTO E CABOS'!F40</f>
        <v xml:space="preserve">ELETRODUTO EM AÇO GALVANIZADO A FOGO DIÂMETRO 1" - PESADO	</v>
      </c>
      <c r="I155" s="718"/>
      <c r="J155" s="718"/>
      <c r="K155" s="718"/>
      <c r="L155" s="718"/>
      <c r="M155" s="719"/>
      <c r="N155" s="22" t="str">
        <f>+'RESER-ELE-ELETRODUTO E CABOS'!O40</f>
        <v>M</v>
      </c>
      <c r="O155" s="17"/>
      <c r="P155" s="17">
        <f>+'RESER-ELE-ELETRODUTO E CABOS'!P40</f>
        <v>56.4</v>
      </c>
      <c r="Q155" s="17"/>
      <c r="R155" s="17"/>
      <c r="S155" s="17"/>
      <c r="T155" s="18">
        <f t="shared" si="13"/>
        <v>56.4</v>
      </c>
      <c r="U155" s="67"/>
      <c r="V155" s="67"/>
    </row>
    <row r="156" spans="1:22" s="8" customFormat="1" ht="24.95" customHeight="1" x14ac:dyDescent="0.25">
      <c r="A156" s="45"/>
      <c r="B156" s="23" t="s">
        <v>116</v>
      </c>
      <c r="C156" s="208" t="str">
        <f>+'RESER-ELE-ELETRODUTO E CABOS'!B41</f>
        <v>GOINFRA</v>
      </c>
      <c r="D156" s="203" t="str">
        <f>+'RESER-ELE-ELETRODUTO E CABOS'!E41</f>
        <v>070581</v>
      </c>
      <c r="E156" s="20"/>
      <c r="F156" s="21"/>
      <c r="G156" s="21"/>
      <c r="H156" s="718" t="str">
        <f>+'RESER-ELE-ELETRODUTO E CABOS'!F41</f>
        <v xml:space="preserve">CABO FLEXÍVEL PVC (70° C), 0,6/1 KV, 2,5 MM2	</v>
      </c>
      <c r="I156" s="718"/>
      <c r="J156" s="718"/>
      <c r="K156" s="718"/>
      <c r="L156" s="718"/>
      <c r="M156" s="719"/>
      <c r="N156" s="22" t="str">
        <f>+'RESER-ELE-ELETRODUTO E CABOS'!O41</f>
        <v>M</v>
      </c>
      <c r="O156" s="17"/>
      <c r="P156" s="17">
        <f>+'RESER-ELE-ELETRODUTO E CABOS'!P41</f>
        <v>370.68899999999996</v>
      </c>
      <c r="Q156" s="17"/>
      <c r="R156" s="17"/>
      <c r="S156" s="17"/>
      <c r="T156" s="18">
        <f t="shared" si="13"/>
        <v>370.68899999999996</v>
      </c>
      <c r="U156" s="67"/>
      <c r="V156" s="67"/>
    </row>
    <row r="157" spans="1:22" s="8" customFormat="1" ht="24.95" customHeight="1" x14ac:dyDescent="0.25">
      <c r="A157" s="45"/>
      <c r="B157" s="23" t="s">
        <v>117</v>
      </c>
      <c r="C157" s="208" t="str">
        <f>+'RESER-ELE-ELETRODUTO E CABOS'!B42</f>
        <v>GOINFRA</v>
      </c>
      <c r="D157" s="203" t="str">
        <f>+'RESER-ELE-ELETRODUTO E CABOS'!E42</f>
        <v>070584</v>
      </c>
      <c r="E157" s="20"/>
      <c r="F157" s="21"/>
      <c r="G157" s="21"/>
      <c r="H157" s="718" t="str">
        <f>+'RESER-ELE-ELETRODUTO E CABOS'!F42</f>
        <v xml:space="preserve">CABO FLEXÍVEL PVC (70° C), 0,6/1 KV, 10 MM2	</v>
      </c>
      <c r="I157" s="718"/>
      <c r="J157" s="718"/>
      <c r="K157" s="718"/>
      <c r="L157" s="718"/>
      <c r="M157" s="719"/>
      <c r="N157" s="22" t="str">
        <f>+'RESER-ELE-ELETRODUTO E CABOS'!O42</f>
        <v>M</v>
      </c>
      <c r="O157" s="17"/>
      <c r="P157" s="17">
        <f>+'RESER-ELE-ELETRODUTO E CABOS'!P42</f>
        <v>19.162000000000003</v>
      </c>
      <c r="Q157" s="17"/>
      <c r="R157" s="17"/>
      <c r="S157" s="17"/>
      <c r="T157" s="18">
        <f t="shared" si="13"/>
        <v>19.162000000000003</v>
      </c>
      <c r="U157" s="67"/>
      <c r="V157" s="67"/>
    </row>
    <row r="158" spans="1:22" s="8" customFormat="1" ht="24.95" customHeight="1" x14ac:dyDescent="0.25">
      <c r="A158" s="44"/>
      <c r="B158" s="12" t="s">
        <v>74</v>
      </c>
      <c r="C158" s="206"/>
      <c r="D158" s="201"/>
      <c r="E158" s="13"/>
      <c r="F158" s="14"/>
      <c r="G158" s="14" t="s">
        <v>428</v>
      </c>
      <c r="H158" s="14"/>
      <c r="I158" s="14"/>
      <c r="J158" s="14"/>
      <c r="K158" s="14"/>
      <c r="L158" s="14"/>
      <c r="M158" s="15"/>
      <c r="N158" s="16"/>
      <c r="O158" s="17"/>
      <c r="P158" s="17"/>
      <c r="Q158" s="17"/>
      <c r="R158" s="17"/>
      <c r="S158" s="17"/>
      <c r="T158" s="18">
        <f t="shared" si="13"/>
        <v>0</v>
      </c>
      <c r="U158" s="67"/>
      <c r="V158" s="67"/>
    </row>
    <row r="159" spans="1:22" s="8" customFormat="1" ht="24.95" customHeight="1" x14ac:dyDescent="0.25">
      <c r="A159" s="45"/>
      <c r="B159" s="23" t="s">
        <v>118</v>
      </c>
      <c r="C159" s="208" t="str">
        <f>+'RESER-ELE-PEÇAS E CONEXÕES'!B12</f>
        <v>GOINFRA</v>
      </c>
      <c r="D159" s="203" t="str">
        <f>+'RESER-ELE-PEÇAS E CONEXÕES'!C12</f>
        <v>072320</v>
      </c>
      <c r="E159" s="20"/>
      <c r="F159" s="21"/>
      <c r="G159" s="21"/>
      <c r="H159" s="718" t="str">
        <f>+'RESER-ELE-PEÇAS E CONEXÕES'!D12</f>
        <v xml:space="preserve">RELE FOTO ELETRICO COM BASE	</v>
      </c>
      <c r="I159" s="718"/>
      <c r="J159" s="718"/>
      <c r="K159" s="718"/>
      <c r="L159" s="718"/>
      <c r="M159" s="719"/>
      <c r="N159" s="22" t="str">
        <f>+'RESER-ELE-PEÇAS E CONEXÕES'!E12</f>
        <v>UN</v>
      </c>
      <c r="O159" s="17"/>
      <c r="P159" s="17">
        <f>+'RESER-ELE-PEÇAS E CONEXÕES'!N12</f>
        <v>5</v>
      </c>
      <c r="Q159" s="17"/>
      <c r="R159" s="17"/>
      <c r="S159" s="17"/>
      <c r="T159" s="18">
        <f t="shared" si="13"/>
        <v>5</v>
      </c>
      <c r="U159" s="67"/>
      <c r="V159" s="67"/>
    </row>
    <row r="160" spans="1:22" s="8" customFormat="1" ht="24.95" customHeight="1" x14ac:dyDescent="0.25">
      <c r="A160" s="45"/>
      <c r="B160" s="23" t="s">
        <v>119</v>
      </c>
      <c r="C160" s="208" t="str">
        <f>+'RESER-ELE-PEÇAS E CONEXÕES'!B13</f>
        <v>GOINFRA</v>
      </c>
      <c r="D160" s="203" t="str">
        <f>+'RESER-ELE-PEÇAS E CONEXÕES'!C13</f>
        <v>071702</v>
      </c>
      <c r="E160" s="20"/>
      <c r="F160" s="21"/>
      <c r="G160" s="21"/>
      <c r="H160" s="718" t="str">
        <f>+'RESER-ELE-PEÇAS E CONEXÕES'!D13</f>
        <v xml:space="preserve">LUVA EM AÇO GALVANIZADO DIÂMETRO 1"	</v>
      </c>
      <c r="I160" s="718"/>
      <c r="J160" s="718"/>
      <c r="K160" s="718"/>
      <c r="L160" s="718"/>
      <c r="M160" s="719"/>
      <c r="N160" s="22" t="str">
        <f>+'RESER-ELE-PEÇAS E CONEXÕES'!E13</f>
        <v>UN</v>
      </c>
      <c r="O160" s="17"/>
      <c r="P160" s="17">
        <f>+'RESER-ELE-PEÇAS E CONEXÕES'!N13</f>
        <v>14</v>
      </c>
      <c r="Q160" s="17"/>
      <c r="R160" s="17"/>
      <c r="S160" s="17"/>
      <c r="T160" s="18">
        <f t="shared" si="13"/>
        <v>14</v>
      </c>
      <c r="U160" s="67"/>
      <c r="V160" s="67"/>
    </row>
    <row r="161" spans="1:22" s="8" customFormat="1" ht="24.95" customHeight="1" x14ac:dyDescent="0.25">
      <c r="A161" s="45"/>
      <c r="B161" s="23" t="s">
        <v>119</v>
      </c>
      <c r="C161" s="208" t="str">
        <f>+'RESER-ELE-PEÇAS E CONEXÕES'!B14</f>
        <v>GOINFRA</v>
      </c>
      <c r="D161" s="203" t="str">
        <f>+'RESER-ELE-PEÇAS E CONEXÕES'!C14</f>
        <v>071152</v>
      </c>
      <c r="E161" s="20"/>
      <c r="F161" s="21"/>
      <c r="G161" s="21"/>
      <c r="H161" s="718" t="str">
        <f>+'RESER-ELE-PEÇAS E CONEXÕES'!D14</f>
        <v xml:space="preserve">CURVA DE 90 GRAUS AÇO GALVANIZADO DIAM.1"	</v>
      </c>
      <c r="I161" s="718"/>
      <c r="J161" s="718"/>
      <c r="K161" s="718"/>
      <c r="L161" s="718"/>
      <c r="M161" s="719"/>
      <c r="N161" s="22" t="str">
        <f>+'RESER-ELE-PEÇAS E CONEXÕES'!E14</f>
        <v>UN</v>
      </c>
      <c r="O161" s="17"/>
      <c r="P161" s="17">
        <f>+'RESER-ELE-PEÇAS E CONEXÕES'!N14</f>
        <v>5</v>
      </c>
      <c r="Q161" s="17"/>
      <c r="R161" s="17"/>
      <c r="S161" s="17"/>
      <c r="T161" s="18">
        <f t="shared" si="13"/>
        <v>5</v>
      </c>
      <c r="U161" s="67"/>
      <c r="V161" s="67"/>
    </row>
    <row r="162" spans="1:22" s="8" customFormat="1" ht="24.95" customHeight="1" x14ac:dyDescent="0.25">
      <c r="A162" s="45"/>
      <c r="B162" s="23" t="s">
        <v>119</v>
      </c>
      <c r="C162" s="208" t="str">
        <f>+'RESER-ELE-PEÇAS E CONEXÕES'!B15</f>
        <v>GOINFRA</v>
      </c>
      <c r="D162" s="203" t="str">
        <f>+'RESER-ELE-PEÇAS E CONEXÕES'!C15</f>
        <v>070501</v>
      </c>
      <c r="E162" s="20"/>
      <c r="F162" s="21"/>
      <c r="G162" s="21"/>
      <c r="H162" s="718" t="str">
        <f>+'RESER-ELE-PEÇAS E CONEXÕES'!D15</f>
        <v xml:space="preserve">CABECOTE DE LIGA DE ALUMINIO DIAM. 1"	</v>
      </c>
      <c r="I162" s="718"/>
      <c r="J162" s="718"/>
      <c r="K162" s="718"/>
      <c r="L162" s="718"/>
      <c r="M162" s="719"/>
      <c r="N162" s="22" t="str">
        <f>+'RESER-ELE-PEÇAS E CONEXÕES'!E15</f>
        <v>UN</v>
      </c>
      <c r="O162" s="17"/>
      <c r="P162" s="17">
        <f>+'RESER-ELE-PEÇAS E CONEXÕES'!N15</f>
        <v>5</v>
      </c>
      <c r="Q162" s="17"/>
      <c r="R162" s="17"/>
      <c r="S162" s="17"/>
      <c r="T162" s="18">
        <f t="shared" si="13"/>
        <v>5</v>
      </c>
      <c r="U162" s="67"/>
      <c r="V162" s="67"/>
    </row>
    <row r="163" spans="1:22" s="8" customFormat="1" ht="24.95" customHeight="1" x14ac:dyDescent="0.25">
      <c r="A163" s="45"/>
      <c r="B163" s="23" t="s">
        <v>119</v>
      </c>
      <c r="C163" s="208" t="str">
        <f>+'RESER-ELE-PEÇAS E CONEXÕES'!B16</f>
        <v>GOINFRA</v>
      </c>
      <c r="D163" s="203" t="str">
        <f>+'RESER-ELE-PEÇAS E CONEXÕES'!C16</f>
        <v>070229</v>
      </c>
      <c r="E163" s="20"/>
      <c r="F163" s="21"/>
      <c r="G163" s="21"/>
      <c r="H163" s="718" t="str">
        <f>+'RESER-ELE-PEÇAS E CONEXÕES'!D16</f>
        <v xml:space="preserve">ARAME GALVANIZADO 12 BWG	</v>
      </c>
      <c r="I163" s="718"/>
      <c r="J163" s="718"/>
      <c r="K163" s="718"/>
      <c r="L163" s="718"/>
      <c r="M163" s="719"/>
      <c r="N163" s="22" t="str">
        <f>+'RESER-ELE-PEÇAS E CONEXÕES'!E16</f>
        <v>KG</v>
      </c>
      <c r="O163" s="17"/>
      <c r="P163" s="17">
        <f>+'RESER-ELE-PEÇAS E CONEXÕES'!N16</f>
        <v>1</v>
      </c>
      <c r="Q163" s="17"/>
      <c r="R163" s="17"/>
      <c r="S163" s="17"/>
      <c r="T163" s="18">
        <f t="shared" si="13"/>
        <v>1</v>
      </c>
      <c r="U163" s="67"/>
      <c r="V163" s="67"/>
    </row>
    <row r="164" spans="1:22" s="8" customFormat="1" ht="24.95" customHeight="1" x14ac:dyDescent="0.25">
      <c r="A164" s="45"/>
      <c r="B164" s="23" t="s">
        <v>119</v>
      </c>
      <c r="C164" s="208" t="str">
        <f>+'RESER-ELE-PEÇAS E CONEXÕES'!B17</f>
        <v>GOINFRA</v>
      </c>
      <c r="D164" s="203" t="str">
        <f>+'RESER-ELE-PEÇAS E CONEXÕES'!C17</f>
        <v>071741</v>
      </c>
      <c r="E164" s="20"/>
      <c r="F164" s="21"/>
      <c r="G164" s="21"/>
      <c r="H164" s="718" t="str">
        <f>+'RESER-ELE-PEÇAS E CONEXÕES'!D17</f>
        <v xml:space="preserve">LUVA PVC ROSQUEAVEL DIAMETRO 3/4"	</v>
      </c>
      <c r="I164" s="718"/>
      <c r="J164" s="718"/>
      <c r="K164" s="718"/>
      <c r="L164" s="718"/>
      <c r="M164" s="719"/>
      <c r="N164" s="22" t="str">
        <f>+'RESER-ELE-PEÇAS E CONEXÕES'!E17</f>
        <v>UN</v>
      </c>
      <c r="O164" s="17"/>
      <c r="P164" s="17">
        <f>+'RESER-ELE-PEÇAS E CONEXÕES'!N17</f>
        <v>16</v>
      </c>
      <c r="Q164" s="17"/>
      <c r="R164" s="17"/>
      <c r="S164" s="17"/>
      <c r="T164" s="18">
        <f t="shared" si="13"/>
        <v>16</v>
      </c>
      <c r="U164" s="67"/>
      <c r="V164" s="67"/>
    </row>
    <row r="165" spans="1:22" s="8" customFormat="1" ht="24.95" customHeight="1" x14ac:dyDescent="0.25">
      <c r="A165" s="45"/>
      <c r="B165" s="23" t="s">
        <v>119</v>
      </c>
      <c r="C165" s="208" t="str">
        <f>+'RESER-ELE-PEÇAS E CONEXÕES'!B18</f>
        <v>PRÓPRIO</v>
      </c>
      <c r="D165" s="203" t="str">
        <f>+'RESER-ELE-PEÇAS E CONEXÕES'!C18</f>
        <v>SEINFRA-0028</v>
      </c>
      <c r="E165" s="20"/>
      <c r="F165" s="21"/>
      <c r="G165" s="21"/>
      <c r="H165" s="718" t="str">
        <f>+'RESER-ELE-PEÇAS E CONEXÕES'!D18</f>
        <v>CONDULETE DE ALUMÍNIO, TIPO C, PARA ELETRODUTO DE AÇO GALVANIZADO DN 25 MM (1''), APARENTE - FORNECIMENTO E INSTALAÇÃO. (ADAPTADO DE SINAPI 95781)</v>
      </c>
      <c r="I165" s="718"/>
      <c r="J165" s="718"/>
      <c r="K165" s="718"/>
      <c r="L165" s="718"/>
      <c r="M165" s="719"/>
      <c r="N165" s="22" t="str">
        <f>+'RESER-ELE-PEÇAS E CONEXÕES'!E18</f>
        <v>UN</v>
      </c>
      <c r="O165" s="17"/>
      <c r="P165" s="17">
        <f>+'RESER-ELE-PEÇAS E CONEXÕES'!N18</f>
        <v>2</v>
      </c>
      <c r="Q165" s="17"/>
      <c r="R165" s="17"/>
      <c r="S165" s="17"/>
      <c r="T165" s="18">
        <f t="shared" si="13"/>
        <v>2</v>
      </c>
      <c r="U165" s="67"/>
      <c r="V165" s="67"/>
    </row>
    <row r="166" spans="1:22" s="8" customFormat="1" ht="24.95" customHeight="1" x14ac:dyDescent="0.25">
      <c r="A166" s="45"/>
      <c r="B166" s="23" t="s">
        <v>119</v>
      </c>
      <c r="C166" s="208" t="str">
        <f>+'RESER-ELE-PEÇAS E CONEXÕES'!B19</f>
        <v>PRÓPRIO</v>
      </c>
      <c r="D166" s="203" t="str">
        <f>+'RESER-ELE-PEÇAS E CONEXÕES'!C19</f>
        <v>SEINFRA-0029</v>
      </c>
      <c r="E166" s="20"/>
      <c r="F166" s="21"/>
      <c r="G166" s="21"/>
      <c r="H166" s="718" t="str">
        <f>+'RESER-ELE-PEÇAS E CONEXÕES'!D19</f>
        <v>CONDULETE DE ALUMÍNIO, TIPO T, PARA ELETRODUTO DE AÇO GALVANIZADO DN 25 MM (1''), APARENTE - FORNECIMENTO E INSTALAÇÃO. (ADAPTADO DE SINAPI 95796)</v>
      </c>
      <c r="I166" s="718"/>
      <c r="J166" s="718"/>
      <c r="K166" s="718"/>
      <c r="L166" s="718"/>
      <c r="M166" s="719"/>
      <c r="N166" s="22" t="str">
        <f>+'RESER-ELE-PEÇAS E CONEXÕES'!E19</f>
        <v>UN</v>
      </c>
      <c r="O166" s="17"/>
      <c r="P166" s="17">
        <f>+'RESER-ELE-PEÇAS E CONEXÕES'!N19</f>
        <v>1</v>
      </c>
      <c r="Q166" s="17"/>
      <c r="R166" s="17"/>
      <c r="S166" s="17"/>
      <c r="T166" s="18">
        <f t="shared" si="13"/>
        <v>1</v>
      </c>
      <c r="U166" s="67"/>
      <c r="V166" s="67"/>
    </row>
    <row r="167" spans="1:22" s="8" customFormat="1" ht="24.95" customHeight="1" x14ac:dyDescent="0.25">
      <c r="A167" s="45"/>
      <c r="B167" s="23" t="s">
        <v>119</v>
      </c>
      <c r="C167" s="208" t="str">
        <f>+'RESER-ELE-PEÇAS E CONEXÕES'!B20</f>
        <v>GOINFRA</v>
      </c>
      <c r="D167" s="203" t="str">
        <f>+'RESER-ELE-PEÇAS E CONEXÕES'!C20</f>
        <v>070372</v>
      </c>
      <c r="E167" s="20"/>
      <c r="F167" s="21"/>
      <c r="G167" s="21"/>
      <c r="H167" s="718" t="str">
        <f>+'RESER-ELE-PEÇAS E CONEXÕES'!D20</f>
        <v xml:space="preserve">BRACADEIRA METALICA TIPO "D" DIAM. 1"	</v>
      </c>
      <c r="I167" s="718"/>
      <c r="J167" s="718"/>
      <c r="K167" s="718"/>
      <c r="L167" s="718"/>
      <c r="M167" s="719"/>
      <c r="N167" s="22" t="str">
        <f>+'RESER-ELE-PEÇAS E CONEXÕES'!E20</f>
        <v>UN</v>
      </c>
      <c r="O167" s="17"/>
      <c r="P167" s="17">
        <f>+'RESER-ELE-PEÇAS E CONEXÕES'!N20</f>
        <v>11</v>
      </c>
      <c r="Q167" s="17"/>
      <c r="R167" s="17"/>
      <c r="S167" s="17"/>
      <c r="T167" s="18">
        <f t="shared" si="13"/>
        <v>11</v>
      </c>
      <c r="U167" s="67"/>
      <c r="V167" s="67"/>
    </row>
    <row r="168" spans="1:22" s="8" customFormat="1" ht="24.95" customHeight="1" x14ac:dyDescent="0.25">
      <c r="A168" s="45"/>
      <c r="B168" s="23" t="s">
        <v>119</v>
      </c>
      <c r="C168" s="208" t="str">
        <f>+'RESER-ELE-PEÇAS E CONEXÕES'!B21</f>
        <v>GOINFRA</v>
      </c>
      <c r="D168" s="203" t="str">
        <f>+'RESER-ELE-PEÇAS E CONEXÕES'!C21</f>
        <v>070204</v>
      </c>
      <c r="E168" s="20"/>
      <c r="F168" s="21"/>
      <c r="G168" s="21"/>
      <c r="H168" s="718" t="str">
        <f>+'RESER-ELE-PEÇAS E CONEXÕES'!D21</f>
        <v xml:space="preserve">ALÇA PRÉ-FORMADA DE DISTRIBUIÇÃO CA/CAA 4 AWG	</v>
      </c>
      <c r="I168" s="718"/>
      <c r="J168" s="718"/>
      <c r="K168" s="718"/>
      <c r="L168" s="718"/>
      <c r="M168" s="719"/>
      <c r="N168" s="22" t="str">
        <f>+'RESER-ELE-PEÇAS E CONEXÕES'!E21</f>
        <v>UN</v>
      </c>
      <c r="O168" s="17"/>
      <c r="P168" s="17">
        <f>+'RESER-ELE-PEÇAS E CONEXÕES'!N21</f>
        <v>1</v>
      </c>
      <c r="Q168" s="17"/>
      <c r="R168" s="17"/>
      <c r="S168" s="17"/>
      <c r="T168" s="18">
        <f t="shared" si="13"/>
        <v>1</v>
      </c>
      <c r="U168" s="67"/>
      <c r="V168" s="67"/>
    </row>
    <row r="169" spans="1:22" s="8" customFormat="1" ht="24.95" customHeight="1" x14ac:dyDescent="0.25">
      <c r="A169" s="45"/>
      <c r="B169" s="23" t="s">
        <v>119</v>
      </c>
      <c r="C169" s="208" t="str">
        <f>+'RESER-ELE-PEÇAS E CONEXÕES'!B22</f>
        <v>GOINFRA</v>
      </c>
      <c r="D169" s="203" t="str">
        <f>+'RESER-ELE-PEÇAS E CONEXÕES'!C22</f>
        <v>071480</v>
      </c>
      <c r="E169" s="20"/>
      <c r="F169" s="21"/>
      <c r="G169" s="21"/>
      <c r="H169" s="718" t="str">
        <f>+'RESER-ELE-PEÇAS E CONEXÕES'!D22</f>
        <v xml:space="preserve">ISOLADOR ROLDANA PORCELANA 72 X 72 MM	</v>
      </c>
      <c r="I169" s="718"/>
      <c r="J169" s="718"/>
      <c r="K169" s="718"/>
      <c r="L169" s="718"/>
      <c r="M169" s="719"/>
      <c r="N169" s="22" t="str">
        <f>+'RESER-ELE-PEÇAS E CONEXÕES'!E22</f>
        <v>UN</v>
      </c>
      <c r="O169" s="17"/>
      <c r="P169" s="17">
        <f>+'RESER-ELE-PEÇAS E CONEXÕES'!N22</f>
        <v>1</v>
      </c>
      <c r="Q169" s="17"/>
      <c r="R169" s="17"/>
      <c r="S169" s="17"/>
      <c r="T169" s="18">
        <f t="shared" si="13"/>
        <v>1</v>
      </c>
      <c r="U169" s="67"/>
      <c r="V169" s="67"/>
    </row>
    <row r="170" spans="1:22" s="8" customFormat="1" ht="24.95" customHeight="1" x14ac:dyDescent="0.25">
      <c r="A170" s="45"/>
      <c r="B170" s="23" t="s">
        <v>119</v>
      </c>
      <c r="C170" s="208" t="str">
        <f>+'RESER-ELE-PEÇAS E CONEXÕES'!B23</f>
        <v>GOINFRA</v>
      </c>
      <c r="D170" s="203" t="str">
        <f>+'RESER-ELE-PEÇAS E CONEXÕES'!C23</f>
        <v>070230</v>
      </c>
      <c r="E170" s="20"/>
      <c r="F170" s="21"/>
      <c r="G170" s="21"/>
      <c r="H170" s="718" t="str">
        <f>+'RESER-ELE-PEÇAS E CONEXÕES'!D23</f>
        <v xml:space="preserve">ARMACAO SECUNDARIA LEVE 1 ELEMENTO	</v>
      </c>
      <c r="I170" s="718"/>
      <c r="J170" s="718"/>
      <c r="K170" s="718"/>
      <c r="L170" s="718"/>
      <c r="M170" s="719"/>
      <c r="N170" s="22" t="str">
        <f>+'RESER-ELE-PEÇAS E CONEXÕES'!E23</f>
        <v>UN</v>
      </c>
      <c r="O170" s="17"/>
      <c r="P170" s="17">
        <f>+'RESER-ELE-PEÇAS E CONEXÕES'!N23</f>
        <v>1</v>
      </c>
      <c r="Q170" s="17"/>
      <c r="R170" s="17"/>
      <c r="S170" s="17"/>
      <c r="T170" s="18">
        <f t="shared" si="13"/>
        <v>1</v>
      </c>
      <c r="U170" s="67"/>
      <c r="V170" s="67"/>
    </row>
    <row r="171" spans="1:22" s="8" customFormat="1" ht="24.95" customHeight="1" x14ac:dyDescent="0.25">
      <c r="A171" s="45"/>
      <c r="B171" s="23" t="s">
        <v>119</v>
      </c>
      <c r="C171" s="208" t="str">
        <f>+'RESER-ELE-PEÇAS E CONEXÕES'!B24</f>
        <v>GOINFRA</v>
      </c>
      <c r="D171" s="203" t="str">
        <f>+'RESER-ELE-PEÇAS E CONEXÕES'!C24</f>
        <v>071805</v>
      </c>
      <c r="E171" s="20"/>
      <c r="F171" s="21"/>
      <c r="G171" s="21"/>
      <c r="H171" s="718" t="str">
        <f>+'RESER-ELE-PEÇAS E CONEXÕES'!D24</f>
        <v xml:space="preserve">PADRAO MONOFASICO, 10 MM2 H=7 METROS	</v>
      </c>
      <c r="I171" s="718"/>
      <c r="J171" s="718"/>
      <c r="K171" s="718"/>
      <c r="L171" s="718"/>
      <c r="M171" s="719"/>
      <c r="N171" s="22" t="str">
        <f>+'RESER-ELE-PEÇAS E CONEXÕES'!E24</f>
        <v>UN</v>
      </c>
      <c r="O171" s="17"/>
      <c r="P171" s="17">
        <f>+'RESER-ELE-PEÇAS E CONEXÕES'!N24</f>
        <v>1</v>
      </c>
      <c r="Q171" s="17"/>
      <c r="R171" s="17"/>
      <c r="S171" s="17"/>
      <c r="T171" s="18">
        <f t="shared" si="13"/>
        <v>1</v>
      </c>
      <c r="U171" s="67"/>
      <c r="V171" s="67"/>
    </row>
    <row r="172" spans="1:22" s="8" customFormat="1" ht="24.95" customHeight="1" x14ac:dyDescent="0.25">
      <c r="A172" s="45"/>
      <c r="B172" s="23" t="s">
        <v>119</v>
      </c>
      <c r="C172" s="208" t="str">
        <f>+'RESER-ELE-PEÇAS E CONEXÕES'!B25</f>
        <v>GOINFRA</v>
      </c>
      <c r="D172" s="203" t="str">
        <f>+'RESER-ELE-PEÇAS E CONEXÕES'!C25</f>
        <v>071032</v>
      </c>
      <c r="E172" s="20"/>
      <c r="F172" s="21"/>
      <c r="G172" s="21"/>
      <c r="H172" s="718" t="str">
        <f>+'RESER-ELE-PEÇAS E CONEXÕES'!D25</f>
        <v xml:space="preserve">CONECTOR TIPO PARAFUSO FENDIDO 10 MM2	</v>
      </c>
      <c r="I172" s="718"/>
      <c r="J172" s="718"/>
      <c r="K172" s="718"/>
      <c r="L172" s="718"/>
      <c r="M172" s="719"/>
      <c r="N172" s="22" t="str">
        <f>+'RESER-ELE-PEÇAS E CONEXÕES'!E25</f>
        <v>UN</v>
      </c>
      <c r="O172" s="17"/>
      <c r="P172" s="17">
        <f>+'RESER-ELE-PEÇAS E CONEXÕES'!N25</f>
        <v>3</v>
      </c>
      <c r="Q172" s="17"/>
      <c r="R172" s="17"/>
      <c r="S172" s="17"/>
      <c r="T172" s="18">
        <f t="shared" ref="T172:T235" si="18">SUM(O172:S172)</f>
        <v>3</v>
      </c>
      <c r="U172" s="67"/>
      <c r="V172" s="67"/>
    </row>
    <row r="173" spans="1:22" s="8" customFormat="1" ht="24.95" customHeight="1" x14ac:dyDescent="0.25">
      <c r="A173" s="45"/>
      <c r="B173" s="23" t="s">
        <v>119</v>
      </c>
      <c r="C173" s="208" t="str">
        <f>+'RESER-ELE-PEÇAS E CONEXÕES'!B26</f>
        <v>GOINFRA</v>
      </c>
      <c r="D173" s="203" t="str">
        <f>+'RESER-ELE-PEÇAS E CONEXÕES'!C26</f>
        <v>070422</v>
      </c>
      <c r="E173" s="20"/>
      <c r="F173" s="21"/>
      <c r="G173" s="21"/>
      <c r="H173" s="718" t="str">
        <f>+'RESER-ELE-PEÇAS E CONEXÕES'!D26</f>
        <v xml:space="preserve">BUCHA E ARRUELA METALICA DIAM. 1"	</v>
      </c>
      <c r="I173" s="718"/>
      <c r="J173" s="718"/>
      <c r="K173" s="718"/>
      <c r="L173" s="718"/>
      <c r="M173" s="719"/>
      <c r="N173" s="22" t="str">
        <f>+'RESER-ELE-PEÇAS E CONEXÕES'!E26</f>
        <v>UN</v>
      </c>
      <c r="O173" s="17"/>
      <c r="P173" s="17">
        <f>+'RESER-ELE-PEÇAS E CONEXÕES'!N26</f>
        <v>1</v>
      </c>
      <c r="Q173" s="17"/>
      <c r="R173" s="17"/>
      <c r="S173" s="17"/>
      <c r="T173" s="18">
        <f t="shared" si="18"/>
        <v>1</v>
      </c>
      <c r="U173" s="67"/>
      <c r="V173" s="67"/>
    </row>
    <row r="174" spans="1:22" s="8" customFormat="1" ht="24.95" customHeight="1" x14ac:dyDescent="0.25">
      <c r="A174" s="45"/>
      <c r="B174" s="23" t="s">
        <v>119</v>
      </c>
      <c r="C174" s="208" t="str">
        <f>+'RESER-ELE-PEÇAS E CONEXÕES'!B27</f>
        <v>GOINFRA</v>
      </c>
      <c r="D174" s="203" t="str">
        <f>+'RESER-ELE-PEÇAS E CONEXÕES'!C27</f>
        <v>085045</v>
      </c>
      <c r="E174" s="20"/>
      <c r="F174" s="21"/>
      <c r="G174" s="21"/>
      <c r="H174" s="718" t="str">
        <f>+'RESER-ELE-PEÇAS E CONEXÕES'!D27</f>
        <v xml:space="preserve">NIPLE DUPLO FERRO GALVANIZADO 1"	</v>
      </c>
      <c r="I174" s="718"/>
      <c r="J174" s="718"/>
      <c r="K174" s="718"/>
      <c r="L174" s="718"/>
      <c r="M174" s="719"/>
      <c r="N174" s="22" t="str">
        <f>+'RESER-ELE-PEÇAS E CONEXÕES'!E27</f>
        <v>UN</v>
      </c>
      <c r="O174" s="17"/>
      <c r="P174" s="17">
        <f>+'RESER-ELE-PEÇAS E CONEXÕES'!N27</f>
        <v>6</v>
      </c>
      <c r="Q174" s="17"/>
      <c r="R174" s="17"/>
      <c r="S174" s="17"/>
      <c r="T174" s="18">
        <f t="shared" si="18"/>
        <v>6</v>
      </c>
      <c r="U174" s="67"/>
      <c r="V174" s="67"/>
    </row>
    <row r="175" spans="1:22" s="8" customFormat="1" ht="24.95" customHeight="1" x14ac:dyDescent="0.25">
      <c r="A175" s="45"/>
      <c r="B175" s="23" t="s">
        <v>119</v>
      </c>
      <c r="C175" s="208" t="str">
        <f>+'RESER-ELE-PEÇAS E CONEXÕES'!B28</f>
        <v>GOINFRA</v>
      </c>
      <c r="D175" s="203" t="str">
        <f>+'RESER-ELE-PEÇAS E CONEXÕES'!C28</f>
        <v>081202</v>
      </c>
      <c r="E175" s="20"/>
      <c r="F175" s="21"/>
      <c r="G175" s="21"/>
      <c r="H175" s="718" t="str">
        <f>+'RESER-ELE-PEÇAS E CONEXÕES'!D28</f>
        <v xml:space="preserve">NIPLE COM ROSCA DIAMETRO 3/4"	</v>
      </c>
      <c r="I175" s="718"/>
      <c r="J175" s="718"/>
      <c r="K175" s="718"/>
      <c r="L175" s="718"/>
      <c r="M175" s="719"/>
      <c r="N175" s="22" t="str">
        <f>+'RESER-ELE-PEÇAS E CONEXÕES'!E28</f>
        <v>UN</v>
      </c>
      <c r="O175" s="17"/>
      <c r="P175" s="17">
        <f>+'RESER-ELE-PEÇAS E CONEXÕES'!N28</f>
        <v>1</v>
      </c>
      <c r="Q175" s="17"/>
      <c r="R175" s="17"/>
      <c r="S175" s="17"/>
      <c r="T175" s="18">
        <f t="shared" si="18"/>
        <v>1</v>
      </c>
      <c r="U175" s="67"/>
      <c r="V175" s="67"/>
    </row>
    <row r="176" spans="1:22" s="8" customFormat="1" ht="24.95" customHeight="1" x14ac:dyDescent="0.25">
      <c r="A176" s="45"/>
      <c r="B176" s="23" t="s">
        <v>119</v>
      </c>
      <c r="C176" s="208" t="str">
        <f>+'RESER-ELE-PEÇAS E CONEXÕES'!B29</f>
        <v>GOINFRA</v>
      </c>
      <c r="D176" s="203" t="str">
        <f>+'RESER-ELE-PEÇAS E CONEXÕES'!C29</f>
        <v>071141</v>
      </c>
      <c r="E176" s="20"/>
      <c r="F176" s="21"/>
      <c r="G176" s="21"/>
      <c r="H176" s="718" t="str">
        <f>+'RESER-ELE-PEÇAS E CONEXÕES'!D29</f>
        <v>CURVA DE 90 GRAUS DE PVC RIGIDO DIAM. 3/4"</v>
      </c>
      <c r="I176" s="718"/>
      <c r="J176" s="718"/>
      <c r="K176" s="718"/>
      <c r="L176" s="718"/>
      <c r="M176" s="719"/>
      <c r="N176" s="22" t="str">
        <f>+'RESER-ELE-PEÇAS E CONEXÕES'!E29</f>
        <v>UN</v>
      </c>
      <c r="O176" s="17"/>
      <c r="P176" s="17">
        <f>+'RESER-ELE-PEÇAS E CONEXÕES'!N29</f>
        <v>1</v>
      </c>
      <c r="Q176" s="17"/>
      <c r="R176" s="17"/>
      <c r="S176" s="17"/>
      <c r="T176" s="18">
        <f t="shared" si="18"/>
        <v>1</v>
      </c>
      <c r="U176" s="67"/>
      <c r="V176" s="67"/>
    </row>
    <row r="177" spans="1:22" s="8" customFormat="1" ht="24.95" customHeight="1" x14ac:dyDescent="0.25">
      <c r="A177" s="45"/>
      <c r="B177" s="23" t="s">
        <v>119</v>
      </c>
      <c r="C177" s="208" t="str">
        <f>+'RESER-ELE-PEÇAS E CONEXÕES'!B30</f>
        <v>PRÓPRIO</v>
      </c>
      <c r="D177" s="203" t="str">
        <f>+'RESER-ELE-PEÇAS E CONEXÕES'!C30</f>
        <v>SEINFRA-0031</v>
      </c>
      <c r="E177" s="20"/>
      <c r="F177" s="21"/>
      <c r="G177" s="21"/>
      <c r="H177" s="718" t="str">
        <f>+'RESER-ELE-PEÇAS E CONEXÕES'!D30</f>
        <v>QUADRO DE DISTRIBUIÇÃO DE ENERGIA EM CHAPA DE AÇO GALVANIZADO, DE SOBREPOR, COM BARRAMENTO MONOFÁSICO, PARA 08 DISJUNTORES DIN 100A - FORNECIMENTO E INSTALAÇÃO. (ADAPTADO DE SINAPI 101878)</v>
      </c>
      <c r="I177" s="718"/>
      <c r="J177" s="718"/>
      <c r="K177" s="718"/>
      <c r="L177" s="718"/>
      <c r="M177" s="719"/>
      <c r="N177" s="22" t="str">
        <f>+'RESER-ELE-PEÇAS E CONEXÕES'!E30</f>
        <v>UN</v>
      </c>
      <c r="O177" s="17"/>
      <c r="P177" s="17">
        <f>+'RESER-ELE-PEÇAS E CONEXÕES'!N30</f>
        <v>1</v>
      </c>
      <c r="Q177" s="17"/>
      <c r="R177" s="17"/>
      <c r="S177" s="17"/>
      <c r="T177" s="18">
        <f t="shared" si="18"/>
        <v>1</v>
      </c>
      <c r="U177" s="67"/>
      <c r="V177" s="67"/>
    </row>
    <row r="178" spans="1:22" s="8" customFormat="1" ht="24.95" customHeight="1" x14ac:dyDescent="0.25">
      <c r="A178" s="45"/>
      <c r="B178" s="23" t="s">
        <v>119</v>
      </c>
      <c r="C178" s="208" t="str">
        <f>+'RESER-ELE-PEÇAS E CONEXÕES'!B31</f>
        <v>GOINFRA</v>
      </c>
      <c r="D178" s="203" t="str">
        <f>+'RESER-ELE-PEÇAS E CONEXÕES'!C31</f>
        <v>071171</v>
      </c>
      <c r="E178" s="20"/>
      <c r="F178" s="21"/>
      <c r="G178" s="21"/>
      <c r="H178" s="718" t="str">
        <f>+'RESER-ELE-PEÇAS E CONEXÕES'!D31</f>
        <v xml:space="preserve">DISJUNTOR MONOPOLAR DE 10 A 32-A	</v>
      </c>
      <c r="I178" s="718"/>
      <c r="J178" s="718"/>
      <c r="K178" s="718"/>
      <c r="L178" s="718"/>
      <c r="M178" s="719"/>
      <c r="N178" s="22" t="str">
        <f>+'RESER-ELE-PEÇAS E CONEXÕES'!E31</f>
        <v>UN</v>
      </c>
      <c r="O178" s="17"/>
      <c r="P178" s="17">
        <f>+'RESER-ELE-PEÇAS E CONEXÕES'!N31</f>
        <v>4</v>
      </c>
      <c r="Q178" s="17"/>
      <c r="R178" s="17"/>
      <c r="S178" s="17"/>
      <c r="T178" s="18">
        <f t="shared" si="18"/>
        <v>4</v>
      </c>
      <c r="U178" s="67"/>
      <c r="V178" s="67"/>
    </row>
    <row r="179" spans="1:22" s="8" customFormat="1" ht="24.95" customHeight="1" x14ac:dyDescent="0.25">
      <c r="A179" s="45"/>
      <c r="B179" s="23" t="s">
        <v>119</v>
      </c>
      <c r="C179" s="208" t="str">
        <f>+'RESER-ELE-PEÇAS E CONEXÕES'!B32</f>
        <v>GOINFRA</v>
      </c>
      <c r="D179" s="203" t="str">
        <f>+'RESER-ELE-PEÇAS E CONEXÕES'!C32</f>
        <v>071172</v>
      </c>
      <c r="E179" s="20"/>
      <c r="F179" s="21"/>
      <c r="G179" s="21"/>
      <c r="H179" s="718" t="str">
        <f>+'RESER-ELE-PEÇAS E CONEXÕES'!D32</f>
        <v xml:space="preserve">DISJUNTOR MONOPOLAR DE 35 A 50-A	</v>
      </c>
      <c r="I179" s="718"/>
      <c r="J179" s="718"/>
      <c r="K179" s="718"/>
      <c r="L179" s="718"/>
      <c r="M179" s="719"/>
      <c r="N179" s="22" t="str">
        <f>+'RESER-ELE-PEÇAS E CONEXÕES'!E32</f>
        <v>UN</v>
      </c>
      <c r="O179" s="17"/>
      <c r="P179" s="17">
        <f>+'RESER-ELE-PEÇAS E CONEXÕES'!N32</f>
        <v>2</v>
      </c>
      <c r="Q179" s="17"/>
      <c r="R179" s="17"/>
      <c r="S179" s="17"/>
      <c r="T179" s="18">
        <f t="shared" si="18"/>
        <v>2</v>
      </c>
      <c r="U179" s="67"/>
      <c r="V179" s="67"/>
    </row>
    <row r="180" spans="1:22" s="8" customFormat="1" ht="24.95" customHeight="1" x14ac:dyDescent="0.25">
      <c r="A180" s="45"/>
      <c r="B180" s="23" t="s">
        <v>119</v>
      </c>
      <c r="C180" s="208" t="str">
        <f>+'RESER-ELE-PEÇAS E CONEXÕES'!B33</f>
        <v>GOINFRA</v>
      </c>
      <c r="D180" s="203" t="str">
        <f>+'RESER-ELE-PEÇAS E CONEXÕES'!C33</f>
        <v>071184</v>
      </c>
      <c r="E180" s="20"/>
      <c r="F180" s="21"/>
      <c r="G180" s="21"/>
      <c r="H180" s="718" t="str">
        <f>+'RESER-ELE-PEÇAS E CONEXÕES'!D33</f>
        <v xml:space="preserve">DISPOSITIVO DE PROTEÇÃO CONTRA SURTOS (D.P.S.) 275V DE 8 A 40KA	</v>
      </c>
      <c r="I180" s="718"/>
      <c r="J180" s="718"/>
      <c r="K180" s="718"/>
      <c r="L180" s="718"/>
      <c r="M180" s="719"/>
      <c r="N180" s="22" t="str">
        <f>+'RESER-ELE-PEÇAS E CONEXÕES'!E33</f>
        <v>UN</v>
      </c>
      <c r="O180" s="17"/>
      <c r="P180" s="17">
        <f>+'RESER-ELE-PEÇAS E CONEXÕES'!N33</f>
        <v>1</v>
      </c>
      <c r="Q180" s="17"/>
      <c r="R180" s="17"/>
      <c r="S180" s="17"/>
      <c r="T180" s="18">
        <f t="shared" si="18"/>
        <v>1</v>
      </c>
      <c r="U180" s="67"/>
      <c r="V180" s="67"/>
    </row>
    <row r="181" spans="1:22" s="8" customFormat="1" ht="24.95" customHeight="1" x14ac:dyDescent="0.25">
      <c r="A181" s="45"/>
      <c r="B181" s="23" t="s">
        <v>119</v>
      </c>
      <c r="C181" s="208" t="str">
        <f>+'RESER-ELE-PEÇAS E CONEXÕES'!B34</f>
        <v>GOINFRA</v>
      </c>
      <c r="D181" s="203" t="str">
        <f>+'RESER-ELE-PEÇAS E CONEXÕES'!C34</f>
        <v>071640</v>
      </c>
      <c r="E181" s="20"/>
      <c r="F181" s="21"/>
      <c r="G181" s="21"/>
      <c r="H181" s="718" t="str">
        <f>+'RESER-ELE-PEÇAS E CONEXÕES'!D34</f>
        <v xml:space="preserve">LUMINÁRIA TIPO SINALIZADOR PARA 01 LÂMPADA	</v>
      </c>
      <c r="I181" s="718"/>
      <c r="J181" s="718"/>
      <c r="K181" s="718"/>
      <c r="L181" s="718"/>
      <c r="M181" s="719"/>
      <c r="N181" s="22" t="str">
        <f>+'RESER-ELE-PEÇAS E CONEXÕES'!E34</f>
        <v>UN</v>
      </c>
      <c r="O181" s="17"/>
      <c r="P181" s="17">
        <f>+'RESER-ELE-PEÇAS E CONEXÕES'!N34</f>
        <v>1</v>
      </c>
      <c r="Q181" s="17"/>
      <c r="R181" s="17"/>
      <c r="S181" s="17"/>
      <c r="T181" s="18">
        <f t="shared" si="18"/>
        <v>1</v>
      </c>
      <c r="U181" s="67"/>
      <c r="V181" s="67"/>
    </row>
    <row r="182" spans="1:22" s="8" customFormat="1" ht="24.95" customHeight="1" x14ac:dyDescent="0.25">
      <c r="A182" s="45"/>
      <c r="B182" s="23" t="s">
        <v>119</v>
      </c>
      <c r="C182" s="208" t="str">
        <f>+'RESER-ELE-PEÇAS E CONEXÕES'!B35</f>
        <v>GOINFRA</v>
      </c>
      <c r="D182" s="203" t="str">
        <f>+'RESER-ELE-PEÇAS E CONEXÕES'!C35</f>
        <v>071698</v>
      </c>
      <c r="E182" s="20"/>
      <c r="F182" s="21"/>
      <c r="G182" s="21"/>
      <c r="H182" s="718" t="str">
        <f>+'RESER-ELE-PEÇAS E CONEXÕES'!D35</f>
        <v xml:space="preserve">LUMINÁRIA LED TIPO PROJETOR RETANGULAR DE 80W A 100W	</v>
      </c>
      <c r="I182" s="718"/>
      <c r="J182" s="718"/>
      <c r="K182" s="718"/>
      <c r="L182" s="718"/>
      <c r="M182" s="719"/>
      <c r="N182" s="22" t="str">
        <f>+'RESER-ELE-PEÇAS E CONEXÕES'!E35</f>
        <v>UN</v>
      </c>
      <c r="O182" s="17"/>
      <c r="P182" s="17">
        <f>+'RESER-ELE-PEÇAS E CONEXÕES'!N35</f>
        <v>8</v>
      </c>
      <c r="Q182" s="17"/>
      <c r="R182" s="17"/>
      <c r="S182" s="17"/>
      <c r="T182" s="18">
        <f t="shared" si="18"/>
        <v>8</v>
      </c>
      <c r="U182" s="67"/>
      <c r="V182" s="67"/>
    </row>
    <row r="183" spans="1:22" s="8" customFormat="1" ht="24.95" customHeight="1" x14ac:dyDescent="0.25">
      <c r="A183" s="45"/>
      <c r="B183" s="23" t="s">
        <v>119</v>
      </c>
      <c r="C183" s="208" t="str">
        <f>+'RESER-ELE-PEÇAS E CONEXÕES'!B36</f>
        <v>GOINFRA</v>
      </c>
      <c r="D183" s="203" t="str">
        <f>+'RESER-ELE-PEÇAS E CONEXÕES'!C36</f>
        <v>070633</v>
      </c>
      <c r="E183" s="20"/>
      <c r="F183" s="21"/>
      <c r="G183" s="21"/>
      <c r="H183" s="718" t="str">
        <f>+'RESER-ELE-PEÇAS E CONEXÕES'!D36</f>
        <v>CAIXA DE INSPEÇÃO - ESCAVAÇÃO MANUAL / REATERRO/ APILOAMENTO DO FUNDO</v>
      </c>
      <c r="I183" s="718"/>
      <c r="J183" s="718"/>
      <c r="K183" s="718"/>
      <c r="L183" s="718"/>
      <c r="M183" s="719"/>
      <c r="N183" s="22" t="str">
        <f>+'RESER-ELE-PEÇAS E CONEXÕES'!E36</f>
        <v>M3</v>
      </c>
      <c r="O183" s="17"/>
      <c r="P183" s="17">
        <f>+'RESER-ELE-PEÇAS E CONEXÕES'!N36</f>
        <v>1.08</v>
      </c>
      <c r="Q183" s="17"/>
      <c r="R183" s="17"/>
      <c r="S183" s="17"/>
      <c r="T183" s="18">
        <f t="shared" si="18"/>
        <v>1.08</v>
      </c>
      <c r="U183" s="67"/>
      <c r="V183" s="67"/>
    </row>
    <row r="184" spans="1:22" s="8" customFormat="1" ht="24.95" customHeight="1" x14ac:dyDescent="0.25">
      <c r="A184" s="45"/>
      <c r="B184" s="23" t="s">
        <v>119</v>
      </c>
      <c r="C184" s="208" t="str">
        <f>+'RESER-ELE-PEÇAS E CONEXÕES'!B37</f>
        <v>GOINFRA</v>
      </c>
      <c r="D184" s="203" t="str">
        <f>+'RESER-ELE-PEÇAS E CONEXÕES'!C37</f>
        <v>070634</v>
      </c>
      <c r="E184" s="20"/>
      <c r="F184" s="21"/>
      <c r="G184" s="21"/>
      <c r="H184" s="718" t="str">
        <f>+'RESER-ELE-PEÇAS E CONEXÕES'!D37</f>
        <v>CAIXA DE PASSAGEM - TAMPA EM CONCRETO ARMADO 25 MPA E=5CM</v>
      </c>
      <c r="I184" s="718"/>
      <c r="J184" s="718"/>
      <c r="K184" s="718"/>
      <c r="L184" s="718"/>
      <c r="M184" s="719"/>
      <c r="N184" s="22" t="str">
        <f>+'RESER-ELE-PEÇAS E CONEXÕES'!E37</f>
        <v>M2</v>
      </c>
      <c r="O184" s="17"/>
      <c r="P184" s="17">
        <f>+'RESER-ELE-PEÇAS E CONEXÕES'!N37</f>
        <v>2.16</v>
      </c>
      <c r="Q184" s="17"/>
      <c r="R184" s="17"/>
      <c r="S184" s="17"/>
      <c r="T184" s="18">
        <f t="shared" si="18"/>
        <v>2.16</v>
      </c>
      <c r="U184" s="67"/>
      <c r="V184" s="67"/>
    </row>
    <row r="185" spans="1:22" s="8" customFormat="1" ht="24.95" customHeight="1" x14ac:dyDescent="0.25">
      <c r="A185" s="45"/>
      <c r="B185" s="23" t="s">
        <v>119</v>
      </c>
      <c r="C185" s="208" t="str">
        <f>+'RESER-ELE-PEÇAS E CONEXÕES'!B38</f>
        <v>GOINFRA</v>
      </c>
      <c r="D185" s="203" t="str">
        <f>+'RESER-ELE-PEÇAS E CONEXÕES'!C38</f>
        <v>070635</v>
      </c>
      <c r="E185" s="20"/>
      <c r="F185" s="21"/>
      <c r="G185" s="21"/>
      <c r="H185" s="718" t="str">
        <f>+'RESER-ELE-PEÇAS E CONEXÕES'!D38</f>
        <v>CAIXA DE PASSAGEM - ALVENARIA DE 1/2 VEZ COM REVESTIMENTO INTERNO EM REBOCO PAULISTA A-14</v>
      </c>
      <c r="I185" s="718"/>
      <c r="J185" s="718"/>
      <c r="K185" s="718"/>
      <c r="L185" s="718"/>
      <c r="M185" s="719"/>
      <c r="N185" s="22" t="str">
        <f>+'RESER-ELE-PEÇAS E CONEXÕES'!E38</f>
        <v>M2</v>
      </c>
      <c r="O185" s="17"/>
      <c r="P185" s="17">
        <f>+'RESER-ELE-PEÇAS E CONEXÕES'!N38</f>
        <v>7.1999999999999993</v>
      </c>
      <c r="Q185" s="17"/>
      <c r="R185" s="17"/>
      <c r="S185" s="17"/>
      <c r="T185" s="18">
        <f t="shared" si="18"/>
        <v>7.1999999999999993</v>
      </c>
      <c r="U185" s="67"/>
      <c r="V185" s="67"/>
    </row>
    <row r="186" spans="1:22" s="8" customFormat="1" ht="24.95" customHeight="1" x14ac:dyDescent="0.25">
      <c r="A186" s="45"/>
      <c r="B186" s="23" t="s">
        <v>119</v>
      </c>
      <c r="C186" s="208" t="str">
        <f>+'RESER-ELE-PEÇAS E CONEXÕES'!B39</f>
        <v>GOINFRA</v>
      </c>
      <c r="D186" s="203" t="str">
        <f>+'RESER-ELE-PEÇAS E CONEXÕES'!C39</f>
        <v>070637</v>
      </c>
      <c r="E186" s="20"/>
      <c r="F186" s="21"/>
      <c r="G186" s="21"/>
      <c r="H186" s="718" t="str">
        <f>+'RESER-ELE-PEÇAS E CONEXÕES'!D39</f>
        <v>CAIXA DE PASSAGEM - LASTRO DE BRITA PARA O FUNDO</v>
      </c>
      <c r="I186" s="718"/>
      <c r="J186" s="718"/>
      <c r="K186" s="718"/>
      <c r="L186" s="718"/>
      <c r="M186" s="719"/>
      <c r="N186" s="22" t="str">
        <f>+'RESER-ELE-PEÇAS E CONEXÕES'!E39</f>
        <v>M3</v>
      </c>
      <c r="O186" s="17"/>
      <c r="P186" s="17">
        <f>+'RESER-ELE-PEÇAS E CONEXÕES'!N39</f>
        <v>0.12150000000000002</v>
      </c>
      <c r="Q186" s="17"/>
      <c r="R186" s="17"/>
      <c r="S186" s="17"/>
      <c r="T186" s="18">
        <f t="shared" si="18"/>
        <v>0.12150000000000002</v>
      </c>
      <c r="U186" s="67"/>
      <c r="V186" s="67"/>
    </row>
    <row r="187" spans="1:22" s="8" customFormat="1" ht="24.95" customHeight="1" x14ac:dyDescent="0.25">
      <c r="A187" s="45"/>
      <c r="B187" s="23" t="s">
        <v>119</v>
      </c>
      <c r="C187" s="208" t="str">
        <f>+'RESER-ELE-PEÇAS E CONEXÕES'!B40</f>
        <v>PRÓPRIO</v>
      </c>
      <c r="D187" s="203" t="str">
        <f>+'RESER-ELE-PEÇAS E CONEXÕES'!C40</f>
        <v>SEINFRA-0030</v>
      </c>
      <c r="E187" s="20"/>
      <c r="F187" s="21"/>
      <c r="G187" s="21"/>
      <c r="H187" s="718" t="str">
        <f>+'RESER-ELE-PEÇAS E CONEXÕES'!D40</f>
        <v>POSTE DE CONCRETO DT 7/150 - SEM FUNDAÇÃO/CONCRETO. (ADAPTADO DE GOINFRA CIVIL 072001)</v>
      </c>
      <c r="I187" s="718"/>
      <c r="J187" s="718"/>
      <c r="K187" s="718"/>
      <c r="L187" s="718"/>
      <c r="M187" s="719"/>
      <c r="N187" s="22" t="str">
        <f>+'RESER-ELE-PEÇAS E CONEXÕES'!E40</f>
        <v>UN</v>
      </c>
      <c r="O187" s="17"/>
      <c r="P187" s="17">
        <f>+'RESER-ELE-PEÇAS E CONEXÕES'!N40</f>
        <v>4</v>
      </c>
      <c r="Q187" s="17"/>
      <c r="R187" s="17"/>
      <c r="S187" s="17"/>
      <c r="T187" s="18">
        <f t="shared" si="18"/>
        <v>4</v>
      </c>
      <c r="U187" s="67"/>
      <c r="V187" s="67"/>
    </row>
    <row r="188" spans="1:22" s="8" customFormat="1" ht="24.95" customHeight="1" x14ac:dyDescent="0.25">
      <c r="A188" s="45"/>
      <c r="B188" s="23" t="s">
        <v>119</v>
      </c>
      <c r="C188" s="208" t="str">
        <f>+'RESER-ELE-PEÇAS E CONEXÕES'!B41</f>
        <v>GOINFRA</v>
      </c>
      <c r="D188" s="203" t="str">
        <f>+'RESER-ELE-PEÇAS E CONEXÕES'!C41</f>
        <v>071995</v>
      </c>
      <c r="E188" s="20"/>
      <c r="F188" s="21"/>
      <c r="G188" s="21"/>
      <c r="H188" s="718" t="str">
        <f>+'RESER-ELE-PEÇAS E CONEXÕES'!D41</f>
        <v xml:space="preserve">POSTE - ENGASTAMENTO SIMPLES PARA POSTE DE CONCRETO SEÇÃO DUPLO "T"	</v>
      </c>
      <c r="I188" s="718"/>
      <c r="J188" s="718"/>
      <c r="K188" s="718"/>
      <c r="L188" s="718"/>
      <c r="M188" s="719"/>
      <c r="N188" s="22" t="str">
        <f>+'RESER-ELE-PEÇAS E CONEXÕES'!E41</f>
        <v>M3</v>
      </c>
      <c r="O188" s="17"/>
      <c r="P188" s="17">
        <f>+'RESER-ELE-PEÇAS E CONEXÕES'!N41</f>
        <v>5.2</v>
      </c>
      <c r="Q188" s="17"/>
      <c r="R188" s="17"/>
      <c r="S188" s="17"/>
      <c r="T188" s="18">
        <f t="shared" si="18"/>
        <v>5.2</v>
      </c>
      <c r="U188" s="67"/>
      <c r="V188" s="67"/>
    </row>
    <row r="189" spans="1:22" s="8" customFormat="1" ht="24.95" customHeight="1" x14ac:dyDescent="0.25">
      <c r="A189" s="45"/>
      <c r="B189" s="23" t="s">
        <v>119</v>
      </c>
      <c r="C189" s="208" t="str">
        <f>+'RESER-ELE-PEÇAS E CONEXÕES'!B42</f>
        <v>GOINFRA</v>
      </c>
      <c r="D189" s="203" t="str">
        <f>+'RESER-ELE-PEÇAS E CONEXÕES'!C42</f>
        <v>072080</v>
      </c>
      <c r="E189" s="20"/>
      <c r="F189" s="21"/>
      <c r="G189" s="21"/>
      <c r="H189" s="718" t="str">
        <f>+'RESER-ELE-PEÇAS E CONEXÕES'!D42</f>
        <v xml:space="preserve">POSTE/TRAFO - CAMINHÃO MUNCK 12 TON. (MÍNIMO 4H/DIA)	</v>
      </c>
      <c r="I189" s="718"/>
      <c r="J189" s="718"/>
      <c r="K189" s="718"/>
      <c r="L189" s="718"/>
      <c r="M189" s="719"/>
      <c r="N189" s="22" t="str">
        <f>+'RESER-ELE-PEÇAS E CONEXÕES'!E42</f>
        <v>UN</v>
      </c>
      <c r="O189" s="17"/>
      <c r="P189" s="17">
        <f>+'RESER-ELE-PEÇAS E CONEXÕES'!N42</f>
        <v>16</v>
      </c>
      <c r="Q189" s="17"/>
      <c r="R189" s="17"/>
      <c r="S189" s="17"/>
      <c r="T189" s="18">
        <f t="shared" si="18"/>
        <v>16</v>
      </c>
      <c r="U189" s="67"/>
      <c r="V189" s="67"/>
    </row>
    <row r="190" spans="1:22" s="8" customFormat="1" ht="24.95" customHeight="1" x14ac:dyDescent="0.25">
      <c r="A190" s="45"/>
      <c r="B190" s="23" t="s">
        <v>119</v>
      </c>
      <c r="C190" s="208" t="str">
        <f>+'RESER-ELE-PEÇAS E CONEXÕES'!B43</f>
        <v>GOINFRA</v>
      </c>
      <c r="D190" s="203" t="str">
        <f>+'RESER-ELE-PEÇAS E CONEXÕES'!C43</f>
        <v>071761</v>
      </c>
      <c r="E190" s="20"/>
      <c r="F190" s="21"/>
      <c r="G190" s="21"/>
      <c r="H190" s="718" t="str">
        <f>+'RESER-ELE-PEÇAS E CONEXÕES'!D43</f>
        <v xml:space="preserve">MURETA DE MEDIÇÃO EM ALVENARIA 1 1/2 V.(35CM) REBOCADA, C/ PINTURA ACRÍLICA E LAJE EM CONCRETO 20MPA MALHA 8.0MM CADA 10CM REVESTIDA C/ARGAMASSA 1	</v>
      </c>
      <c r="I190" s="718"/>
      <c r="J190" s="718"/>
      <c r="K190" s="718"/>
      <c r="L190" s="718"/>
      <c r="M190" s="719"/>
      <c r="N190" s="22" t="str">
        <f>+'RESER-ELE-PEÇAS E CONEXÕES'!E43</f>
        <v>M2</v>
      </c>
      <c r="O190" s="17"/>
      <c r="P190" s="17">
        <f>+'RESER-ELE-PEÇAS E CONEXÕES'!N43</f>
        <v>4.5599999999999996</v>
      </c>
      <c r="Q190" s="17"/>
      <c r="R190" s="17"/>
      <c r="S190" s="17"/>
      <c r="T190" s="18">
        <f t="shared" si="18"/>
        <v>4.5599999999999996</v>
      </c>
      <c r="U190" s="67"/>
      <c r="V190" s="67"/>
    </row>
    <row r="191" spans="1:22" s="8" customFormat="1" ht="24.95" customHeight="1" x14ac:dyDescent="0.25">
      <c r="A191" s="44"/>
      <c r="B191" s="19"/>
      <c r="C191" s="207"/>
      <c r="D191" s="202"/>
      <c r="E191" s="13"/>
      <c r="F191" s="14"/>
      <c r="G191" s="24"/>
      <c r="H191" s="14"/>
      <c r="I191" s="14"/>
      <c r="J191" s="14"/>
      <c r="K191" s="14"/>
      <c r="L191" s="24"/>
      <c r="M191" s="15"/>
      <c r="N191" s="16"/>
      <c r="O191" s="17"/>
      <c r="P191" s="17"/>
      <c r="Q191" s="17"/>
      <c r="R191" s="17"/>
      <c r="S191" s="17"/>
      <c r="T191" s="18">
        <f t="shared" si="18"/>
        <v>0</v>
      </c>
      <c r="U191" s="67"/>
      <c r="V191" s="67"/>
    </row>
    <row r="192" spans="1:22" s="8" customFormat="1" ht="24.95" customHeight="1" x14ac:dyDescent="0.25">
      <c r="A192" s="44"/>
      <c r="B192" s="12" t="s">
        <v>36</v>
      </c>
      <c r="C192" s="206"/>
      <c r="D192" s="201"/>
      <c r="E192" s="13"/>
      <c r="F192" s="14" t="s">
        <v>848</v>
      </c>
      <c r="G192" s="14"/>
      <c r="H192" s="14"/>
      <c r="I192" s="14"/>
      <c r="J192" s="14"/>
      <c r="K192" s="14"/>
      <c r="L192" s="14"/>
      <c r="M192" s="15"/>
      <c r="N192" s="16"/>
      <c r="O192" s="17"/>
      <c r="P192" s="17"/>
      <c r="Q192" s="17"/>
      <c r="R192" s="17"/>
      <c r="S192" s="17"/>
      <c r="T192" s="18">
        <f t="shared" si="18"/>
        <v>0</v>
      </c>
      <c r="U192" s="67"/>
      <c r="V192" s="67"/>
    </row>
    <row r="193" spans="1:22" s="8" customFormat="1" ht="24.95" customHeight="1" x14ac:dyDescent="0.25">
      <c r="A193" s="44"/>
      <c r="B193" s="12" t="s">
        <v>72</v>
      </c>
      <c r="C193" s="206"/>
      <c r="D193" s="201"/>
      <c r="E193" s="13"/>
      <c r="F193" s="14"/>
      <c r="G193" s="14" t="s">
        <v>427</v>
      </c>
      <c r="H193" s="14"/>
      <c r="I193" s="14"/>
      <c r="J193" s="14"/>
      <c r="K193" s="14"/>
      <c r="L193" s="14"/>
      <c r="M193" s="15"/>
      <c r="N193" s="16"/>
      <c r="O193" s="17"/>
      <c r="P193" s="17"/>
      <c r="Q193" s="17"/>
      <c r="R193" s="17"/>
      <c r="S193" s="17"/>
      <c r="T193" s="18">
        <f t="shared" si="18"/>
        <v>0</v>
      </c>
      <c r="U193" s="67"/>
      <c r="V193" s="67"/>
    </row>
    <row r="194" spans="1:22" s="8" customFormat="1" ht="24.95" customHeight="1" x14ac:dyDescent="0.25">
      <c r="A194" s="45"/>
      <c r="B194" s="23" t="s">
        <v>115</v>
      </c>
      <c r="C194" s="208" t="str">
        <f>+'RESER-SPDA-ELETRODUTO E CABOS'!B32</f>
        <v>GOINFRA</v>
      </c>
      <c r="D194" s="203" t="str">
        <f>+'RESER-SPDA-ELETRODUTO E CABOS'!E32</f>
        <v>071202</v>
      </c>
      <c r="E194" s="20"/>
      <c r="F194" s="21"/>
      <c r="G194" s="21"/>
      <c r="H194" s="718" t="str">
        <f>+'RESER-SPDA-ELETRODUTO E CABOS'!F32</f>
        <v xml:space="preserve">ELETRODUTO DE PVC RIGIDO DIAMETRO 1"	</v>
      </c>
      <c r="I194" s="718"/>
      <c r="J194" s="718"/>
      <c r="K194" s="718"/>
      <c r="L194" s="718"/>
      <c r="M194" s="719"/>
      <c r="N194" s="22" t="str">
        <f>+'RESER-SPDA-ELETRODUTO E CABOS'!O32</f>
        <v>M</v>
      </c>
      <c r="O194" s="17"/>
      <c r="P194" s="17">
        <f>+'RESER-SPDA-ELETRODUTO E CABOS'!Q32</f>
        <v>5</v>
      </c>
      <c r="Q194" s="17"/>
      <c r="R194" s="17"/>
      <c r="S194" s="17"/>
      <c r="T194" s="18">
        <f t="shared" si="18"/>
        <v>5</v>
      </c>
      <c r="U194" s="67"/>
      <c r="V194" s="67"/>
    </row>
    <row r="195" spans="1:22" s="8" customFormat="1" ht="24.95" customHeight="1" x14ac:dyDescent="0.25">
      <c r="A195" s="45"/>
      <c r="B195" s="23" t="s">
        <v>116</v>
      </c>
      <c r="C195" s="208" t="str">
        <f>+'RESER-SPDA-ELETRODUTO E CABOS'!B33</f>
        <v>GOINFRA</v>
      </c>
      <c r="D195" s="203" t="str">
        <f>+'RESER-SPDA-ELETRODUTO E CABOS'!E33</f>
        <v>070541</v>
      </c>
      <c r="E195" s="20"/>
      <c r="F195" s="21"/>
      <c r="G195" s="21"/>
      <c r="H195" s="718" t="str">
        <f>+'RESER-SPDA-ELETRODUTO E CABOS'!F33</f>
        <v xml:space="preserve">CABO DE COBRE NU 16 MM2 (6,94 M/KG)	</v>
      </c>
      <c r="I195" s="718"/>
      <c r="J195" s="718"/>
      <c r="K195" s="718"/>
      <c r="L195" s="718"/>
      <c r="M195" s="719"/>
      <c r="N195" s="22" t="str">
        <f>+'RESER-SPDA-ELETRODUTO E CABOS'!O33</f>
        <v>M</v>
      </c>
      <c r="O195" s="17"/>
      <c r="P195" s="17">
        <f>+'RESER-SPDA-ELETRODUTO E CABOS'!Q33</f>
        <v>11.505999999999998</v>
      </c>
      <c r="Q195" s="17"/>
      <c r="R195" s="17"/>
      <c r="S195" s="17"/>
      <c r="T195" s="18">
        <f t="shared" si="18"/>
        <v>11.505999999999998</v>
      </c>
      <c r="U195" s="67"/>
      <c r="V195" s="67"/>
    </row>
    <row r="196" spans="1:22" s="8" customFormat="1" ht="24.95" customHeight="1" x14ac:dyDescent="0.25">
      <c r="A196" s="45"/>
      <c r="B196" s="23" t="s">
        <v>116</v>
      </c>
      <c r="C196" s="208" t="str">
        <f>+'RESER-SPDA-ELETRODUTO E CABOS'!B34</f>
        <v>GOINFRA</v>
      </c>
      <c r="D196" s="203" t="str">
        <f>+'RESER-SPDA-ELETRODUTO E CABOS'!E34</f>
        <v>070543</v>
      </c>
      <c r="E196" s="20"/>
      <c r="F196" s="21"/>
      <c r="G196" s="21"/>
      <c r="H196" s="718" t="str">
        <f>+'RESER-SPDA-ELETRODUTO E CABOS'!F34</f>
        <v xml:space="preserve">CABO DE COBRE NU 35 MM2	</v>
      </c>
      <c r="I196" s="718"/>
      <c r="J196" s="718"/>
      <c r="K196" s="718"/>
      <c r="L196" s="718"/>
      <c r="M196" s="719"/>
      <c r="N196" s="22" t="str">
        <f>+'RESER-SPDA-ELETRODUTO E CABOS'!O34</f>
        <v>M</v>
      </c>
      <c r="O196" s="17"/>
      <c r="P196" s="17">
        <f>+'RESER-SPDA-ELETRODUTO E CABOS'!Q34</f>
        <v>32.120000000000005</v>
      </c>
      <c r="Q196" s="17"/>
      <c r="R196" s="17"/>
      <c r="S196" s="17"/>
      <c r="T196" s="18">
        <f t="shared" si="18"/>
        <v>32.120000000000005</v>
      </c>
      <c r="U196" s="67"/>
      <c r="V196" s="67"/>
    </row>
    <row r="197" spans="1:22" s="8" customFormat="1" ht="24.95" customHeight="1" x14ac:dyDescent="0.25">
      <c r="A197" s="45"/>
      <c r="B197" s="23" t="s">
        <v>117</v>
      </c>
      <c r="C197" s="208" t="str">
        <f>+'RESER-SPDA-ELETRODUTO E CABOS'!B35</f>
        <v>GOINFRA</v>
      </c>
      <c r="D197" s="203" t="str">
        <f>+'RESER-SPDA-ELETRODUTO E CABOS'!E35</f>
        <v>070544</v>
      </c>
      <c r="E197" s="20"/>
      <c r="F197" s="21"/>
      <c r="G197" s="21"/>
      <c r="H197" s="718" t="str">
        <f>+'RESER-SPDA-ELETRODUTO E CABOS'!F35</f>
        <v xml:space="preserve">CABO DE COBRE NU 50 MM2	</v>
      </c>
      <c r="I197" s="718"/>
      <c r="J197" s="718"/>
      <c r="K197" s="718"/>
      <c r="L197" s="718"/>
      <c r="M197" s="719"/>
      <c r="N197" s="22" t="str">
        <f>+'RESER-SPDA-ELETRODUTO E CABOS'!O35</f>
        <v>M</v>
      </c>
      <c r="O197" s="17"/>
      <c r="P197" s="17">
        <f>+'RESER-SPDA-ELETRODUTO E CABOS'!Q35</f>
        <v>44.242000000000012</v>
      </c>
      <c r="Q197" s="17"/>
      <c r="R197" s="17"/>
      <c r="S197" s="17"/>
      <c r="T197" s="18">
        <f t="shared" si="18"/>
        <v>44.242000000000012</v>
      </c>
      <c r="U197" s="67"/>
      <c r="V197" s="67"/>
    </row>
    <row r="198" spans="1:22" s="8" customFormat="1" ht="24.95" customHeight="1" x14ac:dyDescent="0.25">
      <c r="A198" s="44"/>
      <c r="B198" s="12" t="s">
        <v>74</v>
      </c>
      <c r="C198" s="206"/>
      <c r="D198" s="201"/>
      <c r="E198" s="13"/>
      <c r="F198" s="14"/>
      <c r="G198" s="14" t="s">
        <v>428</v>
      </c>
      <c r="H198" s="14"/>
      <c r="I198" s="14"/>
      <c r="J198" s="14"/>
      <c r="K198" s="14"/>
      <c r="L198" s="14"/>
      <c r="M198" s="15"/>
      <c r="N198" s="16"/>
      <c r="O198" s="17"/>
      <c r="P198" s="17"/>
      <c r="Q198" s="17"/>
      <c r="R198" s="17"/>
      <c r="S198" s="17"/>
      <c r="T198" s="18">
        <f t="shared" si="18"/>
        <v>0</v>
      </c>
      <c r="U198" s="67"/>
      <c r="V198" s="67"/>
    </row>
    <row r="199" spans="1:22" s="8" customFormat="1" ht="24.95" customHeight="1" x14ac:dyDescent="0.25">
      <c r="A199" s="45"/>
      <c r="B199" s="23" t="s">
        <v>118</v>
      </c>
      <c r="C199" s="208" t="str">
        <f>+'RESER-SPDA-PEÇAS E CONEXÕES'!B12</f>
        <v>GOINFRA</v>
      </c>
      <c r="D199" s="203" t="str">
        <f>+'RESER-SPDA-PEÇAS E CONEXÕES'!C12</f>
        <v>071833</v>
      </c>
      <c r="E199" s="20"/>
      <c r="F199" s="21"/>
      <c r="G199" s="21"/>
      <c r="H199" s="718" t="str">
        <f>+'RESER-SPDA-PEÇAS E CONEXÕES'!D12</f>
        <v xml:space="preserve">PARA RAIOS FRANKLIM 4 PONTAS	</v>
      </c>
      <c r="I199" s="718"/>
      <c r="J199" s="718"/>
      <c r="K199" s="718"/>
      <c r="L199" s="718"/>
      <c r="M199" s="719"/>
      <c r="N199" s="22" t="str">
        <f>+'RESER-SPDA-PEÇAS E CONEXÕES'!E12</f>
        <v>UN</v>
      </c>
      <c r="O199" s="17"/>
      <c r="P199" s="17">
        <f>+'RESER-SPDA-PEÇAS E CONEXÕES'!N12</f>
        <v>1</v>
      </c>
      <c r="Q199" s="17"/>
      <c r="R199" s="17"/>
      <c r="S199" s="17"/>
      <c r="T199" s="18">
        <f t="shared" si="18"/>
        <v>1</v>
      </c>
      <c r="U199" s="67"/>
      <c r="V199" s="67"/>
    </row>
    <row r="200" spans="1:22" s="8" customFormat="1" ht="24.95" customHeight="1" x14ac:dyDescent="0.25">
      <c r="A200" s="45"/>
      <c r="B200" s="23" t="s">
        <v>119</v>
      </c>
      <c r="C200" s="208" t="str">
        <f>+'RESER-SPDA-PEÇAS E CONEXÕES'!B13</f>
        <v>GOINFRA</v>
      </c>
      <c r="D200" s="203" t="str">
        <f>+'RESER-SPDA-PEÇAS E CONEXÕES'!C13</f>
        <v>071702</v>
      </c>
      <c r="E200" s="20"/>
      <c r="F200" s="21"/>
      <c r="G200" s="21"/>
      <c r="H200" s="718" t="str">
        <f>+'RESER-SPDA-PEÇAS E CONEXÕES'!D13</f>
        <v xml:space="preserve">LUVA EM AÇO GALVANIZADO DIÂMETRO 1"	</v>
      </c>
      <c r="I200" s="718"/>
      <c r="J200" s="718"/>
      <c r="K200" s="718"/>
      <c r="L200" s="718"/>
      <c r="M200" s="719"/>
      <c r="N200" s="22" t="str">
        <f>+'RESER-SPDA-PEÇAS E CONEXÕES'!E13</f>
        <v>UN</v>
      </c>
      <c r="O200" s="17"/>
      <c r="P200" s="17">
        <f>+'RESER-SPDA-PEÇAS E CONEXÕES'!N13</f>
        <v>1</v>
      </c>
      <c r="Q200" s="17"/>
      <c r="R200" s="17"/>
      <c r="S200" s="17"/>
      <c r="T200" s="18">
        <f t="shared" si="18"/>
        <v>1</v>
      </c>
      <c r="U200" s="67"/>
      <c r="V200" s="67"/>
    </row>
    <row r="201" spans="1:22" s="8" customFormat="1" ht="24.95" customHeight="1" x14ac:dyDescent="0.25">
      <c r="A201" s="45"/>
      <c r="B201" s="23" t="s">
        <v>119</v>
      </c>
      <c r="C201" s="208" t="str">
        <f>+'RESER-SPDA-PEÇAS E CONEXÕES'!B14</f>
        <v>GOINFRA</v>
      </c>
      <c r="D201" s="203" t="str">
        <f>+'RESER-SPDA-PEÇAS E CONEXÕES'!C14</f>
        <v>082379</v>
      </c>
      <c r="E201" s="20"/>
      <c r="F201" s="21"/>
      <c r="G201" s="21"/>
      <c r="H201" s="718" t="str">
        <f>+'RESER-SPDA-PEÇAS E CONEXÕES'!D14</f>
        <v xml:space="preserve">TUBO FERRO GALVANIZADO 2.1/2"	</v>
      </c>
      <c r="I201" s="718"/>
      <c r="J201" s="718"/>
      <c r="K201" s="718"/>
      <c r="L201" s="718"/>
      <c r="M201" s="719"/>
      <c r="N201" s="22" t="str">
        <f>+'RESER-SPDA-PEÇAS E CONEXÕES'!E14</f>
        <v>M</v>
      </c>
      <c r="O201" s="17"/>
      <c r="P201" s="17">
        <f>+'RESER-SPDA-PEÇAS E CONEXÕES'!N14</f>
        <v>3</v>
      </c>
      <c r="Q201" s="17"/>
      <c r="R201" s="17"/>
      <c r="S201" s="17"/>
      <c r="T201" s="18">
        <f t="shared" si="18"/>
        <v>3</v>
      </c>
      <c r="U201" s="67"/>
      <c r="V201" s="67"/>
    </row>
    <row r="202" spans="1:22" s="8" customFormat="1" ht="24.95" customHeight="1" x14ac:dyDescent="0.25">
      <c r="A202" s="45"/>
      <c r="B202" s="23" t="s">
        <v>119</v>
      </c>
      <c r="C202" s="208" t="str">
        <f>+'RESER-SPDA-PEÇAS E CONEXÕES'!B15</f>
        <v>GOINFRA</v>
      </c>
      <c r="D202" s="203" t="str">
        <f>+'RESER-SPDA-PEÇAS E CONEXÕES'!C15</f>
        <v>070356</v>
      </c>
      <c r="E202" s="20"/>
      <c r="F202" s="21"/>
      <c r="G202" s="21"/>
      <c r="H202" s="718" t="str">
        <f>+'RESER-SPDA-PEÇAS E CONEXÕES'!D15</f>
        <v xml:space="preserve">BRACADEIRA METALICA TIPO "U" DIAM. 2.1/2"	</v>
      </c>
      <c r="I202" s="718"/>
      <c r="J202" s="718"/>
      <c r="K202" s="718"/>
      <c r="L202" s="718"/>
      <c r="M202" s="719"/>
      <c r="N202" s="22" t="str">
        <f>+'RESER-SPDA-PEÇAS E CONEXÕES'!E15</f>
        <v>UN</v>
      </c>
      <c r="O202" s="17"/>
      <c r="P202" s="17">
        <f>+'RESER-SPDA-PEÇAS E CONEXÕES'!N15</f>
        <v>5</v>
      </c>
      <c r="Q202" s="17"/>
      <c r="R202" s="17"/>
      <c r="S202" s="17"/>
      <c r="T202" s="18">
        <f t="shared" si="18"/>
        <v>5</v>
      </c>
      <c r="U202" s="67"/>
      <c r="V202" s="67"/>
    </row>
    <row r="203" spans="1:22" s="8" customFormat="1" ht="24.95" customHeight="1" x14ac:dyDescent="0.25">
      <c r="A203" s="45"/>
      <c r="B203" s="23" t="s">
        <v>119</v>
      </c>
      <c r="C203" s="208" t="str">
        <f>+'RESER-SPDA-PEÇAS E CONEXÕES'!B16</f>
        <v>GOINFRA</v>
      </c>
      <c r="D203" s="203" t="str">
        <f>+'RESER-SPDA-PEÇAS E CONEXÕES'!C16</f>
        <v>071471</v>
      </c>
      <c r="E203" s="20"/>
      <c r="F203" s="21"/>
      <c r="G203" s="21"/>
      <c r="H203" s="718" t="str">
        <f>+'RESER-SPDA-PEÇAS E CONEXÕES'!D16</f>
        <v xml:space="preserve">ISOLADOR DE BAQUELITE SIMPLES COM SUPORTE E BRAÇADEIRA METÁLICA 1.1/2"	</v>
      </c>
      <c r="I203" s="718"/>
      <c r="J203" s="718"/>
      <c r="K203" s="718"/>
      <c r="L203" s="718"/>
      <c r="M203" s="719"/>
      <c r="N203" s="22" t="str">
        <f>+'RESER-SPDA-PEÇAS E CONEXÕES'!E16</f>
        <v>UN</v>
      </c>
      <c r="O203" s="17"/>
      <c r="P203" s="17">
        <f>+'RESER-SPDA-PEÇAS E CONEXÕES'!N16</f>
        <v>10</v>
      </c>
      <c r="Q203" s="17"/>
      <c r="R203" s="17"/>
      <c r="S203" s="17"/>
      <c r="T203" s="18">
        <f t="shared" si="18"/>
        <v>10</v>
      </c>
      <c r="U203" s="67"/>
      <c r="V203" s="67"/>
    </row>
    <row r="204" spans="1:22" s="8" customFormat="1" ht="24.95" customHeight="1" x14ac:dyDescent="0.25">
      <c r="A204" s="45"/>
      <c r="B204" s="23" t="s">
        <v>119</v>
      </c>
      <c r="C204" s="208" t="str">
        <f>+'RESER-SPDA-PEÇAS E CONEXÕES'!B17</f>
        <v>GOINFRA</v>
      </c>
      <c r="D204" s="203" t="str">
        <f>+'RESER-SPDA-PEÇAS E CONEXÕES'!C17</f>
        <v>071142</v>
      </c>
      <c r="E204" s="20"/>
      <c r="F204" s="21"/>
      <c r="G204" s="21"/>
      <c r="H204" s="718" t="str">
        <f>+'RESER-SPDA-PEÇAS E CONEXÕES'!D17</f>
        <v xml:space="preserve">CURVA DE 90 GRAUS DE PVC RIGIDO DIAM. 1"	</v>
      </c>
      <c r="I204" s="718"/>
      <c r="J204" s="718"/>
      <c r="K204" s="718"/>
      <c r="L204" s="718"/>
      <c r="M204" s="719"/>
      <c r="N204" s="22" t="str">
        <f>+'RESER-SPDA-PEÇAS E CONEXÕES'!E17</f>
        <v>UN</v>
      </c>
      <c r="O204" s="17"/>
      <c r="P204" s="17">
        <f>+'RESER-SPDA-PEÇAS E CONEXÕES'!N17</f>
        <v>2</v>
      </c>
      <c r="Q204" s="17"/>
      <c r="R204" s="17"/>
      <c r="S204" s="17"/>
      <c r="T204" s="18">
        <f t="shared" si="18"/>
        <v>2</v>
      </c>
      <c r="U204" s="67"/>
      <c r="V204" s="67"/>
    </row>
    <row r="205" spans="1:22" s="8" customFormat="1" ht="24.95" customHeight="1" x14ac:dyDescent="0.25">
      <c r="A205" s="45"/>
      <c r="B205" s="23" t="s">
        <v>119</v>
      </c>
      <c r="C205" s="208" t="str">
        <f>+'RESER-SPDA-PEÇAS E CONEXÕES'!B18</f>
        <v>GOINFRA</v>
      </c>
      <c r="D205" s="203" t="str">
        <f>+'RESER-SPDA-PEÇAS E CONEXÕES'!C18</f>
        <v>070255</v>
      </c>
      <c r="E205" s="20"/>
      <c r="F205" s="21"/>
      <c r="G205" s="21"/>
      <c r="H205" s="718" t="str">
        <f>+'RESER-SPDA-PEÇAS E CONEXÕES'!D18</f>
        <v xml:space="preserve">ATERRAMENTO - SOLDA EXOTÉRMICA - CARTUCHO 90 G	</v>
      </c>
      <c r="I205" s="718"/>
      <c r="J205" s="718"/>
      <c r="K205" s="718"/>
      <c r="L205" s="718"/>
      <c r="M205" s="719"/>
      <c r="N205" s="22" t="str">
        <f>+'RESER-SPDA-PEÇAS E CONEXÕES'!E18</f>
        <v>UN</v>
      </c>
      <c r="O205" s="17"/>
      <c r="P205" s="17">
        <f>+'RESER-SPDA-PEÇAS E CONEXÕES'!N18</f>
        <v>15</v>
      </c>
      <c r="Q205" s="17"/>
      <c r="R205" s="17"/>
      <c r="S205" s="17"/>
      <c r="T205" s="18">
        <f t="shared" si="18"/>
        <v>15</v>
      </c>
      <c r="U205" s="67"/>
      <c r="V205" s="67"/>
    </row>
    <row r="206" spans="1:22" s="8" customFormat="1" ht="24.95" customHeight="1" x14ac:dyDescent="0.25">
      <c r="A206" s="45"/>
      <c r="B206" s="23" t="s">
        <v>119</v>
      </c>
      <c r="C206" s="208" t="str">
        <f>+'RESER-SPDA-PEÇAS E CONEXÕES'!B19</f>
        <v>PRÓPRIO</v>
      </c>
      <c r="D206" s="203" t="str">
        <f>+'RESER-SPDA-PEÇAS E CONEXÕES'!C19</f>
        <v>SEINFRA-0032</v>
      </c>
      <c r="E206" s="20"/>
      <c r="F206" s="21"/>
      <c r="G206" s="21"/>
      <c r="H206" s="718" t="str">
        <f>+'RESER-SPDA-PEÇAS E CONEXÕES'!D19</f>
        <v>CAIXA DE INSPEÇÃO PARA ATERRAMENTO, CIRCULAR, EM POLIETILENO, DIÂMETRO INTERNO = 0,3 M. (ADAPTADO DE SINAPI 98111)</v>
      </c>
      <c r="I206" s="718"/>
      <c r="J206" s="718"/>
      <c r="K206" s="718"/>
      <c r="L206" s="718"/>
      <c r="M206" s="719"/>
      <c r="N206" s="22" t="str">
        <f>+'RESER-SPDA-PEÇAS E CONEXÕES'!E19</f>
        <v>UN</v>
      </c>
      <c r="O206" s="17"/>
      <c r="P206" s="17">
        <f>+'RESER-SPDA-PEÇAS E CONEXÕES'!N19</f>
        <v>3</v>
      </c>
      <c r="Q206" s="17"/>
      <c r="R206" s="17"/>
      <c r="S206" s="17"/>
      <c r="T206" s="18">
        <f t="shared" si="18"/>
        <v>3</v>
      </c>
      <c r="U206" s="67"/>
      <c r="V206" s="67"/>
    </row>
    <row r="207" spans="1:22" s="8" customFormat="1" ht="24.95" customHeight="1" x14ac:dyDescent="0.25">
      <c r="A207" s="45"/>
      <c r="B207" s="23" t="s">
        <v>119</v>
      </c>
      <c r="C207" s="208" t="str">
        <f>+'RESER-SPDA-PEÇAS E CONEXÕES'!B20</f>
        <v>GOINFRA</v>
      </c>
      <c r="D207" s="203" t="str">
        <f>+'RESER-SPDA-PEÇAS E CONEXÕES'!C20</f>
        <v>071381</v>
      </c>
      <c r="E207" s="20"/>
      <c r="F207" s="21"/>
      <c r="G207" s="21"/>
      <c r="H207" s="718" t="str">
        <f>+'RESER-SPDA-PEÇAS E CONEXÕES'!D20</f>
        <v xml:space="preserve">HASTE REV.COBRE(COPPERWELD) 5/8" X 3,00 M C/CONECTOR	</v>
      </c>
      <c r="I207" s="718"/>
      <c r="J207" s="718"/>
      <c r="K207" s="718"/>
      <c r="L207" s="718"/>
      <c r="M207" s="719"/>
      <c r="N207" s="22" t="str">
        <f>+'RESER-SPDA-PEÇAS E CONEXÕES'!E20</f>
        <v>UN</v>
      </c>
      <c r="O207" s="17"/>
      <c r="P207" s="17">
        <f>+'RESER-SPDA-PEÇAS E CONEXÕES'!N20</f>
        <v>5</v>
      </c>
      <c r="Q207" s="17"/>
      <c r="R207" s="17"/>
      <c r="S207" s="17"/>
      <c r="T207" s="18">
        <f t="shared" si="18"/>
        <v>5</v>
      </c>
      <c r="U207" s="67"/>
      <c r="V207" s="67"/>
    </row>
    <row r="208" spans="1:22" s="8" customFormat="1" ht="24.95" customHeight="1" x14ac:dyDescent="0.25">
      <c r="A208" s="45"/>
      <c r="B208" s="23" t="s">
        <v>119</v>
      </c>
      <c r="C208" s="208" t="str">
        <f>+'RESER-SPDA-PEÇAS E CONEXÕES'!B21</f>
        <v>GOINFRA</v>
      </c>
      <c r="D208" s="203" t="str">
        <f>+'RESER-SPDA-PEÇAS E CONEXÕES'!C21</f>
        <v>072520</v>
      </c>
      <c r="E208" s="20"/>
      <c r="F208" s="21"/>
      <c r="G208" s="21"/>
      <c r="H208" s="718" t="str">
        <f>+'RESER-SPDA-PEÇAS E CONEXÕES'!D21</f>
        <v xml:space="preserve">TERMINAL DE PRESSAO 16 MM2	</v>
      </c>
      <c r="I208" s="718"/>
      <c r="J208" s="718"/>
      <c r="K208" s="718"/>
      <c r="L208" s="718"/>
      <c r="M208" s="719"/>
      <c r="N208" s="22" t="str">
        <f>+'RESER-SPDA-PEÇAS E CONEXÕES'!E21</f>
        <v>UN</v>
      </c>
      <c r="O208" s="17"/>
      <c r="P208" s="17">
        <f>+'RESER-SPDA-PEÇAS E CONEXÕES'!N21</f>
        <v>6</v>
      </c>
      <c r="Q208" s="17"/>
      <c r="R208" s="17"/>
      <c r="S208" s="17"/>
      <c r="T208" s="18">
        <f t="shared" si="18"/>
        <v>6</v>
      </c>
      <c r="U208" s="67"/>
      <c r="V208" s="67"/>
    </row>
    <row r="209" spans="1:22" s="8" customFormat="1" ht="24.95" customHeight="1" x14ac:dyDescent="0.25">
      <c r="A209" s="45"/>
      <c r="B209" s="23" t="s">
        <v>119</v>
      </c>
      <c r="C209" s="208" t="str">
        <f>+'RESER-SPDA-PEÇAS E CONEXÕES'!B22</f>
        <v>GOINFRA</v>
      </c>
      <c r="D209" s="203" t="str">
        <f>+'RESER-SPDA-PEÇAS E CONEXÕES'!C22</f>
        <v>072528</v>
      </c>
      <c r="E209" s="20"/>
      <c r="F209" s="21"/>
      <c r="G209" s="21"/>
      <c r="H209" s="718" t="str">
        <f>+'RESER-SPDA-PEÇAS E CONEXÕES'!D22</f>
        <v xml:space="preserve">TERMINAL DE PRESSAO 35 MM2	</v>
      </c>
      <c r="I209" s="718"/>
      <c r="J209" s="718"/>
      <c r="K209" s="718"/>
      <c r="L209" s="718"/>
      <c r="M209" s="719"/>
      <c r="N209" s="22" t="str">
        <f>+'RESER-SPDA-PEÇAS E CONEXÕES'!E22</f>
        <v>UN</v>
      </c>
      <c r="O209" s="17"/>
      <c r="P209" s="17">
        <f>+'RESER-SPDA-PEÇAS E CONEXÕES'!N22</f>
        <v>1</v>
      </c>
      <c r="Q209" s="17"/>
      <c r="R209" s="17"/>
      <c r="S209" s="17"/>
      <c r="T209" s="18">
        <f t="shared" si="18"/>
        <v>1</v>
      </c>
      <c r="U209" s="67"/>
      <c r="V209" s="67"/>
    </row>
    <row r="210" spans="1:22" s="8" customFormat="1" ht="24.95" customHeight="1" x14ac:dyDescent="0.25">
      <c r="A210" s="45"/>
      <c r="B210" s="23" t="s">
        <v>119</v>
      </c>
      <c r="C210" s="208" t="str">
        <f>+'RESER-SPDA-PEÇAS E CONEXÕES'!B23</f>
        <v>GOINFRA</v>
      </c>
      <c r="D210" s="203" t="str">
        <f>+'RESER-SPDA-PEÇAS E CONEXÕES'!C23</f>
        <v>071036</v>
      </c>
      <c r="E210" s="20"/>
      <c r="F210" s="21"/>
      <c r="G210" s="21"/>
      <c r="H210" s="718" t="str">
        <f>+'RESER-SPDA-PEÇAS E CONEXÕES'!D23</f>
        <v xml:space="preserve">CONECTOR TIPO PARAFUSO FENDIDO 50 MM2	</v>
      </c>
      <c r="I210" s="718"/>
      <c r="J210" s="718"/>
      <c r="K210" s="718"/>
      <c r="L210" s="718"/>
      <c r="M210" s="719"/>
      <c r="N210" s="22" t="str">
        <f>+'RESER-SPDA-PEÇAS E CONEXÕES'!E23</f>
        <v>UN</v>
      </c>
      <c r="O210" s="17"/>
      <c r="P210" s="17">
        <f>+'RESER-SPDA-PEÇAS E CONEXÕES'!N23</f>
        <v>14</v>
      </c>
      <c r="Q210" s="17"/>
      <c r="R210" s="17"/>
      <c r="S210" s="17"/>
      <c r="T210" s="18">
        <f t="shared" si="18"/>
        <v>14</v>
      </c>
      <c r="U210" s="67"/>
      <c r="V210" s="67"/>
    </row>
    <row r="211" spans="1:22" s="8" customFormat="1" ht="24.95" customHeight="1" x14ac:dyDescent="0.25">
      <c r="A211" s="44"/>
      <c r="B211" s="19"/>
      <c r="C211" s="207"/>
      <c r="D211" s="202"/>
      <c r="E211" s="13"/>
      <c r="F211" s="14"/>
      <c r="G211" s="24"/>
      <c r="H211" s="14"/>
      <c r="I211" s="14"/>
      <c r="J211" s="14"/>
      <c r="K211" s="14"/>
      <c r="L211" s="24"/>
      <c r="M211" s="15"/>
      <c r="N211" s="16"/>
      <c r="O211" s="17"/>
      <c r="P211" s="17"/>
      <c r="Q211" s="17"/>
      <c r="R211" s="17"/>
      <c r="S211" s="17"/>
      <c r="T211" s="18">
        <f t="shared" si="18"/>
        <v>0</v>
      </c>
      <c r="U211" s="67"/>
      <c r="V211" s="67"/>
    </row>
    <row r="212" spans="1:22" s="8" customFormat="1" ht="24.95" customHeight="1" x14ac:dyDescent="0.25">
      <c r="A212" s="44"/>
      <c r="B212" s="12" t="s">
        <v>37</v>
      </c>
      <c r="C212" s="206"/>
      <c r="D212" s="201"/>
      <c r="E212" s="13"/>
      <c r="F212" s="14" t="s">
        <v>849</v>
      </c>
      <c r="G212" s="14"/>
      <c r="H212" s="14"/>
      <c r="I212" s="14"/>
      <c r="J212" s="14"/>
      <c r="K212" s="14"/>
      <c r="L212" s="14"/>
      <c r="M212" s="15"/>
      <c r="N212" s="16"/>
      <c r="O212" s="17"/>
      <c r="P212" s="17"/>
      <c r="Q212" s="17"/>
      <c r="R212" s="17"/>
      <c r="S212" s="17"/>
      <c r="T212" s="18">
        <f t="shared" si="18"/>
        <v>0</v>
      </c>
      <c r="U212" s="67"/>
      <c r="V212" s="67"/>
    </row>
    <row r="213" spans="1:22" s="8" customFormat="1" ht="30" customHeight="1" x14ac:dyDescent="0.25">
      <c r="A213" s="45"/>
      <c r="B213" s="23" t="s">
        <v>120</v>
      </c>
      <c r="C213" s="208" t="str">
        <f>'REDE ABAST-TUBOS E CONEXÕES'!B12</f>
        <v>PRÓPRIO</v>
      </c>
      <c r="D213" s="203" t="str">
        <f>'REDE ABAST-TUBOS E CONEXÕES'!C12</f>
        <v>SEINFRA-0033</v>
      </c>
      <c r="E213" s="20"/>
      <c r="F213" s="21"/>
      <c r="G213" s="21"/>
      <c r="H213" s="718" t="str">
        <f>'REDE ABAST-TUBOS E CONEXÕES'!D12</f>
        <v>CURVA DE 90° DE PVC RÍGIDO - PBA COM 1 PONTA E 1 BOLSA, CLASSE 12, INCLUSIVE FORNECIMENTO DO MATERIAL PARA JUNTA , DN 50 MM. (ADAPTADO DE SCO DR 05.50.0450)</v>
      </c>
      <c r="I213" s="718"/>
      <c r="J213" s="718"/>
      <c r="K213" s="718"/>
      <c r="L213" s="718"/>
      <c r="M213" s="719"/>
      <c r="N213" s="22" t="str">
        <f>'REDE ABAST-TUBOS E CONEXÕES'!E12</f>
        <v>UN</v>
      </c>
      <c r="O213" s="17"/>
      <c r="P213" s="17"/>
      <c r="Q213" s="17">
        <f>'REDE ABAST-TUBOS E CONEXÕES'!N12</f>
        <v>19</v>
      </c>
      <c r="R213" s="17"/>
      <c r="S213" s="17"/>
      <c r="T213" s="18">
        <f t="shared" si="18"/>
        <v>19</v>
      </c>
      <c r="U213" s="67"/>
      <c r="V213" s="67"/>
    </row>
    <row r="214" spans="1:22" s="8" customFormat="1" ht="30" customHeight="1" x14ac:dyDescent="0.25">
      <c r="A214" s="45"/>
      <c r="B214" s="23" t="s">
        <v>121</v>
      </c>
      <c r="C214" s="208" t="str">
        <f>'REDE ABAST-TUBOS E CONEXÕES'!B13</f>
        <v>PRÓPRIO</v>
      </c>
      <c r="D214" s="203" t="str">
        <f>'REDE ABAST-TUBOS E CONEXÕES'!C13</f>
        <v>SEINFRA-0034</v>
      </c>
      <c r="E214" s="20"/>
      <c r="F214" s="21"/>
      <c r="G214" s="21"/>
      <c r="H214" s="718" t="str">
        <f>'REDE ABAST-TUBOS E CONEXÕES'!D13</f>
        <v>TE DE PVC RIGIDO - PBA COM 3 BOLSAS, CLASSE 12, INCLUSIVE FORNECIMENTO DO MATERIAL PARA JUNTA (ANEL DE BORRACHA, LUBRIFICANTE) DIAMETRO DE 100MM. (ADAPTADO DE SCO DR 04.50.1456)</v>
      </c>
      <c r="I214" s="718"/>
      <c r="J214" s="718"/>
      <c r="K214" s="718"/>
      <c r="L214" s="718"/>
      <c r="M214" s="719"/>
      <c r="N214" s="22" t="str">
        <f>'REDE ABAST-TUBOS E CONEXÕES'!E13</f>
        <v>UN</v>
      </c>
      <c r="O214" s="17"/>
      <c r="P214" s="17"/>
      <c r="Q214" s="17">
        <f>'REDE ABAST-TUBOS E CONEXÕES'!N13</f>
        <v>7</v>
      </c>
      <c r="R214" s="17"/>
      <c r="S214" s="17"/>
      <c r="T214" s="18">
        <f t="shared" si="18"/>
        <v>7</v>
      </c>
      <c r="U214" s="67"/>
      <c r="V214" s="67"/>
    </row>
    <row r="215" spans="1:22" s="8" customFormat="1" ht="39.950000000000003" customHeight="1" x14ac:dyDescent="0.25">
      <c r="A215" s="45"/>
      <c r="B215" s="23" t="s">
        <v>122</v>
      </c>
      <c r="C215" s="208" t="str">
        <f>'REDE ABAST-TUBOS E CONEXÕES'!B14</f>
        <v>PRÓPRIO</v>
      </c>
      <c r="D215" s="203" t="str">
        <f>'REDE ABAST-TUBOS E CONEXÕES'!C14</f>
        <v>SEINFRA-0035</v>
      </c>
      <c r="E215" s="20"/>
      <c r="F215" s="21"/>
      <c r="G215" s="21"/>
      <c r="H215" s="718" t="str">
        <f>'REDE ABAST-TUBOS E CONEXÕES'!D14</f>
        <v>REDUCAO DE PVC RIGIDO - PBA COM 1 PONTA E 1 BOLSA, CLASSE 12, INCLUSIVE FORNECIMENTO DO MATERIAL PARA JUNTA (ANEL DE BORRACHA, LUBRIFICANTE) DIAMETRO DE (100X75)MM. (ADAPTADP DE SCO DR 05.50.1203)</v>
      </c>
      <c r="I215" s="718"/>
      <c r="J215" s="718"/>
      <c r="K215" s="718"/>
      <c r="L215" s="718"/>
      <c r="M215" s="719"/>
      <c r="N215" s="22" t="str">
        <f>'REDE ABAST-TUBOS E CONEXÕES'!E14</f>
        <v>UN</v>
      </c>
      <c r="O215" s="17"/>
      <c r="P215" s="17"/>
      <c r="Q215" s="17">
        <f>'REDE ABAST-TUBOS E CONEXÕES'!N14</f>
        <v>1</v>
      </c>
      <c r="R215" s="17"/>
      <c r="S215" s="17"/>
      <c r="T215" s="18">
        <f t="shared" si="18"/>
        <v>1</v>
      </c>
      <c r="U215" s="67"/>
      <c r="V215" s="67"/>
    </row>
    <row r="216" spans="1:22" s="8" customFormat="1" ht="39.950000000000003" customHeight="1" x14ac:dyDescent="0.25">
      <c r="A216" s="45"/>
      <c r="B216" s="23" t="s">
        <v>123</v>
      </c>
      <c r="C216" s="208" t="str">
        <f>'REDE ABAST-TUBOS E CONEXÕES'!B15</f>
        <v>PRÓPRIO</v>
      </c>
      <c r="D216" s="203" t="str">
        <f>'REDE ABAST-TUBOS E CONEXÕES'!C15</f>
        <v>SEINFRA-0036</v>
      </c>
      <c r="E216" s="20"/>
      <c r="F216" s="21"/>
      <c r="G216" s="21"/>
      <c r="H216" s="718" t="str">
        <f>'REDE ABAST-TUBOS E CONEXÕES'!D15</f>
        <v>REDUCAO DE PVC RIGIDO - PBA COM 1 PONTA E 1 BOLSA, CLASSE 12, INCLUSIVE FORNECIMENTO DO MATERIAL PARA JUNTA (ANEL DE BORRACHA, LUBRIFICANTE) DIAMETRO DE (100X50)MM. (ADAPTADO DE SCO DR 05.50.1200) -</v>
      </c>
      <c r="I216" s="718"/>
      <c r="J216" s="718"/>
      <c r="K216" s="718"/>
      <c r="L216" s="718"/>
      <c r="M216" s="719"/>
      <c r="N216" s="22" t="str">
        <f>'REDE ABAST-TUBOS E CONEXÕES'!E15</f>
        <v>UN</v>
      </c>
      <c r="O216" s="17"/>
      <c r="P216" s="17"/>
      <c r="Q216" s="17">
        <f>'REDE ABAST-TUBOS E CONEXÕES'!N15</f>
        <v>10</v>
      </c>
      <c r="R216" s="17"/>
      <c r="S216" s="17"/>
      <c r="T216" s="18">
        <f t="shared" si="18"/>
        <v>10</v>
      </c>
      <c r="U216" s="67"/>
      <c r="V216" s="67"/>
    </row>
    <row r="217" spans="1:22" s="8" customFormat="1" ht="39.950000000000003" customHeight="1" x14ac:dyDescent="0.25">
      <c r="A217" s="45"/>
      <c r="B217" s="23" t="s">
        <v>124</v>
      </c>
      <c r="C217" s="208" t="str">
        <f>'REDE ABAST-TUBOS E CONEXÕES'!B16</f>
        <v>PRÓPRIO</v>
      </c>
      <c r="D217" s="203" t="str">
        <f>'REDE ABAST-TUBOS E CONEXÕES'!C16</f>
        <v>SEINFRA-0037</v>
      </c>
      <c r="E217" s="20"/>
      <c r="F217" s="21"/>
      <c r="G217" s="21"/>
      <c r="H217" s="718" t="str">
        <f>'REDE ABAST-TUBOS E CONEXÕES'!D16</f>
        <v>TE DE REDUCAO DE PVC RIGIDO - PBA COM 3 BOLSAS, CLASSE 12, INCLUSIVE FORNECIMENTO DO MATERIAL PARA JUNTA (ANEL DE BORRACHA, LUBRIFICANTE), DIAMETRO DE (75X50)MM. (ADAPTADO DE SCO DR 05.50.1500)</v>
      </c>
      <c r="I217" s="718"/>
      <c r="J217" s="718"/>
      <c r="K217" s="718"/>
      <c r="L217" s="718"/>
      <c r="M217" s="719"/>
      <c r="N217" s="22" t="str">
        <f>'REDE ABAST-TUBOS E CONEXÕES'!E16</f>
        <v>UN</v>
      </c>
      <c r="O217" s="17"/>
      <c r="P217" s="17"/>
      <c r="Q217" s="17">
        <f>'REDE ABAST-TUBOS E CONEXÕES'!N16</f>
        <v>7</v>
      </c>
      <c r="R217" s="17"/>
      <c r="S217" s="17"/>
      <c r="T217" s="18">
        <f t="shared" si="18"/>
        <v>7</v>
      </c>
      <c r="U217" s="67"/>
      <c r="V217" s="67"/>
    </row>
    <row r="218" spans="1:22" s="8" customFormat="1" ht="39.950000000000003" customHeight="1" x14ac:dyDescent="0.25">
      <c r="A218" s="45"/>
      <c r="B218" s="23" t="s">
        <v>125</v>
      </c>
      <c r="C218" s="208" t="str">
        <f>'REDE ABAST-TUBOS E CONEXÕES'!B17</f>
        <v>PRÓPRIO</v>
      </c>
      <c r="D218" s="203" t="str">
        <f>'REDE ABAST-TUBOS E CONEXÕES'!C17</f>
        <v>SEINFRA-0038</v>
      </c>
      <c r="E218" s="20"/>
      <c r="F218" s="21"/>
      <c r="G218" s="21"/>
      <c r="H218" s="718" t="str">
        <f>'REDE ABAST-TUBOS E CONEXÕES'!D17</f>
        <v>REDUCAO DE PVC RIGIDO - PBA COM 1 PONTA E 1 BOLSA, CLASSE 12, INCLUSIVE FORNECIMENTO DO MATERIAL PARA JUNTA (ANEL DE BORRACHA, LUBRIFICANTE) DIAMETRO DE (75X50)MM. (ADAPTADO DE SCO DR 05.50.1150)</v>
      </c>
      <c r="I218" s="718"/>
      <c r="J218" s="718"/>
      <c r="K218" s="718"/>
      <c r="L218" s="718"/>
      <c r="M218" s="719"/>
      <c r="N218" s="22" t="str">
        <f>'REDE ABAST-TUBOS E CONEXÕES'!E17</f>
        <v>UN</v>
      </c>
      <c r="O218" s="17"/>
      <c r="P218" s="17"/>
      <c r="Q218" s="17">
        <f>'REDE ABAST-TUBOS E CONEXÕES'!N17</f>
        <v>6</v>
      </c>
      <c r="R218" s="17"/>
      <c r="S218" s="17"/>
      <c r="T218" s="18">
        <f t="shared" si="18"/>
        <v>6</v>
      </c>
      <c r="U218" s="67"/>
      <c r="V218" s="67"/>
    </row>
    <row r="219" spans="1:22" s="8" customFormat="1" ht="30" customHeight="1" x14ac:dyDescent="0.25">
      <c r="A219" s="45"/>
      <c r="B219" s="23" t="s">
        <v>126</v>
      </c>
      <c r="C219" s="208" t="str">
        <f>'REDE ABAST-TUBOS E CONEXÕES'!B18</f>
        <v>PRÓPRIO</v>
      </c>
      <c r="D219" s="203" t="str">
        <f>'REDE ABAST-TUBOS E CONEXÕES'!C18</f>
        <v>SEINFRA-0039</v>
      </c>
      <c r="E219" s="20"/>
      <c r="F219" s="21"/>
      <c r="G219" s="21"/>
      <c r="H219" s="718" t="str">
        <f>'REDE ABAST-TUBOS E CONEXÕES'!D18</f>
        <v>LUVA SIMPLES DE PVC RIGIDO - PBA, CLASSE 12, INCLUSIVE FORNECIMENTO DO MATERIAL PARA JUNTA (ANEL DE BORRACHA) COM DIAMETRO NOMINAL DE 50MM.  (ADAPTADO DE SCO DR 05.50.0950)</v>
      </c>
      <c r="I219" s="718"/>
      <c r="J219" s="718"/>
      <c r="K219" s="718"/>
      <c r="L219" s="718"/>
      <c r="M219" s="719"/>
      <c r="N219" s="22" t="str">
        <f>'REDE ABAST-TUBOS E CONEXÕES'!E18</f>
        <v>UN</v>
      </c>
      <c r="O219" s="17"/>
      <c r="P219" s="17"/>
      <c r="Q219" s="17">
        <f>'REDE ABAST-TUBOS E CONEXÕES'!N18</f>
        <v>77</v>
      </c>
      <c r="R219" s="17"/>
      <c r="S219" s="17"/>
      <c r="T219" s="18">
        <f t="shared" si="18"/>
        <v>77</v>
      </c>
      <c r="U219" s="67"/>
      <c r="V219" s="67"/>
    </row>
    <row r="220" spans="1:22" s="8" customFormat="1" ht="30" customHeight="1" x14ac:dyDescent="0.25">
      <c r="A220" s="45"/>
      <c r="B220" s="23" t="s">
        <v>121</v>
      </c>
      <c r="C220" s="208" t="str">
        <f>'REDE ABAST-TUBOS E CONEXÕES'!B19</f>
        <v>PRÓPRIO</v>
      </c>
      <c r="D220" s="203" t="str">
        <f>'REDE ABAST-TUBOS E CONEXÕES'!C19</f>
        <v>SEINFRA-0040</v>
      </c>
      <c r="E220" s="20"/>
      <c r="F220" s="21"/>
      <c r="G220" s="21"/>
      <c r="H220" s="718" t="str">
        <f>'REDE ABAST-TUBOS E CONEXÕES'!D19</f>
        <v>TE DE PVC RIGIDO - PBA COM 3 BOLSAS, CLASSE 12, INCLUSIVE FORNECIMENTO DO MATERIAL PARA JUNTA (ANEL DE BORRACHA, LUBRIFICANTE) DIAMETRO DE 50MM.   (ADAPTADO DE SCO DR 05.50.1450)</v>
      </c>
      <c r="I220" s="718"/>
      <c r="J220" s="718"/>
      <c r="K220" s="718"/>
      <c r="L220" s="718"/>
      <c r="M220" s="719"/>
      <c r="N220" s="22" t="str">
        <f>'REDE ABAST-TUBOS E CONEXÕES'!E19</f>
        <v>UN</v>
      </c>
      <c r="O220" s="17"/>
      <c r="P220" s="17"/>
      <c r="Q220" s="17">
        <f>'REDE ABAST-TUBOS E CONEXÕES'!N19</f>
        <v>48</v>
      </c>
      <c r="R220" s="17"/>
      <c r="S220" s="17"/>
      <c r="T220" s="18">
        <f t="shared" si="18"/>
        <v>48</v>
      </c>
      <c r="U220" s="67"/>
      <c r="V220" s="67"/>
    </row>
    <row r="221" spans="1:22" s="8" customFormat="1" ht="39.950000000000003" customHeight="1" x14ac:dyDescent="0.25">
      <c r="A221" s="45"/>
      <c r="B221" s="23" t="s">
        <v>122</v>
      </c>
      <c r="C221" s="208" t="str">
        <f>'REDE ABAST-TUBOS E CONEXÕES'!B20</f>
        <v>PRÓPRIO</v>
      </c>
      <c r="D221" s="203" t="str">
        <f>'REDE ABAST-TUBOS E CONEXÕES'!C20</f>
        <v>SEINFRA-0041</v>
      </c>
      <c r="E221" s="20"/>
      <c r="F221" s="21"/>
      <c r="G221" s="21"/>
      <c r="H221" s="718" t="str">
        <f>'REDE ABAST-TUBOS E CONEXÕES'!D20</f>
        <v>TE DE REDUCAO DE PVC RIGIDO - PBA COM 3 BOLSAS, CLASSE 12, INCLUSIVE FORNECIMENTO DO MATERIAL PARA JUNTA (ANEL DE BORRACHA, LUBRIFICANTE), DIAMETRO DE (100X50)MM. (ADAPTADO DE SCO DR 05.50.1503)</v>
      </c>
      <c r="I221" s="718"/>
      <c r="J221" s="718"/>
      <c r="K221" s="718"/>
      <c r="L221" s="718"/>
      <c r="M221" s="719"/>
      <c r="N221" s="22" t="str">
        <f>'REDE ABAST-TUBOS E CONEXÕES'!E20</f>
        <v>UN</v>
      </c>
      <c r="O221" s="17"/>
      <c r="P221" s="17"/>
      <c r="Q221" s="17">
        <f>'REDE ABAST-TUBOS E CONEXÕES'!N20</f>
        <v>4</v>
      </c>
      <c r="R221" s="17"/>
      <c r="S221" s="17"/>
      <c r="T221" s="18">
        <f t="shared" si="18"/>
        <v>4</v>
      </c>
      <c r="U221" s="67"/>
      <c r="V221" s="67"/>
    </row>
    <row r="222" spans="1:22" s="8" customFormat="1" ht="30" customHeight="1" x14ac:dyDescent="0.25">
      <c r="A222" s="45"/>
      <c r="B222" s="23" t="s">
        <v>123</v>
      </c>
      <c r="C222" s="208" t="str">
        <f>'REDE ABAST-TUBOS E CONEXÕES'!B21</f>
        <v>PRÓPRIO</v>
      </c>
      <c r="D222" s="203" t="str">
        <f>'REDE ABAST-TUBOS E CONEXÕES'!C21</f>
        <v>SEINFRA-0042</v>
      </c>
      <c r="E222" s="20"/>
      <c r="F222" s="21"/>
      <c r="G222" s="21"/>
      <c r="H222" s="718" t="str">
        <f>'REDE ABAST-TUBOS E CONEXÕES'!D21</f>
        <v>LUVA DE CORRER DE PVC RIGIDO - PBA, CLASSE 12, INCLUSIVE FORNECIMENTO DO MATERIAL PARA JUNTA (ANEL DE BORRACHA) COM DIAMETRO NOMINAL DE 100MM. (ADAPTADO DE SCO DR 05.50.1006)</v>
      </c>
      <c r="I222" s="718"/>
      <c r="J222" s="718"/>
      <c r="K222" s="718"/>
      <c r="L222" s="718"/>
      <c r="M222" s="719"/>
      <c r="N222" s="22" t="str">
        <f>'REDE ABAST-TUBOS E CONEXÕES'!E21</f>
        <v>UN</v>
      </c>
      <c r="O222" s="17"/>
      <c r="P222" s="17"/>
      <c r="Q222" s="17">
        <f>'REDE ABAST-TUBOS E CONEXÕES'!N21</f>
        <v>5</v>
      </c>
      <c r="R222" s="17"/>
      <c r="S222" s="17"/>
      <c r="T222" s="18">
        <f t="shared" si="18"/>
        <v>5</v>
      </c>
      <c r="U222" s="67"/>
      <c r="V222" s="67"/>
    </row>
    <row r="223" spans="1:22" s="8" customFormat="1" ht="30" customHeight="1" x14ac:dyDescent="0.25">
      <c r="A223" s="45"/>
      <c r="B223" s="23" t="s">
        <v>124</v>
      </c>
      <c r="C223" s="208" t="str">
        <f>'REDE ABAST-TUBOS E CONEXÕES'!B22</f>
        <v>PRÓPRIO</v>
      </c>
      <c r="D223" s="203" t="str">
        <f>'REDE ABAST-TUBOS E CONEXÕES'!C22</f>
        <v>SEINFRA-0043</v>
      </c>
      <c r="E223" s="20"/>
      <c r="F223" s="21"/>
      <c r="G223" s="21"/>
      <c r="H223" s="718" t="str">
        <f>'REDE ABAST-TUBOS E CONEXÕES'!D22</f>
        <v>CAP DE PVC RIGIDO - PBA COM 1 BOLSA, CLASSE 12, DIAMETRO DE 100MM. (ADAPTADO DE SCO DR 05.50.0256)</v>
      </c>
      <c r="I223" s="718"/>
      <c r="J223" s="718"/>
      <c r="K223" s="718"/>
      <c r="L223" s="718"/>
      <c r="M223" s="719"/>
      <c r="N223" s="22" t="str">
        <f>'REDE ABAST-TUBOS E CONEXÕES'!E22</f>
        <v>UN</v>
      </c>
      <c r="O223" s="17"/>
      <c r="P223" s="17"/>
      <c r="Q223" s="17">
        <f>'REDE ABAST-TUBOS E CONEXÕES'!N22</f>
        <v>3</v>
      </c>
      <c r="R223" s="17"/>
      <c r="S223" s="17"/>
      <c r="T223" s="18">
        <f t="shared" si="18"/>
        <v>3</v>
      </c>
      <c r="U223" s="67"/>
      <c r="V223" s="67"/>
    </row>
    <row r="224" spans="1:22" s="8" customFormat="1" ht="39.950000000000003" customHeight="1" x14ac:dyDescent="0.25">
      <c r="A224" s="45"/>
      <c r="B224" s="23" t="s">
        <v>125</v>
      </c>
      <c r="C224" s="208" t="str">
        <f>'REDE ABAST-TUBOS E CONEXÕES'!B23</f>
        <v>PRÓPRIO</v>
      </c>
      <c r="D224" s="203" t="str">
        <f>'REDE ABAST-TUBOS E CONEXÕES'!C23</f>
        <v>SEINFRA-0044</v>
      </c>
      <c r="E224" s="20"/>
      <c r="F224" s="21"/>
      <c r="G224" s="21"/>
      <c r="H224" s="718" t="str">
        <f>'REDE ABAST-TUBOS E CONEXÕES'!D23</f>
        <v>CURVA DE 90° DE PVC RIGIDO - PBA COM 1 PONTA E 1 BOLSA, CLASSE 12, INCLUSIVE FORNECIMENTO DO MATERIAL PARA JUNTA (ANEL DE BORRACHA E LUBRIFICANTE) DIAMETRO DE 100MM. (ADAPTADO DE SCO DR 05.50.0456)</v>
      </c>
      <c r="I224" s="718"/>
      <c r="J224" s="718"/>
      <c r="K224" s="718"/>
      <c r="L224" s="718"/>
      <c r="M224" s="719"/>
      <c r="N224" s="22" t="str">
        <f>'REDE ABAST-TUBOS E CONEXÕES'!E23</f>
        <v>UN</v>
      </c>
      <c r="O224" s="17"/>
      <c r="P224" s="17"/>
      <c r="Q224" s="17">
        <f>'REDE ABAST-TUBOS E CONEXÕES'!N23</f>
        <v>1</v>
      </c>
      <c r="R224" s="17"/>
      <c r="S224" s="17"/>
      <c r="T224" s="18">
        <f t="shared" si="18"/>
        <v>1</v>
      </c>
      <c r="U224" s="67"/>
      <c r="V224" s="67"/>
    </row>
    <row r="225" spans="1:22" s="8" customFormat="1" ht="39.950000000000003" customHeight="1" x14ac:dyDescent="0.25">
      <c r="A225" s="45"/>
      <c r="B225" s="23" t="s">
        <v>121</v>
      </c>
      <c r="C225" s="208" t="str">
        <f>'REDE ABAST-TUBOS E CONEXÕES'!B24</f>
        <v>PRÓPRIO</v>
      </c>
      <c r="D225" s="203" t="str">
        <f>'REDE ABAST-TUBOS E CONEXÕES'!C24</f>
        <v>SEINFRA-0046</v>
      </c>
      <c r="E225" s="20"/>
      <c r="F225" s="21"/>
      <c r="G225" s="21"/>
      <c r="H225" s="718" t="str">
        <f>'REDE ABAST-TUBOS E CONEXÕES'!D24</f>
        <v>CURVA DE 45° DE PVC RIGIDO - PBA COM 1 PONTA E 1 BOLSA, CLASSE 12, INCLUSIVE FORNECIMENTO DO MATERIAL PARA JUNTA (ANEL DE BORRACHA E LUBRIFICANTE) DIAMETRO DE 50MM. (ADAPTADO DE SCO DR 05.50.0350)</v>
      </c>
      <c r="I225" s="718"/>
      <c r="J225" s="718"/>
      <c r="K225" s="718"/>
      <c r="L225" s="718"/>
      <c r="M225" s="719"/>
      <c r="N225" s="22" t="str">
        <f>'REDE ABAST-TUBOS E CONEXÕES'!E24</f>
        <v>UN</v>
      </c>
      <c r="O225" s="17"/>
      <c r="P225" s="17"/>
      <c r="Q225" s="17">
        <f>'REDE ABAST-TUBOS E CONEXÕES'!N24</f>
        <v>14</v>
      </c>
      <c r="R225" s="17"/>
      <c r="S225" s="17"/>
      <c r="T225" s="18">
        <f t="shared" si="18"/>
        <v>14</v>
      </c>
      <c r="U225" s="67"/>
      <c r="V225" s="67"/>
    </row>
    <row r="226" spans="1:22" s="8" customFormat="1" ht="30" customHeight="1" x14ac:dyDescent="0.25">
      <c r="A226" s="45"/>
      <c r="B226" s="23" t="s">
        <v>122</v>
      </c>
      <c r="C226" s="208" t="str">
        <f>'REDE ABAST-TUBOS E CONEXÕES'!B25</f>
        <v>PRÓPRIO</v>
      </c>
      <c r="D226" s="203" t="str">
        <f>'REDE ABAST-TUBOS E CONEXÕES'!C25</f>
        <v>SEINFRA-0047</v>
      </c>
      <c r="E226" s="20"/>
      <c r="F226" s="21"/>
      <c r="G226" s="21"/>
      <c r="H226" s="718" t="str">
        <f>'REDE ABAST-TUBOS E CONEXÕES'!D25</f>
        <v>LUVA SIMPLES DE PVC RIGIDO - PBA, CLASSE 12, INCLUSIVE FORNECIMENTO DO MATERIAL PARA JUNTA (ANEL DE BORRACHA) COM DIAMETRO NOMINAL DE 75MM. (ADAPTADO DE SCO DR 05.50.0953)</v>
      </c>
      <c r="I226" s="718"/>
      <c r="J226" s="718"/>
      <c r="K226" s="718"/>
      <c r="L226" s="718"/>
      <c r="M226" s="719"/>
      <c r="N226" s="22" t="str">
        <f>'REDE ABAST-TUBOS E CONEXÕES'!E25</f>
        <v>UN</v>
      </c>
      <c r="O226" s="17"/>
      <c r="P226" s="17"/>
      <c r="Q226" s="17">
        <f>'REDE ABAST-TUBOS E CONEXÕES'!N25</f>
        <v>4</v>
      </c>
      <c r="R226" s="17"/>
      <c r="S226" s="17"/>
      <c r="T226" s="18">
        <f t="shared" si="18"/>
        <v>4</v>
      </c>
      <c r="U226" s="67"/>
      <c r="V226" s="67"/>
    </row>
    <row r="227" spans="1:22" s="8" customFormat="1" ht="30" customHeight="1" x14ac:dyDescent="0.25">
      <c r="A227" s="45"/>
      <c r="B227" s="23" t="s">
        <v>123</v>
      </c>
      <c r="C227" s="208" t="str">
        <f>'REDE ABAST-TUBOS E CONEXÕES'!B26</f>
        <v>PRÓPRIO</v>
      </c>
      <c r="D227" s="203" t="str">
        <f>'REDE ABAST-TUBOS E CONEXÕES'!C26</f>
        <v>SEINFRA-0048</v>
      </c>
      <c r="E227" s="20"/>
      <c r="F227" s="21"/>
      <c r="G227" s="21"/>
      <c r="H227" s="718" t="str">
        <f>'REDE ABAST-TUBOS E CONEXÕES'!D26</f>
        <v>TE DE PVC RIGIDO - PBA COM 3 BOLSAS, CLASSE 12, INCLUSIVE FORNECIMENTO DO MATERIAL PARA JUNTA (ANEL DE BORRACHA, LUBRIFICANTE) DIAMETRO DE 75MM. (ADAPTADO DE SCO DR 05.50.1453)</v>
      </c>
      <c r="I227" s="718"/>
      <c r="J227" s="718"/>
      <c r="K227" s="718"/>
      <c r="L227" s="718"/>
      <c r="M227" s="719"/>
      <c r="N227" s="22" t="str">
        <f>'REDE ABAST-TUBOS E CONEXÕES'!E26</f>
        <v>UN</v>
      </c>
      <c r="O227" s="17"/>
      <c r="P227" s="17"/>
      <c r="Q227" s="17">
        <f>'REDE ABAST-TUBOS E CONEXÕES'!N26</f>
        <v>3</v>
      </c>
      <c r="R227" s="17"/>
      <c r="S227" s="17"/>
      <c r="T227" s="18">
        <f t="shared" si="18"/>
        <v>3</v>
      </c>
      <c r="U227" s="67"/>
      <c r="V227" s="67"/>
    </row>
    <row r="228" spans="1:22" s="8" customFormat="1" ht="30" customHeight="1" x14ac:dyDescent="0.25">
      <c r="A228" s="45"/>
      <c r="B228" s="23" t="s">
        <v>124</v>
      </c>
      <c r="C228" s="208" t="str">
        <f>'REDE ABAST-TUBOS E CONEXÕES'!B27</f>
        <v>PRÓPRIO</v>
      </c>
      <c r="D228" s="203" t="str">
        <f>'REDE ABAST-TUBOS E CONEXÕES'!C27</f>
        <v>SEINFRA-0049</v>
      </c>
      <c r="E228" s="20"/>
      <c r="F228" s="21"/>
      <c r="G228" s="21"/>
      <c r="H228" s="718" t="str">
        <f>'REDE ABAST-TUBOS E CONEXÕES'!D27</f>
        <v>CAP DE PVC RIGIDO - PBA COM 1 BOLSA, CLASSE 12, DIAMETRO DE 50MM. (ADAPTADO DE SCO DR 05.50.0250)</v>
      </c>
      <c r="I228" s="718"/>
      <c r="J228" s="718"/>
      <c r="K228" s="718"/>
      <c r="L228" s="718"/>
      <c r="M228" s="719"/>
      <c r="N228" s="22" t="str">
        <f>'REDE ABAST-TUBOS E CONEXÕES'!E27</f>
        <v>UN</v>
      </c>
      <c r="O228" s="17"/>
      <c r="P228" s="17"/>
      <c r="Q228" s="17">
        <f>'REDE ABAST-TUBOS E CONEXÕES'!N27</f>
        <v>22</v>
      </c>
      <c r="R228" s="17"/>
      <c r="S228" s="17"/>
      <c r="T228" s="18">
        <f t="shared" si="18"/>
        <v>22</v>
      </c>
      <c r="U228" s="67"/>
      <c r="V228" s="67"/>
    </row>
    <row r="229" spans="1:22" s="8" customFormat="1" ht="30" customHeight="1" x14ac:dyDescent="0.25">
      <c r="A229" s="45"/>
      <c r="B229" s="23" t="s">
        <v>125</v>
      </c>
      <c r="C229" s="208" t="str">
        <f>'REDE ABAST-TUBOS E CONEXÕES'!B28</f>
        <v>PRÓPRIO</v>
      </c>
      <c r="D229" s="203" t="str">
        <f>'REDE ABAST-TUBOS E CONEXÕES'!C28</f>
        <v>SEINFRA-0050</v>
      </c>
      <c r="E229" s="20"/>
      <c r="F229" s="21"/>
      <c r="G229" s="21"/>
      <c r="H229" s="718" t="str">
        <f>'REDE ABAST-TUBOS E CONEXÕES'!D28</f>
        <v>CAP DE PVC RIGIDO - PBA COM 1 BOLSA, CLASSE 12, DIAMETRO DE 75MM. (ADAPTADO DE SCO DR 05.50.0253)</v>
      </c>
      <c r="I229" s="718"/>
      <c r="J229" s="718"/>
      <c r="K229" s="718"/>
      <c r="L229" s="718"/>
      <c r="M229" s="719"/>
      <c r="N229" s="22" t="str">
        <f>'REDE ABAST-TUBOS E CONEXÕES'!E28</f>
        <v>UN</v>
      </c>
      <c r="O229" s="17"/>
      <c r="P229" s="17"/>
      <c r="Q229" s="17">
        <f>'REDE ABAST-TUBOS E CONEXÕES'!N28</f>
        <v>7</v>
      </c>
      <c r="R229" s="17"/>
      <c r="S229" s="17"/>
      <c r="T229" s="18">
        <f t="shared" si="18"/>
        <v>7</v>
      </c>
      <c r="U229" s="67"/>
      <c r="V229" s="67"/>
    </row>
    <row r="230" spans="1:22" s="8" customFormat="1" ht="39.950000000000003" customHeight="1" x14ac:dyDescent="0.25">
      <c r="A230" s="45"/>
      <c r="B230" s="23" t="s">
        <v>126</v>
      </c>
      <c r="C230" s="208" t="str">
        <f>'REDE ABAST-TUBOS E CONEXÕES'!B29</f>
        <v>PRÓPRIO</v>
      </c>
      <c r="D230" s="203" t="str">
        <f>'REDE ABAST-TUBOS E CONEXÕES'!C29</f>
        <v>SEINFRA-0051</v>
      </c>
      <c r="E230" s="20"/>
      <c r="F230" s="21"/>
      <c r="G230" s="21"/>
      <c r="H230" s="718" t="str">
        <f>'REDE ABAST-TUBOS E CONEXÕES'!D29</f>
        <v>ASSENTAMENTO E FORNECIMENTO DE TUBO DE PVC PBA PARA REDE DE ÁGUA, DN 50, JUNTA ELÁSTICA INTEGRADA, INSTALADO EM LOCAL COM NÍVEL BAIXO DE INTERFERÊNCIAS (INCLUI FORNECIMENTO). (ADAPTADO DE SINAPI 105285)</v>
      </c>
      <c r="I230" s="718"/>
      <c r="J230" s="718"/>
      <c r="K230" s="718"/>
      <c r="L230" s="718"/>
      <c r="M230" s="719"/>
      <c r="N230" s="22" t="str">
        <f>'REDE ABAST-TUBOS E CONEXÕES'!E29</f>
        <v>M</v>
      </c>
      <c r="O230" s="17"/>
      <c r="P230" s="17"/>
      <c r="Q230" s="17">
        <f>'REDE ABAST-TUBOS E CONEXÕES'!N29</f>
        <v>4031</v>
      </c>
      <c r="R230" s="17"/>
      <c r="S230" s="17"/>
      <c r="T230" s="18">
        <f t="shared" si="18"/>
        <v>4031</v>
      </c>
      <c r="U230" s="67"/>
      <c r="V230" s="67"/>
    </row>
    <row r="231" spans="1:22" s="8" customFormat="1" ht="39.950000000000003" customHeight="1" x14ac:dyDescent="0.25">
      <c r="A231" s="45"/>
      <c r="B231" s="23" t="s">
        <v>121</v>
      </c>
      <c r="C231" s="208" t="str">
        <f>'REDE ABAST-TUBOS E CONEXÕES'!B30</f>
        <v>PRÓPRIO</v>
      </c>
      <c r="D231" s="203" t="str">
        <f>'REDE ABAST-TUBOS E CONEXÕES'!C30</f>
        <v>SEINFRA-0053</v>
      </c>
      <c r="E231" s="20"/>
      <c r="F231" s="21"/>
      <c r="G231" s="21"/>
      <c r="H231" s="718" t="str">
        <f>'REDE ABAST-TUBOS E CONEXÕES'!D30</f>
        <v>ASSENTAMENTO E FORNECIMENTO DE TUBO DE PVC PBA PARA REDE DE ÁGUA, DN 75, JUNTA ELÁSTICA INTEGRADA, INSTALADO EM LOCAL COM NÍVEL BAIXO DE INTERFERÊNCIAS (INCLUI FORNECIMENTO). (ADAPTADO DE SINAPI 105328)</v>
      </c>
      <c r="I231" s="718"/>
      <c r="J231" s="718"/>
      <c r="K231" s="718"/>
      <c r="L231" s="718"/>
      <c r="M231" s="719"/>
      <c r="N231" s="22" t="str">
        <f>'REDE ABAST-TUBOS E CONEXÕES'!E30</f>
        <v>M</v>
      </c>
      <c r="O231" s="17"/>
      <c r="P231" s="17"/>
      <c r="Q231" s="17">
        <f>'REDE ABAST-TUBOS E CONEXÕES'!N30</f>
        <v>452</v>
      </c>
      <c r="R231" s="17"/>
      <c r="S231" s="17"/>
      <c r="T231" s="18">
        <f t="shared" si="18"/>
        <v>452</v>
      </c>
      <c r="U231" s="67"/>
      <c r="V231" s="67"/>
    </row>
    <row r="232" spans="1:22" s="8" customFormat="1" ht="39.950000000000003" customHeight="1" x14ac:dyDescent="0.25">
      <c r="A232" s="45"/>
      <c r="B232" s="23" t="s">
        <v>122</v>
      </c>
      <c r="C232" s="208" t="str">
        <f>'REDE ABAST-TUBOS E CONEXÕES'!B31</f>
        <v>PRÓPRIO</v>
      </c>
      <c r="D232" s="203" t="str">
        <f>'REDE ABAST-TUBOS E CONEXÕES'!C31</f>
        <v>SEINFRA-0054</v>
      </c>
      <c r="E232" s="20"/>
      <c r="F232" s="21"/>
      <c r="G232" s="21"/>
      <c r="H232" s="718" t="str">
        <f>'REDE ABAST-TUBOS E CONEXÕES'!D31</f>
        <v>ASSENTAMENTO E FORNECIMENTO DE TUBO DE PVC PBA PARA REDE DE ÁGUA, DN 100, JUNTA ELÁSTICA INTEGRADA, INSTALADO EM LOCAL COM NÍVEL BAIXO DE INTERFERÊNCIAS (INCLUI FORNECIMENTO). (ADAPTADO DE SINAPI 105330)</v>
      </c>
      <c r="I232" s="718"/>
      <c r="J232" s="718"/>
      <c r="K232" s="718"/>
      <c r="L232" s="718"/>
      <c r="M232" s="719"/>
      <c r="N232" s="22" t="str">
        <f>'REDE ABAST-TUBOS E CONEXÕES'!E31</f>
        <v>M</v>
      </c>
      <c r="O232" s="17"/>
      <c r="P232" s="17"/>
      <c r="Q232" s="17">
        <f>'REDE ABAST-TUBOS E CONEXÕES'!N31</f>
        <v>352</v>
      </c>
      <c r="R232" s="17"/>
      <c r="S232" s="17"/>
      <c r="T232" s="18">
        <f t="shared" si="18"/>
        <v>352</v>
      </c>
      <c r="U232" s="67"/>
      <c r="V232" s="67"/>
    </row>
    <row r="233" spans="1:22" s="8" customFormat="1" ht="39.950000000000003" customHeight="1" x14ac:dyDescent="0.25">
      <c r="A233" s="45"/>
      <c r="B233" s="23" t="s">
        <v>123</v>
      </c>
      <c r="C233" s="208" t="str">
        <f>'REDE ABAST-TUBOS E CONEXÕES'!B32</f>
        <v>PRÓPRIO</v>
      </c>
      <c r="D233" s="203" t="str">
        <f>'REDE ABAST-TUBOS E CONEXÕES'!C32</f>
        <v>SEINFRA-0055</v>
      </c>
      <c r="E233" s="20"/>
      <c r="F233" s="21"/>
      <c r="G233" s="21"/>
      <c r="H233" s="718" t="str">
        <f>'REDE ABAST-TUBOS E CONEXÕES'!D32</f>
        <v>REDUCAO DE PVC RIGIDO - PBA COM 1 PONTA E 1 BOLSA, CLASSE 12, INCLUSIVE FORNECIMENTO DO MATERIAL PARA JUNTA (ANEL DE BORRACHA, LUBRIFICANTE) DIAMETRO DE (100X75)MM. (ADAPTADO DE SCO DR 05.50.1203)</v>
      </c>
      <c r="I233" s="718"/>
      <c r="J233" s="718"/>
      <c r="K233" s="718"/>
      <c r="L233" s="718"/>
      <c r="M233" s="719"/>
      <c r="N233" s="22" t="str">
        <f>'REDE ABAST-TUBOS E CONEXÕES'!E32</f>
        <v>UN</v>
      </c>
      <c r="O233" s="17"/>
      <c r="P233" s="17"/>
      <c r="Q233" s="17">
        <f>'REDE ABAST-TUBOS E CONEXÕES'!N32</f>
        <v>1</v>
      </c>
      <c r="R233" s="17"/>
      <c r="S233" s="17"/>
      <c r="T233" s="18">
        <f t="shared" si="18"/>
        <v>1</v>
      </c>
      <c r="U233" s="67"/>
      <c r="V233" s="67"/>
    </row>
    <row r="234" spans="1:22" s="8" customFormat="1" ht="30" customHeight="1" x14ac:dyDescent="0.25">
      <c r="A234" s="45"/>
      <c r="B234" s="23" t="s">
        <v>124</v>
      </c>
      <c r="C234" s="208" t="str">
        <f>'REDE ABAST-TUBOS E CONEXÕES'!B33</f>
        <v>PRÓPRIO</v>
      </c>
      <c r="D234" s="203" t="str">
        <f>'REDE ABAST-TUBOS E CONEXÕES'!C33</f>
        <v>SEINFRA-0056</v>
      </c>
      <c r="E234" s="20"/>
      <c r="F234" s="21"/>
      <c r="G234" s="21"/>
      <c r="H234" s="718" t="str">
        <f>'REDE ABAST-TUBOS E CONEXÕES'!D33</f>
        <v>CURVA DE 22°30' DE PVC RIGIDO - PBA COM 1 PONTA E 1 BOLSA, CLASSE 12, DIAMETRO DE 50MM. (ADAPTADO DE SCO DR 05.50.0300)</v>
      </c>
      <c r="I234" s="718"/>
      <c r="J234" s="718"/>
      <c r="K234" s="718"/>
      <c r="L234" s="718"/>
      <c r="M234" s="719"/>
      <c r="N234" s="22" t="str">
        <f>'REDE ABAST-TUBOS E CONEXÕES'!E33</f>
        <v>UN</v>
      </c>
      <c r="O234" s="17"/>
      <c r="P234" s="17"/>
      <c r="Q234" s="17">
        <f>'REDE ABAST-TUBOS E CONEXÕES'!N33</f>
        <v>4</v>
      </c>
      <c r="R234" s="17"/>
      <c r="S234" s="17"/>
      <c r="T234" s="18">
        <f t="shared" si="18"/>
        <v>4</v>
      </c>
      <c r="U234" s="67"/>
      <c r="V234" s="67"/>
    </row>
    <row r="235" spans="1:22" s="8" customFormat="1" ht="30" customHeight="1" x14ac:dyDescent="0.25">
      <c r="A235" s="45"/>
      <c r="B235" s="23" t="s">
        <v>125</v>
      </c>
      <c r="C235" s="208" t="str">
        <f>'REDE ABAST-TUBOS E CONEXÕES'!B34</f>
        <v>PRÓPRIO</v>
      </c>
      <c r="D235" s="203" t="str">
        <f>'REDE ABAST-TUBOS E CONEXÕES'!C34</f>
        <v>SEINFRA-0057</v>
      </c>
      <c r="E235" s="20"/>
      <c r="F235" s="21"/>
      <c r="G235" s="21"/>
      <c r="H235" s="718" t="str">
        <f>'REDE ABAST-TUBOS E CONEXÕES'!D34</f>
        <v>FORNECIMENTO DE CURVA 11º15' DE PVC JUNTA ELÁSTICA, PONTA / BOLSA, DIAM. = 50MM (ADAPTADO DE ORSE 7779)</v>
      </c>
      <c r="I235" s="718"/>
      <c r="J235" s="718"/>
      <c r="K235" s="718"/>
      <c r="L235" s="718"/>
      <c r="M235" s="719"/>
      <c r="N235" s="22" t="str">
        <f>'REDE ABAST-TUBOS E CONEXÕES'!E34</f>
        <v>UN</v>
      </c>
      <c r="O235" s="17"/>
      <c r="P235" s="17"/>
      <c r="Q235" s="17">
        <f>'REDE ABAST-TUBOS E CONEXÕES'!N34</f>
        <v>4</v>
      </c>
      <c r="R235" s="17"/>
      <c r="S235" s="17"/>
      <c r="T235" s="18">
        <f t="shared" si="18"/>
        <v>4</v>
      </c>
      <c r="U235" s="67"/>
      <c r="V235" s="67"/>
    </row>
    <row r="236" spans="1:22" s="8" customFormat="1" ht="30" customHeight="1" x14ac:dyDescent="0.25">
      <c r="A236" s="45"/>
      <c r="B236" s="23" t="s">
        <v>121</v>
      </c>
      <c r="C236" s="208" t="str">
        <f>'REDE ABAST-TUBOS E CONEXÕES'!B35</f>
        <v>PRÓPRIO</v>
      </c>
      <c r="D236" s="203" t="str">
        <f>'REDE ABAST-TUBOS E CONEXÕES'!C35</f>
        <v>SEINFRA-0058</v>
      </c>
      <c r="E236" s="20"/>
      <c r="F236" s="21"/>
      <c r="G236" s="21"/>
      <c r="H236" s="718" t="str">
        <f>'REDE ABAST-TUBOS E CONEXÕES'!D35</f>
        <v>REGISTRO DE GAVETA DE FERRO FUNDIDO COM FLANGES; INCLUSIVE FORNECIMENTO DO MATERIAL PARA JUNTA DE CHUMBO E PARAFUSOS, COM DIAMETRO DE 50MM. (ADAPTADO DE SCO DR 15.15.0050)</v>
      </c>
      <c r="I236" s="718"/>
      <c r="J236" s="718"/>
      <c r="K236" s="718"/>
      <c r="L236" s="718"/>
      <c r="M236" s="719"/>
      <c r="N236" s="22" t="str">
        <f>'REDE ABAST-TUBOS E CONEXÕES'!E35</f>
        <v>UN</v>
      </c>
      <c r="O236" s="17"/>
      <c r="P236" s="17"/>
      <c r="Q236" s="17">
        <f>'REDE ABAST-TUBOS E CONEXÕES'!N35</f>
        <v>7</v>
      </c>
      <c r="R236" s="17"/>
      <c r="S236" s="17"/>
      <c r="T236" s="18">
        <f t="shared" ref="T236:T305" si="19">SUM(O236:S236)</f>
        <v>7</v>
      </c>
      <c r="U236" s="67"/>
      <c r="V236" s="67"/>
    </row>
    <row r="237" spans="1:22" s="8" customFormat="1" ht="39.950000000000003" customHeight="1" x14ac:dyDescent="0.25">
      <c r="A237" s="45"/>
      <c r="B237" s="23" t="s">
        <v>122</v>
      </c>
      <c r="C237" s="208" t="str">
        <f>'REDE ABAST-TUBOS E CONEXÕES'!B36</f>
        <v>PRÓPRIO</v>
      </c>
      <c r="D237" s="203" t="str">
        <f>'REDE ABAST-TUBOS E CONEXÕES'!C36</f>
        <v>SEINFRA-0059</v>
      </c>
      <c r="E237" s="20"/>
      <c r="F237" s="21"/>
      <c r="G237" s="21"/>
      <c r="H237" s="718" t="str">
        <f>'REDE ABAST-TUBOS E CONEXÕES'!D36</f>
        <v>ASSENTAMENTO E FORNECIMENTO DE TUBO DE PVC DEFOFO OU PRFV OU RPVC PARA REDE DE ÁGUA, DN 100, JUNTA ELÁSTICA INTEGRADA, INSTALADO EM LOCAL COM NÍVEL BAIXO DE INTERFERÊNCIAS (INCLUI FORNECIMENTO). (ADAPTADO DE SINAPI 105332)</v>
      </c>
      <c r="I237" s="718"/>
      <c r="J237" s="718"/>
      <c r="K237" s="718"/>
      <c r="L237" s="718"/>
      <c r="M237" s="719"/>
      <c r="N237" s="22" t="str">
        <f>'REDE ABAST-TUBOS E CONEXÕES'!E36</f>
        <v>M</v>
      </c>
      <c r="O237" s="17"/>
      <c r="P237" s="17"/>
      <c r="Q237" s="17">
        <f>'REDE ABAST-TUBOS E CONEXÕES'!N36</f>
        <v>15</v>
      </c>
      <c r="R237" s="17"/>
      <c r="S237" s="17"/>
      <c r="T237" s="18">
        <f t="shared" si="19"/>
        <v>15</v>
      </c>
      <c r="U237" s="67"/>
      <c r="V237" s="67"/>
    </row>
    <row r="238" spans="1:22" s="8" customFormat="1" ht="39.950000000000003" customHeight="1" x14ac:dyDescent="0.25">
      <c r="A238" s="45"/>
      <c r="B238" s="23" t="s">
        <v>123</v>
      </c>
      <c r="C238" s="208" t="str">
        <f>'REDE ABAST-TUBOS E CONEXÕES'!B37</f>
        <v>PRÓPRIO</v>
      </c>
      <c r="D238" s="203" t="str">
        <f>'REDE ABAST-TUBOS E CONEXÕES'!C37</f>
        <v>SEINFRA-0060</v>
      </c>
      <c r="E238" s="20"/>
      <c r="F238" s="21"/>
      <c r="G238" s="21"/>
      <c r="H238" s="718" t="str">
        <f>'REDE ABAST-TUBOS E CONEXÕES'!D37</f>
        <v>LUVA DE FERRO FUNDIDO DUCTIL, PINTADO INTERNA E EXTERNAMENTE COM TINTA BETUMINOSA, COM 2 BOLSAS, INCLUSIVE FORNECIMENTO DO MATERIAL PARA JUNTA (ANEL DE BORRACHA), COM DIAMETRO DE 100MM. (ADAPTADO DE SCO DR 10.15.0600)</v>
      </c>
      <c r="I238" s="718"/>
      <c r="J238" s="718"/>
      <c r="K238" s="718"/>
      <c r="L238" s="718"/>
      <c r="M238" s="719"/>
      <c r="N238" s="22" t="str">
        <f>'REDE ABAST-TUBOS E CONEXÕES'!E37</f>
        <v>UN</v>
      </c>
      <c r="O238" s="17"/>
      <c r="P238" s="17"/>
      <c r="Q238" s="17">
        <f>'REDE ABAST-TUBOS E CONEXÕES'!N37</f>
        <v>4</v>
      </c>
      <c r="R238" s="17"/>
      <c r="S238" s="17"/>
      <c r="T238" s="18">
        <f t="shared" si="19"/>
        <v>4</v>
      </c>
      <c r="U238" s="67"/>
      <c r="V238" s="67"/>
    </row>
    <row r="239" spans="1:22" s="8" customFormat="1" ht="30" customHeight="1" x14ac:dyDescent="0.25">
      <c r="A239" s="45"/>
      <c r="B239" s="23" t="s">
        <v>124</v>
      </c>
      <c r="C239" s="208" t="str">
        <f>'REDE ABAST-TUBOS E CONEXÕES'!B38</f>
        <v>PRÓPRIO</v>
      </c>
      <c r="D239" s="203" t="str">
        <f>'REDE ABAST-TUBOS E CONEXÕES'!C38</f>
        <v>SEINFRA-0061</v>
      </c>
      <c r="E239" s="20"/>
      <c r="F239" s="21"/>
      <c r="G239" s="21"/>
      <c r="H239" s="718" t="str">
        <f>'REDE ABAST-TUBOS E CONEXÕES'!D38</f>
        <v>TUBO DE FERRO FUNDIDO, DUCTIL, CLASSE K-9, PN-10, FLANGE - FLANGE, COM DIAMETRO NOMINAL DE 100MM.  (ADAPTADO DE SCO DR 10.05.0053)</v>
      </c>
      <c r="I239" s="718"/>
      <c r="J239" s="718"/>
      <c r="K239" s="718"/>
      <c r="L239" s="718"/>
      <c r="M239" s="719"/>
      <c r="N239" s="22" t="str">
        <f>'REDE ABAST-TUBOS E CONEXÕES'!E38</f>
        <v>M</v>
      </c>
      <c r="O239" s="17"/>
      <c r="P239" s="17"/>
      <c r="Q239" s="17">
        <f>'REDE ABAST-TUBOS E CONEXÕES'!N38</f>
        <v>4.3</v>
      </c>
      <c r="R239" s="17"/>
      <c r="S239" s="17"/>
      <c r="T239" s="18">
        <f t="shared" si="19"/>
        <v>4.3</v>
      </c>
      <c r="U239" s="67"/>
      <c r="V239" s="67"/>
    </row>
    <row r="240" spans="1:22" s="8" customFormat="1" ht="39.950000000000003" customHeight="1" x14ac:dyDescent="0.25">
      <c r="A240" s="45"/>
      <c r="B240" s="23" t="s">
        <v>125</v>
      </c>
      <c r="C240" s="208" t="str">
        <f>'REDE ABAST-TUBOS E CONEXÕES'!B39</f>
        <v>PRÓPRIO</v>
      </c>
      <c r="D240" s="203" t="str">
        <f>'REDE ABAST-TUBOS E CONEXÕES'!C39</f>
        <v>SEINFRA-0062</v>
      </c>
      <c r="E240" s="20"/>
      <c r="F240" s="21"/>
      <c r="G240" s="21"/>
      <c r="H240" s="718" t="str">
        <f>'REDE ABAST-TUBOS E CONEXÕES'!D39</f>
        <v>REGISTRO DE GAVETA CHATO DE FERRO FUNDIDO DUCTIL, PINTADO INTERNA E EXTERNAMENTE COM TINTA BETUMINOSA, COM 2 FLANGES, INCLUSIVE FORNECIMENTO DO MATERIAL PARA JUNTA (ARRUELA DE BORRACHA, PARAFUSOS COM PORCA) COM DIAMETRO DE 100MM. (ADAPTADO DE SCO DR 15.10.0056)</v>
      </c>
      <c r="I240" s="718"/>
      <c r="J240" s="718"/>
      <c r="K240" s="718"/>
      <c r="L240" s="718"/>
      <c r="M240" s="719"/>
      <c r="N240" s="22" t="str">
        <f>'REDE ABAST-TUBOS E CONEXÕES'!E39</f>
        <v>UN</v>
      </c>
      <c r="O240" s="17"/>
      <c r="P240" s="17"/>
      <c r="Q240" s="17">
        <f>'REDE ABAST-TUBOS E CONEXÕES'!N39</f>
        <v>8</v>
      </c>
      <c r="R240" s="17"/>
      <c r="S240" s="17"/>
      <c r="T240" s="18">
        <f t="shared" si="19"/>
        <v>8</v>
      </c>
      <c r="U240" s="67"/>
      <c r="V240" s="67"/>
    </row>
    <row r="241" spans="1:22" s="8" customFormat="1" ht="39.950000000000003" customHeight="1" x14ac:dyDescent="0.25">
      <c r="A241" s="45"/>
      <c r="B241" s="23" t="s">
        <v>126</v>
      </c>
      <c r="C241" s="208" t="str">
        <f>'REDE ABAST-TUBOS E CONEXÕES'!B40</f>
        <v>PRÓPRIO</v>
      </c>
      <c r="D241" s="203" t="str">
        <f>'REDE ABAST-TUBOS E CONEXÕES'!C40</f>
        <v>SEINFRA-0063</v>
      </c>
      <c r="E241" s="20"/>
      <c r="F241" s="21"/>
      <c r="G241" s="21"/>
      <c r="H241" s="718" t="str">
        <f>'REDE ABAST-TUBOS E CONEXÕES'!D40</f>
        <v>HIDRANTE DE COLUNA COMPLETO, PARA LINHA DE 100MM; INCLUSIVE PECAS COMPLEMENTARES ATE O INICIO DA TUBULACAO HORIZONTAL E FORNECIMENTO DO MATERIAL PARA REJUNTAMENTO. FORNECIMENTO E INSTALACAO. (ADAPTADO DE SCO IT 10.20.0050)</v>
      </c>
      <c r="I241" s="718"/>
      <c r="J241" s="718"/>
      <c r="K241" s="718"/>
      <c r="L241" s="718"/>
      <c r="M241" s="719"/>
      <c r="N241" s="22" t="str">
        <f>'REDE ABAST-TUBOS E CONEXÕES'!E40</f>
        <v>UN</v>
      </c>
      <c r="O241" s="17"/>
      <c r="P241" s="17"/>
      <c r="Q241" s="17">
        <f>'REDE ABAST-TUBOS E CONEXÕES'!N40</f>
        <v>2</v>
      </c>
      <c r="R241" s="17"/>
      <c r="S241" s="17"/>
      <c r="T241" s="18">
        <f t="shared" si="19"/>
        <v>2</v>
      </c>
      <c r="U241" s="67"/>
      <c r="V241" s="67"/>
    </row>
    <row r="242" spans="1:22" s="8" customFormat="1" ht="39.950000000000003" customHeight="1" x14ac:dyDescent="0.25">
      <c r="A242" s="45"/>
      <c r="B242" s="23" t="s">
        <v>121</v>
      </c>
      <c r="C242" s="208" t="str">
        <f>'REDE ABAST-TUBOS E CONEXÕES'!B41</f>
        <v>PRÓPRIO</v>
      </c>
      <c r="D242" s="203" t="str">
        <f>'REDE ABAST-TUBOS E CONEXÕES'!C41</f>
        <v>SEINFRA-0064</v>
      </c>
      <c r="E242" s="20"/>
      <c r="F242" s="21"/>
      <c r="G242" s="21"/>
      <c r="H242" s="718" t="str">
        <f>'REDE ABAST-TUBOS E CONEXÕES'!D41</f>
        <v>TE DE FERRO FUNDIDO DUCTIL, PINTADO INTERNA E EXTERNAMENTE COM TINTA BETUMINOSA, COM 3 BOLSAS, INCLUSIVE FORNECIMENTO DO MATERIAL PARA JUNTA (ANEL DE BORRACHA), COM DIAMETRO NOMINAL DE (150X100)MM. (ADAPTADO DE SCO DR 10.15.0871)</v>
      </c>
      <c r="I242" s="718"/>
      <c r="J242" s="718"/>
      <c r="K242" s="718"/>
      <c r="L242" s="718"/>
      <c r="M242" s="719"/>
      <c r="N242" s="22" t="str">
        <f>'REDE ABAST-TUBOS E CONEXÕES'!E41</f>
        <v>UN</v>
      </c>
      <c r="O242" s="17"/>
      <c r="P242" s="17"/>
      <c r="Q242" s="17">
        <f>'REDE ABAST-TUBOS E CONEXÕES'!N41</f>
        <v>3</v>
      </c>
      <c r="R242" s="17"/>
      <c r="S242" s="17"/>
      <c r="T242" s="18">
        <f t="shared" si="19"/>
        <v>3</v>
      </c>
      <c r="U242" s="67"/>
      <c r="V242" s="67"/>
    </row>
    <row r="243" spans="1:22" s="8" customFormat="1" ht="24.95" customHeight="1" x14ac:dyDescent="0.25">
      <c r="A243" s="45"/>
      <c r="B243" s="23" t="s">
        <v>122</v>
      </c>
      <c r="C243" s="208" t="str">
        <f>'REDE ABAST-TUBOS E CONEXÕES'!B42</f>
        <v>PRÓPRIO</v>
      </c>
      <c r="D243" s="203" t="str">
        <f>'REDE ABAST-TUBOS E CONEXÕES'!C42</f>
        <v>SEINFRA-0065</v>
      </c>
      <c r="E243" s="20"/>
      <c r="F243" s="21"/>
      <c r="G243" s="21"/>
      <c r="H243" s="718" t="str">
        <f>'REDE ABAST-TUBOS E CONEXÕES'!D42</f>
        <v>JUNTA DE DESMONTAGEM TRAVADA AXIALMENTE COM TIRANTES, PN-10, DN 100 MM. (ADAPTADO DE ORSE 3109)</v>
      </c>
      <c r="I243" s="718"/>
      <c r="J243" s="718"/>
      <c r="K243" s="718"/>
      <c r="L243" s="718"/>
      <c r="M243" s="719"/>
      <c r="N243" s="22" t="str">
        <f>'REDE ABAST-TUBOS E CONEXÕES'!E42</f>
        <v>UN</v>
      </c>
      <c r="O243" s="17"/>
      <c r="P243" s="17"/>
      <c r="Q243" s="17">
        <f>'REDE ABAST-TUBOS E CONEXÕES'!N42</f>
        <v>2</v>
      </c>
      <c r="R243" s="17"/>
      <c r="S243" s="17"/>
      <c r="T243" s="18">
        <f t="shared" si="19"/>
        <v>2</v>
      </c>
      <c r="U243" s="67"/>
      <c r="V243" s="67"/>
    </row>
    <row r="244" spans="1:22" s="8" customFormat="1" ht="24.95" customHeight="1" x14ac:dyDescent="0.25">
      <c r="A244" s="45"/>
      <c r="B244" s="23" t="s">
        <v>123</v>
      </c>
      <c r="C244" s="208" t="str">
        <f>'REDE ABAST-TUBOS E CONEXÕES'!B43</f>
        <v>PRÓPRIO</v>
      </c>
      <c r="D244" s="203" t="str">
        <f>'REDE ABAST-TUBOS E CONEXÕES'!C43</f>
        <v>SEINFRA-0066</v>
      </c>
      <c r="E244" s="20"/>
      <c r="F244" s="21"/>
      <c r="G244" s="21"/>
      <c r="H244" s="718" t="str">
        <f>'REDE ABAST-TUBOS E CONEXÕES'!D43</f>
        <v>REGISTRO DE GAVETA BRUTO DIAMETRO 1". (ADAPTADO DE GOINFRA CIVIL 080903)</v>
      </c>
      <c r="I244" s="718"/>
      <c r="J244" s="718"/>
      <c r="K244" s="718"/>
      <c r="L244" s="718"/>
      <c r="M244" s="719"/>
      <c r="N244" s="22" t="str">
        <f>'REDE ABAST-TUBOS E CONEXÕES'!E43</f>
        <v>UN</v>
      </c>
      <c r="O244" s="17"/>
      <c r="P244" s="17"/>
      <c r="Q244" s="17">
        <f>'REDE ABAST-TUBOS E CONEXÕES'!N43</f>
        <v>1</v>
      </c>
      <c r="R244" s="17"/>
      <c r="S244" s="17"/>
      <c r="T244" s="18">
        <f t="shared" si="19"/>
        <v>1</v>
      </c>
      <c r="U244" s="67"/>
      <c r="V244" s="67"/>
    </row>
    <row r="245" spans="1:22" s="8" customFormat="1" ht="39.950000000000003" customHeight="1" x14ac:dyDescent="0.25">
      <c r="A245" s="45"/>
      <c r="B245" s="23" t="s">
        <v>124</v>
      </c>
      <c r="C245" s="208" t="str">
        <f>'REDE ABAST-TUBOS E CONEXÕES'!B44</f>
        <v>PRÓPRIO</v>
      </c>
      <c r="D245" s="203" t="str">
        <f>'REDE ABAST-TUBOS E CONEXÕES'!C44</f>
        <v>SEINFRA-0067</v>
      </c>
      <c r="E245" s="20"/>
      <c r="F245" s="21"/>
      <c r="G245" s="21"/>
      <c r="H245" s="718" t="str">
        <f>'REDE ABAST-TUBOS E CONEXÕES'!D44</f>
        <v>LUVA DE FERRO FUNDIDO DUCTIL, PINTADO INTERNA E EXTERNAMENTE COM TINTA BETUMINOSA, COM 2 BOLSAS, INCLUSIVE FORNECIMENTO DO MATERIAL PARA JUNTA (ANEL DE BORRACHA), COM DIAMETRO DE 150MM. (ADAPTADO DE SCO DR 10.15.0603)</v>
      </c>
      <c r="I245" s="718"/>
      <c r="J245" s="718"/>
      <c r="K245" s="718"/>
      <c r="L245" s="718"/>
      <c r="M245" s="719"/>
      <c r="N245" s="22" t="str">
        <f>'REDE ABAST-TUBOS E CONEXÕES'!E44</f>
        <v>UN</v>
      </c>
      <c r="O245" s="17"/>
      <c r="P245" s="17"/>
      <c r="Q245" s="17">
        <f>'REDE ABAST-TUBOS E CONEXÕES'!N44</f>
        <v>2</v>
      </c>
      <c r="R245" s="17"/>
      <c r="S245" s="17"/>
      <c r="T245" s="18">
        <f t="shared" si="19"/>
        <v>2</v>
      </c>
      <c r="U245" s="67"/>
      <c r="V245" s="67"/>
    </row>
    <row r="246" spans="1:22" s="8" customFormat="1" ht="39.950000000000003" customHeight="1" x14ac:dyDescent="0.25">
      <c r="A246" s="45"/>
      <c r="B246" s="23" t="s">
        <v>125</v>
      </c>
      <c r="C246" s="208" t="str">
        <f>'REDE ABAST-TUBOS E CONEXÕES'!B45</f>
        <v>PRÓPRIO</v>
      </c>
      <c r="D246" s="203" t="str">
        <f>'REDE ABAST-TUBOS E CONEXÕES'!C45</f>
        <v>SEINFRA-0068</v>
      </c>
      <c r="E246" s="20"/>
      <c r="F246" s="21"/>
      <c r="G246" s="21"/>
      <c r="H246" s="718" t="str">
        <f>'REDE ABAST-TUBOS E CONEXÕES'!D45</f>
        <v>REDUCAO DE FERRO FUNDIDO DUCTIL, PINTADA INTERNA E EXTERNAMENTE COM TINTA BETUMINOSA, COM PONTA E BOLSA, INCLUSIVE FORNECIMENTO DO MATERIAL PARA JUNTA (ANEL DE BORRACHA), COM DIAMETRO NOMINAL DE (150X100)MM. (ADAPTADO DE SCO DR 10.15.0662)</v>
      </c>
      <c r="I246" s="718"/>
      <c r="J246" s="718"/>
      <c r="K246" s="718"/>
      <c r="L246" s="718"/>
      <c r="M246" s="719"/>
      <c r="N246" s="22" t="str">
        <f>'REDE ABAST-TUBOS E CONEXÕES'!E45</f>
        <v>UN</v>
      </c>
      <c r="O246" s="17"/>
      <c r="P246" s="17"/>
      <c r="Q246" s="17">
        <f>'REDE ABAST-TUBOS E CONEXÕES'!N45</f>
        <v>1</v>
      </c>
      <c r="R246" s="17"/>
      <c r="S246" s="17"/>
      <c r="T246" s="18">
        <f t="shared" si="19"/>
        <v>1</v>
      </c>
      <c r="U246" s="67"/>
      <c r="V246" s="67"/>
    </row>
    <row r="247" spans="1:22" s="8" customFormat="1" ht="24.95" customHeight="1" x14ac:dyDescent="0.25">
      <c r="A247" s="45"/>
      <c r="B247" s="23" t="s">
        <v>121</v>
      </c>
      <c r="C247" s="208" t="str">
        <f>'REDE ABAST-TUBOS E CONEXÕES'!B46</f>
        <v>ORSE</v>
      </c>
      <c r="D247" s="203">
        <f>'REDE ABAST-TUBOS E CONEXÕES'!C46</f>
        <v>4213</v>
      </c>
      <c r="E247" s="20"/>
      <c r="F247" s="21"/>
      <c r="G247" s="21"/>
      <c r="H247" s="718" t="str">
        <f>'REDE ABAST-TUBOS E CONEXÕES'!D46</f>
        <v>ARRUELA DE BORRACHA PARA JUNTA C/ FLANGE PN 10, D= 100MM, FORNECIMENTO</v>
      </c>
      <c r="I247" s="718"/>
      <c r="J247" s="718"/>
      <c r="K247" s="718"/>
      <c r="L247" s="718"/>
      <c r="M247" s="719"/>
      <c r="N247" s="22" t="str">
        <f>'REDE ABAST-TUBOS E CONEXÕES'!E46</f>
        <v>UN</v>
      </c>
      <c r="O247" s="17"/>
      <c r="P247" s="17"/>
      <c r="Q247" s="17">
        <f>'REDE ABAST-TUBOS E CONEXÕES'!N46</f>
        <v>10</v>
      </c>
      <c r="R247" s="17"/>
      <c r="S247" s="17"/>
      <c r="T247" s="18">
        <f t="shared" si="19"/>
        <v>10</v>
      </c>
      <c r="U247" s="67"/>
      <c r="V247" s="67"/>
    </row>
    <row r="248" spans="1:22" s="8" customFormat="1" ht="24.95" customHeight="1" x14ac:dyDescent="0.25">
      <c r="A248" s="45"/>
      <c r="B248" s="23" t="s">
        <v>122</v>
      </c>
      <c r="C248" s="208" t="str">
        <f>'REDE ABAST-TUBOS E CONEXÕES'!B47</f>
        <v>PRÓPRIO</v>
      </c>
      <c r="D248" s="203" t="str">
        <f>'REDE ABAST-TUBOS E CONEXÕES'!C47</f>
        <v>SEINFRA-0069</v>
      </c>
      <c r="E248" s="20"/>
      <c r="F248" s="21"/>
      <c r="G248" s="21"/>
      <c r="H248" s="718" t="str">
        <f>'REDE ABAST-TUBOS E CONEXÕES'!D47</f>
        <v>PARAFUSO PARA FLANGES DN 100 MM, PN-10. (ADAPTADO DE ORSE 4213)</v>
      </c>
      <c r="I248" s="718"/>
      <c r="J248" s="718"/>
      <c r="K248" s="718"/>
      <c r="L248" s="718"/>
      <c r="M248" s="719"/>
      <c r="N248" s="22" t="str">
        <f>'REDE ABAST-TUBOS E CONEXÕES'!E47</f>
        <v>UN</v>
      </c>
      <c r="O248" s="17"/>
      <c r="P248" s="17"/>
      <c r="Q248" s="17">
        <f>'REDE ABAST-TUBOS E CONEXÕES'!N47</f>
        <v>80</v>
      </c>
      <c r="R248" s="17"/>
      <c r="S248" s="17"/>
      <c r="T248" s="18">
        <f t="shared" si="19"/>
        <v>80</v>
      </c>
      <c r="U248" s="67"/>
      <c r="V248" s="67"/>
    </row>
    <row r="249" spans="1:22" s="8" customFormat="1" ht="24.95" customHeight="1" x14ac:dyDescent="0.25">
      <c r="A249" s="45"/>
      <c r="B249" s="23" t="s">
        <v>123</v>
      </c>
      <c r="C249" s="208" t="str">
        <f>'REDE ABAST-TUBOS E CONEXÕES'!B48</f>
        <v>PRÓPRIO</v>
      </c>
      <c r="D249" s="203" t="str">
        <f>'REDE ABAST-TUBOS E CONEXÕES'!C48</f>
        <v>SEINFRA-0070</v>
      </c>
      <c r="E249" s="20"/>
      <c r="F249" s="21"/>
      <c r="G249" s="21"/>
      <c r="H249" s="718" t="str">
        <f>'REDE ABAST-TUBOS E CONEXÕES'!D48</f>
        <v>HIDRÔMETRO EM FERRO FUNDIDO, DIÂMETRO 100 MM (4´). (ADAPTADO DE CPOS 45.03.030</v>
      </c>
      <c r="I249" s="718"/>
      <c r="J249" s="718"/>
      <c r="K249" s="718"/>
      <c r="L249" s="718"/>
      <c r="M249" s="719"/>
      <c r="N249" s="22" t="str">
        <f>'REDE ABAST-TUBOS E CONEXÕES'!E48</f>
        <v>UN</v>
      </c>
      <c r="O249" s="17"/>
      <c r="P249" s="17"/>
      <c r="Q249" s="17">
        <f>'REDE ABAST-TUBOS E CONEXÕES'!N48</f>
        <v>2</v>
      </c>
      <c r="R249" s="17"/>
      <c r="S249" s="17"/>
      <c r="T249" s="18">
        <f t="shared" si="19"/>
        <v>2</v>
      </c>
      <c r="U249" s="67"/>
      <c r="V249" s="67"/>
    </row>
    <row r="250" spans="1:22" s="8" customFormat="1" ht="30" customHeight="1" x14ac:dyDescent="0.25">
      <c r="A250" s="45"/>
      <c r="B250" s="23" t="s">
        <v>124</v>
      </c>
      <c r="C250" s="208" t="str">
        <f>'REDE ABAST-TUBOS E CONEXÕES'!B49</f>
        <v>PRÓPRIO</v>
      </c>
      <c r="D250" s="203" t="str">
        <f>'REDE ABAST-TUBOS E CONEXÕES'!C49</f>
        <v>SEINFRA-0071</v>
      </c>
      <c r="E250" s="20"/>
      <c r="F250" s="21"/>
      <c r="G250" s="21"/>
      <c r="H250" s="718" t="str">
        <f>'REDE ABAST-TUBOS E CONEXÕES'!D49</f>
        <v>REGISTRO DE GAVETA DE FERRO FUNDIDO COM FLANGES; INCLUSIVE FORNECIMENTO DO MATERIAL PARA JUNTA DE CHUMBO E PARAFUSOS, COM DIAMETRO DE 100MM. (ADAPTADO DE SCO DR 15.15.0056)</v>
      </c>
      <c r="I250" s="718"/>
      <c r="J250" s="718"/>
      <c r="K250" s="718"/>
      <c r="L250" s="718"/>
      <c r="M250" s="719"/>
      <c r="N250" s="22" t="str">
        <f>'REDE ABAST-TUBOS E CONEXÕES'!E49</f>
        <v>UN</v>
      </c>
      <c r="O250" s="17"/>
      <c r="P250" s="17"/>
      <c r="Q250" s="17">
        <f>'REDE ABAST-TUBOS E CONEXÕES'!N49</f>
        <v>2</v>
      </c>
      <c r="R250" s="17"/>
      <c r="S250" s="17"/>
      <c r="T250" s="18">
        <f t="shared" si="19"/>
        <v>2</v>
      </c>
      <c r="U250" s="67"/>
      <c r="V250" s="67"/>
    </row>
    <row r="251" spans="1:22" s="8" customFormat="1" ht="54.95" customHeight="1" x14ac:dyDescent="0.25">
      <c r="A251" s="45"/>
      <c r="B251" s="23" t="s">
        <v>125</v>
      </c>
      <c r="C251" s="208" t="str">
        <f>'REDE ABAST-TUBOS E CONEXÕES'!B50</f>
        <v>PRÓPRIO</v>
      </c>
      <c r="D251" s="203" t="str">
        <f>'REDE ABAST-TUBOS E CONEXÕES'!C50</f>
        <v>SEINFRA-0072</v>
      </c>
      <c r="E251" s="20"/>
      <c r="F251" s="21"/>
      <c r="G251" s="21"/>
      <c r="H251" s="718" t="str">
        <f>'REDE ABAST-TUBOS E CONEXÕES'!D50</f>
        <v>EXTREMIDADE COM ABA DE VEDACAO DE FERRO FUNDIDO DUCTIL, PINTADA INTERNAMENTE E EXTERNAMENTE COM TINTA BETUMINOSA, COM 1 FLANGE E 1 PONTA, INCLUSIVE FORNECIMENTO DO MATERIAL PARA JUNTA (ARRUELA DE BORRACHA, PARAFUSOS COM PORCA), COM DIAMETRO DE 100MM. (ADAPTADO DE SCO 10.15.0400)</v>
      </c>
      <c r="I251" s="718"/>
      <c r="J251" s="718"/>
      <c r="K251" s="718"/>
      <c r="L251" s="718"/>
      <c r="M251" s="719"/>
      <c r="N251" s="22" t="str">
        <f>'REDE ABAST-TUBOS E CONEXÕES'!E50</f>
        <v>UN</v>
      </c>
      <c r="O251" s="17"/>
      <c r="P251" s="17"/>
      <c r="Q251" s="17">
        <f>'REDE ABAST-TUBOS E CONEXÕES'!N50</f>
        <v>2</v>
      </c>
      <c r="R251" s="17"/>
      <c r="S251" s="17"/>
      <c r="T251" s="18">
        <f t="shared" si="19"/>
        <v>2</v>
      </c>
      <c r="U251" s="67"/>
      <c r="V251" s="67"/>
    </row>
    <row r="252" spans="1:22" s="8" customFormat="1" ht="54.95" customHeight="1" x14ac:dyDescent="0.25">
      <c r="A252" s="45"/>
      <c r="B252" s="23" t="s">
        <v>126</v>
      </c>
      <c r="C252" s="208" t="str">
        <f>'REDE ABAST-TUBOS E CONEXÕES'!B51</f>
        <v>PRÓPRIO</v>
      </c>
      <c r="D252" s="203" t="str">
        <f>'REDE ABAST-TUBOS E CONEXÕES'!C51</f>
        <v>SEINFRA-0073</v>
      </c>
      <c r="E252" s="20"/>
      <c r="F252" s="21"/>
      <c r="G252" s="21"/>
      <c r="H252" s="718" t="str">
        <f>'REDE ABAST-TUBOS E CONEXÕES'!D51</f>
        <v>TOCO DE FERRO FUNDIDO DUCTIL, PINTADO INTERNA E EXTERNAMENTE COM TINTA BETUMINOSA, COM 2 FLANGES, INCLUSIVE FORNECIMENTO DO MATERIAL PARA JUNTA (ARRUELA DE BORRACHA, PARAFUSOS COM PORCA), COMPRIMENTO DE 0,25M COM DIAMETRO DE 100MM. (ADAPTADO DE SCO DR 10.15.1053)</v>
      </c>
      <c r="I252" s="718"/>
      <c r="J252" s="718"/>
      <c r="K252" s="718"/>
      <c r="L252" s="718"/>
      <c r="M252" s="719"/>
      <c r="N252" s="22" t="str">
        <f>'REDE ABAST-TUBOS E CONEXÕES'!E51</f>
        <v>UN</v>
      </c>
      <c r="O252" s="17"/>
      <c r="P252" s="17"/>
      <c r="Q252" s="17">
        <f>'REDE ABAST-TUBOS E CONEXÕES'!N51</f>
        <v>1</v>
      </c>
      <c r="R252" s="17"/>
      <c r="S252" s="17"/>
      <c r="T252" s="18">
        <f t="shared" si="19"/>
        <v>1</v>
      </c>
      <c r="U252" s="67"/>
      <c r="V252" s="67"/>
    </row>
    <row r="253" spans="1:22" s="8" customFormat="1" ht="30" customHeight="1" x14ac:dyDescent="0.25">
      <c r="A253" s="45"/>
      <c r="B253" s="23" t="s">
        <v>121</v>
      </c>
      <c r="C253" s="208" t="str">
        <f>'REDE ABAST-TUBOS E CONEXÕES'!B52</f>
        <v>PRÓPRIO</v>
      </c>
      <c r="D253" s="203" t="str">
        <f>'REDE ABAST-TUBOS E CONEXÕES'!C52</f>
        <v>SEINFRA-0074</v>
      </c>
      <c r="E253" s="20"/>
      <c r="F253" s="21"/>
      <c r="G253" s="21"/>
      <c r="H253" s="718" t="str">
        <f>'REDE ABAST-TUBOS E CONEXÕES'!D52</f>
        <v>FORNECIMENTO DE REDUÇÃO EXCENTRICA EM FERRO FUNDIDO, COM FLANGES PN 10 / 16, DIAM. =  100 X   50MM (ADAPTADO DE ORSE 11315 E 5282)</v>
      </c>
      <c r="I253" s="718"/>
      <c r="J253" s="718"/>
      <c r="K253" s="718"/>
      <c r="L253" s="718"/>
      <c r="M253" s="719"/>
      <c r="N253" s="22" t="str">
        <f>'REDE ABAST-TUBOS E CONEXÕES'!E52</f>
        <v>UN</v>
      </c>
      <c r="O253" s="17"/>
      <c r="P253" s="17"/>
      <c r="Q253" s="17">
        <f>'REDE ABAST-TUBOS E CONEXÕES'!N52</f>
        <v>2</v>
      </c>
      <c r="R253" s="17"/>
      <c r="S253" s="17"/>
      <c r="T253" s="18">
        <f t="shared" si="19"/>
        <v>2</v>
      </c>
      <c r="U253" s="67"/>
      <c r="V253" s="67"/>
    </row>
    <row r="254" spans="1:22" s="8" customFormat="1" ht="30" customHeight="1" x14ac:dyDescent="0.25">
      <c r="A254" s="45"/>
      <c r="B254" s="23" t="s">
        <v>122</v>
      </c>
      <c r="C254" s="208" t="str">
        <f>'REDE ABAST-TUBOS E CONEXÕES'!B53</f>
        <v>PRÓPRIO</v>
      </c>
      <c r="D254" s="203" t="str">
        <f>'REDE ABAST-TUBOS E CONEXÕES'!C53</f>
        <v>SEINFRA-0075</v>
      </c>
      <c r="E254" s="20"/>
      <c r="F254" s="21"/>
      <c r="G254" s="21"/>
      <c r="H254" s="718" t="str">
        <f>'REDE ABAST-TUBOS E CONEXÕES'!D53</f>
        <v>VALVULA REDUTORA DE PRESSAO COM ROSCAS DE FERRO FUNDIDO DUCTIL, CLASSE 1MPA, COM DIAMETRO DE 2". (ADAPTADO DE SCO DR 15.30.0059)</v>
      </c>
      <c r="I254" s="718"/>
      <c r="J254" s="718"/>
      <c r="K254" s="718"/>
      <c r="L254" s="718"/>
      <c r="M254" s="719"/>
      <c r="N254" s="22" t="str">
        <f>'REDE ABAST-TUBOS E CONEXÕES'!E53</f>
        <v>UN</v>
      </c>
      <c r="O254" s="17"/>
      <c r="P254" s="17"/>
      <c r="Q254" s="17">
        <f>'REDE ABAST-TUBOS E CONEXÕES'!N53</f>
        <v>1</v>
      </c>
      <c r="R254" s="17"/>
      <c r="S254" s="17"/>
      <c r="T254" s="18">
        <f t="shared" si="19"/>
        <v>1</v>
      </c>
      <c r="U254" s="67"/>
      <c r="V254" s="67"/>
    </row>
    <row r="255" spans="1:22" s="8" customFormat="1" ht="50.1" customHeight="1" x14ac:dyDescent="0.25">
      <c r="A255" s="45"/>
      <c r="B255" s="23" t="s">
        <v>123</v>
      </c>
      <c r="C255" s="208" t="str">
        <f>'REDE ABAST-TUBOS E CONEXÕES'!B54</f>
        <v>PRÓPRIO</v>
      </c>
      <c r="D255" s="203" t="str">
        <f>'REDE ABAST-TUBOS E CONEXÕES'!C54</f>
        <v>SEINFRA-0076</v>
      </c>
      <c r="E255" s="20"/>
      <c r="F255" s="21"/>
      <c r="G255" s="21"/>
      <c r="H255" s="718" t="str">
        <f>'REDE ABAST-TUBOS E CONEXÕES'!D54</f>
        <v>TOCO DE FERRO FUNDIDO DUCTIL, PINTADO INTERNA E EXTERNAMENTE COM TINTA BETUMINOSA, COM 2 FLANGES, INCLUSIVE FORNECIMENTO DO MATERIAL PARA JUNTA (ARRUELA DE BORRACHA, PARAFUSOS COM PORCA), COMPRIMENTO DE 0,50M COM DIAMETRO DE 100MM. (ADAPTADO DE SCO DR 10.15.1103)</v>
      </c>
      <c r="I255" s="718"/>
      <c r="J255" s="718"/>
      <c r="K255" s="718"/>
      <c r="L255" s="718"/>
      <c r="M255" s="719"/>
      <c r="N255" s="22" t="str">
        <f>'REDE ABAST-TUBOS E CONEXÕES'!E54</f>
        <v>UN</v>
      </c>
      <c r="O255" s="17"/>
      <c r="P255" s="17"/>
      <c r="Q255" s="17">
        <f>'REDE ABAST-TUBOS E CONEXÕES'!N54</f>
        <v>2</v>
      </c>
      <c r="R255" s="17"/>
      <c r="S255" s="17"/>
      <c r="T255" s="18">
        <f t="shared" si="19"/>
        <v>2</v>
      </c>
      <c r="U255" s="67"/>
      <c r="V255" s="67"/>
    </row>
    <row r="256" spans="1:22" s="8" customFormat="1" ht="24.95" customHeight="1" x14ac:dyDescent="0.25">
      <c r="A256" s="45"/>
      <c r="B256" s="23" t="s">
        <v>124</v>
      </c>
      <c r="C256" s="208" t="str">
        <f>'REDE ABAST-TUBOS E CONEXÕES'!B55</f>
        <v>PRÓPRIO</v>
      </c>
      <c r="D256" s="203" t="str">
        <f>'REDE ABAST-TUBOS E CONEXÕES'!C55</f>
        <v>SEINFRA-0077</v>
      </c>
      <c r="E256" s="20"/>
      <c r="F256" s="21"/>
      <c r="G256" s="21"/>
      <c r="H256" s="718" t="str">
        <f>'REDE ABAST-TUBOS E CONEXÕES'!D55</f>
        <v>BUCHA DE REDUÇÃO FERRO FUNDIDO D=150X100mm (6"X4"). (ADAPTADO DE SEINFRA-CE C0477)</v>
      </c>
      <c r="I256" s="718"/>
      <c r="J256" s="718"/>
      <c r="K256" s="718"/>
      <c r="L256" s="718"/>
      <c r="M256" s="719"/>
      <c r="N256" s="22" t="str">
        <f>'REDE ABAST-TUBOS E CONEXÕES'!E55</f>
        <v>UN</v>
      </c>
      <c r="O256" s="17"/>
      <c r="P256" s="17"/>
      <c r="Q256" s="17">
        <f>'REDE ABAST-TUBOS E CONEXÕES'!N55</f>
        <v>4</v>
      </c>
      <c r="R256" s="17"/>
      <c r="S256" s="17"/>
      <c r="T256" s="18">
        <f t="shared" si="19"/>
        <v>4</v>
      </c>
      <c r="U256" s="67"/>
      <c r="V256" s="67"/>
    </row>
    <row r="257" spans="1:22" s="8" customFormat="1" ht="30" customHeight="1" x14ac:dyDescent="0.25">
      <c r="A257" s="45"/>
      <c r="B257" s="23" t="s">
        <v>125</v>
      </c>
      <c r="C257" s="208" t="str">
        <f>'REDE ABAST-TUBOS E CONEXÕES'!B56</f>
        <v>PRÓPRIO</v>
      </c>
      <c r="D257" s="203" t="str">
        <f>'REDE ABAST-TUBOS E CONEXÕES'!C56</f>
        <v>SEINFRA-0078</v>
      </c>
      <c r="E257" s="20"/>
      <c r="F257" s="21"/>
      <c r="G257" s="21"/>
      <c r="H257" s="718" t="str">
        <f>'REDE ABAST-TUBOS E CONEXÕES'!D56</f>
        <v>TUBO DE PVC RIGIDO - DEFOFO, PARA ADUCAO E DISTRIBUICAO DE AGUAS, COM DIAMETRO NOMINAL DE 150MM, INCLUSIVE ANEL DE BORRACHA. (ADAPTADO DE SCO DR 05.45.0203)</v>
      </c>
      <c r="I257" s="718"/>
      <c r="J257" s="718"/>
      <c r="K257" s="718"/>
      <c r="L257" s="718"/>
      <c r="M257" s="719"/>
      <c r="N257" s="22" t="str">
        <f>'REDE ABAST-TUBOS E CONEXÕES'!E56</f>
        <v>M</v>
      </c>
      <c r="O257" s="17"/>
      <c r="P257" s="17"/>
      <c r="Q257" s="17">
        <f>'REDE ABAST-TUBOS E CONEXÕES'!N56</f>
        <v>643</v>
      </c>
      <c r="R257" s="17"/>
      <c r="S257" s="17"/>
      <c r="T257" s="18">
        <f t="shared" si="19"/>
        <v>643</v>
      </c>
      <c r="U257" s="67"/>
      <c r="V257" s="67"/>
    </row>
    <row r="258" spans="1:22" s="8" customFormat="1" ht="30" customHeight="1" x14ac:dyDescent="0.25">
      <c r="A258" s="45"/>
      <c r="B258" s="23" t="s">
        <v>121</v>
      </c>
      <c r="C258" s="208" t="str">
        <f>'REDE ABAST-TUBOS E CONEXÕES'!B57</f>
        <v>PRÓPRIO</v>
      </c>
      <c r="D258" s="203" t="str">
        <f>'REDE ABAST-TUBOS E CONEXÕES'!C57</f>
        <v>SEINFRA-0079</v>
      </c>
      <c r="E258" s="20"/>
      <c r="F258" s="21"/>
      <c r="G258" s="21"/>
      <c r="H258" s="718" t="str">
        <f>'REDE ABAST-TUBOS E CONEXÕES'!D57</f>
        <v>FORNECIMENTO DE CURVA 45º COM BOLSAS, DE FERRO FUNDIDO, JUNTA ELÁSTICA, DIAM.=  150MM. (ADAPTADO DE ORSE 5483 E 5283)</v>
      </c>
      <c r="I258" s="718"/>
      <c r="J258" s="718"/>
      <c r="K258" s="718"/>
      <c r="L258" s="718"/>
      <c r="M258" s="719"/>
      <c r="N258" s="22" t="str">
        <f>'REDE ABAST-TUBOS E CONEXÕES'!E57</f>
        <v>UN</v>
      </c>
      <c r="O258" s="17"/>
      <c r="P258" s="17"/>
      <c r="Q258" s="17">
        <f>'REDE ABAST-TUBOS E CONEXÕES'!N57</f>
        <v>6</v>
      </c>
      <c r="R258" s="17"/>
      <c r="S258" s="17"/>
      <c r="T258" s="18">
        <f t="shared" si="19"/>
        <v>6</v>
      </c>
      <c r="U258" s="67"/>
      <c r="V258" s="67"/>
    </row>
    <row r="259" spans="1:22" s="8" customFormat="1" ht="30" customHeight="1" x14ac:dyDescent="0.25">
      <c r="A259" s="45"/>
      <c r="B259" s="23" t="s">
        <v>122</v>
      </c>
      <c r="C259" s="208" t="str">
        <f>'REDE ABAST-TUBOS E CONEXÕES'!B58</f>
        <v>PRÓPRIO</v>
      </c>
      <c r="D259" s="203" t="str">
        <f>'REDE ABAST-TUBOS E CONEXÕES'!C58</f>
        <v>SEINFRA-0080</v>
      </c>
      <c r="E259" s="20"/>
      <c r="F259" s="21"/>
      <c r="G259" s="21"/>
      <c r="H259" s="718" t="str">
        <f>'REDE ABAST-TUBOS E CONEXÕES'!D58</f>
        <v>TUBO DE FERRO FUNDIDO, DUCTIL, CLASSE K-9, PN-10, FLANGE - FLANGE, COM DIAMETRO NOMINAL DE 150MM. (ADAPTADO DE SCO DR 10.05.0056)</v>
      </c>
      <c r="I259" s="718"/>
      <c r="J259" s="718"/>
      <c r="K259" s="718"/>
      <c r="L259" s="718"/>
      <c r="M259" s="719"/>
      <c r="N259" s="22" t="str">
        <f>'REDE ABAST-TUBOS E CONEXÕES'!E58</f>
        <v>M</v>
      </c>
      <c r="O259" s="17"/>
      <c r="P259" s="17"/>
      <c r="Q259" s="17">
        <f>'REDE ABAST-TUBOS E CONEXÕES'!N58</f>
        <v>8</v>
      </c>
      <c r="R259" s="17"/>
      <c r="S259" s="17"/>
      <c r="T259" s="18">
        <f t="shared" si="19"/>
        <v>8</v>
      </c>
      <c r="U259" s="67"/>
      <c r="V259" s="67"/>
    </row>
    <row r="260" spans="1:22" s="8" customFormat="1" ht="39.950000000000003" customHeight="1" x14ac:dyDescent="0.25">
      <c r="A260" s="45"/>
      <c r="B260" s="23" t="s">
        <v>123</v>
      </c>
      <c r="C260" s="208" t="str">
        <f>'REDE ABAST-TUBOS E CONEXÕES'!B59</f>
        <v>PRÓPRIO</v>
      </c>
      <c r="D260" s="203" t="str">
        <f>'REDE ABAST-TUBOS E CONEXÕES'!C59</f>
        <v>SEINFRA-0081</v>
      </c>
      <c r="E260" s="20"/>
      <c r="F260" s="21"/>
      <c r="G260" s="21"/>
      <c r="H260" s="718" t="str">
        <f>'REDE ABAST-TUBOS E CONEXÕES'!D59</f>
        <v>REGISTRO DE GAVETA CHATO DE FERRO FUNDIDO DUCTIL, PINTADO INTERNA E EXTERNAMENTE COM TINTA BETUMINOSA, COM 2 FLANGES, INCLUSIVE FORNECIMENTO DO MATERIAL PARA JUNTA (ARRUELA DE BORRACHA, PARAFUSOS COM PORCA) COM DIAMETRO DE 150MM. (ADAPTADO DE SCO DR 15.10.0059)</v>
      </c>
      <c r="I260" s="718"/>
      <c r="J260" s="718"/>
      <c r="K260" s="718"/>
      <c r="L260" s="718"/>
      <c r="M260" s="719"/>
      <c r="N260" s="22" t="str">
        <f>'REDE ABAST-TUBOS E CONEXÕES'!E59</f>
        <v>UN</v>
      </c>
      <c r="O260" s="17"/>
      <c r="P260" s="17"/>
      <c r="Q260" s="17">
        <f>'REDE ABAST-TUBOS E CONEXÕES'!N59</f>
        <v>4</v>
      </c>
      <c r="R260" s="17"/>
      <c r="S260" s="17"/>
      <c r="T260" s="18">
        <f t="shared" si="19"/>
        <v>4</v>
      </c>
      <c r="U260" s="67"/>
      <c r="V260" s="67"/>
    </row>
    <row r="261" spans="1:22" s="8" customFormat="1" ht="39.950000000000003" customHeight="1" x14ac:dyDescent="0.25">
      <c r="A261" s="45"/>
      <c r="B261" s="23" t="s">
        <v>124</v>
      </c>
      <c r="C261" s="208" t="str">
        <f>'REDE ABAST-TUBOS E CONEXÕES'!B60</f>
        <v>PRÓPRIO</v>
      </c>
      <c r="D261" s="203" t="str">
        <f>'REDE ABAST-TUBOS E CONEXÕES'!C60</f>
        <v>SEINFRA-0082</v>
      </c>
      <c r="E261" s="20"/>
      <c r="F261" s="21"/>
      <c r="G261" s="21"/>
      <c r="H261" s="718" t="str">
        <f>'REDE ABAST-TUBOS E CONEXÕES'!D60</f>
        <v>CURVA DE 45° DE FERRO FUNDIDO DUCTIL, PINTADA INTERNA E EXTERNAMENTE COM TINTA BETUMINOSA, COM 2 FLANGES, INCLUSIVE FORNECIMENTO DO MATERIAL PARA JUNTA (ARRUELA DE BORRACHA, PARAFUSOS COM PORCA), COM DIAMETRO DE 150MM. (ADAPTADO DE SCO DR 10.15.0259)</v>
      </c>
      <c r="I261" s="718"/>
      <c r="J261" s="718"/>
      <c r="K261" s="718"/>
      <c r="L261" s="718"/>
      <c r="M261" s="719"/>
      <c r="N261" s="22" t="str">
        <f>'REDE ABAST-TUBOS E CONEXÕES'!E60</f>
        <v>UN</v>
      </c>
      <c r="O261" s="17"/>
      <c r="P261" s="17"/>
      <c r="Q261" s="17">
        <f>'REDE ABAST-TUBOS E CONEXÕES'!N60</f>
        <v>4</v>
      </c>
      <c r="R261" s="17"/>
      <c r="S261" s="17"/>
      <c r="T261" s="18">
        <f t="shared" si="19"/>
        <v>4</v>
      </c>
      <c r="U261" s="67"/>
      <c r="V261" s="67"/>
    </row>
    <row r="262" spans="1:22" s="8" customFormat="1" ht="39.950000000000003" customHeight="1" x14ac:dyDescent="0.25">
      <c r="A262" s="45"/>
      <c r="B262" s="23" t="s">
        <v>125</v>
      </c>
      <c r="C262" s="208" t="str">
        <f>'REDE ABAST-TUBOS E CONEXÕES'!B61</f>
        <v>PRÓPRIO</v>
      </c>
      <c r="D262" s="203" t="str">
        <f>'REDE ABAST-TUBOS E CONEXÕES'!C61</f>
        <v>SEINFRA-0083</v>
      </c>
      <c r="E262" s="20"/>
      <c r="F262" s="21"/>
      <c r="G262" s="21"/>
      <c r="H262" s="718" t="str">
        <f>'REDE ABAST-TUBOS E CONEXÕES'!D61</f>
        <v>TE DE FERRO FUNDIDO DUCTIL, PINTADO INTERNA E EXTERNAMENTE COM TINTA BETUMINOSA, COM 3 FLANGES, INCLUSIVE FORNECIMENTO DO MATERIAL PARA JUNTA (ARRUELA DE BORRACHA, PARAFUSOS COM PORCA), COM DIAMETRO DE (150X150)MM. (ADAPTADO DE SCO DR 10.15.0918)</v>
      </c>
      <c r="I262" s="718"/>
      <c r="J262" s="718"/>
      <c r="K262" s="718"/>
      <c r="L262" s="718"/>
      <c r="M262" s="719"/>
      <c r="N262" s="22" t="str">
        <f>'REDE ABAST-TUBOS E CONEXÕES'!E61</f>
        <v>UN</v>
      </c>
      <c r="O262" s="17"/>
      <c r="P262" s="17"/>
      <c r="Q262" s="17">
        <f>'REDE ABAST-TUBOS E CONEXÕES'!N61</f>
        <v>4</v>
      </c>
      <c r="R262" s="17"/>
      <c r="S262" s="17"/>
      <c r="T262" s="18">
        <f t="shared" si="19"/>
        <v>4</v>
      </c>
      <c r="U262" s="67"/>
      <c r="V262" s="67"/>
    </row>
    <row r="263" spans="1:22" s="8" customFormat="1" ht="54.95" customHeight="1" x14ac:dyDescent="0.25">
      <c r="A263" s="45"/>
      <c r="B263" s="23" t="s">
        <v>126</v>
      </c>
      <c r="C263" s="208" t="str">
        <f>'REDE ABAST-TUBOS E CONEXÕES'!B62</f>
        <v>PRÓPRIO</v>
      </c>
      <c r="D263" s="203" t="str">
        <f>'REDE ABAST-TUBOS E CONEXÕES'!C62</f>
        <v>SEINFRA-0084</v>
      </c>
      <c r="E263" s="20"/>
      <c r="F263" s="21"/>
      <c r="G263" s="21"/>
      <c r="H263" s="718" t="str">
        <f>'REDE ABAST-TUBOS E CONEXÕES'!D62</f>
        <v>FLANGE CEGO DE FERRO FUNDIDO DUCTIL, PINTADO INTERNA E EXTERNAMENTE COM TINTA BETUMINOSA, INCLUSIVE FORNECIMENTO DO MATERIAL PARA JUNTA (ARRUELA DE BORRACHA, PARAFUSOS COM PORCA), COM DIAMETRO DE 150MM. FORNECIMENTO E ASSENTAMENTO. (ADAPTADO DE SCO DR 10.15.0456)</v>
      </c>
      <c r="I263" s="718"/>
      <c r="J263" s="718"/>
      <c r="K263" s="718"/>
      <c r="L263" s="718"/>
      <c r="M263" s="719"/>
      <c r="N263" s="22" t="str">
        <f>'REDE ABAST-TUBOS E CONEXÕES'!E62</f>
        <v>UN</v>
      </c>
      <c r="O263" s="17"/>
      <c r="P263" s="17"/>
      <c r="Q263" s="17">
        <f>'REDE ABAST-TUBOS E CONEXÕES'!N62</f>
        <v>1</v>
      </c>
      <c r="R263" s="17"/>
      <c r="S263" s="17"/>
      <c r="T263" s="18">
        <f t="shared" si="19"/>
        <v>1</v>
      </c>
      <c r="U263" s="67"/>
      <c r="V263" s="67"/>
    </row>
    <row r="264" spans="1:22" s="8" customFormat="1" ht="39.950000000000003" customHeight="1" x14ac:dyDescent="0.25">
      <c r="A264" s="45"/>
      <c r="B264" s="23" t="s">
        <v>121</v>
      </c>
      <c r="C264" s="208" t="str">
        <f>'REDE ABAST-TUBOS E CONEXÕES'!B63</f>
        <v>PRÓPRIO</v>
      </c>
      <c r="D264" s="203" t="str">
        <f>'REDE ABAST-TUBOS E CONEXÕES'!C63</f>
        <v>SEINFRA-0085</v>
      </c>
      <c r="E264" s="20"/>
      <c r="F264" s="21"/>
      <c r="G264" s="21"/>
      <c r="H264" s="718" t="str">
        <f>'REDE ABAST-TUBOS E CONEXÕES'!D63</f>
        <v>REGISTRO DE GAVETA CHATO DE FERRO FUNDIDO DUCTIL, PINTADO INTERNA E EXTERNAMENTE COM TINTA BETUMINOSA, COM 2 FLANGES, INCLUSIVE FORNECIMENTO DO MATERIAL PARA JUNTA (ARRUELA DE BORRACHA, PARAFUSOS COM PORCA) COM DIAMETRO DE 200MM. (ADAPTADO DE SCO DR 15.10.0062)</v>
      </c>
      <c r="I264" s="718"/>
      <c r="J264" s="718"/>
      <c r="K264" s="718"/>
      <c r="L264" s="718"/>
      <c r="M264" s="719"/>
      <c r="N264" s="22" t="str">
        <f>'REDE ABAST-TUBOS E CONEXÕES'!E63</f>
        <v>UN</v>
      </c>
      <c r="O264" s="17"/>
      <c r="P264" s="17"/>
      <c r="Q264" s="17">
        <f>'REDE ABAST-TUBOS E CONEXÕES'!N63</f>
        <v>1</v>
      </c>
      <c r="R264" s="17"/>
      <c r="S264" s="17"/>
      <c r="T264" s="18">
        <f t="shared" si="19"/>
        <v>1</v>
      </c>
      <c r="U264" s="67"/>
      <c r="V264" s="67"/>
    </row>
    <row r="265" spans="1:22" s="8" customFormat="1" ht="50.1" customHeight="1" x14ac:dyDescent="0.25">
      <c r="A265" s="45"/>
      <c r="B265" s="23" t="s">
        <v>122</v>
      </c>
      <c r="C265" s="208" t="str">
        <f>'REDE ABAST-TUBOS E CONEXÕES'!B64</f>
        <v>PRÓPRIO</v>
      </c>
      <c r="D265" s="203" t="str">
        <f>'REDE ABAST-TUBOS E CONEXÕES'!C64</f>
        <v>SEINFRA-0086</v>
      </c>
      <c r="E265" s="20"/>
      <c r="F265" s="21"/>
      <c r="G265" s="21"/>
      <c r="H265" s="718" t="str">
        <f>'REDE ABAST-TUBOS E CONEXÕES'!D64</f>
        <v>TOCO DE FERRO FUNDIDO DUCTIL, PINTADO INTERNA E EXTERNAMENTE COM TINTA BETUMINOSA, COM 2 FLANGES, INCLUSIVE FORNECIMENTO DO MATERIAL PARA JUNTA (ARRUELA DE BORRACHA, PARAFUSOS COM PORCA), COMPRIMENTO DE 0,25M COM DIAMETRO DE 200MM. (ADAPTADO DE SCO DR 10.15.1059)</v>
      </c>
      <c r="I265" s="718"/>
      <c r="J265" s="718"/>
      <c r="K265" s="718"/>
      <c r="L265" s="718"/>
      <c r="M265" s="719"/>
      <c r="N265" s="22" t="str">
        <f>'REDE ABAST-TUBOS E CONEXÕES'!E64</f>
        <v>UN</v>
      </c>
      <c r="O265" s="17"/>
      <c r="P265" s="17"/>
      <c r="Q265" s="17">
        <f>'REDE ABAST-TUBOS E CONEXÕES'!N64</f>
        <v>1</v>
      </c>
      <c r="R265" s="17"/>
      <c r="S265" s="17"/>
      <c r="T265" s="18">
        <f t="shared" si="19"/>
        <v>1</v>
      </c>
      <c r="U265" s="67"/>
      <c r="V265" s="67"/>
    </row>
    <row r="266" spans="1:22" s="8" customFormat="1" ht="30" customHeight="1" x14ac:dyDescent="0.25">
      <c r="A266" s="45"/>
      <c r="B266" s="23" t="s">
        <v>123</v>
      </c>
      <c r="C266" s="208" t="str">
        <f>'REDE ABAST-TUBOS E CONEXÕES'!B65</f>
        <v>PRÓPRIO</v>
      </c>
      <c r="D266" s="203" t="str">
        <f>'REDE ABAST-TUBOS E CONEXÕES'!C65</f>
        <v>SEINFRA-0087</v>
      </c>
      <c r="E266" s="20"/>
      <c r="F266" s="21"/>
      <c r="G266" s="21"/>
      <c r="H266" s="718" t="str">
        <f>'REDE ABAST-TUBOS E CONEXÕES'!D65</f>
        <v>JUNTA DE DESMONTAGEM TRAVADA AXIALMENTE COM TIRANTES, PN-10, DN 200 MM. (ADAPTADO DE ORSE 3109)</v>
      </c>
      <c r="I266" s="718"/>
      <c r="J266" s="718"/>
      <c r="K266" s="718"/>
      <c r="L266" s="718"/>
      <c r="M266" s="719"/>
      <c r="N266" s="22" t="str">
        <f>'REDE ABAST-TUBOS E CONEXÕES'!E65</f>
        <v>UN</v>
      </c>
      <c r="O266" s="17"/>
      <c r="P266" s="17"/>
      <c r="Q266" s="17">
        <f>'REDE ABAST-TUBOS E CONEXÕES'!N65</f>
        <v>1</v>
      </c>
      <c r="R266" s="17"/>
      <c r="S266" s="17"/>
      <c r="T266" s="18">
        <f t="shared" si="19"/>
        <v>1</v>
      </c>
      <c r="U266" s="67"/>
      <c r="V266" s="67"/>
    </row>
    <row r="267" spans="1:22" s="8" customFormat="1" ht="30" customHeight="1" x14ac:dyDescent="0.25">
      <c r="A267" s="45"/>
      <c r="B267" s="23" t="s">
        <v>124</v>
      </c>
      <c r="C267" s="208" t="str">
        <f>'REDE ABAST-TUBOS E CONEXÕES'!B66</f>
        <v>PRÓPRIO</v>
      </c>
      <c r="D267" s="203" t="str">
        <f>'REDE ABAST-TUBOS E CONEXÕES'!C66</f>
        <v>SEINFRA-0088</v>
      </c>
      <c r="E267" s="20"/>
      <c r="F267" s="21"/>
      <c r="G267" s="21"/>
      <c r="H267" s="718" t="str">
        <f>'REDE ABAST-TUBOS E CONEXÕES'!D66</f>
        <v>TUBO DE FERRO FUNDIDO, DUCTIL, CLASSE K-9, PN-10, FLANGE - FLANGE, COM DIAMETRO NOMINAL DE 200MM. (ADAPTADO DE SCO DR 10.05.0059)</v>
      </c>
      <c r="I267" s="718"/>
      <c r="J267" s="718"/>
      <c r="K267" s="718"/>
      <c r="L267" s="718"/>
      <c r="M267" s="719"/>
      <c r="N267" s="22" t="str">
        <f>'REDE ABAST-TUBOS E CONEXÕES'!E66</f>
        <v>M</v>
      </c>
      <c r="O267" s="17"/>
      <c r="P267" s="17"/>
      <c r="Q267" s="17">
        <f>'REDE ABAST-TUBOS E CONEXÕES'!N66</f>
        <v>14.1</v>
      </c>
      <c r="R267" s="17"/>
      <c r="S267" s="17"/>
      <c r="T267" s="18">
        <f t="shared" si="19"/>
        <v>14.1</v>
      </c>
      <c r="U267" s="67"/>
      <c r="V267" s="67"/>
    </row>
    <row r="268" spans="1:22" s="8" customFormat="1" ht="39.950000000000003" customHeight="1" x14ac:dyDescent="0.25">
      <c r="A268" s="45"/>
      <c r="B268" s="23" t="s">
        <v>125</v>
      </c>
      <c r="C268" s="208" t="str">
        <f>'REDE ABAST-TUBOS E CONEXÕES'!B67</f>
        <v>PRÓPRIO</v>
      </c>
      <c r="D268" s="203" t="str">
        <f>'REDE ABAST-TUBOS E CONEXÕES'!C67</f>
        <v>SEINFRA-0089</v>
      </c>
      <c r="E268" s="20"/>
      <c r="F268" s="21"/>
      <c r="G268" s="21"/>
      <c r="H268" s="718" t="str">
        <f>'REDE ABAST-TUBOS E CONEXÕES'!D67</f>
        <v>CURVA DE 90° DE FERRO FUNDIDO DUCTIL, PINTADA INTERNA E EXTERNAMENTE COM TINTA BETUMINOSA, COM 2 FLANGES, INCLUSIVE FORNECIMENTO DO MATERIAL PARA JUNTA (ARRUELA DE BORRACHA, PARAFUSOS COM PORCA), COM DIAMETRO DE 200MM. (ADAPTADO DE SCO DR 10.15.0212)</v>
      </c>
      <c r="I268" s="718"/>
      <c r="J268" s="718"/>
      <c r="K268" s="718"/>
      <c r="L268" s="718"/>
      <c r="M268" s="719"/>
      <c r="N268" s="22" t="str">
        <f>'REDE ABAST-TUBOS E CONEXÕES'!E67</f>
        <v>UN</v>
      </c>
      <c r="O268" s="17"/>
      <c r="P268" s="17"/>
      <c r="Q268" s="17">
        <f>'REDE ABAST-TUBOS E CONEXÕES'!N67</f>
        <v>1</v>
      </c>
      <c r="R268" s="17"/>
      <c r="S268" s="17"/>
      <c r="T268" s="18">
        <f t="shared" si="19"/>
        <v>1</v>
      </c>
      <c r="U268" s="67"/>
      <c r="V268" s="67"/>
    </row>
    <row r="269" spans="1:22" s="8" customFormat="1" ht="30" customHeight="1" x14ac:dyDescent="0.25">
      <c r="A269" s="45"/>
      <c r="B269" s="23" t="s">
        <v>126</v>
      </c>
      <c r="C269" s="208" t="str">
        <f>'REDE ABAST-TUBOS E CONEXÕES'!B68</f>
        <v>PRÓPRIO</v>
      </c>
      <c r="D269" s="203" t="str">
        <f>'REDE ABAST-TUBOS E CONEXÕES'!C68</f>
        <v>SEINFRA-0090</v>
      </c>
      <c r="E269" s="20"/>
      <c r="F269" s="21"/>
      <c r="G269" s="21"/>
      <c r="H269" s="718" t="str">
        <f>'REDE ABAST-TUBOS E CONEXÕES'!D68</f>
        <v>FORNECIMENTO DE TUBO EM FERRO FUNDIDO, PONTA E FLANGE PN 10, DIAM. =  200MM, L=1,00M, INCLUSO ASSENTAMENTO. (ADAPTADO DE ORSE 6550)</v>
      </c>
      <c r="I269" s="718"/>
      <c r="J269" s="718"/>
      <c r="K269" s="718"/>
      <c r="L269" s="718"/>
      <c r="M269" s="719"/>
      <c r="N269" s="22" t="str">
        <f>'REDE ABAST-TUBOS E CONEXÕES'!E68</f>
        <v>UN</v>
      </c>
      <c r="O269" s="17"/>
      <c r="P269" s="17"/>
      <c r="Q269" s="17">
        <f>'REDE ABAST-TUBOS E CONEXÕES'!N68</f>
        <v>1</v>
      </c>
      <c r="R269" s="17"/>
      <c r="S269" s="17"/>
      <c r="T269" s="18">
        <f t="shared" si="19"/>
        <v>1</v>
      </c>
      <c r="U269" s="67"/>
      <c r="V269" s="67"/>
    </row>
    <row r="270" spans="1:22" s="8" customFormat="1" ht="54.95" customHeight="1" x14ac:dyDescent="0.25">
      <c r="A270" s="45"/>
      <c r="B270" s="23" t="s">
        <v>122</v>
      </c>
      <c r="C270" s="208" t="str">
        <f>'REDE ABAST-TUBOS E CONEXÕES'!B69</f>
        <v>PRÓPRIO</v>
      </c>
      <c r="D270" s="203" t="str">
        <f>'REDE ABAST-TUBOS E CONEXÕES'!C69</f>
        <v>SEINFRA-0091</v>
      </c>
      <c r="E270" s="20"/>
      <c r="F270" s="21"/>
      <c r="G270" s="21"/>
      <c r="H270" s="718" t="str">
        <f>'REDE ABAST-TUBOS E CONEXÕES'!D69</f>
        <v>JUNTA GIBAULT DE FERRO FUNDIDO DUCTIL, PINTADO INTERNA E EXTERNAMENTE COM TINTA BETUMINOSA, INCLUSIVE FORNECIMENTO DO MATERIAL PARA JUNTA (ANEL DE BORRACHA, LUVA, CONTRA-FLANGES E PARAFUSOS COM PORCA), COM DIAMETRO DE 200MM. (ADAPTADO DE SCO DR 10.15.0562)</v>
      </c>
      <c r="I270" s="718"/>
      <c r="J270" s="718"/>
      <c r="K270" s="718"/>
      <c r="L270" s="718"/>
      <c r="M270" s="719"/>
      <c r="N270" s="22" t="str">
        <f>'REDE ABAST-TUBOS E CONEXÕES'!E69</f>
        <v>UN</v>
      </c>
      <c r="O270" s="17"/>
      <c r="P270" s="17"/>
      <c r="Q270" s="17">
        <f>'REDE ABAST-TUBOS E CONEXÕES'!N69</f>
        <v>1</v>
      </c>
      <c r="R270" s="17"/>
      <c r="S270" s="17"/>
      <c r="T270" s="18">
        <f t="shared" si="19"/>
        <v>1</v>
      </c>
      <c r="U270" s="67"/>
      <c r="V270" s="67"/>
    </row>
    <row r="271" spans="1:22" s="8" customFormat="1" ht="54.95" customHeight="1" x14ac:dyDescent="0.25">
      <c r="A271" s="45"/>
      <c r="B271" s="23" t="s">
        <v>123</v>
      </c>
      <c r="C271" s="208" t="str">
        <f>'REDE ABAST-TUBOS E CONEXÕES'!B70</f>
        <v>PRÓPRIO</v>
      </c>
      <c r="D271" s="203" t="str">
        <f>'REDE ABAST-TUBOS E CONEXÕES'!C70</f>
        <v>SEINFRA-0092</v>
      </c>
      <c r="E271" s="20"/>
      <c r="F271" s="21"/>
      <c r="G271" s="21"/>
      <c r="H271" s="718" t="str">
        <f>'REDE ABAST-TUBOS E CONEXÕES'!D70</f>
        <v>EXTREMIDADE COM ABA DE VEDACAO DE FERRO FUNDIDO DUCTIL, PINTADA INTERNAMENTE E EXTERNAMENTE COM TINTA BETUMINOSA, COM 1 FLANGE E 1 PONTA, INCLUSIVE FORNECIMENTO DO MATERIAL PARA JUNTA (ARRUELA DE BORRACHA, PARAFUSOS COM PORCA), COM DIAMETRO DE 200MM. FORNECIMENTO E ASSENTAMENTO. (ADAPTADO DE SCO DR 10.15.0406)</v>
      </c>
      <c r="I271" s="718"/>
      <c r="J271" s="718"/>
      <c r="K271" s="718"/>
      <c r="L271" s="718"/>
      <c r="M271" s="719"/>
      <c r="N271" s="22" t="str">
        <f>'REDE ABAST-TUBOS E CONEXÕES'!E70</f>
        <v>UN</v>
      </c>
      <c r="O271" s="17"/>
      <c r="P271" s="17"/>
      <c r="Q271" s="17">
        <f>'REDE ABAST-TUBOS E CONEXÕES'!N70</f>
        <v>1</v>
      </c>
      <c r="R271" s="17"/>
      <c r="S271" s="17"/>
      <c r="T271" s="18">
        <f t="shared" si="19"/>
        <v>1</v>
      </c>
      <c r="U271" s="67"/>
      <c r="V271" s="67"/>
    </row>
    <row r="272" spans="1:22" s="8" customFormat="1" ht="30" customHeight="1" x14ac:dyDescent="0.25">
      <c r="A272" s="45"/>
      <c r="B272" s="23" t="s">
        <v>124</v>
      </c>
      <c r="C272" s="208" t="str">
        <f>'REDE ABAST-TUBOS E CONEXÕES'!B71</f>
        <v>PRÓPRIO</v>
      </c>
      <c r="D272" s="203" t="str">
        <f>'REDE ABAST-TUBOS E CONEXÕES'!C71</f>
        <v>SEINFRA-0093</v>
      </c>
      <c r="E272" s="20"/>
      <c r="F272" s="21"/>
      <c r="G272" s="21"/>
      <c r="H272" s="718" t="str">
        <f>'REDE ABAST-TUBOS E CONEXÕES'!D71</f>
        <v>ASSENTAMENTO DE VÁLVULA DE RETENÇÃO FLAP EM FERRO FUNDIDO, DIAM. =  200MM (ADAPTADO DE ORSE 6054)</v>
      </c>
      <c r="I272" s="718"/>
      <c r="J272" s="718"/>
      <c r="K272" s="718"/>
      <c r="L272" s="718"/>
      <c r="M272" s="719"/>
      <c r="N272" s="22" t="str">
        <f>'REDE ABAST-TUBOS E CONEXÕES'!E71</f>
        <v>UN</v>
      </c>
      <c r="O272" s="17"/>
      <c r="P272" s="17"/>
      <c r="Q272" s="17">
        <f>'REDE ABAST-TUBOS E CONEXÕES'!N71</f>
        <v>1</v>
      </c>
      <c r="R272" s="17"/>
      <c r="S272" s="17"/>
      <c r="T272" s="18">
        <f t="shared" si="19"/>
        <v>1</v>
      </c>
      <c r="U272" s="67"/>
      <c r="V272" s="67"/>
    </row>
    <row r="273" spans="1:22" s="8" customFormat="1" ht="54.95" customHeight="1" x14ac:dyDescent="0.25">
      <c r="A273" s="45"/>
      <c r="B273" s="23" t="s">
        <v>125</v>
      </c>
      <c r="C273" s="208" t="str">
        <f>'REDE ABAST-TUBOS E CONEXÕES'!B72</f>
        <v>PRÓPRIO</v>
      </c>
      <c r="D273" s="203" t="str">
        <f>'REDE ABAST-TUBOS E CONEXÕES'!C72</f>
        <v>SEINFRA-0094</v>
      </c>
      <c r="E273" s="20"/>
      <c r="F273" s="21"/>
      <c r="G273" s="21"/>
      <c r="H273" s="718" t="str">
        <f>'REDE ABAST-TUBOS E CONEXÕES'!D72</f>
        <v>REDUCAO EXCENTRICA DE FERRO FUNDIDO DUCTIL, PINTADO INTERNA E EXTERNAMENTE COM TINTA BETUMINOSA, COM 2 FLANGES, INCLUSIVE FORNECIMENTO DO MATERIAL PARA JUNTA (ARRUELA DE BORRACHA, PARAFUSOS COM PORCA) COM DIAMETRO DE (200X150)MM. (ADAPTADO DE SCO DR 10.15.0765)</v>
      </c>
      <c r="I273" s="718"/>
      <c r="J273" s="718"/>
      <c r="K273" s="718"/>
      <c r="L273" s="718"/>
      <c r="M273" s="719"/>
      <c r="N273" s="22" t="str">
        <f>'REDE ABAST-TUBOS E CONEXÕES'!E72</f>
        <v>UN</v>
      </c>
      <c r="O273" s="17"/>
      <c r="P273" s="17"/>
      <c r="Q273" s="17">
        <f>'REDE ABAST-TUBOS E CONEXÕES'!N72</f>
        <v>1</v>
      </c>
      <c r="R273" s="17"/>
      <c r="S273" s="17"/>
      <c r="T273" s="18">
        <f t="shared" si="19"/>
        <v>1</v>
      </c>
      <c r="U273" s="67"/>
      <c r="V273" s="67"/>
    </row>
    <row r="274" spans="1:22" s="8" customFormat="1" ht="54.95" customHeight="1" x14ac:dyDescent="0.25">
      <c r="A274" s="45"/>
      <c r="B274" s="23" t="s">
        <v>121</v>
      </c>
      <c r="C274" s="208" t="str">
        <f>'REDE ABAST-TUBOS E CONEXÕES'!B73</f>
        <v>PRÓPRIO</v>
      </c>
      <c r="D274" s="203" t="str">
        <f>'REDE ABAST-TUBOS E CONEXÕES'!C73</f>
        <v>SEINFRA-0095</v>
      </c>
      <c r="E274" s="20"/>
      <c r="F274" s="21"/>
      <c r="G274" s="21"/>
      <c r="H274" s="718" t="str">
        <f>'REDE ABAST-TUBOS E CONEXÕES'!D73</f>
        <v>REDUCAO EXCENTRICA DE FERRO FUNDIDO DUCTIL, PINTADO INTERNA E EXTERNAMENTE COM TINTA BETUMINOSA, COM 2 FLANGES, INCLUSIVE FORNECIMENTO DO MATERIAL PARA JUNTA (ARRUELA DE BORRACHA, PARAFUSOS COM PORCA) COM DIAMETRO DE (150X100)MM. FORNECIMENTO E ASSENTAMENTO. (ADAPTADO DE SCO DR 10.15.0762)</v>
      </c>
      <c r="I274" s="718"/>
      <c r="J274" s="718"/>
      <c r="K274" s="718"/>
      <c r="L274" s="718"/>
      <c r="M274" s="719"/>
      <c r="N274" s="22" t="str">
        <f>'REDE ABAST-TUBOS E CONEXÕES'!E73</f>
        <v>UN</v>
      </c>
      <c r="O274" s="17"/>
      <c r="P274" s="17"/>
      <c r="Q274" s="17">
        <f>'REDE ABAST-TUBOS E CONEXÕES'!N73</f>
        <v>2</v>
      </c>
      <c r="R274" s="17"/>
      <c r="S274" s="17"/>
      <c r="T274" s="18">
        <f t="shared" si="19"/>
        <v>2</v>
      </c>
      <c r="U274" s="67"/>
      <c r="V274" s="67"/>
    </row>
    <row r="275" spans="1:22" s="8" customFormat="1" ht="30" customHeight="1" x14ac:dyDescent="0.25">
      <c r="A275" s="45"/>
      <c r="B275" s="23" t="s">
        <v>122</v>
      </c>
      <c r="C275" s="208" t="str">
        <f>'REDE ABAST-TUBOS E CONEXÕES'!B74</f>
        <v>PRÓPRIO</v>
      </c>
      <c r="D275" s="203" t="str">
        <f>'REDE ABAST-TUBOS E CONEXÕES'!C74</f>
        <v>SEINFRA-0096</v>
      </c>
      <c r="E275" s="20"/>
      <c r="F275" s="21"/>
      <c r="G275" s="21"/>
      <c r="H275" s="718" t="str">
        <f>'REDE ABAST-TUBOS E CONEXÕES'!D74</f>
        <v>CURVA DE 90° DE FERRO FUNDIDO DUCTIL, PINTADA INTERNA E EXTERNAMENTE COM TINTA BETUMINOSA, COM BOLSA, COM DIAMETRO DE 100MM. (ADAPTADO DE SCO DR 10.15.0206)</v>
      </c>
      <c r="I275" s="718"/>
      <c r="J275" s="718"/>
      <c r="K275" s="718"/>
      <c r="L275" s="718"/>
      <c r="M275" s="719"/>
      <c r="N275" s="22" t="str">
        <f>'REDE ABAST-TUBOS E CONEXÕES'!E74</f>
        <v>UN</v>
      </c>
      <c r="O275" s="17"/>
      <c r="P275" s="17"/>
      <c r="Q275" s="17">
        <f>'REDE ABAST-TUBOS E CONEXÕES'!N74</f>
        <v>3</v>
      </c>
      <c r="R275" s="17"/>
      <c r="S275" s="17"/>
      <c r="T275" s="18">
        <f t="shared" si="19"/>
        <v>3</v>
      </c>
      <c r="U275" s="67"/>
      <c r="V275" s="67"/>
    </row>
    <row r="276" spans="1:22" s="8" customFormat="1" ht="24.95" customHeight="1" x14ac:dyDescent="0.25">
      <c r="A276" s="45"/>
      <c r="B276" s="23" t="s">
        <v>123</v>
      </c>
      <c r="C276" s="208" t="str">
        <f>'REDE ABAST-TUBOS E CONEXÕES'!B75</f>
        <v>GOINFRA</v>
      </c>
      <c r="D276" s="203" t="str">
        <f>'REDE ABAST-TUBOS E CONEXÕES'!C75</f>
        <v>071701</v>
      </c>
      <c r="E276" s="20"/>
      <c r="F276" s="21"/>
      <c r="G276" s="21"/>
      <c r="H276" s="718" t="str">
        <f>'REDE ABAST-TUBOS E CONEXÕES'!D75</f>
        <v xml:space="preserve">LUVA EM AÇO GALVANIZADO DIÂMETRO 3/4"	</v>
      </c>
      <c r="I276" s="718"/>
      <c r="J276" s="718"/>
      <c r="K276" s="718"/>
      <c r="L276" s="718"/>
      <c r="M276" s="719"/>
      <c r="N276" s="22" t="str">
        <f>'REDE ABAST-TUBOS E CONEXÕES'!E75</f>
        <v>UN</v>
      </c>
      <c r="O276" s="17"/>
      <c r="P276" s="17"/>
      <c r="Q276" s="17">
        <f>'REDE ABAST-TUBOS E CONEXÕES'!N75</f>
        <v>3</v>
      </c>
      <c r="R276" s="17"/>
      <c r="S276" s="17"/>
      <c r="T276" s="18">
        <f t="shared" si="19"/>
        <v>3</v>
      </c>
      <c r="U276" s="67"/>
      <c r="V276" s="67"/>
    </row>
    <row r="277" spans="1:22" s="8" customFormat="1" ht="24.95" customHeight="1" x14ac:dyDescent="0.25">
      <c r="A277" s="45"/>
      <c r="B277" s="23" t="s">
        <v>124</v>
      </c>
      <c r="C277" s="208" t="str">
        <f>'REDE ABAST-TUBOS E CONEXÕES'!B76</f>
        <v>GOINFRA</v>
      </c>
      <c r="D277" s="203" t="str">
        <f>'REDE ABAST-TUBOS E CONEXÕES'!C76</f>
        <v>080811</v>
      </c>
      <c r="E277" s="20"/>
      <c r="F277" s="21"/>
      <c r="G277" s="21"/>
      <c r="H277" s="718" t="str">
        <f>'REDE ABAST-TUBOS E CONEXÕES'!D76</f>
        <v xml:space="preserve">TORNEIRA DE JARDIM COM BICO PARA MANGUEIRA DIÂMETRO DE 1/2" E 3/4"	</v>
      </c>
      <c r="I277" s="718"/>
      <c r="J277" s="718"/>
      <c r="K277" s="718"/>
      <c r="L277" s="718"/>
      <c r="M277" s="719"/>
      <c r="N277" s="22" t="str">
        <f>'REDE ABAST-TUBOS E CONEXÕES'!E76</f>
        <v>UN</v>
      </c>
      <c r="O277" s="17"/>
      <c r="P277" s="17"/>
      <c r="Q277" s="17">
        <f>'REDE ABAST-TUBOS E CONEXÕES'!N76</f>
        <v>3</v>
      </c>
      <c r="R277" s="17"/>
      <c r="S277" s="17"/>
      <c r="T277" s="18">
        <f t="shared" si="19"/>
        <v>3</v>
      </c>
      <c r="U277" s="67"/>
      <c r="V277" s="67"/>
    </row>
    <row r="278" spans="1:22" s="8" customFormat="1" ht="24.95" customHeight="1" x14ac:dyDescent="0.25">
      <c r="A278" s="45"/>
      <c r="B278" s="23" t="s">
        <v>125</v>
      </c>
      <c r="C278" s="208" t="str">
        <f>'REDE ABAST-TUBOS E CONEXÕES'!B77</f>
        <v>PRÓPRIO</v>
      </c>
      <c r="D278" s="203" t="str">
        <f>'REDE ABAST-TUBOS E CONEXÕES'!C77</f>
        <v>SEINFRA-0097</v>
      </c>
      <c r="E278" s="20"/>
      <c r="F278" s="21"/>
      <c r="G278" s="21"/>
      <c r="H278" s="718" t="str">
        <f>'REDE ABAST-TUBOS E CONEXÕES'!D77</f>
        <v>FORNECIMENTO E ASSENTAMENTO DE JOELHO 90 DE FERRO GALVANIZADO DE   3/4" (ADAPTADO DE ORSE 895)</v>
      </c>
      <c r="I278" s="718"/>
      <c r="J278" s="718"/>
      <c r="K278" s="718"/>
      <c r="L278" s="718"/>
      <c r="M278" s="719"/>
      <c r="N278" s="22" t="str">
        <f>'REDE ABAST-TUBOS E CONEXÕES'!E77</f>
        <v>UN</v>
      </c>
      <c r="O278" s="17"/>
      <c r="P278" s="17"/>
      <c r="Q278" s="17">
        <f>'REDE ABAST-TUBOS E CONEXÕES'!N77</f>
        <v>3</v>
      </c>
      <c r="R278" s="17"/>
      <c r="S278" s="17"/>
      <c r="T278" s="18">
        <f t="shared" si="19"/>
        <v>3</v>
      </c>
      <c r="U278" s="67"/>
      <c r="V278" s="67"/>
    </row>
    <row r="279" spans="1:22" s="8" customFormat="1" ht="24.95" customHeight="1" x14ac:dyDescent="0.25">
      <c r="A279" s="45"/>
      <c r="B279" s="23" t="s">
        <v>126</v>
      </c>
      <c r="C279" s="208" t="str">
        <f>'REDE ABAST-TUBOS E CONEXÕES'!B78</f>
        <v>PRÓPRIO</v>
      </c>
      <c r="D279" s="203" t="str">
        <f>'REDE ABAST-TUBOS E CONEXÕES'!C78</f>
        <v>SEINFRA-0098</v>
      </c>
      <c r="E279" s="20"/>
      <c r="F279" s="21"/>
      <c r="G279" s="21"/>
      <c r="H279" s="718" t="str">
        <f>'REDE ABAST-TUBOS E CONEXÕES'!D78</f>
        <v>TUBO PRETO DE AÇO-CARBONO, CLASSE SCH-40 - 3/4". (ADAPTADO DE SIURB 10007011)</v>
      </c>
      <c r="I279" s="718"/>
      <c r="J279" s="718"/>
      <c r="K279" s="718"/>
      <c r="L279" s="718"/>
      <c r="M279" s="719"/>
      <c r="N279" s="22" t="str">
        <f>'REDE ABAST-TUBOS E CONEXÕES'!E78</f>
        <v>M</v>
      </c>
      <c r="O279" s="17"/>
      <c r="P279" s="17"/>
      <c r="Q279" s="17">
        <f>'REDE ABAST-TUBOS E CONEXÕES'!N78</f>
        <v>1.7000000000000002</v>
      </c>
      <c r="R279" s="17"/>
      <c r="S279" s="17"/>
      <c r="T279" s="18">
        <f t="shared" si="19"/>
        <v>1.7000000000000002</v>
      </c>
      <c r="U279" s="67"/>
      <c r="V279" s="67"/>
    </row>
    <row r="280" spans="1:22" s="8" customFormat="1" ht="24.95" customHeight="1" x14ac:dyDescent="0.25">
      <c r="A280" s="45"/>
      <c r="B280" s="23" t="s">
        <v>121</v>
      </c>
      <c r="C280" s="208" t="str">
        <f>'REDE ABAST-TUBOS E CONEXÕES'!B79</f>
        <v>GOINFRA</v>
      </c>
      <c r="D280" s="203" t="str">
        <f>'REDE ABAST-TUBOS E CONEXÕES'!C79</f>
        <v>081066</v>
      </c>
      <c r="E280" s="20"/>
      <c r="F280" s="21"/>
      <c r="G280" s="21"/>
      <c r="H280" s="718" t="str">
        <f>'REDE ABAST-TUBOS E CONEXÕES'!D79</f>
        <v xml:space="preserve">ADAPTADOR SOLDÁVEL CURTO C/ BOLSA E ROSCA PARA REGISTRO 25X3/4"	</v>
      </c>
      <c r="I280" s="718"/>
      <c r="J280" s="718"/>
      <c r="K280" s="718"/>
      <c r="L280" s="718"/>
      <c r="M280" s="719"/>
      <c r="N280" s="22" t="str">
        <f>'REDE ABAST-TUBOS E CONEXÕES'!E79</f>
        <v>UN</v>
      </c>
      <c r="O280" s="17"/>
      <c r="P280" s="17"/>
      <c r="Q280" s="17">
        <f>'REDE ABAST-TUBOS E CONEXÕES'!N79</f>
        <v>3</v>
      </c>
      <c r="R280" s="17"/>
      <c r="S280" s="17"/>
      <c r="T280" s="18">
        <f t="shared" si="19"/>
        <v>3</v>
      </c>
      <c r="U280" s="67"/>
      <c r="V280" s="67"/>
    </row>
    <row r="281" spans="1:22" s="8" customFormat="1" ht="24.95" customHeight="1" x14ac:dyDescent="0.25">
      <c r="A281" s="45"/>
      <c r="B281" s="23" t="s">
        <v>122</v>
      </c>
      <c r="C281" s="208" t="str">
        <f>'REDE ABAST-TUBOS E CONEXÕES'!B80</f>
        <v>GOINFRA</v>
      </c>
      <c r="D281" s="203" t="str">
        <f>'REDE ABAST-TUBOS E CONEXÕES'!C80</f>
        <v>081402</v>
      </c>
      <c r="E281" s="20"/>
      <c r="F281" s="21"/>
      <c r="G281" s="21"/>
      <c r="H281" s="718" t="str">
        <f>'REDE ABAST-TUBOS E CONEXÕES'!D80</f>
        <v xml:space="preserve">TE 90 GRAUS SOLDAVEL DIAMETRO 25 MM	</v>
      </c>
      <c r="I281" s="718"/>
      <c r="J281" s="718"/>
      <c r="K281" s="718"/>
      <c r="L281" s="718"/>
      <c r="M281" s="719"/>
      <c r="N281" s="22" t="str">
        <f>'REDE ABAST-TUBOS E CONEXÕES'!E80</f>
        <v>UN</v>
      </c>
      <c r="O281" s="17"/>
      <c r="P281" s="17"/>
      <c r="Q281" s="17">
        <f>'REDE ABAST-TUBOS E CONEXÕES'!N80</f>
        <v>3</v>
      </c>
      <c r="R281" s="17"/>
      <c r="S281" s="17"/>
      <c r="T281" s="18">
        <f t="shared" si="19"/>
        <v>3</v>
      </c>
      <c r="U281" s="67"/>
      <c r="V281" s="67"/>
    </row>
    <row r="282" spans="1:22" s="8" customFormat="1" ht="24.95" customHeight="1" x14ac:dyDescent="0.25">
      <c r="A282" s="45"/>
      <c r="B282" s="23" t="s">
        <v>123</v>
      </c>
      <c r="C282" s="208" t="str">
        <f>'REDE ABAST-TUBOS E CONEXÕES'!B81</f>
        <v>GOINFRA</v>
      </c>
      <c r="D282" s="203" t="str">
        <f>'REDE ABAST-TUBOS E CONEXÕES'!C81</f>
        <v>081321</v>
      </c>
      <c r="E282" s="20"/>
      <c r="F282" s="21"/>
      <c r="G282" s="21"/>
      <c r="H282" s="718" t="str">
        <f>'REDE ABAST-TUBOS E CONEXÕES'!D81</f>
        <v xml:space="preserve">JOELHO 90 GRAUS SOLDAVEL DIAMETRO 25 MM	</v>
      </c>
      <c r="I282" s="718"/>
      <c r="J282" s="718"/>
      <c r="K282" s="718"/>
      <c r="L282" s="718"/>
      <c r="M282" s="719"/>
      <c r="N282" s="22" t="str">
        <f>'REDE ABAST-TUBOS E CONEXÕES'!E81</f>
        <v>UN</v>
      </c>
      <c r="O282" s="17"/>
      <c r="P282" s="17"/>
      <c r="Q282" s="17">
        <f>'REDE ABAST-TUBOS E CONEXÕES'!N81</f>
        <v>8</v>
      </c>
      <c r="R282" s="17"/>
      <c r="S282" s="17"/>
      <c r="T282" s="18">
        <f t="shared" si="19"/>
        <v>8</v>
      </c>
      <c r="U282" s="67"/>
      <c r="V282" s="67"/>
    </row>
    <row r="283" spans="1:22" s="8" customFormat="1" ht="24.95" customHeight="1" x14ac:dyDescent="0.25">
      <c r="A283" s="45"/>
      <c r="B283" s="23" t="s">
        <v>124</v>
      </c>
      <c r="C283" s="208" t="str">
        <f>'REDE ABAST-TUBOS E CONEXÕES'!B82</f>
        <v>GOINFRA</v>
      </c>
      <c r="D283" s="203" t="str">
        <f>'REDE ABAST-TUBOS E CONEXÕES'!C82</f>
        <v>081003</v>
      </c>
      <c r="E283" s="20"/>
      <c r="F283" s="21"/>
      <c r="G283" s="21"/>
      <c r="H283" s="718" t="str">
        <f>'REDE ABAST-TUBOS E CONEXÕES'!D82</f>
        <v xml:space="preserve">TUBO SOLDAVEL PVC MARROM DIAM. 25 MM	</v>
      </c>
      <c r="I283" s="718"/>
      <c r="J283" s="718"/>
      <c r="K283" s="718"/>
      <c r="L283" s="718"/>
      <c r="M283" s="719"/>
      <c r="N283" s="22" t="str">
        <f>'REDE ABAST-TUBOS E CONEXÕES'!E82</f>
        <v>M</v>
      </c>
      <c r="O283" s="17"/>
      <c r="P283" s="17"/>
      <c r="Q283" s="17">
        <f>'REDE ABAST-TUBOS E CONEXÕES'!N82</f>
        <v>54</v>
      </c>
      <c r="R283" s="17"/>
      <c r="S283" s="17"/>
      <c r="T283" s="18">
        <f t="shared" si="19"/>
        <v>54</v>
      </c>
      <c r="U283" s="67"/>
      <c r="V283" s="67"/>
    </row>
    <row r="284" spans="1:22" s="8" customFormat="1" ht="24.95" customHeight="1" x14ac:dyDescent="0.25">
      <c r="A284" s="45"/>
      <c r="B284" s="23" t="s">
        <v>125</v>
      </c>
      <c r="C284" s="208" t="str">
        <f>'REDE ABAST-TUBOS E CONEXÕES'!B83</f>
        <v>PRÓPRIO</v>
      </c>
      <c r="D284" s="203" t="str">
        <f>'REDE ABAST-TUBOS E CONEXÕES'!C83</f>
        <v>SEINFRA-0099</v>
      </c>
      <c r="E284" s="20"/>
      <c r="F284" s="21"/>
      <c r="G284" s="21"/>
      <c r="H284" s="718" t="str">
        <f>'REDE ABAST-TUBOS E CONEXÕES'!D83</f>
        <v>UNIÃO, EM FERRO GALVANIZADO, DN 25 (1"). (ADAPTADO DE SINAPI 92892)</v>
      </c>
      <c r="I284" s="718"/>
      <c r="J284" s="718"/>
      <c r="K284" s="718"/>
      <c r="L284" s="718"/>
      <c r="M284" s="719"/>
      <c r="N284" s="22" t="str">
        <f>'REDE ABAST-TUBOS E CONEXÕES'!E83</f>
        <v>UN</v>
      </c>
      <c r="O284" s="17"/>
      <c r="P284" s="17"/>
      <c r="Q284" s="17">
        <f>'REDE ABAST-TUBOS E CONEXÕES'!N83</f>
        <v>1</v>
      </c>
      <c r="R284" s="17"/>
      <c r="S284" s="17"/>
      <c r="T284" s="18">
        <f t="shared" si="19"/>
        <v>1</v>
      </c>
      <c r="U284" s="67"/>
      <c r="V284" s="67"/>
    </row>
    <row r="285" spans="1:22" s="8" customFormat="1" ht="24.95" customHeight="1" x14ac:dyDescent="0.25">
      <c r="A285" s="45"/>
      <c r="B285" s="23" t="s">
        <v>126</v>
      </c>
      <c r="C285" s="208" t="str">
        <f>'REDE ABAST-TUBOS E CONEXÕES'!B84</f>
        <v>GOINFRA</v>
      </c>
      <c r="D285" s="203" t="str">
        <f>'REDE ABAST-TUBOS E CONEXÕES'!C84</f>
        <v>080902</v>
      </c>
      <c r="E285" s="20"/>
      <c r="F285" s="21"/>
      <c r="G285" s="21"/>
      <c r="H285" s="718" t="str">
        <f>'REDE ABAST-TUBOS E CONEXÕES'!D84</f>
        <v xml:space="preserve">REGISTRO DE GAVETA BRUTO DIAMETRO 3/4"	</v>
      </c>
      <c r="I285" s="718"/>
      <c r="J285" s="718"/>
      <c r="K285" s="718"/>
      <c r="L285" s="718"/>
      <c r="M285" s="719"/>
      <c r="N285" s="22" t="str">
        <f>'REDE ABAST-TUBOS E CONEXÕES'!E84</f>
        <v>UN</v>
      </c>
      <c r="O285" s="17"/>
      <c r="P285" s="17"/>
      <c r="Q285" s="17">
        <f>'REDE ABAST-TUBOS E CONEXÕES'!N84</f>
        <v>1</v>
      </c>
      <c r="R285" s="17"/>
      <c r="S285" s="17"/>
      <c r="T285" s="18">
        <f t="shared" si="19"/>
        <v>1</v>
      </c>
      <c r="U285" s="67"/>
      <c r="V285" s="67"/>
    </row>
    <row r="286" spans="1:22" s="8" customFormat="1" ht="24.95" customHeight="1" x14ac:dyDescent="0.25">
      <c r="A286" s="45"/>
      <c r="B286" s="23" t="s">
        <v>126</v>
      </c>
      <c r="C286" s="208" t="str">
        <f>'REDE ABAST-TUBOS E CONEXÕES'!B85</f>
        <v>GOINFRA</v>
      </c>
      <c r="D286" s="203" t="str">
        <f>'REDE ABAST-TUBOS E CONEXÕES'!C85</f>
        <v>071151</v>
      </c>
      <c r="E286" s="20"/>
      <c r="F286" s="21"/>
      <c r="G286" s="21"/>
      <c r="H286" s="718" t="str">
        <f>'REDE ABAST-TUBOS E CONEXÕES'!D85</f>
        <v xml:space="preserve">CURVA DE 90 GRAUS AÇO GALVANIZADO DIAM.3/4"	</v>
      </c>
      <c r="I286" s="718"/>
      <c r="J286" s="718"/>
      <c r="K286" s="718"/>
      <c r="L286" s="718"/>
      <c r="M286" s="719"/>
      <c r="N286" s="22" t="str">
        <f>'REDE ABAST-TUBOS E CONEXÕES'!E85</f>
        <v>UN</v>
      </c>
      <c r="O286" s="17"/>
      <c r="P286" s="17"/>
      <c r="Q286" s="17">
        <f>'REDE ABAST-TUBOS E CONEXÕES'!N85</f>
        <v>1</v>
      </c>
      <c r="R286" s="17"/>
      <c r="S286" s="17"/>
      <c r="T286" s="18">
        <f t="shared" si="19"/>
        <v>1</v>
      </c>
      <c r="U286" s="67"/>
      <c r="V286" s="67"/>
    </row>
    <row r="287" spans="1:22" s="8" customFormat="1" ht="24.95" customHeight="1" x14ac:dyDescent="0.25">
      <c r="A287" s="45"/>
      <c r="B287" s="23" t="s">
        <v>121</v>
      </c>
      <c r="C287" s="208" t="str">
        <f>'REDE ABAST-TUBOS E CONEXÕES'!B86</f>
        <v>PRÓPRIO</v>
      </c>
      <c r="D287" s="203" t="str">
        <f>'REDE ABAST-TUBOS E CONEXÕES'!C86</f>
        <v>SEINFRA-0100</v>
      </c>
      <c r="E287" s="20"/>
      <c r="F287" s="21"/>
      <c r="G287" s="21"/>
      <c r="H287" s="718" t="str">
        <f>'REDE ABAST-TUBOS E CONEXÕES'!D86</f>
        <v>COLAR DE TOMADA, FoFo, COM TRAVAS, DE 150 MM X 3/4", PARA LIGAÇÃO PREDIAL DE ÁGUA. (ADAPTADO DE SINAPI 104034)</v>
      </c>
      <c r="I287" s="718"/>
      <c r="J287" s="718"/>
      <c r="K287" s="718"/>
      <c r="L287" s="718"/>
      <c r="M287" s="719"/>
      <c r="N287" s="22" t="str">
        <f>'REDE ABAST-TUBOS E CONEXÕES'!E86</f>
        <v>UN</v>
      </c>
      <c r="O287" s="17"/>
      <c r="P287" s="17"/>
      <c r="Q287" s="17">
        <f>'REDE ABAST-TUBOS E CONEXÕES'!N86</f>
        <v>1</v>
      </c>
      <c r="R287" s="17"/>
      <c r="S287" s="17"/>
      <c r="T287" s="18">
        <f t="shared" si="19"/>
        <v>1</v>
      </c>
      <c r="U287" s="67"/>
      <c r="V287" s="67"/>
    </row>
    <row r="288" spans="1:22" s="8" customFormat="1" ht="24.95" customHeight="1" x14ac:dyDescent="0.25">
      <c r="A288" s="45"/>
      <c r="B288" s="23" t="s">
        <v>122</v>
      </c>
      <c r="C288" s="208" t="str">
        <f>'REDE ABAST-TUBOS E CONEXÕES'!B87</f>
        <v>ORSE</v>
      </c>
      <c r="D288" s="203">
        <f>'REDE ABAST-TUBOS E CONEXÕES'!C87</f>
        <v>5109</v>
      </c>
      <c r="E288" s="20"/>
      <c r="F288" s="21"/>
      <c r="G288" s="21"/>
      <c r="H288" s="718" t="str">
        <f>'REDE ABAST-TUBOS E CONEXÕES'!D87</f>
        <v>LOCAÇÃO E NIVELAMENTO DE REDES DE ÁGUA E ADUTORAS</v>
      </c>
      <c r="I288" s="718"/>
      <c r="J288" s="718"/>
      <c r="K288" s="718"/>
      <c r="L288" s="718"/>
      <c r="M288" s="719"/>
      <c r="N288" s="22" t="str">
        <f>'REDE ABAST-TUBOS E CONEXÕES'!E87</f>
        <v>M</v>
      </c>
      <c r="O288" s="17"/>
      <c r="P288" s="17"/>
      <c r="Q288" s="17">
        <f>'REDE ABAST-TUBOS E CONEXÕES'!N87</f>
        <v>5569.1</v>
      </c>
      <c r="R288" s="17"/>
      <c r="S288" s="17"/>
      <c r="T288" s="18">
        <f t="shared" si="19"/>
        <v>5569.1</v>
      </c>
      <c r="U288" s="67"/>
      <c r="V288" s="67"/>
    </row>
    <row r="289" spans="1:22" s="8" customFormat="1" ht="24.95" customHeight="1" x14ac:dyDescent="0.25">
      <c r="A289" s="45"/>
      <c r="B289" s="23" t="s">
        <v>123</v>
      </c>
      <c r="C289" s="208" t="str">
        <f>'REDE ABAST-TUBOS E CONEXÕES'!B88</f>
        <v>ORSE</v>
      </c>
      <c r="D289" s="203">
        <f>'REDE ABAST-TUBOS E CONEXÕES'!C88</f>
        <v>6098</v>
      </c>
      <c r="E289" s="20"/>
      <c r="F289" s="21"/>
      <c r="G289" s="21"/>
      <c r="H289" s="718" t="str">
        <f>'REDE ABAST-TUBOS E CONEXÕES'!D88</f>
        <v>CADASTRO DE REDES DE ÁGUA / ADUTORAS</v>
      </c>
      <c r="I289" s="718"/>
      <c r="J289" s="718"/>
      <c r="K289" s="718"/>
      <c r="L289" s="718"/>
      <c r="M289" s="719"/>
      <c r="N289" s="22" t="str">
        <f>'REDE ABAST-TUBOS E CONEXÕES'!E88</f>
        <v>UN</v>
      </c>
      <c r="O289" s="17"/>
      <c r="P289" s="17"/>
      <c r="Q289" s="17">
        <f>'REDE ABAST-TUBOS E CONEXÕES'!N88</f>
        <v>5569.1</v>
      </c>
      <c r="R289" s="17"/>
      <c r="S289" s="17"/>
      <c r="T289" s="18">
        <f t="shared" si="19"/>
        <v>5569.1</v>
      </c>
      <c r="U289" s="67"/>
      <c r="V289" s="67"/>
    </row>
    <row r="290" spans="1:22" s="8" customFormat="1" ht="24.95" customHeight="1" x14ac:dyDescent="0.25">
      <c r="A290" s="45"/>
      <c r="B290" s="23" t="s">
        <v>124</v>
      </c>
      <c r="C290" s="208" t="str">
        <f>'REDE ABAST-TUBOS E CONEXÕES'!B89</f>
        <v>PRÓPRIO</v>
      </c>
      <c r="D290" s="203" t="str">
        <f>'REDE ABAST-TUBOS E CONEXÕES'!C89</f>
        <v>SEINFRA-0102</v>
      </c>
      <c r="E290" s="20"/>
      <c r="F290" s="21"/>
      <c r="G290" s="21"/>
      <c r="H290" s="718" t="str">
        <f>'REDE ABAST-TUBOS E CONEXÕES'!D89</f>
        <v>CARGA, TRANSPORTE E DESCARGA DE TUBOS E PEÇAS EM PVC DN 50MM ATÉ 15KM. (ADAPTADO DE SEINFRA-CE C0727)</v>
      </c>
      <c r="I290" s="718"/>
      <c r="J290" s="718"/>
      <c r="K290" s="718"/>
      <c r="L290" s="718"/>
      <c r="M290" s="719"/>
      <c r="N290" s="22" t="str">
        <f>'REDE ABAST-TUBOS E CONEXÕES'!E89</f>
        <v>M</v>
      </c>
      <c r="O290" s="17"/>
      <c r="P290" s="17"/>
      <c r="Q290" s="17">
        <f>'REDE ABAST-TUBOS E CONEXÕES'!N89</f>
        <v>4031</v>
      </c>
      <c r="R290" s="17"/>
      <c r="S290" s="17"/>
      <c r="T290" s="18">
        <f t="shared" si="19"/>
        <v>4031</v>
      </c>
      <c r="U290" s="67"/>
      <c r="V290" s="67"/>
    </row>
    <row r="291" spans="1:22" s="8" customFormat="1" ht="24.95" customHeight="1" x14ac:dyDescent="0.25">
      <c r="A291" s="45"/>
      <c r="B291" s="23" t="s">
        <v>125</v>
      </c>
      <c r="C291" s="208" t="str">
        <f>'REDE ABAST-TUBOS E CONEXÕES'!B90</f>
        <v>PRÓPRIO</v>
      </c>
      <c r="D291" s="203" t="str">
        <f>'REDE ABAST-TUBOS E CONEXÕES'!C90</f>
        <v>SEINFRA-0103</v>
      </c>
      <c r="E291" s="20"/>
      <c r="F291" s="21"/>
      <c r="G291" s="21"/>
      <c r="H291" s="718" t="str">
        <f>'REDE ABAST-TUBOS E CONEXÕES'!D90</f>
        <v>CARGA, TRANSPORTE E DESCARGA DE TUBOS E PEÇAS EM PVC DN 75MM ATÉ 15KM. (ADAPTADO DE SEINFRA-CE C0728)</v>
      </c>
      <c r="I291" s="718"/>
      <c r="J291" s="718"/>
      <c r="K291" s="718"/>
      <c r="L291" s="718"/>
      <c r="M291" s="719"/>
      <c r="N291" s="22" t="str">
        <f>'REDE ABAST-TUBOS E CONEXÕES'!E90</f>
        <v>M</v>
      </c>
      <c r="O291" s="17"/>
      <c r="P291" s="17"/>
      <c r="Q291" s="17">
        <f>'REDE ABAST-TUBOS E CONEXÕES'!N90</f>
        <v>452</v>
      </c>
      <c r="R291" s="17"/>
      <c r="S291" s="17"/>
      <c r="T291" s="18">
        <f t="shared" si="19"/>
        <v>452</v>
      </c>
      <c r="U291" s="67"/>
      <c r="V291" s="67"/>
    </row>
    <row r="292" spans="1:22" s="8" customFormat="1" ht="24.95" customHeight="1" x14ac:dyDescent="0.25">
      <c r="A292" s="45"/>
      <c r="B292" s="23" t="s">
        <v>126</v>
      </c>
      <c r="C292" s="208" t="str">
        <f>'REDE ABAST-TUBOS E CONEXÕES'!B91</f>
        <v>PRÓPRIO</v>
      </c>
      <c r="D292" s="203" t="str">
        <f>'REDE ABAST-TUBOS E CONEXÕES'!C91</f>
        <v>SEINFRA-0104</v>
      </c>
      <c r="E292" s="20"/>
      <c r="F292" s="21"/>
      <c r="G292" s="21"/>
      <c r="H292" s="718" t="str">
        <f>'REDE ABAST-TUBOS E CONEXÕES'!D91</f>
        <v>CARGA, TRANSPORTE E DESCARGA DE TUBOS E PEÇAS EM PVC DN 100MM ATÉ 15KM. (ADAPTADO DE SEINFRA-CE C0718)</v>
      </c>
      <c r="I292" s="718"/>
      <c r="J292" s="718"/>
      <c r="K292" s="718"/>
      <c r="L292" s="718"/>
      <c r="M292" s="719"/>
      <c r="N292" s="22" t="str">
        <f>'REDE ABAST-TUBOS E CONEXÕES'!E91</f>
        <v>M</v>
      </c>
      <c r="O292" s="17"/>
      <c r="P292" s="17"/>
      <c r="Q292" s="17">
        <f>'REDE ABAST-TUBOS E CONEXÕES'!N91</f>
        <v>352</v>
      </c>
      <c r="R292" s="17"/>
      <c r="S292" s="17"/>
      <c r="T292" s="18">
        <f t="shared" si="19"/>
        <v>352</v>
      </c>
      <c r="U292" s="67"/>
      <c r="V292" s="67"/>
    </row>
    <row r="293" spans="1:22" s="8" customFormat="1" ht="24.95" customHeight="1" x14ac:dyDescent="0.25">
      <c r="A293" s="45"/>
      <c r="B293" s="23" t="s">
        <v>126</v>
      </c>
      <c r="C293" s="208" t="str">
        <f>'REDE ABAST-TUBOS E CONEXÕES'!B92</f>
        <v>PRÓPRIO</v>
      </c>
      <c r="D293" s="203" t="str">
        <f>'REDE ABAST-TUBOS E CONEXÕES'!C92</f>
        <v>SEINFRA-0129</v>
      </c>
      <c r="E293" s="20"/>
      <c r="F293" s="21"/>
      <c r="G293" s="21"/>
      <c r="H293" s="718" t="str">
        <f>'REDE ABAST-TUBOS E CONEXÕES'!D92</f>
        <v>CURVA DE FERRO FUNDIDO, 90°, COM BOLSAS, DIAMETRO DE 150MM. (ADAPTADO DE SCO IT 15.20.0150)</v>
      </c>
      <c r="I293" s="718"/>
      <c r="J293" s="718"/>
      <c r="K293" s="718"/>
      <c r="L293" s="718"/>
      <c r="M293" s="719"/>
      <c r="N293" s="22" t="str">
        <f>'REDE ABAST-TUBOS E CONEXÕES'!E92</f>
        <v>UN</v>
      </c>
      <c r="O293" s="17"/>
      <c r="P293" s="17"/>
      <c r="Q293" s="17">
        <f>'REDE ABAST-TUBOS E CONEXÕES'!N92</f>
        <v>4</v>
      </c>
      <c r="R293" s="17"/>
      <c r="S293" s="17"/>
      <c r="T293" s="18">
        <f t="shared" ref="T293:T294" si="20">SUM(O293:S293)</f>
        <v>4</v>
      </c>
      <c r="U293" s="67"/>
      <c r="V293" s="67"/>
    </row>
    <row r="294" spans="1:22" s="8" customFormat="1" ht="39.950000000000003" customHeight="1" x14ac:dyDescent="0.25">
      <c r="A294" s="45"/>
      <c r="B294" s="23" t="s">
        <v>126</v>
      </c>
      <c r="C294" s="208" t="str">
        <f>'REDE ABAST-TUBOS E CONEXÕES'!B93</f>
        <v>PRÓPRIO</v>
      </c>
      <c r="D294" s="203" t="str">
        <f>'REDE ABAST-TUBOS E CONEXÕES'!C93</f>
        <v>SEINFRA-0130</v>
      </c>
      <c r="E294" s="20"/>
      <c r="F294" s="21"/>
      <c r="G294" s="21"/>
      <c r="H294" s="718" t="str">
        <f>'REDE ABAST-TUBOS E CONEXÕES'!D93</f>
        <v>TE DE FERRO FUNDIDO DUCTIL, PINTADO INTERNA E EXTERNAMENTE COM TINTA BETUMINOSA, COM 3 BOLSAS, INCLUSIVE FORNECIMENTO DO MATERIAL PARA JUNTA (ANEL DE BORRACHA), COM DIAMETRO NOMINAL DE (100X100)MM. (ADAPTADO DE SCO DR 10.15.0862)</v>
      </c>
      <c r="I294" s="718"/>
      <c r="J294" s="718"/>
      <c r="K294" s="718"/>
      <c r="L294" s="718"/>
      <c r="M294" s="719"/>
      <c r="N294" s="22" t="str">
        <f>'REDE ABAST-TUBOS E CONEXÕES'!E93</f>
        <v>UN</v>
      </c>
      <c r="O294" s="17"/>
      <c r="P294" s="17"/>
      <c r="Q294" s="17">
        <f>'REDE ABAST-TUBOS E CONEXÕES'!N93</f>
        <v>1</v>
      </c>
      <c r="R294" s="17"/>
      <c r="S294" s="17"/>
      <c r="T294" s="18">
        <f t="shared" si="20"/>
        <v>1</v>
      </c>
      <c r="U294" s="67"/>
      <c r="V294" s="67"/>
    </row>
    <row r="295" spans="1:22" s="8" customFormat="1" ht="39.950000000000003" customHeight="1" x14ac:dyDescent="0.25">
      <c r="A295" s="45"/>
      <c r="B295" s="23" t="s">
        <v>126</v>
      </c>
      <c r="C295" s="208" t="str">
        <f>+'REDE ABAST-CAIXAS e POÇOS'!B28</f>
        <v>PRÓPRIO</v>
      </c>
      <c r="D295" s="203" t="str">
        <f>+'REDE ABAST-CAIXAS e POÇOS'!C28</f>
        <v>SEINFRA-0122</v>
      </c>
      <c r="E295" s="20"/>
      <c r="F295" s="21"/>
      <c r="G295" s="21"/>
      <c r="H295" s="717" t="str">
        <f>+'REDE ABAST-CAIXAS e POÇOS'!D28</f>
        <v>ASSENTAMENTO DE TUBO/ANÉIS DE CONCRETO PARA CAIXAS/POÇOS DE INSPEÇÃO, DIÂMETRO DE 600 MM, JUNTA RÍGIDA, INSTALADO EM LOCAL COM BAIXO NÍVEL DE INTERFERÊNCIAS. (ADAPTADO DE SINAPI 92811)</v>
      </c>
      <c r="I295" s="718"/>
      <c r="J295" s="718"/>
      <c r="K295" s="718"/>
      <c r="L295" s="718"/>
      <c r="M295" s="719"/>
      <c r="N295" s="22" t="str">
        <f>+'REDE ABAST-CAIXAS e POÇOS'!X28</f>
        <v>M</v>
      </c>
      <c r="O295" s="17"/>
      <c r="P295" s="17"/>
      <c r="Q295" s="17">
        <f>+'REDE ABAST-CAIXAS e POÇOS'!Y28</f>
        <v>1.2</v>
      </c>
      <c r="R295" s="17"/>
      <c r="S295" s="17"/>
      <c r="T295" s="18">
        <f t="shared" ref="T295" si="21">SUM(O295:S295)</f>
        <v>1.2</v>
      </c>
      <c r="U295" s="67"/>
      <c r="V295" s="67"/>
    </row>
    <row r="296" spans="1:22" s="8" customFormat="1" ht="39.950000000000003" customHeight="1" x14ac:dyDescent="0.25">
      <c r="A296" s="45"/>
      <c r="B296" s="23" t="s">
        <v>126</v>
      </c>
      <c r="C296" s="208" t="str">
        <f>+'REDE ABAST-CAIXAS e POÇOS'!B29</f>
        <v>PRÓPRIO</v>
      </c>
      <c r="D296" s="203" t="str">
        <f>+'REDE ABAST-CAIXAS e POÇOS'!C29</f>
        <v>SEINFRA-0124</v>
      </c>
      <c r="E296" s="20"/>
      <c r="F296" s="21"/>
      <c r="G296" s="21"/>
      <c r="H296" s="717" t="str">
        <f>+'REDE ABAST-CAIXAS e POÇOS'!D29</f>
        <v>ASSENTAMENTO DE TUBO/ANÉIS DE CONCRETO PARA CAIXAS/POÇOS DE INSPEÇÃO, DIÂMETRO DE 900 MM, JUNTA RÍGIDA, INSTALADO EM LOCAL COM BAIXO NÍVEL DE INTERFERÊNCIAS. (ADAPTADO DE SINAPI 92814)</v>
      </c>
      <c r="I296" s="718"/>
      <c r="J296" s="718"/>
      <c r="K296" s="718"/>
      <c r="L296" s="718"/>
      <c r="M296" s="719"/>
      <c r="N296" s="22" t="str">
        <f>+'REDE ABAST-CAIXAS e POÇOS'!X29</f>
        <v>M</v>
      </c>
      <c r="O296" s="17"/>
      <c r="P296" s="17"/>
      <c r="Q296" s="17">
        <f>+'REDE ABAST-CAIXAS e POÇOS'!Y29</f>
        <v>11.4</v>
      </c>
      <c r="R296" s="17"/>
      <c r="S296" s="17"/>
      <c r="T296" s="18">
        <f t="shared" ref="T296:T298" si="22">SUM(O296:S296)</f>
        <v>11.4</v>
      </c>
      <c r="U296" s="67"/>
      <c r="V296" s="67"/>
    </row>
    <row r="297" spans="1:22" s="8" customFormat="1" ht="39.950000000000003" customHeight="1" x14ac:dyDescent="0.25">
      <c r="A297" s="45"/>
      <c r="B297" s="23" t="s">
        <v>126</v>
      </c>
      <c r="C297" s="208" t="str">
        <f>+'REDE ABAST-CAIXAS e POÇOS'!B30</f>
        <v>PRÓPRIO</v>
      </c>
      <c r="D297" s="203" t="str">
        <f>+'REDE ABAST-CAIXAS e POÇOS'!C30</f>
        <v>SEINFRA-0125</v>
      </c>
      <c r="E297" s="20"/>
      <c r="F297" s="21"/>
      <c r="G297" s="21"/>
      <c r="H297" s="717" t="str">
        <f>+'REDE ABAST-CAIXAS e POÇOS'!D30</f>
        <v>ASSENTAMENTO DE TUBO/ANÉIS DE CONCRETO PARA CAIXAS/POÇOS DE INSPEÇÃO, DIÂMETRO DE 1200 MM, JUNTA RÍGIDA, INSTALADO EM LOCAL COM BAIXO NÍVEL DE INTERFERÊNCIAS. (ADAPTADO DE SINAPI 92817)</v>
      </c>
      <c r="I297" s="718"/>
      <c r="J297" s="718"/>
      <c r="K297" s="718"/>
      <c r="L297" s="718"/>
      <c r="M297" s="719"/>
      <c r="N297" s="22" t="str">
        <f>+'REDE ABAST-CAIXAS e POÇOS'!X30</f>
        <v>M</v>
      </c>
      <c r="O297" s="17"/>
      <c r="P297" s="17"/>
      <c r="Q297" s="17">
        <f>+'REDE ABAST-CAIXAS e POÇOS'!Y30</f>
        <v>6</v>
      </c>
      <c r="R297" s="17"/>
      <c r="S297" s="17"/>
      <c r="T297" s="18">
        <f t="shared" si="22"/>
        <v>6</v>
      </c>
      <c r="U297" s="67"/>
      <c r="V297" s="67"/>
    </row>
    <row r="298" spans="1:22" s="8" customFormat="1" ht="24.95" customHeight="1" x14ac:dyDescent="0.25">
      <c r="A298" s="45"/>
      <c r="B298" s="23" t="s">
        <v>126</v>
      </c>
      <c r="C298" s="208" t="str">
        <f>+'REDE ABAST-CAIXAS e POÇOS'!B31</f>
        <v>PRÓPRIO</v>
      </c>
      <c r="D298" s="203" t="str">
        <f>+'REDE ABAST-CAIXAS e POÇOS'!C31</f>
        <v>SEINFRA-0126</v>
      </c>
      <c r="E298" s="20"/>
      <c r="F298" s="21"/>
      <c r="G298" s="21"/>
      <c r="H298" s="717" t="str">
        <f>+'REDE ABAST-CAIXAS e POÇOS'!D31</f>
        <v>COLOCAÇÃO E CHUMBAMENTO LAJE EXCENTRICA, DIÂM. 1200 MM. (ADAPTADO DE SEINFRA-CE C0815)</v>
      </c>
      <c r="I298" s="718"/>
      <c r="J298" s="718"/>
      <c r="K298" s="718"/>
      <c r="L298" s="718"/>
      <c r="M298" s="719"/>
      <c r="N298" s="22" t="str">
        <f>+'REDE ABAST-CAIXAS e POÇOS'!X31</f>
        <v xml:space="preserve">UN </v>
      </c>
      <c r="O298" s="17"/>
      <c r="P298" s="17"/>
      <c r="Q298" s="17">
        <f>+'REDE ABAST-CAIXAS e POÇOS'!Y31</f>
        <v>15</v>
      </c>
      <c r="R298" s="17"/>
      <c r="S298" s="17"/>
      <c r="T298" s="18">
        <f t="shared" si="22"/>
        <v>15</v>
      </c>
      <c r="U298" s="67"/>
      <c r="V298" s="67"/>
    </row>
    <row r="299" spans="1:22" s="8" customFormat="1" ht="24.95" customHeight="1" x14ac:dyDescent="0.25">
      <c r="A299" s="45"/>
      <c r="B299" s="23" t="s">
        <v>126</v>
      </c>
      <c r="C299" s="208" t="str">
        <f>+'REDE ABAST-CAIXAS e POÇOS'!B32</f>
        <v>PRÓPRIO</v>
      </c>
      <c r="D299" s="203" t="str">
        <f>+'REDE ABAST-CAIXAS e POÇOS'!C32</f>
        <v>SEINFRA-0127</v>
      </c>
      <c r="E299" s="20"/>
      <c r="F299" s="21"/>
      <c r="G299" s="21"/>
      <c r="H299" s="717" t="str">
        <f>+'REDE ABAST-CAIXAS e POÇOS'!D32</f>
        <v>COLOCAÇÃO E CHUMBAMENTO ADUELA E TAMPÃO. (ADAPTADO DE SEINFRA-CE C0815)</v>
      </c>
      <c r="I299" s="718"/>
      <c r="J299" s="718"/>
      <c r="K299" s="718"/>
      <c r="L299" s="718"/>
      <c r="M299" s="719"/>
      <c r="N299" s="22" t="str">
        <f>+'REDE ABAST-CAIXAS e POÇOS'!X32</f>
        <v xml:space="preserve">UN </v>
      </c>
      <c r="O299" s="17"/>
      <c r="P299" s="17"/>
      <c r="Q299" s="17">
        <f>+'REDE ABAST-CAIXAS e POÇOS'!Y32</f>
        <v>16</v>
      </c>
      <c r="R299" s="17"/>
      <c r="S299" s="17"/>
      <c r="T299" s="18">
        <f t="shared" ref="T299" si="23">SUM(O299:S299)</f>
        <v>16</v>
      </c>
      <c r="U299" s="67"/>
      <c r="V299" s="67"/>
    </row>
    <row r="300" spans="1:22" s="8" customFormat="1" ht="24.95" customHeight="1" x14ac:dyDescent="0.25">
      <c r="A300" s="45"/>
      <c r="B300" s="23" t="s">
        <v>126</v>
      </c>
      <c r="C300" s="208" t="str">
        <f>'REDE ABAST-TUBOS E CONEXÕES'!B94</f>
        <v>PRÓPRIO</v>
      </c>
      <c r="D300" s="203" t="str">
        <f>'REDE ABAST-TUBOS E CONEXÕES'!C94</f>
        <v>SEINFRA-0133</v>
      </c>
      <c r="E300" s="20"/>
      <c r="F300" s="21"/>
      <c r="G300" s="21"/>
      <c r="H300" s="718" t="str">
        <f>'REDE ABAST-TUBOS E CONEXÕES'!D94</f>
        <v>RESERVATÓRIO METÁLICO, CAPACIDADE 230 M3, INCLUSO TRANSPORTE, IÇAMENTO E MONTAGEM, CONFORME PROJETO</v>
      </c>
      <c r="I300" s="718"/>
      <c r="J300" s="718"/>
      <c r="K300" s="718"/>
      <c r="L300" s="718"/>
      <c r="M300" s="719"/>
      <c r="N300" s="22" t="str">
        <f>'REDE ABAST-TUBOS E CONEXÕES'!E94</f>
        <v>UN</v>
      </c>
      <c r="O300" s="17"/>
      <c r="P300" s="17">
        <f>'REDE ABAST-TUBOS E CONEXÕES'!N94</f>
        <v>1</v>
      </c>
      <c r="Q300" s="17"/>
      <c r="R300" s="17"/>
      <c r="S300" s="17"/>
      <c r="T300" s="18">
        <f t="shared" ref="T300" si="24">SUM(O300:S300)</f>
        <v>1</v>
      </c>
      <c r="U300" s="67"/>
      <c r="V300" s="67"/>
    </row>
    <row r="301" spans="1:22" s="8" customFormat="1" ht="24.95" customHeight="1" x14ac:dyDescent="0.25">
      <c r="A301" s="44"/>
      <c r="B301" s="19"/>
      <c r="C301" s="207"/>
      <c r="D301" s="202"/>
      <c r="E301" s="13"/>
      <c r="F301" s="14"/>
      <c r="G301" s="24"/>
      <c r="H301" s="14"/>
      <c r="I301" s="14"/>
      <c r="J301" s="14"/>
      <c r="K301" s="14"/>
      <c r="L301" s="24"/>
      <c r="M301" s="15"/>
      <c r="N301" s="16"/>
      <c r="O301" s="17"/>
      <c r="P301" s="17"/>
      <c r="Q301" s="17"/>
      <c r="R301" s="17"/>
      <c r="S301" s="17"/>
      <c r="T301" s="18">
        <f t="shared" si="19"/>
        <v>0</v>
      </c>
      <c r="U301" s="67"/>
      <c r="V301" s="67"/>
    </row>
    <row r="302" spans="1:22" s="8" customFormat="1" ht="24.95" customHeight="1" x14ac:dyDescent="0.25">
      <c r="A302" s="44"/>
      <c r="B302" s="12" t="s">
        <v>37</v>
      </c>
      <c r="C302" s="206"/>
      <c r="D302" s="201"/>
      <c r="E302" s="13"/>
      <c r="F302" s="14" t="s">
        <v>75</v>
      </c>
      <c r="G302" s="14"/>
      <c r="H302" s="14"/>
      <c r="I302" s="14"/>
      <c r="J302" s="14"/>
      <c r="K302" s="14"/>
      <c r="L302" s="14"/>
      <c r="M302" s="15"/>
      <c r="N302" s="16"/>
      <c r="O302" s="17"/>
      <c r="P302" s="17"/>
      <c r="Q302" s="17"/>
      <c r="R302" s="17"/>
      <c r="S302" s="17"/>
      <c r="T302" s="18">
        <f t="shared" si="19"/>
        <v>0</v>
      </c>
      <c r="U302" s="67"/>
      <c r="V302" s="67"/>
    </row>
    <row r="303" spans="1:22" s="8" customFormat="1" ht="24.95" customHeight="1" x14ac:dyDescent="0.25">
      <c r="A303" s="45"/>
      <c r="B303" s="23" t="s">
        <v>120</v>
      </c>
      <c r="C303" s="208" t="str">
        <f>'RESER-COMPLEMENTARES'!B17</f>
        <v>GOINFRA</v>
      </c>
      <c r="D303" s="203">
        <f>'RESER-COMPLEMENTARES'!C17</f>
        <v>270210</v>
      </c>
      <c r="E303" s="20"/>
      <c r="F303" s="21"/>
      <c r="G303" s="21"/>
      <c r="H303" s="718" t="str">
        <f>'RESER-COMPLEMENTARES'!D17</f>
        <v>PLANTIO GRAMA ESMERALDA PLACA C/ M.O. IRRIG., ADUBO,TERRA VEGETAL (O.C.) A&lt;11.000,00M2</v>
      </c>
      <c r="I303" s="718"/>
      <c r="J303" s="718"/>
      <c r="K303" s="718"/>
      <c r="L303" s="718"/>
      <c r="M303" s="719"/>
      <c r="N303" s="22" t="str">
        <f>'RESER-COMPLEMENTARES'!X17</f>
        <v>M2</v>
      </c>
      <c r="O303" s="17"/>
      <c r="P303" s="17">
        <f>'RESER-COMPLEMENTARES'!W17</f>
        <v>592.62999999999988</v>
      </c>
      <c r="Q303" s="17"/>
      <c r="R303" s="17"/>
      <c r="S303" s="17"/>
      <c r="T303" s="18">
        <f t="shared" si="19"/>
        <v>592.62999999999988</v>
      </c>
      <c r="U303" s="67"/>
      <c r="V303" s="67"/>
    </row>
    <row r="304" spans="1:22" s="8" customFormat="1" ht="24.95" customHeight="1" x14ac:dyDescent="0.25">
      <c r="A304" s="45"/>
      <c r="B304" s="23" t="s">
        <v>121</v>
      </c>
      <c r="C304" s="208" t="str">
        <f>'RESER-COMPLEMENTARES'!B18</f>
        <v>GOINFRA</v>
      </c>
      <c r="D304" s="203">
        <f>'RESER-COMPLEMENTARES'!C18</f>
        <v>270501</v>
      </c>
      <c r="E304" s="20"/>
      <c r="F304" s="21"/>
      <c r="G304" s="21"/>
      <c r="H304" s="718" t="str">
        <f>'RESER-COMPLEMENTARES'!D18</f>
        <v>LIMPEZA FINAL DE OBRA - (OBRAS CIVIS)</v>
      </c>
      <c r="I304" s="718"/>
      <c r="J304" s="718"/>
      <c r="K304" s="718"/>
      <c r="L304" s="718"/>
      <c r="M304" s="719"/>
      <c r="N304" s="22" t="str">
        <f>'RESER-COMPLEMENTARES'!X18</f>
        <v>M2</v>
      </c>
      <c r="O304" s="17"/>
      <c r="P304" s="17">
        <f>'RESER-COMPLEMENTARES'!W18</f>
        <v>80.7</v>
      </c>
      <c r="Q304" s="17"/>
      <c r="R304" s="17"/>
      <c r="S304" s="17"/>
      <c r="T304" s="18">
        <f t="shared" si="19"/>
        <v>80.7</v>
      </c>
      <c r="U304" s="67"/>
      <c r="V304" s="67"/>
    </row>
    <row r="305" spans="1:22" s="8" customFormat="1" ht="24.95" customHeight="1" thickBot="1" x14ac:dyDescent="0.3">
      <c r="A305" s="45"/>
      <c r="B305" s="51"/>
      <c r="C305" s="209"/>
      <c r="D305" s="204"/>
      <c r="E305" s="25"/>
      <c r="F305" s="26"/>
      <c r="G305" s="26"/>
      <c r="H305" s="730"/>
      <c r="I305" s="730"/>
      <c r="J305" s="730"/>
      <c r="K305" s="730"/>
      <c r="L305" s="730"/>
      <c r="M305" s="731"/>
      <c r="N305" s="27"/>
      <c r="O305" s="28"/>
      <c r="P305" s="28"/>
      <c r="Q305" s="28"/>
      <c r="R305" s="28"/>
      <c r="S305" s="28"/>
      <c r="T305" s="29">
        <f t="shared" si="19"/>
        <v>0</v>
      </c>
      <c r="U305" s="67"/>
      <c r="V305" s="67"/>
    </row>
    <row r="306" spans="1:22" s="8" customFormat="1" ht="30" hidden="1" customHeight="1" thickBot="1" x14ac:dyDescent="0.3">
      <c r="A306" s="44"/>
      <c r="B306" s="56">
        <v>0</v>
      </c>
      <c r="C306" s="205"/>
      <c r="D306" s="205"/>
      <c r="E306" s="57"/>
      <c r="F306" s="58"/>
      <c r="G306" s="59"/>
      <c r="H306" s="58"/>
      <c r="I306" s="58"/>
      <c r="J306" s="58"/>
      <c r="K306" s="58"/>
      <c r="L306" s="59"/>
      <c r="M306" s="60"/>
      <c r="N306" s="61"/>
      <c r="O306" s="62"/>
      <c r="P306" s="62"/>
      <c r="Q306" s="62"/>
      <c r="R306" s="62"/>
      <c r="S306" s="62"/>
      <c r="T306" s="63">
        <f>+SUM(S306:S306)</f>
        <v>0</v>
      </c>
      <c r="U306" s="67"/>
      <c r="V306" s="67"/>
    </row>
    <row r="307" spans="1:22" s="8" customFormat="1" ht="30" hidden="1" customHeight="1" thickBot="1" x14ac:dyDescent="0.3">
      <c r="A307" s="44"/>
      <c r="B307" s="12" t="s">
        <v>127</v>
      </c>
      <c r="C307" s="201"/>
      <c r="D307" s="201"/>
      <c r="E307" s="13"/>
      <c r="F307" s="14" t="s">
        <v>75</v>
      </c>
      <c r="G307" s="14"/>
      <c r="H307" s="14"/>
      <c r="I307" s="14"/>
      <c r="J307" s="14"/>
      <c r="K307" s="14"/>
      <c r="L307" s="14"/>
      <c r="M307" s="15"/>
      <c r="N307" s="16"/>
      <c r="O307" s="17"/>
      <c r="P307" s="17"/>
      <c r="Q307" s="17"/>
      <c r="R307" s="17"/>
      <c r="S307" s="17"/>
      <c r="T307" s="18">
        <f>+SUM(S307:S307)</f>
        <v>0</v>
      </c>
      <c r="U307" s="67"/>
      <c r="V307" s="67"/>
    </row>
    <row r="308" spans="1:22" s="8" customFormat="1" ht="39.950000000000003" hidden="1" customHeight="1" x14ac:dyDescent="0.25">
      <c r="A308" s="45"/>
      <c r="B308" s="23" t="s">
        <v>128</v>
      </c>
      <c r="C308" s="203"/>
      <c r="D308" s="203"/>
      <c r="E308" s="20"/>
      <c r="F308" s="21"/>
      <c r="G308" s="21"/>
      <c r="H308" s="718" t="s">
        <v>129</v>
      </c>
      <c r="I308" s="718"/>
      <c r="J308" s="718"/>
      <c r="K308" s="718"/>
      <c r="L308" s="718"/>
      <c r="M308" s="719"/>
      <c r="N308" s="22" t="s">
        <v>130</v>
      </c>
      <c r="O308" s="17"/>
      <c r="P308" s="17"/>
      <c r="Q308" s="17"/>
      <c r="R308" s="17"/>
      <c r="S308" s="17"/>
      <c r="T308" s="18">
        <f>+SUM(S308:S308)</f>
        <v>0</v>
      </c>
      <c r="U308" s="67"/>
      <c r="V308" s="67"/>
    </row>
    <row r="309" spans="1:22" s="8" customFormat="1" ht="39.950000000000003" hidden="1" customHeight="1" x14ac:dyDescent="0.25">
      <c r="A309" s="45"/>
      <c r="B309" s="51" t="s">
        <v>131</v>
      </c>
      <c r="C309" s="204"/>
      <c r="D309" s="204"/>
      <c r="E309" s="25"/>
      <c r="F309" s="26"/>
      <c r="G309" s="26"/>
      <c r="H309" s="730" t="s">
        <v>132</v>
      </c>
      <c r="I309" s="730"/>
      <c r="J309" s="730"/>
      <c r="K309" s="730"/>
      <c r="L309" s="730"/>
      <c r="M309" s="731"/>
      <c r="N309" s="27" t="s">
        <v>130</v>
      </c>
      <c r="O309" s="28"/>
      <c r="P309" s="28"/>
      <c r="Q309" s="28"/>
      <c r="R309" s="28"/>
      <c r="S309" s="28"/>
      <c r="T309" s="29">
        <f>+SUM(S309:S309)</f>
        <v>0</v>
      </c>
      <c r="U309" s="67"/>
      <c r="V309" s="67"/>
    </row>
  </sheetData>
  <mergeCells count="253">
    <mergeCell ref="H300:M300"/>
    <mergeCell ref="H39:M39"/>
    <mergeCell ref="H293:M293"/>
    <mergeCell ref="H294:M294"/>
    <mergeCell ref="H110:M110"/>
    <mergeCell ref="H119:M119"/>
    <mergeCell ref="H105:M105"/>
    <mergeCell ref="H147:M147"/>
    <mergeCell ref="H37:M37"/>
    <mergeCell ref="H38:M38"/>
    <mergeCell ref="H231:M231"/>
    <mergeCell ref="H232:M232"/>
    <mergeCell ref="H233:M233"/>
    <mergeCell ref="H234:M234"/>
    <mergeCell ref="H235:M235"/>
    <mergeCell ref="H265:M265"/>
    <mergeCell ref="H266:M266"/>
    <mergeCell ref="H267:M267"/>
    <mergeCell ref="H49:M49"/>
    <mergeCell ref="H117:M117"/>
    <mergeCell ref="H118:M118"/>
    <mergeCell ref="H140:M140"/>
    <mergeCell ref="H139:M139"/>
    <mergeCell ref="H214:M214"/>
    <mergeCell ref="H143:M143"/>
    <mergeCell ref="H142:M142"/>
    <mergeCell ref="H55:M55"/>
    <mergeCell ref="H98:M98"/>
    <mergeCell ref="H291:M291"/>
    <mergeCell ref="H227:M227"/>
    <mergeCell ref="H228:M228"/>
    <mergeCell ref="H64:M64"/>
    <mergeCell ref="H65:M65"/>
    <mergeCell ref="H66:M66"/>
    <mergeCell ref="H67:M67"/>
    <mergeCell ref="H68:M68"/>
    <mergeCell ref="H69:M69"/>
    <mergeCell ref="H70:M70"/>
    <mergeCell ref="H71:M71"/>
    <mergeCell ref="H72:M72"/>
    <mergeCell ref="H148:M148"/>
    <mergeCell ref="H222:M222"/>
    <mergeCell ref="H223:M223"/>
    <mergeCell ref="H224:M224"/>
    <mergeCell ref="H269:M269"/>
    <mergeCell ref="H213:M213"/>
    <mergeCell ref="H225:M225"/>
    <mergeCell ref="H226:M226"/>
    <mergeCell ref="H292:M292"/>
    <mergeCell ref="H274:M274"/>
    <mergeCell ref="H275:M275"/>
    <mergeCell ref="H276:M276"/>
    <mergeCell ref="H277:M277"/>
    <mergeCell ref="H278:M278"/>
    <mergeCell ref="H286:M286"/>
    <mergeCell ref="H247:M247"/>
    <mergeCell ref="H248:M248"/>
    <mergeCell ref="H249:M249"/>
    <mergeCell ref="H250:M250"/>
    <mergeCell ref="H251:M251"/>
    <mergeCell ref="H252:M252"/>
    <mergeCell ref="H253:M253"/>
    <mergeCell ref="H270:M270"/>
    <mergeCell ref="H271:M271"/>
    <mergeCell ref="H272:M272"/>
    <mergeCell ref="H215:M215"/>
    <mergeCell ref="H216:M216"/>
    <mergeCell ref="H273:M273"/>
    <mergeCell ref="H254:M254"/>
    <mergeCell ref="H255:M255"/>
    <mergeCell ref="H281:M281"/>
    <mergeCell ref="H282:M282"/>
    <mergeCell ref="H283:M283"/>
    <mergeCell ref="H287:M287"/>
    <mergeCell ref="H217:M217"/>
    <mergeCell ref="H218:M218"/>
    <mergeCell ref="H219:M219"/>
    <mergeCell ref="H220:M220"/>
    <mergeCell ref="H221:M221"/>
    <mergeCell ref="H279:M279"/>
    <mergeCell ref="H280:M280"/>
    <mergeCell ref="H229:M229"/>
    <mergeCell ref="H230:M230"/>
    <mergeCell ref="H210:M210"/>
    <mergeCell ref="H186:M186"/>
    <mergeCell ref="H187:M187"/>
    <mergeCell ref="H188:M188"/>
    <mergeCell ref="H189:M189"/>
    <mergeCell ref="H190:M190"/>
    <mergeCell ref="H194:M194"/>
    <mergeCell ref="H195:M195"/>
    <mergeCell ref="H196:M196"/>
    <mergeCell ref="H197:M197"/>
    <mergeCell ref="H199:M199"/>
    <mergeCell ref="H200:M200"/>
    <mergeCell ref="H201:M201"/>
    <mergeCell ref="H202:M202"/>
    <mergeCell ref="H207:M207"/>
    <mergeCell ref="H208:M208"/>
    <mergeCell ref="H206:M206"/>
    <mergeCell ref="H204:M204"/>
    <mergeCell ref="H205:M205"/>
    <mergeCell ref="H18:M18"/>
    <mergeCell ref="H17:M17"/>
    <mergeCell ref="H50:M50"/>
    <mergeCell ref="H33:M33"/>
    <mergeCell ref="H34:M34"/>
    <mergeCell ref="H60:M60"/>
    <mergeCell ref="H288:M288"/>
    <mergeCell ref="H236:M236"/>
    <mergeCell ref="H237:M237"/>
    <mergeCell ref="H238:M238"/>
    <mergeCell ref="H239:M239"/>
    <mergeCell ref="H240:M240"/>
    <mergeCell ref="H241:M241"/>
    <mergeCell ref="H242:M242"/>
    <mergeCell ref="H243:M243"/>
    <mergeCell ref="H244:M244"/>
    <mergeCell ref="H245:M245"/>
    <mergeCell ref="H246:M246"/>
    <mergeCell ref="H256:M256"/>
    <mergeCell ref="H257:M257"/>
    <mergeCell ref="H258:M258"/>
    <mergeCell ref="H284:M284"/>
    <mergeCell ref="H285:M285"/>
    <mergeCell ref="H259:M259"/>
    <mergeCell ref="H89:M89"/>
    <mergeCell ref="H93:M93"/>
    <mergeCell ref="H86:M86"/>
    <mergeCell ref="H116:M116"/>
    <mergeCell ref="H114:M114"/>
    <mergeCell ref="H97:M97"/>
    <mergeCell ref="H102:M102"/>
    <mergeCell ref="H16:M16"/>
    <mergeCell ref="H19:M19"/>
    <mergeCell ref="H75:M75"/>
    <mergeCell ref="H56:M56"/>
    <mergeCell ref="H52:M52"/>
    <mergeCell ref="H82:M82"/>
    <mergeCell ref="H84:M84"/>
    <mergeCell ref="H83:M83"/>
    <mergeCell ref="H85:M85"/>
    <mergeCell ref="H43:M43"/>
    <mergeCell ref="H42:M42"/>
    <mergeCell ref="H79:M79"/>
    <mergeCell ref="H80:M80"/>
    <mergeCell ref="H76:M76"/>
    <mergeCell ref="H78:M78"/>
    <mergeCell ref="H24:M24"/>
    <mergeCell ref="H25:M25"/>
    <mergeCell ref="H305:M305"/>
    <mergeCell ref="H308:M308"/>
    <mergeCell ref="H309:M309"/>
    <mergeCell ref="H304:M304"/>
    <mergeCell ref="H154:M154"/>
    <mergeCell ref="H157:M157"/>
    <mergeCell ref="H159:M159"/>
    <mergeCell ref="H303:M303"/>
    <mergeCell ref="H156:M156"/>
    <mergeCell ref="H155:M155"/>
    <mergeCell ref="H160:M160"/>
    <mergeCell ref="H161:M161"/>
    <mergeCell ref="H162:M162"/>
    <mergeCell ref="H163:M163"/>
    <mergeCell ref="H164:M164"/>
    <mergeCell ref="H165:M165"/>
    <mergeCell ref="H166:M166"/>
    <mergeCell ref="H167:M167"/>
    <mergeCell ref="H289:M289"/>
    <mergeCell ref="H290:M290"/>
    <mergeCell ref="H174:M174"/>
    <mergeCell ref="H175:M175"/>
    <mergeCell ref="H176:M176"/>
    <mergeCell ref="H203:M203"/>
    <mergeCell ref="B1:T6"/>
    <mergeCell ref="B13:B14"/>
    <mergeCell ref="E13:M14"/>
    <mergeCell ref="N13:N14"/>
    <mergeCell ref="O13:O14"/>
    <mergeCell ref="S13:S14"/>
    <mergeCell ref="T13:T14"/>
    <mergeCell ref="P13:P14"/>
    <mergeCell ref="Q13:Q14"/>
    <mergeCell ref="R13:R14"/>
    <mergeCell ref="C13:C14"/>
    <mergeCell ref="D13:D14"/>
    <mergeCell ref="C8:R8"/>
    <mergeCell ref="H22:M22"/>
    <mergeCell ref="H23:M23"/>
    <mergeCell ref="H27:M27"/>
    <mergeCell ref="H28:M28"/>
    <mergeCell ref="H29:M29"/>
    <mergeCell ref="H36:M36"/>
    <mergeCell ref="H35:M35"/>
    <mergeCell ref="H88:M88"/>
    <mergeCell ref="H87:M87"/>
    <mergeCell ref="H57:M57"/>
    <mergeCell ref="H58:M58"/>
    <mergeCell ref="H53:M53"/>
    <mergeCell ref="H74:M74"/>
    <mergeCell ref="H54:M54"/>
    <mergeCell ref="H46:M46"/>
    <mergeCell ref="H77:M77"/>
    <mergeCell ref="H26:M26"/>
    <mergeCell ref="H51:M51"/>
    <mergeCell ref="H95:M95"/>
    <mergeCell ref="H96:M96"/>
    <mergeCell ref="H30:M30"/>
    <mergeCell ref="H150:M150"/>
    <mergeCell ref="H134:M134"/>
    <mergeCell ref="H44:M44"/>
    <mergeCell ref="H45:M45"/>
    <mergeCell ref="H132:M132"/>
    <mergeCell ref="H295:M295"/>
    <mergeCell ref="H59:M59"/>
    <mergeCell ref="H177:M177"/>
    <mergeCell ref="H178:M178"/>
    <mergeCell ref="H179:M179"/>
    <mergeCell ref="H180:M180"/>
    <mergeCell ref="H181:M181"/>
    <mergeCell ref="H182:M182"/>
    <mergeCell ref="H183:M183"/>
    <mergeCell ref="H184:M184"/>
    <mergeCell ref="H185:M185"/>
    <mergeCell ref="H131:M131"/>
    <mergeCell ref="H138:M138"/>
    <mergeCell ref="H99:M99"/>
    <mergeCell ref="H100:M100"/>
    <mergeCell ref="H109:M109"/>
    <mergeCell ref="H299:M299"/>
    <mergeCell ref="H168:M168"/>
    <mergeCell ref="H169:M169"/>
    <mergeCell ref="H170:M170"/>
    <mergeCell ref="H171:M171"/>
    <mergeCell ref="H172:M172"/>
    <mergeCell ref="H173:M173"/>
    <mergeCell ref="H130:M130"/>
    <mergeCell ref="H103:M103"/>
    <mergeCell ref="H108:M108"/>
    <mergeCell ref="H115:M115"/>
    <mergeCell ref="H123:M123"/>
    <mergeCell ref="H124:M124"/>
    <mergeCell ref="H126:M126"/>
    <mergeCell ref="H296:M296"/>
    <mergeCell ref="H297:M297"/>
    <mergeCell ref="H298:M298"/>
    <mergeCell ref="H260:M260"/>
    <mergeCell ref="H261:M261"/>
    <mergeCell ref="H262:M262"/>
    <mergeCell ref="H263:M263"/>
    <mergeCell ref="H264:M264"/>
    <mergeCell ref="H268:M268"/>
    <mergeCell ref="H209:M209"/>
  </mergeCells>
  <phoneticPr fontId="52" type="noConversion"/>
  <printOptions horizontalCentered="1"/>
  <pageMargins left="0.39370078740157483" right="0.39370078740157483" top="0.78740157480314965" bottom="0.59055118110236227" header="0.31496062992125984" footer="0.31496062992125984"/>
  <pageSetup paperSize="9" scale="48" orientation="portrait" r:id="rId1"/>
  <headerFooter>
    <oddHeader>&amp;L&amp;G</oddHeader>
    <oddFooter>&amp;L&amp;"Arial Narrow,Normal"&amp;10&amp;A
&amp;F&amp;R&amp;"Arial Narrow,Normal"&amp;10Página &amp;P de &amp;N</oddFooter>
  </headerFooter>
  <legacyDrawingHF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DA575-07C1-4581-BE52-7EE16763E13E}">
  <dimension ref="B1:U31"/>
  <sheetViews>
    <sheetView showGridLines="0" showZeros="0" view="pageBreakPreview" topLeftCell="A7" zoomScaleNormal="100" zoomScaleSheetLayoutView="100"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1" s="69" customFormat="1" ht="20.100000000000001" customHeight="1" x14ac:dyDescent="0.25">
      <c r="B1" s="569" t="s">
        <v>133</v>
      </c>
      <c r="C1" s="569"/>
      <c r="D1" s="569"/>
      <c r="E1" s="569"/>
      <c r="F1" s="569"/>
      <c r="G1" s="569"/>
      <c r="H1" s="569"/>
      <c r="I1" s="569"/>
      <c r="J1" s="569"/>
      <c r="K1" s="569"/>
      <c r="L1" s="569"/>
      <c r="M1" s="569"/>
      <c r="N1" s="569"/>
      <c r="O1" s="569"/>
      <c r="P1" s="569"/>
    </row>
    <row r="2" spans="2:21" s="69" customFormat="1" ht="20.100000000000001" customHeight="1" x14ac:dyDescent="0.25">
      <c r="B2" s="569"/>
      <c r="C2" s="569"/>
      <c r="D2" s="569"/>
      <c r="E2" s="569"/>
      <c r="F2" s="569"/>
      <c r="G2" s="569"/>
      <c r="H2" s="569"/>
      <c r="I2" s="569"/>
      <c r="J2" s="569"/>
      <c r="K2" s="569"/>
      <c r="L2" s="569"/>
      <c r="M2" s="569"/>
      <c r="N2" s="569"/>
      <c r="O2" s="569"/>
      <c r="P2" s="569"/>
    </row>
    <row r="3" spans="2:21" s="69" customFormat="1" ht="15" customHeight="1" x14ac:dyDescent="0.25"/>
    <row r="4" spans="2:21"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3" t="s">
        <v>96</v>
      </c>
      <c r="O4" s="4" t="str">
        <f>+'DADOS DA OBRA'!$N$22</f>
        <v>04/11/2024</v>
      </c>
      <c r="R4" s="32"/>
      <c r="S4" s="32"/>
      <c r="T4" s="33"/>
      <c r="U4" s="33"/>
    </row>
    <row r="5" spans="2:21" s="5" customFormat="1" ht="20.100000000000001" customHeight="1" x14ac:dyDescent="0.25">
      <c r="B5" s="1" t="s">
        <v>18</v>
      </c>
      <c r="C5" s="2" t="str">
        <f>+""&amp;'DADOS DA OBRA'!$B$16&amp;", "&amp;'DADOS DA OBRA'!$B$19&amp;", "&amp;'DADOS DA OBRA'!$J$19&amp;", "&amp;'DADOS DA OBRA'!$P$19</f>
        <v>RUAS DIVERSAS, DIVERSOS, MATRINCHÃ, GO</v>
      </c>
      <c r="N5" s="3" t="s">
        <v>17</v>
      </c>
      <c r="O5" s="4" t="str">
        <f>'DADOS DA OBRA'!$N$25</f>
        <v>00</v>
      </c>
    </row>
    <row r="6" spans="2:21" s="5" customFormat="1" ht="20.100000000000001" customHeight="1" x14ac:dyDescent="0.25"/>
    <row r="7" spans="2:21" s="5" customFormat="1" ht="20.100000000000001" customHeight="1" x14ac:dyDescent="0.25">
      <c r="B7" s="1" t="s">
        <v>97</v>
      </c>
      <c r="C7" s="39" t="s">
        <v>771</v>
      </c>
      <c r="N7" s="3"/>
      <c r="O7" s="64"/>
    </row>
    <row r="8" spans="2:21" s="67" customFormat="1" ht="15" customHeight="1" x14ac:dyDescent="0.25">
      <c r="B8" s="52"/>
      <c r="C8" s="53"/>
      <c r="D8" s="9"/>
      <c r="E8" s="9"/>
      <c r="F8" s="9"/>
      <c r="G8" s="10"/>
      <c r="H8" s="10"/>
      <c r="I8" s="10"/>
      <c r="J8" s="10"/>
      <c r="K8" s="9"/>
      <c r="M8" s="10"/>
      <c r="N8" s="10"/>
    </row>
    <row r="9" spans="2:21" ht="20.100000000000001" customHeight="1" x14ac:dyDescent="0.25">
      <c r="B9" s="306" t="s">
        <v>218</v>
      </c>
      <c r="C9" s="193">
        <v>250101</v>
      </c>
      <c r="D9" s="306" t="s">
        <v>781</v>
      </c>
      <c r="E9" s="306"/>
      <c r="F9" s="306"/>
      <c r="G9" s="306"/>
      <c r="H9" s="306"/>
      <c r="I9" s="306"/>
      <c r="J9" s="306" t="s">
        <v>218</v>
      </c>
      <c r="K9" s="193">
        <v>250113</v>
      </c>
      <c r="L9" s="306" t="s">
        <v>787</v>
      </c>
      <c r="M9" s="306"/>
      <c r="N9" s="306"/>
      <c r="O9" s="90"/>
    </row>
    <row r="10" spans="2:21" ht="20.100000000000001" customHeight="1" x14ac:dyDescent="0.25">
      <c r="B10" s="306"/>
      <c r="C10" s="306"/>
      <c r="D10" s="309" t="s">
        <v>772</v>
      </c>
      <c r="E10" s="308">
        <v>3</v>
      </c>
      <c r="F10" s="306" t="s">
        <v>773</v>
      </c>
      <c r="G10" s="306"/>
      <c r="H10" s="306"/>
      <c r="I10" s="306"/>
      <c r="J10" s="306"/>
      <c r="K10" s="306"/>
      <c r="L10" s="309" t="s">
        <v>772</v>
      </c>
      <c r="M10" s="308">
        <v>5.5</v>
      </c>
      <c r="N10" s="306" t="s">
        <v>773</v>
      </c>
      <c r="O10" s="90"/>
    </row>
    <row r="11" spans="2:21" ht="20.100000000000001" customHeight="1" x14ac:dyDescent="0.25">
      <c r="B11" s="306"/>
      <c r="C11" s="306"/>
      <c r="D11" s="309" t="s">
        <v>774</v>
      </c>
      <c r="E11" s="308">
        <v>5</v>
      </c>
      <c r="F11" s="306" t="s">
        <v>775</v>
      </c>
      <c r="G11" s="306"/>
      <c r="H11" s="306"/>
      <c r="I11" s="306"/>
      <c r="J11" s="306"/>
      <c r="K11" s="306"/>
      <c r="L11" s="309" t="s">
        <v>774</v>
      </c>
      <c r="M11" s="308">
        <v>10</v>
      </c>
      <c r="N11" s="306" t="s">
        <v>775</v>
      </c>
      <c r="O11" s="90"/>
    </row>
    <row r="12" spans="2:21" ht="20.100000000000001" customHeight="1" x14ac:dyDescent="0.25">
      <c r="B12" s="306"/>
      <c r="C12" s="306"/>
      <c r="D12" s="309" t="s">
        <v>776</v>
      </c>
      <c r="E12" s="308">
        <v>4</v>
      </c>
      <c r="F12" s="306" t="s">
        <v>777</v>
      </c>
      <c r="G12" s="306"/>
      <c r="H12" s="306"/>
      <c r="I12" s="306"/>
      <c r="J12" s="306"/>
      <c r="K12" s="306"/>
      <c r="L12" s="309" t="s">
        <v>776</v>
      </c>
      <c r="M12" s="308">
        <v>4</v>
      </c>
      <c r="N12" s="306" t="s">
        <v>777</v>
      </c>
      <c r="O12" s="90"/>
    </row>
    <row r="13" spans="2:21" ht="20.100000000000001" customHeight="1" x14ac:dyDescent="0.25">
      <c r="B13" s="306"/>
      <c r="C13" s="306"/>
      <c r="D13" s="309" t="s">
        <v>778</v>
      </c>
      <c r="E13" s="308">
        <v>5</v>
      </c>
      <c r="F13" s="306" t="s">
        <v>779</v>
      </c>
      <c r="G13" s="306"/>
      <c r="H13" s="306"/>
      <c r="I13" s="306"/>
      <c r="J13" s="306"/>
      <c r="K13" s="306"/>
      <c r="L13" s="309" t="s">
        <v>778</v>
      </c>
      <c r="M13" s="308">
        <v>5</v>
      </c>
      <c r="N13" s="306" t="s">
        <v>779</v>
      </c>
      <c r="O13" s="90"/>
    </row>
    <row r="14" spans="2:21" ht="20.100000000000001" customHeight="1" x14ac:dyDescent="0.25">
      <c r="B14" s="306"/>
      <c r="C14" s="306"/>
      <c r="D14" s="309" t="s">
        <v>782</v>
      </c>
      <c r="E14" s="308">
        <v>1</v>
      </c>
      <c r="F14" s="306" t="s">
        <v>783</v>
      </c>
      <c r="G14" s="306"/>
      <c r="H14" s="306"/>
      <c r="I14" s="306"/>
      <c r="J14" s="306"/>
      <c r="K14" s="306"/>
      <c r="L14" s="309" t="s">
        <v>782</v>
      </c>
      <c r="M14" s="308">
        <v>0</v>
      </c>
      <c r="N14" s="306" t="s">
        <v>783</v>
      </c>
      <c r="O14" s="90"/>
    </row>
    <row r="15" spans="2:21" ht="20.100000000000001" customHeight="1" x14ac:dyDescent="0.25">
      <c r="B15" s="306"/>
      <c r="C15" s="298"/>
      <c r="D15" s="310" t="s">
        <v>780</v>
      </c>
      <c r="E15" s="311">
        <f>+E13*E12*E11*E10*E14</f>
        <v>300</v>
      </c>
      <c r="F15" s="298" t="s">
        <v>81</v>
      </c>
      <c r="G15" s="306"/>
      <c r="H15" s="306"/>
      <c r="I15" s="306"/>
      <c r="J15" s="306"/>
      <c r="K15" s="298"/>
      <c r="L15" s="310" t="s">
        <v>780</v>
      </c>
      <c r="M15" s="311">
        <f>+M13*M12*M11*M10*M14</f>
        <v>0</v>
      </c>
      <c r="N15" s="298" t="s">
        <v>81</v>
      </c>
      <c r="O15" s="90"/>
    </row>
    <row r="16" spans="2:21" s="67" customFormat="1" ht="20.100000000000001" customHeight="1" x14ac:dyDescent="0.25">
      <c r="B16" s="52"/>
      <c r="C16" s="53"/>
      <c r="D16" s="9"/>
      <c r="E16" s="9"/>
      <c r="F16" s="9"/>
      <c r="G16" s="10"/>
      <c r="H16" s="10"/>
      <c r="I16" s="10"/>
      <c r="J16" s="10"/>
      <c r="K16" s="9"/>
      <c r="M16" s="10"/>
      <c r="N16" s="10"/>
    </row>
    <row r="17" spans="2:15" ht="20.100000000000001" customHeight="1" x14ac:dyDescent="0.25">
      <c r="B17" s="306" t="s">
        <v>218</v>
      </c>
      <c r="C17" s="307" t="s">
        <v>785</v>
      </c>
      <c r="D17" s="306" t="s">
        <v>784</v>
      </c>
      <c r="E17" s="306"/>
      <c r="F17" s="306"/>
      <c r="G17" s="306"/>
      <c r="H17" s="306"/>
      <c r="I17" s="306"/>
      <c r="J17" s="306" t="s">
        <v>218</v>
      </c>
      <c r="K17" s="193">
        <v>250105</v>
      </c>
      <c r="L17" s="306" t="s">
        <v>786</v>
      </c>
      <c r="M17" s="306"/>
      <c r="N17" s="306"/>
      <c r="O17" s="90"/>
    </row>
    <row r="18" spans="2:15" ht="20.100000000000001" customHeight="1" x14ac:dyDescent="0.25">
      <c r="B18" s="306"/>
      <c r="C18" s="306"/>
      <c r="D18" s="309" t="s">
        <v>772</v>
      </c>
      <c r="E18" s="308">
        <v>5.5</v>
      </c>
      <c r="F18" s="306" t="s">
        <v>773</v>
      </c>
      <c r="G18" s="306"/>
      <c r="H18" s="306"/>
      <c r="I18" s="306"/>
      <c r="J18" s="306"/>
      <c r="K18" s="306"/>
      <c r="L18" s="309" t="s">
        <v>772</v>
      </c>
      <c r="M18" s="308">
        <v>5.5</v>
      </c>
      <c r="N18" s="306" t="s">
        <v>773</v>
      </c>
      <c r="O18" s="90"/>
    </row>
    <row r="19" spans="2:15" ht="20.100000000000001" customHeight="1" x14ac:dyDescent="0.25">
      <c r="B19" s="306"/>
      <c r="C19" s="306"/>
      <c r="D19" s="309" t="s">
        <v>774</v>
      </c>
      <c r="E19" s="308">
        <v>10</v>
      </c>
      <c r="F19" s="306" t="s">
        <v>775</v>
      </c>
      <c r="G19" s="306"/>
      <c r="H19" s="306"/>
      <c r="I19" s="306"/>
      <c r="J19" s="306"/>
      <c r="K19" s="306"/>
      <c r="L19" s="309" t="s">
        <v>774</v>
      </c>
      <c r="M19" s="308">
        <v>10</v>
      </c>
      <c r="N19" s="306" t="s">
        <v>775</v>
      </c>
      <c r="O19" s="90"/>
    </row>
    <row r="20" spans="2:15" ht="20.100000000000001" customHeight="1" x14ac:dyDescent="0.25">
      <c r="B20" s="306"/>
      <c r="C20" s="306"/>
      <c r="D20" s="309" t="s">
        <v>776</v>
      </c>
      <c r="E20" s="308">
        <v>4</v>
      </c>
      <c r="F20" s="306" t="s">
        <v>777</v>
      </c>
      <c r="G20" s="306"/>
      <c r="H20" s="306"/>
      <c r="I20" s="306"/>
      <c r="J20" s="306"/>
      <c r="K20" s="306"/>
      <c r="L20" s="309" t="s">
        <v>776</v>
      </c>
      <c r="M20" s="308">
        <v>4</v>
      </c>
      <c r="N20" s="306" t="s">
        <v>777</v>
      </c>
      <c r="O20" s="90"/>
    </row>
    <row r="21" spans="2:15" ht="20.100000000000001" customHeight="1" x14ac:dyDescent="0.25">
      <c r="B21" s="306"/>
      <c r="C21" s="306"/>
      <c r="D21" s="309" t="s">
        <v>778</v>
      </c>
      <c r="E21" s="308">
        <v>4</v>
      </c>
      <c r="F21" s="306" t="s">
        <v>779</v>
      </c>
      <c r="G21" s="306"/>
      <c r="H21" s="306"/>
      <c r="I21" s="306"/>
      <c r="J21" s="306"/>
      <c r="K21" s="306"/>
      <c r="L21" s="309" t="s">
        <v>778</v>
      </c>
      <c r="M21" s="308">
        <v>4</v>
      </c>
      <c r="N21" s="306" t="s">
        <v>779</v>
      </c>
      <c r="O21" s="90"/>
    </row>
    <row r="22" spans="2:15" ht="20.100000000000001" customHeight="1" x14ac:dyDescent="0.25">
      <c r="B22" s="306"/>
      <c r="C22" s="306"/>
      <c r="D22" s="309" t="s">
        <v>782</v>
      </c>
      <c r="E22" s="308">
        <v>1</v>
      </c>
      <c r="F22" s="306" t="s">
        <v>783</v>
      </c>
      <c r="G22" s="306"/>
      <c r="H22" s="306"/>
      <c r="I22" s="306"/>
      <c r="J22" s="306"/>
      <c r="K22" s="306"/>
      <c r="L22" s="309" t="s">
        <v>782</v>
      </c>
      <c r="M22" s="308">
        <v>1</v>
      </c>
      <c r="N22" s="306" t="s">
        <v>783</v>
      </c>
      <c r="O22" s="90"/>
    </row>
    <row r="23" spans="2:15" ht="20.100000000000001" customHeight="1" x14ac:dyDescent="0.25">
      <c r="B23" s="306"/>
      <c r="C23" s="298"/>
      <c r="D23" s="310" t="s">
        <v>780</v>
      </c>
      <c r="E23" s="311">
        <f>+E21*E20*E19*E18*E22</f>
        <v>880</v>
      </c>
      <c r="F23" s="298" t="s">
        <v>81</v>
      </c>
      <c r="G23" s="306"/>
      <c r="H23" s="306"/>
      <c r="I23" s="306"/>
      <c r="J23" s="306"/>
      <c r="K23" s="298"/>
      <c r="L23" s="310" t="s">
        <v>780</v>
      </c>
      <c r="M23" s="311">
        <f>+M21*M20*M19*M18*M22</f>
        <v>880</v>
      </c>
      <c r="N23" s="298" t="s">
        <v>81</v>
      </c>
      <c r="O23" s="90"/>
    </row>
    <row r="24" spans="2:15" s="67" customFormat="1" ht="20.100000000000001" customHeight="1" x14ac:dyDescent="0.25">
      <c r="B24" s="52"/>
      <c r="C24" s="53"/>
      <c r="D24" s="9"/>
      <c r="E24" s="9"/>
      <c r="F24" s="9"/>
      <c r="G24" s="10"/>
      <c r="H24" s="10"/>
      <c r="I24" s="10"/>
      <c r="J24" s="10"/>
      <c r="K24" s="9"/>
      <c r="M24" s="10"/>
      <c r="N24" s="10"/>
    </row>
    <row r="25" spans="2:15" ht="20.100000000000001" customHeight="1" x14ac:dyDescent="0.25">
      <c r="B25" s="306" t="s">
        <v>218</v>
      </c>
      <c r="C25" s="307">
        <v>250110</v>
      </c>
      <c r="D25" s="306" t="s">
        <v>850</v>
      </c>
      <c r="E25" s="306"/>
      <c r="F25" s="306"/>
      <c r="G25" s="306"/>
      <c r="H25" s="306"/>
      <c r="I25" s="306"/>
      <c r="J25" s="306" t="s">
        <v>1716</v>
      </c>
      <c r="L25" s="306"/>
      <c r="M25" s="306"/>
      <c r="N25" s="306"/>
      <c r="O25" s="90"/>
    </row>
    <row r="26" spans="2:15" ht="20.100000000000001" customHeight="1" x14ac:dyDescent="0.25">
      <c r="B26" s="306"/>
      <c r="C26" s="306"/>
      <c r="D26" s="309" t="s">
        <v>772</v>
      </c>
      <c r="E26" s="308">
        <v>5.5</v>
      </c>
      <c r="F26" s="306" t="s">
        <v>773</v>
      </c>
      <c r="G26" s="306"/>
      <c r="H26" s="306"/>
      <c r="I26" s="306"/>
      <c r="J26" s="732" t="s">
        <v>1717</v>
      </c>
      <c r="K26" s="732"/>
      <c r="L26" s="732"/>
      <c r="M26" s="732"/>
      <c r="N26" s="732"/>
      <c r="O26" s="732"/>
    </row>
    <row r="27" spans="2:15" ht="20.100000000000001" customHeight="1" x14ac:dyDescent="0.25">
      <c r="B27" s="306"/>
      <c r="C27" s="306"/>
      <c r="D27" s="309" t="s">
        <v>774</v>
      </c>
      <c r="E27" s="308">
        <v>10</v>
      </c>
      <c r="F27" s="306" t="s">
        <v>775</v>
      </c>
      <c r="G27" s="306"/>
      <c r="H27" s="306"/>
      <c r="I27" s="306"/>
      <c r="J27" s="732"/>
      <c r="K27" s="732"/>
      <c r="L27" s="732"/>
      <c r="M27" s="732"/>
      <c r="N27" s="732"/>
      <c r="O27" s="732"/>
    </row>
    <row r="28" spans="2:15" ht="20.100000000000001" customHeight="1" x14ac:dyDescent="0.25">
      <c r="B28" s="306"/>
      <c r="C28" s="306"/>
      <c r="D28" s="309" t="s">
        <v>776</v>
      </c>
      <c r="E28" s="308">
        <v>4</v>
      </c>
      <c r="F28" s="306" t="s">
        <v>777</v>
      </c>
      <c r="G28" s="306"/>
      <c r="H28" s="306"/>
      <c r="I28" s="306"/>
      <c r="J28" s="193" t="s">
        <v>1718</v>
      </c>
      <c r="K28" s="193" t="s">
        <v>1719</v>
      </c>
      <c r="L28" s="193" t="s">
        <v>1720</v>
      </c>
      <c r="M28" s="733" t="s">
        <v>1721</v>
      </c>
      <c r="N28" s="733"/>
      <c r="O28" s="733"/>
    </row>
    <row r="29" spans="2:15" ht="20.100000000000001" customHeight="1" x14ac:dyDescent="0.25">
      <c r="B29" s="306"/>
      <c r="C29" s="306"/>
      <c r="D29" s="309" t="s">
        <v>778</v>
      </c>
      <c r="E29" s="308">
        <v>4</v>
      </c>
      <c r="F29" s="306" t="s">
        <v>779</v>
      </c>
      <c r="G29" s="306"/>
      <c r="H29" s="306"/>
      <c r="I29" s="306"/>
      <c r="J29" s="448">
        <v>4.1300000000000003E-2</v>
      </c>
      <c r="K29" s="448">
        <v>7.6399999999999996E-2</v>
      </c>
      <c r="L29" s="448">
        <v>0.1089</v>
      </c>
      <c r="M29" s="734">
        <f>(SUM('ORÇAMENTO SINTÉTICO (SD)'!L9,'ORÇAMENTO SINTÉTICO (SD)'!L19:L20,'ORÇAMENTO SINTÉTICO (SD)'!L22:L23,'ORÇAMENTO SINTÉTICO (SD)'!L27:L28))/'ORÇAMENTO SINTÉTICO (SD)'!L285</f>
        <v>0.10281032865366252</v>
      </c>
      <c r="N29" s="734"/>
      <c r="O29" s="734"/>
    </row>
    <row r="30" spans="2:15" ht="20.100000000000001" customHeight="1" x14ac:dyDescent="0.25">
      <c r="B30" s="306"/>
      <c r="C30" s="306"/>
      <c r="D30" s="309" t="s">
        <v>782</v>
      </c>
      <c r="E30" s="308">
        <v>2</v>
      </c>
      <c r="F30" s="306" t="s">
        <v>783</v>
      </c>
      <c r="G30" s="306"/>
      <c r="H30" s="306"/>
      <c r="I30" s="306"/>
      <c r="J30" s="306"/>
      <c r="K30" s="306"/>
      <c r="L30" s="309"/>
      <c r="M30" s="308"/>
      <c r="N30" s="306"/>
      <c r="O30" s="90"/>
    </row>
    <row r="31" spans="2:15" ht="20.100000000000001" customHeight="1" x14ac:dyDescent="0.25">
      <c r="B31" s="306"/>
      <c r="C31" s="298"/>
      <c r="D31" s="310" t="s">
        <v>780</v>
      </c>
      <c r="E31" s="311">
        <f>+E29*E28*E27*E26*E30</f>
        <v>1760</v>
      </c>
      <c r="F31" s="298" t="s">
        <v>81</v>
      </c>
      <c r="G31" s="306"/>
      <c r="H31" s="306"/>
      <c r="I31" s="306"/>
      <c r="J31" s="306"/>
      <c r="K31" s="298"/>
      <c r="L31" s="310"/>
      <c r="M31" s="311"/>
      <c r="N31" s="298"/>
      <c r="O31" s="90"/>
    </row>
  </sheetData>
  <mergeCells count="5">
    <mergeCell ref="B1:P2"/>
    <mergeCell ref="J26:O27"/>
    <mergeCell ref="M28:O28"/>
    <mergeCell ref="M29:O29"/>
    <mergeCell ref="C4:M4"/>
  </mergeCells>
  <printOptions horizontalCentered="1"/>
  <pageMargins left="0.51181102362204722" right="0.51181102362204722" top="0.78740157480314965" bottom="0.78740157480314965" header="0.31496062992125984" footer="0.39370078740157483"/>
  <pageSetup paperSize="9" scale="80"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5ED9B-BA3F-487C-BEAC-D0E18E87B9B0}">
  <dimension ref="B1:U103"/>
  <sheetViews>
    <sheetView showGridLines="0" showZeros="0" view="pageBreakPreview" topLeftCell="B71" zoomScaleNormal="100" zoomScaleSheetLayoutView="100"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1" s="69" customFormat="1" ht="20.100000000000001" customHeight="1" x14ac:dyDescent="0.25">
      <c r="B1" s="569" t="s">
        <v>133</v>
      </c>
      <c r="C1" s="569"/>
      <c r="D1" s="569"/>
      <c r="E1" s="569"/>
      <c r="F1" s="569"/>
      <c r="G1" s="569"/>
      <c r="H1" s="569"/>
      <c r="I1" s="569"/>
      <c r="J1" s="569"/>
      <c r="K1" s="569"/>
      <c r="L1" s="569"/>
      <c r="M1" s="569"/>
      <c r="N1" s="569"/>
      <c r="O1" s="569"/>
      <c r="P1" s="569"/>
    </row>
    <row r="2" spans="2:21" s="69" customFormat="1" ht="20.100000000000001" customHeight="1" x14ac:dyDescent="0.25">
      <c r="B2" s="569"/>
      <c r="C2" s="569"/>
      <c r="D2" s="569"/>
      <c r="E2" s="569"/>
      <c r="F2" s="569"/>
      <c r="G2" s="569"/>
      <c r="H2" s="569"/>
      <c r="I2" s="569"/>
      <c r="J2" s="569"/>
      <c r="K2" s="569"/>
      <c r="L2" s="569"/>
      <c r="M2" s="569"/>
      <c r="N2" s="569"/>
      <c r="O2" s="569"/>
      <c r="P2" s="569"/>
    </row>
    <row r="3" spans="2:21" s="69" customFormat="1" ht="15" customHeight="1" x14ac:dyDescent="0.25"/>
    <row r="4" spans="2:21"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3" t="s">
        <v>96</v>
      </c>
      <c r="O4" s="4" t="str">
        <f>+'DADOS DA OBRA'!$N$22</f>
        <v>04/11/2024</v>
      </c>
      <c r="R4" s="32"/>
      <c r="S4" s="32"/>
      <c r="T4" s="33"/>
      <c r="U4" s="33"/>
    </row>
    <row r="5" spans="2:21" s="5" customFormat="1" ht="20.100000000000001" customHeight="1" x14ac:dyDescent="0.25">
      <c r="B5" s="1" t="s">
        <v>18</v>
      </c>
      <c r="C5" s="2" t="str">
        <f>+""&amp;'DADOS DA OBRA'!$B$16&amp;", "&amp;'DADOS DA OBRA'!$B$19&amp;", "&amp;'DADOS DA OBRA'!$J$19&amp;", "&amp;'DADOS DA OBRA'!$P$19</f>
        <v>RUAS DIVERSAS, DIVERSOS, MATRINCHÃ, GO</v>
      </c>
      <c r="N5" s="3" t="s">
        <v>17</v>
      </c>
      <c r="O5" s="4" t="str">
        <f>'DADOS DA OBRA'!$N$25</f>
        <v>00</v>
      </c>
    </row>
    <row r="6" spans="2:21" s="5" customFormat="1" ht="20.100000000000001" customHeight="1" x14ac:dyDescent="0.25"/>
    <row r="7" spans="2:21" s="5" customFormat="1" ht="20.100000000000001" customHeight="1" x14ac:dyDescent="0.25">
      <c r="B7" s="1" t="s">
        <v>97</v>
      </c>
      <c r="C7" s="39" t="s">
        <v>713</v>
      </c>
      <c r="N7" s="3"/>
      <c r="O7" s="64"/>
    </row>
    <row r="8" spans="2:21" s="67" customFormat="1" ht="20.100000000000001" customHeight="1" x14ac:dyDescent="0.25">
      <c r="B8" s="52"/>
      <c r="C8" s="53"/>
      <c r="D8" s="9"/>
      <c r="E8" s="9"/>
      <c r="F8" s="9"/>
      <c r="G8" s="10"/>
      <c r="H8" s="10"/>
      <c r="I8" s="10"/>
      <c r="J8" s="10"/>
      <c r="K8" s="9"/>
      <c r="M8" s="10"/>
      <c r="N8" s="10"/>
    </row>
    <row r="9" spans="2:21" ht="24.95" customHeight="1" x14ac:dyDescent="0.25">
      <c r="B9" s="306" t="s">
        <v>218</v>
      </c>
      <c r="C9" s="307" t="s">
        <v>757</v>
      </c>
      <c r="D9" s="737" t="s">
        <v>758</v>
      </c>
      <c r="E9" s="737"/>
      <c r="F9" s="737"/>
      <c r="G9" s="737"/>
      <c r="H9" s="737"/>
      <c r="I9" s="737"/>
      <c r="J9" s="737"/>
      <c r="K9" s="737"/>
      <c r="L9" s="737"/>
      <c r="M9" s="737"/>
      <c r="N9" s="737"/>
      <c r="O9" s="737"/>
    </row>
    <row r="10" spans="2:21" ht="20.100000000000001" customHeight="1" x14ac:dyDescent="0.25">
      <c r="B10" s="306"/>
      <c r="C10" s="306"/>
      <c r="D10" s="306"/>
      <c r="E10" s="306"/>
      <c r="F10" s="306"/>
      <c r="G10" s="306"/>
      <c r="H10" s="306"/>
      <c r="I10" s="306"/>
      <c r="J10" s="306"/>
      <c r="K10" s="306"/>
      <c r="L10" s="306"/>
      <c r="O10" s="90"/>
    </row>
    <row r="11" spans="2:21" s="357" customFormat="1" ht="50.1" customHeight="1" x14ac:dyDescent="0.25">
      <c r="B11" s="67"/>
      <c r="C11" s="744" t="s">
        <v>1036</v>
      </c>
      <c r="D11" s="744"/>
      <c r="E11" s="744"/>
      <c r="F11" s="744"/>
      <c r="G11" s="744"/>
      <c r="H11" s="744"/>
      <c r="I11" s="744"/>
      <c r="J11" s="744"/>
      <c r="K11" s="744"/>
      <c r="L11" s="744"/>
      <c r="M11" s="744"/>
      <c r="N11" s="744"/>
      <c r="O11" s="744"/>
      <c r="P11" s="744"/>
    </row>
    <row r="12" spans="2:21" s="357" customFormat="1" ht="20.100000000000001" customHeight="1" x14ac:dyDescent="0.25">
      <c r="B12" s="67"/>
      <c r="C12" s="361"/>
      <c r="D12" s="360"/>
      <c r="E12" s="360"/>
      <c r="F12" s="360"/>
      <c r="G12" s="360"/>
      <c r="H12" s="360"/>
      <c r="I12" s="360"/>
      <c r="J12" s="360"/>
      <c r="K12" s="360"/>
      <c r="L12" s="360"/>
      <c r="M12" s="360"/>
      <c r="N12" s="360"/>
      <c r="O12" s="360"/>
      <c r="P12" s="360"/>
    </row>
    <row r="13" spans="2:21" s="357" customFormat="1" ht="18.95" customHeight="1" x14ac:dyDescent="0.25">
      <c r="B13" s="358"/>
      <c r="C13" s="362"/>
      <c r="D13" s="358"/>
      <c r="E13" s="358"/>
      <c r="F13" s="363" t="s">
        <v>1037</v>
      </c>
      <c r="G13" s="364">
        <f>N103</f>
        <v>35</v>
      </c>
      <c r="H13" s="67"/>
      <c r="I13" s="68"/>
      <c r="J13" s="68"/>
      <c r="K13" s="359"/>
      <c r="L13" s="68"/>
      <c r="M13" s="68"/>
      <c r="N13" s="183"/>
      <c r="O13" s="68"/>
    </row>
    <row r="14" spans="2:21" s="357" customFormat="1" ht="18.95" customHeight="1" x14ac:dyDescent="0.25">
      <c r="B14" s="358"/>
      <c r="C14" s="358"/>
      <c r="D14" s="365" t="s">
        <v>1038</v>
      </c>
      <c r="E14" s="358"/>
      <c r="F14" s="68"/>
      <c r="G14" s="68"/>
      <c r="H14" s="68"/>
      <c r="I14" s="68"/>
      <c r="J14" s="68"/>
      <c r="K14" s="359"/>
      <c r="L14" s="68"/>
      <c r="M14" s="68"/>
      <c r="N14" s="183"/>
      <c r="O14" s="68"/>
    </row>
    <row r="15" spans="2:21" s="357" customFormat="1" ht="18.95" customHeight="1" x14ac:dyDescent="0.25">
      <c r="B15" s="358"/>
      <c r="C15" s="358"/>
      <c r="D15" s="366"/>
      <c r="E15" s="358"/>
      <c r="F15" s="363" t="s">
        <v>1039</v>
      </c>
      <c r="G15" s="68" t="s">
        <v>1040</v>
      </c>
      <c r="H15" s="68"/>
      <c r="I15" s="68"/>
      <c r="J15" s="68"/>
      <c r="K15" s="359"/>
      <c r="L15" s="68"/>
      <c r="M15" s="367" t="s">
        <v>104</v>
      </c>
      <c r="N15" s="183">
        <f>+ROUND($G$13/15,0)</f>
        <v>2</v>
      </c>
      <c r="O15" s="68" t="s">
        <v>82</v>
      </c>
    </row>
    <row r="16" spans="2:21" s="357" customFormat="1" ht="18.95" customHeight="1" x14ac:dyDescent="0.25">
      <c r="B16" s="358"/>
      <c r="C16" s="358"/>
      <c r="D16" s="366"/>
      <c r="E16" s="358"/>
      <c r="F16" s="68"/>
      <c r="G16" s="68" t="s">
        <v>1041</v>
      </c>
      <c r="H16" s="68"/>
      <c r="I16" s="68"/>
      <c r="J16" s="68"/>
      <c r="K16" s="359"/>
      <c r="L16" s="68"/>
      <c r="M16" s="367" t="s">
        <v>104</v>
      </c>
      <c r="N16" s="183">
        <f>+ROUND($G$13/8,0)</f>
        <v>4</v>
      </c>
      <c r="O16" s="68" t="s">
        <v>82</v>
      </c>
    </row>
    <row r="17" spans="2:15" s="357" customFormat="1" ht="18.95" customHeight="1" x14ac:dyDescent="0.25">
      <c r="B17" s="358"/>
      <c r="C17" s="358"/>
      <c r="D17" s="366"/>
      <c r="E17" s="358"/>
      <c r="F17" s="68"/>
      <c r="G17" s="68"/>
      <c r="H17" s="68"/>
      <c r="I17" s="68"/>
      <c r="J17" s="68"/>
      <c r="K17" s="359"/>
      <c r="L17" s="68"/>
      <c r="M17" s="68"/>
      <c r="N17" s="183"/>
      <c r="O17" s="68"/>
    </row>
    <row r="18" spans="2:15" s="357" customFormat="1" ht="18.95" customHeight="1" x14ac:dyDescent="0.25">
      <c r="B18" s="358"/>
      <c r="C18" s="358"/>
      <c r="D18" s="366"/>
      <c r="E18" s="67"/>
      <c r="F18" s="367" t="s">
        <v>1042</v>
      </c>
      <c r="G18" s="367" t="s">
        <v>1043</v>
      </c>
      <c r="H18" s="183">
        <v>1.2</v>
      </c>
      <c r="I18" s="68" t="s">
        <v>19</v>
      </c>
      <c r="J18" s="68" t="s">
        <v>1044</v>
      </c>
      <c r="K18" s="359"/>
      <c r="L18" s="68"/>
      <c r="M18" s="367" t="s">
        <v>193</v>
      </c>
      <c r="N18" s="183">
        <f>+H18*N15*2</f>
        <v>4.8</v>
      </c>
      <c r="O18" s="68" t="s">
        <v>19</v>
      </c>
    </row>
    <row r="19" spans="2:15" s="357" customFormat="1" ht="18.95" customHeight="1" x14ac:dyDescent="0.25">
      <c r="B19" s="358"/>
      <c r="C19" s="358"/>
      <c r="D19" s="366"/>
      <c r="E19" s="358"/>
      <c r="F19" s="68"/>
      <c r="G19" s="367" t="s">
        <v>1045</v>
      </c>
      <c r="H19" s="183">
        <v>1</v>
      </c>
      <c r="I19" s="68" t="s">
        <v>19</v>
      </c>
      <c r="J19" s="68" t="s">
        <v>1044</v>
      </c>
      <c r="K19" s="359"/>
      <c r="L19" s="68"/>
      <c r="M19" s="367" t="s">
        <v>193</v>
      </c>
      <c r="N19" s="183">
        <f>+H19*N16*2</f>
        <v>8</v>
      </c>
      <c r="O19" s="68" t="s">
        <v>19</v>
      </c>
    </row>
    <row r="20" spans="2:15" s="357" customFormat="1" ht="18.95" customHeight="1" x14ac:dyDescent="0.25">
      <c r="B20" s="358"/>
      <c r="C20" s="358"/>
      <c r="D20" s="366"/>
      <c r="E20" s="358"/>
      <c r="F20" s="68"/>
      <c r="G20" s="367" t="s">
        <v>1046</v>
      </c>
      <c r="H20" s="183">
        <v>0.6</v>
      </c>
      <c r="I20" s="68" t="s">
        <v>19</v>
      </c>
      <c r="J20" s="68" t="s">
        <v>1044</v>
      </c>
      <c r="K20" s="359"/>
      <c r="L20" s="68"/>
      <c r="M20" s="367" t="s">
        <v>193</v>
      </c>
      <c r="N20" s="183">
        <f>+H20*N15*2</f>
        <v>2.4</v>
      </c>
      <c r="O20" s="68" t="s">
        <v>19</v>
      </c>
    </row>
    <row r="21" spans="2:15" s="357" customFormat="1" ht="18.95" customHeight="1" x14ac:dyDescent="0.25">
      <c r="B21" s="358"/>
      <c r="C21" s="358"/>
      <c r="D21" s="366"/>
      <c r="E21" s="358"/>
      <c r="F21" s="68"/>
      <c r="G21" s="367" t="s">
        <v>1047</v>
      </c>
      <c r="H21" s="183">
        <v>0.6</v>
      </c>
      <c r="I21" s="68" t="s">
        <v>19</v>
      </c>
      <c r="J21" s="68" t="s">
        <v>1048</v>
      </c>
      <c r="K21" s="359"/>
      <c r="L21" s="68"/>
      <c r="M21" s="367" t="s">
        <v>193</v>
      </c>
      <c r="N21" s="183">
        <f>+H21*N15</f>
        <v>1.2</v>
      </c>
      <c r="O21" s="68" t="s">
        <v>19</v>
      </c>
    </row>
    <row r="22" spans="2:15" s="357" customFormat="1" ht="18.95" customHeight="1" x14ac:dyDescent="0.25">
      <c r="B22" s="358"/>
      <c r="C22" s="358"/>
      <c r="D22" s="366"/>
      <c r="E22" s="358"/>
      <c r="F22" s="68"/>
      <c r="G22" s="68"/>
      <c r="H22" s="183"/>
      <c r="I22" s="68"/>
      <c r="J22" s="68"/>
      <c r="K22" s="368"/>
      <c r="L22" s="68"/>
      <c r="M22" s="369" t="s">
        <v>104</v>
      </c>
      <c r="N22" s="370">
        <f>SUM(N18:N21)</f>
        <v>16.400000000000002</v>
      </c>
      <c r="O22" s="371" t="s">
        <v>19</v>
      </c>
    </row>
    <row r="23" spans="2:15" s="357" customFormat="1" ht="18.95" customHeight="1" x14ac:dyDescent="0.25">
      <c r="B23" s="67"/>
      <c r="C23" s="7"/>
      <c r="D23" s="365" t="s">
        <v>1049</v>
      </c>
      <c r="E23" s="372"/>
      <c r="F23" s="372"/>
      <c r="G23" s="372"/>
      <c r="H23" s="373"/>
      <c r="I23" s="372"/>
      <c r="J23" s="67"/>
      <c r="K23" s="372"/>
      <c r="L23" s="372"/>
      <c r="M23" s="372"/>
      <c r="N23" s="373"/>
      <c r="O23" s="372"/>
    </row>
    <row r="24" spans="2:15" s="357" customFormat="1" ht="18.95" customHeight="1" x14ac:dyDescent="0.25">
      <c r="B24" s="67"/>
      <c r="C24" s="67"/>
      <c r="D24" s="374"/>
      <c r="E24" s="67"/>
      <c r="F24" s="67"/>
      <c r="G24" s="375" t="s">
        <v>1050</v>
      </c>
      <c r="H24" s="376">
        <v>1.5</v>
      </c>
      <c r="I24" s="377" t="s">
        <v>1051</v>
      </c>
      <c r="J24" s="35"/>
      <c r="K24" s="378" t="s">
        <v>1052</v>
      </c>
      <c r="L24" s="37"/>
      <c r="M24" s="367" t="s">
        <v>193</v>
      </c>
      <c r="N24" s="183">
        <f>+H24*G13*0.8</f>
        <v>42</v>
      </c>
      <c r="O24" s="68" t="s">
        <v>19</v>
      </c>
    </row>
    <row r="25" spans="2:15" s="357" customFormat="1" ht="18.95" customHeight="1" x14ac:dyDescent="0.25">
      <c r="B25" s="67"/>
      <c r="C25" s="67"/>
      <c r="D25" s="374"/>
      <c r="E25" s="67"/>
      <c r="F25" s="67"/>
      <c r="G25" s="375" t="s">
        <v>1050</v>
      </c>
      <c r="H25" s="376">
        <v>1.5</v>
      </c>
      <c r="I25" s="377" t="s">
        <v>1051</v>
      </c>
      <c r="J25" s="35"/>
      <c r="K25" s="378" t="s">
        <v>1053</v>
      </c>
      <c r="L25" s="37"/>
      <c r="M25" s="367" t="s">
        <v>193</v>
      </c>
      <c r="N25" s="183">
        <f>+H25*G13*0.2</f>
        <v>10.5</v>
      </c>
      <c r="O25" s="68" t="s">
        <v>19</v>
      </c>
    </row>
    <row r="26" spans="2:15" s="357" customFormat="1" ht="18.95" customHeight="1" x14ac:dyDescent="0.25">
      <c r="B26" s="358"/>
      <c r="C26" s="358"/>
      <c r="D26" s="366"/>
      <c r="E26" s="358"/>
      <c r="F26" s="68"/>
      <c r="G26" s="68"/>
      <c r="H26" s="183"/>
      <c r="I26" s="68"/>
      <c r="J26" s="68"/>
      <c r="K26" s="359"/>
      <c r="L26" s="68"/>
      <c r="M26" s="369" t="s">
        <v>104</v>
      </c>
      <c r="N26" s="370">
        <f>SUM(N24:N25)</f>
        <v>52.5</v>
      </c>
      <c r="O26" s="371" t="s">
        <v>19</v>
      </c>
    </row>
    <row r="27" spans="2:15" s="357" customFormat="1" ht="18.95" customHeight="1" x14ac:dyDescent="0.25">
      <c r="B27" s="67"/>
      <c r="C27" s="7"/>
      <c r="D27" s="365" t="s">
        <v>1054</v>
      </c>
      <c r="E27" s="372"/>
      <c r="F27" s="372"/>
      <c r="G27" s="372"/>
      <c r="H27" s="373"/>
      <c r="I27" s="372"/>
      <c r="J27" s="67"/>
      <c r="K27" s="372"/>
      <c r="L27" s="372"/>
      <c r="M27" s="372"/>
      <c r="N27" s="373"/>
      <c r="O27" s="372"/>
    </row>
    <row r="28" spans="2:15" s="357" customFormat="1" ht="18.95" customHeight="1" x14ac:dyDescent="0.25">
      <c r="B28" s="67"/>
      <c r="C28" s="67"/>
      <c r="D28" s="374"/>
      <c r="E28" s="67"/>
      <c r="F28" s="67"/>
      <c r="G28" s="375" t="s">
        <v>1050</v>
      </c>
      <c r="H28" s="376">
        <v>1.25</v>
      </c>
      <c r="I28" s="377" t="s">
        <v>1051</v>
      </c>
      <c r="J28" s="35"/>
      <c r="K28" s="378"/>
      <c r="L28" s="37"/>
      <c r="M28" s="367" t="s">
        <v>193</v>
      </c>
      <c r="N28" s="183">
        <f>+H28*G13</f>
        <v>43.75</v>
      </c>
      <c r="O28" s="68" t="s">
        <v>19</v>
      </c>
    </row>
    <row r="29" spans="2:15" s="357" customFormat="1" ht="18.95" customHeight="1" x14ac:dyDescent="0.25">
      <c r="B29" s="358"/>
      <c r="C29" s="358"/>
      <c r="D29" s="366"/>
      <c r="E29" s="358"/>
      <c r="F29" s="68"/>
      <c r="G29" s="68"/>
      <c r="H29" s="183"/>
      <c r="I29" s="68"/>
      <c r="J29" s="68"/>
      <c r="K29" s="359"/>
      <c r="L29" s="68"/>
      <c r="M29" s="369" t="s">
        <v>104</v>
      </c>
      <c r="N29" s="370">
        <f>SUM(N28)</f>
        <v>43.75</v>
      </c>
      <c r="O29" s="371" t="s">
        <v>19</v>
      </c>
    </row>
    <row r="30" spans="2:15" s="357" customFormat="1" ht="18.95" customHeight="1" x14ac:dyDescent="0.25">
      <c r="B30" s="67"/>
      <c r="C30" s="7"/>
      <c r="D30" s="365" t="s">
        <v>1055</v>
      </c>
      <c r="E30" s="372"/>
      <c r="F30" s="372"/>
      <c r="G30" s="372"/>
      <c r="H30" s="373"/>
      <c r="I30" s="372"/>
      <c r="J30" s="67"/>
      <c r="K30" s="372"/>
      <c r="L30" s="372"/>
      <c r="M30" s="372"/>
      <c r="N30" s="373"/>
      <c r="O30" s="372"/>
    </row>
    <row r="31" spans="2:15" s="357" customFormat="1" ht="18.95" customHeight="1" x14ac:dyDescent="0.25">
      <c r="B31" s="67"/>
      <c r="C31" s="67"/>
      <c r="D31" s="374"/>
      <c r="E31" s="67"/>
      <c r="F31" s="67"/>
      <c r="G31" s="375" t="s">
        <v>1050</v>
      </c>
      <c r="H31" s="376">
        <v>0.4</v>
      </c>
      <c r="I31" s="377" t="s">
        <v>1051</v>
      </c>
      <c r="J31" s="35"/>
      <c r="K31" s="378"/>
      <c r="L31" s="37"/>
      <c r="M31" s="367" t="s">
        <v>193</v>
      </c>
      <c r="N31" s="183">
        <f>+H31*G13</f>
        <v>14</v>
      </c>
      <c r="O31" s="68" t="s">
        <v>19</v>
      </c>
    </row>
    <row r="32" spans="2:15" s="357" customFormat="1" ht="18.95" customHeight="1" x14ac:dyDescent="0.25">
      <c r="B32" s="358"/>
      <c r="C32" s="358"/>
      <c r="D32" s="366"/>
      <c r="E32" s="358"/>
      <c r="F32" s="68"/>
      <c r="G32" s="68"/>
      <c r="H32" s="183"/>
      <c r="I32" s="68"/>
      <c r="J32" s="68"/>
      <c r="K32" s="359"/>
      <c r="L32" s="68"/>
      <c r="M32" s="369" t="s">
        <v>104</v>
      </c>
      <c r="N32" s="370">
        <f>SUM(N31)</f>
        <v>14</v>
      </c>
      <c r="O32" s="371" t="s">
        <v>19</v>
      </c>
    </row>
    <row r="33" spans="2:15" s="357" customFormat="1" ht="18.95" customHeight="1" x14ac:dyDescent="0.25">
      <c r="B33" s="67"/>
      <c r="C33" s="7"/>
      <c r="D33" s="365" t="s">
        <v>1056</v>
      </c>
      <c r="E33" s="372"/>
      <c r="F33" s="372"/>
      <c r="G33" s="372"/>
      <c r="H33" s="373"/>
      <c r="I33" s="372"/>
      <c r="J33" s="67"/>
      <c r="K33" s="372"/>
      <c r="L33" s="372"/>
      <c r="M33" s="372"/>
      <c r="N33" s="373"/>
      <c r="O33" s="372"/>
    </row>
    <row r="34" spans="2:15" s="357" customFormat="1" ht="18.95" customHeight="1" x14ac:dyDescent="0.25">
      <c r="B34" s="67"/>
      <c r="C34" s="67"/>
      <c r="D34" s="67"/>
      <c r="E34" s="67"/>
      <c r="F34" s="67"/>
      <c r="G34" s="375" t="s">
        <v>1050</v>
      </c>
      <c r="H34" s="376">
        <f>25/G13</f>
        <v>0.7142857142857143</v>
      </c>
      <c r="I34" s="377" t="s">
        <v>1051</v>
      </c>
      <c r="J34" s="35"/>
      <c r="K34" s="378"/>
      <c r="L34" s="37"/>
      <c r="M34" s="367" t="s">
        <v>193</v>
      </c>
      <c r="N34" s="183">
        <f>+H34*G13</f>
        <v>25</v>
      </c>
      <c r="O34" s="68" t="s">
        <v>19</v>
      </c>
    </row>
    <row r="35" spans="2:15" s="357" customFormat="1" ht="18.95" customHeight="1" x14ac:dyDescent="0.25">
      <c r="B35" s="358"/>
      <c r="C35" s="358"/>
      <c r="D35" s="358"/>
      <c r="E35" s="358"/>
      <c r="F35" s="68"/>
      <c r="G35" s="68"/>
      <c r="H35" s="183"/>
      <c r="I35" s="68"/>
      <c r="J35" s="68"/>
      <c r="K35" s="359"/>
      <c r="L35" s="68"/>
      <c r="M35" s="369" t="s">
        <v>104</v>
      </c>
      <c r="N35" s="370">
        <f>SUM(N34)</f>
        <v>25</v>
      </c>
      <c r="O35" s="371" t="s">
        <v>19</v>
      </c>
    </row>
    <row r="36" spans="2:15" s="357" customFormat="1" ht="18.95" customHeight="1" x14ac:dyDescent="0.25">
      <c r="B36" s="67"/>
      <c r="C36" s="7"/>
      <c r="D36" s="365" t="s">
        <v>1057</v>
      </c>
      <c r="E36" s="372"/>
      <c r="F36" s="372"/>
      <c r="G36" s="372"/>
      <c r="H36" s="373"/>
      <c r="I36" s="372"/>
      <c r="J36" s="67"/>
      <c r="K36" s="372"/>
      <c r="L36" s="372"/>
      <c r="M36" s="372"/>
      <c r="N36" s="373"/>
      <c r="O36" s="372"/>
    </row>
    <row r="37" spans="2:15" s="357" customFormat="1" ht="18.95" customHeight="1" x14ac:dyDescent="0.25">
      <c r="B37" s="67"/>
      <c r="C37" s="67"/>
      <c r="D37" s="67"/>
      <c r="E37" s="67"/>
      <c r="F37" s="67"/>
      <c r="G37" s="375" t="s">
        <v>1058</v>
      </c>
      <c r="H37" s="376">
        <f>3.3*3.3</f>
        <v>10.889999999999999</v>
      </c>
      <c r="I37" s="377" t="s">
        <v>1059</v>
      </c>
      <c r="J37" s="35"/>
      <c r="K37" s="378"/>
      <c r="L37" s="37"/>
      <c r="M37" s="367" t="s">
        <v>193</v>
      </c>
      <c r="N37" s="183">
        <f>+H37</f>
        <v>10.889999999999999</v>
      </c>
      <c r="O37" s="68" t="s">
        <v>19</v>
      </c>
    </row>
    <row r="38" spans="2:15" s="357" customFormat="1" ht="18.95" customHeight="1" x14ac:dyDescent="0.25">
      <c r="B38" s="358"/>
      <c r="C38" s="358"/>
      <c r="D38" s="358"/>
      <c r="E38" s="358"/>
      <c r="F38" s="68"/>
      <c r="G38" s="367" t="s">
        <v>42</v>
      </c>
      <c r="H38" s="183">
        <f>3.3*2.2</f>
        <v>7.26</v>
      </c>
      <c r="I38" s="377" t="s">
        <v>1059</v>
      </c>
      <c r="J38" s="68"/>
      <c r="K38" s="359"/>
      <c r="L38" s="68"/>
      <c r="M38" s="367" t="s">
        <v>193</v>
      </c>
      <c r="N38" s="183">
        <f>+H38</f>
        <v>7.26</v>
      </c>
      <c r="O38" s="68" t="s">
        <v>19</v>
      </c>
    </row>
    <row r="39" spans="2:15" s="357" customFormat="1" ht="18.95" customHeight="1" x14ac:dyDescent="0.25">
      <c r="B39" s="358"/>
      <c r="C39" s="358"/>
      <c r="D39" s="358"/>
      <c r="E39" s="358"/>
      <c r="F39" s="68"/>
      <c r="G39" s="367" t="s">
        <v>1060</v>
      </c>
      <c r="H39" s="183">
        <f>3.3*3.3</f>
        <v>10.889999999999999</v>
      </c>
      <c r="I39" s="377" t="s">
        <v>1059</v>
      </c>
      <c r="J39" s="68"/>
      <c r="K39" s="359"/>
      <c r="L39" s="68"/>
      <c r="M39" s="367" t="s">
        <v>1061</v>
      </c>
      <c r="N39" s="183">
        <f>+H39*2</f>
        <v>21.779999999999998</v>
      </c>
      <c r="O39" s="68" t="s">
        <v>19</v>
      </c>
    </row>
    <row r="40" spans="2:15" s="357" customFormat="1" ht="18.95" customHeight="1" x14ac:dyDescent="0.25">
      <c r="B40" s="358"/>
      <c r="C40" s="358"/>
      <c r="D40" s="358"/>
      <c r="E40" s="358"/>
      <c r="F40" s="371"/>
      <c r="G40" s="367" t="s">
        <v>1062</v>
      </c>
      <c r="H40" s="183">
        <f>2.2*1.1</f>
        <v>2.4200000000000004</v>
      </c>
      <c r="I40" s="377" t="s">
        <v>1059</v>
      </c>
      <c r="J40" s="68"/>
      <c r="K40" s="359"/>
      <c r="L40" s="68"/>
      <c r="M40" s="367" t="s">
        <v>1061</v>
      </c>
      <c r="N40" s="183">
        <f>+H40*2</f>
        <v>4.8400000000000007</v>
      </c>
      <c r="O40" s="68" t="s">
        <v>19</v>
      </c>
    </row>
    <row r="41" spans="2:15" s="357" customFormat="1" ht="18.95" customHeight="1" x14ac:dyDescent="0.25">
      <c r="B41" s="358"/>
      <c r="C41" s="358"/>
      <c r="D41" s="358"/>
      <c r="E41" s="358"/>
      <c r="F41" s="68"/>
      <c r="G41" s="68"/>
      <c r="H41" s="183"/>
      <c r="I41" s="68"/>
      <c r="J41" s="68"/>
      <c r="K41" s="368"/>
      <c r="L41" s="68"/>
      <c r="M41" s="369" t="s">
        <v>104</v>
      </c>
      <c r="N41" s="370">
        <f>SUM(N37:N40)</f>
        <v>44.769999999999996</v>
      </c>
      <c r="O41" s="371" t="s">
        <v>19</v>
      </c>
    </row>
    <row r="42" spans="2:15" s="357" customFormat="1" ht="18.95" customHeight="1" x14ac:dyDescent="0.25">
      <c r="B42" s="67"/>
      <c r="C42" s="7"/>
      <c r="D42" s="365" t="s">
        <v>1063</v>
      </c>
      <c r="E42" s="372"/>
      <c r="F42" s="372"/>
      <c r="G42" s="372"/>
      <c r="H42" s="373"/>
      <c r="I42" s="372"/>
      <c r="J42" s="67"/>
      <c r="K42" s="372"/>
      <c r="L42" s="372"/>
      <c r="M42" s="372"/>
      <c r="N42" s="373"/>
      <c r="O42" s="372"/>
    </row>
    <row r="43" spans="2:15" s="357" customFormat="1" ht="18.95" customHeight="1" x14ac:dyDescent="0.25">
      <c r="B43" s="67"/>
      <c r="C43" s="67"/>
      <c r="D43" s="67"/>
      <c r="E43" s="67"/>
      <c r="F43" s="67"/>
      <c r="G43" s="375" t="s">
        <v>1064</v>
      </c>
      <c r="H43" s="376">
        <f>2*2</f>
        <v>4</v>
      </c>
      <c r="I43" s="377" t="s">
        <v>1059</v>
      </c>
      <c r="J43" s="35"/>
      <c r="K43" s="378"/>
      <c r="L43" s="37"/>
      <c r="M43" s="367" t="s">
        <v>193</v>
      </c>
      <c r="N43" s="183">
        <f>+H43</f>
        <v>4</v>
      </c>
      <c r="O43" s="68" t="s">
        <v>19</v>
      </c>
    </row>
    <row r="44" spans="2:15" s="357" customFormat="1" ht="18.95" customHeight="1" x14ac:dyDescent="0.25">
      <c r="B44" s="358"/>
      <c r="C44" s="358"/>
      <c r="D44" s="358"/>
      <c r="E44" s="358"/>
      <c r="F44" s="68"/>
      <c r="G44" s="68"/>
      <c r="H44" s="183"/>
      <c r="I44" s="68"/>
      <c r="J44" s="68"/>
      <c r="K44" s="368"/>
      <c r="L44" s="68"/>
      <c r="M44" s="369" t="s">
        <v>104</v>
      </c>
      <c r="N44" s="370">
        <f>SUM(N43)</f>
        <v>4</v>
      </c>
      <c r="O44" s="371" t="s">
        <v>19</v>
      </c>
    </row>
    <row r="45" spans="2:15" s="357" customFormat="1" ht="18.95" customHeight="1" x14ac:dyDescent="0.25">
      <c r="B45" s="67"/>
      <c r="C45" s="7"/>
      <c r="D45" s="365" t="s">
        <v>1065</v>
      </c>
      <c r="E45" s="372"/>
      <c r="F45" s="372"/>
      <c r="G45" s="372"/>
      <c r="H45" s="373"/>
      <c r="I45" s="372"/>
      <c r="J45" s="67"/>
      <c r="K45" s="372"/>
      <c r="L45" s="372"/>
      <c r="M45" s="372"/>
      <c r="N45" s="373"/>
      <c r="O45" s="372"/>
    </row>
    <row r="46" spans="2:15" s="357" customFormat="1" ht="18.95" customHeight="1" x14ac:dyDescent="0.25">
      <c r="B46" s="67"/>
      <c r="C46" s="67"/>
      <c r="D46" s="67"/>
      <c r="E46" s="67"/>
      <c r="F46" s="67"/>
      <c r="G46" s="375" t="s">
        <v>1066</v>
      </c>
      <c r="H46" s="376">
        <f>10*3.5</f>
        <v>35</v>
      </c>
      <c r="I46" s="377" t="s">
        <v>1059</v>
      </c>
      <c r="J46" s="35"/>
      <c r="K46" s="378"/>
      <c r="L46" s="37"/>
      <c r="M46" s="367" t="s">
        <v>193</v>
      </c>
      <c r="N46" s="183">
        <f>+H46</f>
        <v>35</v>
      </c>
      <c r="O46" s="68" t="s">
        <v>19</v>
      </c>
    </row>
    <row r="47" spans="2:15" s="357" customFormat="1" ht="18.95" customHeight="1" x14ac:dyDescent="0.25">
      <c r="B47" s="358"/>
      <c r="C47" s="358"/>
      <c r="D47" s="358"/>
      <c r="E47" s="358"/>
      <c r="F47" s="68"/>
      <c r="G47" s="68"/>
      <c r="H47" s="68"/>
      <c r="I47" s="68"/>
      <c r="J47" s="68"/>
      <c r="K47" s="368"/>
      <c r="L47" s="68"/>
      <c r="M47" s="369" t="s">
        <v>104</v>
      </c>
      <c r="N47" s="370">
        <f>SUM(N46:N46)</f>
        <v>35</v>
      </c>
      <c r="O47" s="371" t="s">
        <v>19</v>
      </c>
    </row>
    <row r="48" spans="2:15" ht="18.95" customHeight="1" x14ac:dyDescent="0.25">
      <c r="B48" s="7"/>
      <c r="C48" s="7"/>
      <c r="D48" s="7"/>
      <c r="E48" s="7"/>
      <c r="F48" s="294"/>
      <c r="G48" s="294"/>
      <c r="H48" s="294"/>
      <c r="I48" s="294"/>
      <c r="J48" s="294"/>
      <c r="K48" s="379"/>
      <c r="L48" s="380"/>
      <c r="M48" s="369" t="s">
        <v>1067</v>
      </c>
      <c r="N48" s="370">
        <f>+N47+N44+N41+N35+N32+N29+N26+N22</f>
        <v>235.42</v>
      </c>
      <c r="O48" s="371" t="s">
        <v>19</v>
      </c>
    </row>
    <row r="49" spans="2:15" ht="20.100000000000001" customHeight="1" x14ac:dyDescent="0.25">
      <c r="B49" s="306"/>
      <c r="C49" s="306"/>
      <c r="D49" s="306"/>
      <c r="E49" s="306"/>
      <c r="F49" s="306"/>
      <c r="G49" s="306"/>
      <c r="H49" s="306"/>
      <c r="I49" s="306"/>
      <c r="J49" s="306"/>
      <c r="K49" s="306"/>
      <c r="L49" s="306"/>
      <c r="O49" s="90"/>
    </row>
    <row r="50" spans="2:15" ht="20.100000000000001" customHeight="1" x14ac:dyDescent="0.25">
      <c r="B50" s="306" t="s">
        <v>218</v>
      </c>
      <c r="C50" s="307" t="s">
        <v>760</v>
      </c>
      <c r="D50" s="306" t="s">
        <v>759</v>
      </c>
      <c r="E50" s="306"/>
      <c r="F50" s="306"/>
      <c r="G50" s="306"/>
      <c r="H50" s="306"/>
      <c r="I50" s="306"/>
      <c r="J50" s="306"/>
      <c r="K50" s="306"/>
      <c r="L50" s="306"/>
      <c r="O50" s="90"/>
    </row>
    <row r="51" spans="2:15" ht="20.100000000000001" customHeight="1" x14ac:dyDescent="0.25">
      <c r="B51" s="306"/>
      <c r="C51" s="306"/>
      <c r="D51" s="306"/>
      <c r="E51" s="302" t="s">
        <v>211</v>
      </c>
      <c r="F51" s="302" t="s">
        <v>104</v>
      </c>
      <c r="G51" s="302"/>
      <c r="H51" s="306"/>
      <c r="I51" s="306"/>
      <c r="J51" s="306"/>
      <c r="K51" s="306"/>
      <c r="L51" s="306"/>
      <c r="O51" s="90"/>
    </row>
    <row r="52" spans="2:15" ht="20.100000000000001" customHeight="1" x14ac:dyDescent="0.25">
      <c r="B52" s="306"/>
      <c r="C52" s="306"/>
      <c r="D52" s="306"/>
      <c r="E52" s="31" t="s">
        <v>202</v>
      </c>
      <c r="F52" s="270">
        <v>1</v>
      </c>
      <c r="G52" s="304" t="s">
        <v>293</v>
      </c>
      <c r="H52" s="306"/>
      <c r="I52" s="306"/>
      <c r="J52" s="306"/>
      <c r="K52" s="306"/>
      <c r="L52" s="306"/>
      <c r="O52" s="90"/>
    </row>
    <row r="53" spans="2:15" ht="20.100000000000001" customHeight="1" x14ac:dyDescent="0.25">
      <c r="B53" s="306"/>
      <c r="C53" s="306"/>
      <c r="D53" s="306"/>
      <c r="E53" s="306"/>
      <c r="F53" s="306"/>
      <c r="G53" s="306"/>
      <c r="H53" s="306"/>
      <c r="I53" s="306"/>
      <c r="J53" s="306"/>
      <c r="K53" s="306"/>
      <c r="L53" s="306"/>
      <c r="O53" s="90"/>
    </row>
    <row r="54" spans="2:15" ht="20.100000000000001" customHeight="1" x14ac:dyDescent="0.25">
      <c r="B54" s="306" t="s">
        <v>218</v>
      </c>
      <c r="C54" s="307" t="s">
        <v>762</v>
      </c>
      <c r="D54" s="306" t="s">
        <v>761</v>
      </c>
      <c r="E54" s="306"/>
      <c r="F54" s="306"/>
      <c r="G54" s="306"/>
      <c r="H54" s="306"/>
      <c r="I54" s="306"/>
      <c r="J54" s="306"/>
      <c r="K54" s="306"/>
      <c r="L54" s="306"/>
      <c r="O54" s="90"/>
    </row>
    <row r="55" spans="2:15" ht="20.100000000000001" customHeight="1" x14ac:dyDescent="0.25">
      <c r="B55" s="306"/>
      <c r="C55" s="306"/>
      <c r="D55" s="306"/>
      <c r="E55" s="302" t="s">
        <v>211</v>
      </c>
      <c r="F55" s="302" t="s">
        <v>104</v>
      </c>
      <c r="G55" s="302"/>
      <c r="H55" s="306"/>
      <c r="I55" s="306"/>
      <c r="J55" s="306"/>
      <c r="K55" s="306"/>
      <c r="L55" s="306"/>
      <c r="O55" s="90"/>
    </row>
    <row r="56" spans="2:15" ht="20.100000000000001" customHeight="1" x14ac:dyDescent="0.25">
      <c r="B56" s="306"/>
      <c r="C56" s="306"/>
      <c r="D56" s="306"/>
      <c r="E56" s="31" t="s">
        <v>202</v>
      </c>
      <c r="F56" s="270">
        <v>1</v>
      </c>
      <c r="G56" s="304" t="s">
        <v>293</v>
      </c>
      <c r="H56" s="306"/>
      <c r="I56" s="306"/>
      <c r="J56" s="306"/>
      <c r="K56" s="306"/>
      <c r="L56" s="306"/>
      <c r="O56" s="90"/>
    </row>
    <row r="57" spans="2:15" ht="20.100000000000001" customHeight="1" x14ac:dyDescent="0.25">
      <c r="B57" s="306"/>
      <c r="C57" s="306"/>
      <c r="D57" s="306"/>
      <c r="E57" s="306"/>
      <c r="F57" s="306"/>
      <c r="G57" s="306"/>
      <c r="H57" s="306"/>
      <c r="I57" s="306"/>
      <c r="J57" s="306"/>
      <c r="K57" s="306"/>
      <c r="L57" s="306"/>
      <c r="O57" s="90"/>
    </row>
    <row r="58" spans="2:15" ht="20.100000000000001" customHeight="1" x14ac:dyDescent="0.25">
      <c r="B58" s="306" t="s">
        <v>218</v>
      </c>
      <c r="C58" s="307" t="s">
        <v>764</v>
      </c>
      <c r="D58" s="306" t="s">
        <v>763</v>
      </c>
      <c r="E58" s="306"/>
      <c r="F58" s="306"/>
      <c r="G58" s="306"/>
      <c r="H58" s="306"/>
      <c r="I58" s="306"/>
      <c r="J58" s="306"/>
      <c r="K58" s="306"/>
      <c r="L58" s="306"/>
      <c r="O58" s="90"/>
    </row>
    <row r="59" spans="2:15" ht="20.100000000000001" customHeight="1" x14ac:dyDescent="0.25">
      <c r="B59" s="306"/>
      <c r="C59" s="306"/>
      <c r="D59" s="306"/>
      <c r="E59" s="302" t="s">
        <v>211</v>
      </c>
      <c r="F59" s="302" t="s">
        <v>104</v>
      </c>
      <c r="G59" s="302"/>
      <c r="H59" s="306"/>
      <c r="I59" s="306"/>
      <c r="J59" s="306"/>
      <c r="K59" s="306"/>
      <c r="L59" s="306"/>
      <c r="O59" s="90"/>
    </row>
    <row r="60" spans="2:15" ht="20.100000000000001" customHeight="1" x14ac:dyDescent="0.25">
      <c r="B60" s="306"/>
      <c r="C60" s="306"/>
      <c r="D60" s="306"/>
      <c r="E60" s="31" t="s">
        <v>202</v>
      </c>
      <c r="F60" s="270">
        <v>1</v>
      </c>
      <c r="G60" s="304" t="s">
        <v>293</v>
      </c>
      <c r="H60" s="306"/>
      <c r="I60" s="306"/>
      <c r="J60" s="306"/>
      <c r="K60" s="306"/>
      <c r="L60" s="306"/>
      <c r="O60" s="90"/>
    </row>
    <row r="61" spans="2:15" ht="20.100000000000001" customHeight="1" x14ac:dyDescent="0.25">
      <c r="B61" s="306"/>
      <c r="C61" s="306"/>
      <c r="D61" s="306"/>
      <c r="E61" s="306"/>
      <c r="F61" s="306"/>
      <c r="G61" s="306"/>
      <c r="H61" s="306"/>
      <c r="I61" s="306"/>
      <c r="J61" s="306"/>
      <c r="K61" s="306"/>
      <c r="L61" s="306"/>
      <c r="O61" s="90"/>
    </row>
    <row r="62" spans="2:15" ht="20.100000000000001" customHeight="1" x14ac:dyDescent="0.25">
      <c r="B62" s="306" t="s">
        <v>218</v>
      </c>
      <c r="C62" s="307" t="s">
        <v>766</v>
      </c>
      <c r="D62" s="306" t="s">
        <v>765</v>
      </c>
      <c r="E62" s="306"/>
      <c r="F62" s="306"/>
      <c r="G62" s="306"/>
      <c r="H62" s="306"/>
      <c r="I62" s="306"/>
      <c r="J62" s="306"/>
      <c r="K62" s="306"/>
      <c r="L62" s="306"/>
      <c r="O62" s="90"/>
    </row>
    <row r="63" spans="2:15" ht="20.100000000000001" customHeight="1" x14ac:dyDescent="0.25">
      <c r="B63" s="306"/>
      <c r="C63" s="306"/>
      <c r="D63" s="306"/>
      <c r="E63" s="302"/>
      <c r="F63" s="302" t="s">
        <v>1077</v>
      </c>
      <c r="G63" s="302" t="s">
        <v>1076</v>
      </c>
      <c r="H63" s="306"/>
      <c r="I63" s="194" t="s">
        <v>193</v>
      </c>
      <c r="J63" s="306" t="s">
        <v>1715</v>
      </c>
      <c r="K63" s="306"/>
      <c r="L63" s="306"/>
      <c r="O63" s="90"/>
    </row>
    <row r="64" spans="2:15" ht="20.100000000000001" customHeight="1" x14ac:dyDescent="0.25">
      <c r="B64" s="306"/>
      <c r="C64" s="306"/>
      <c r="D64" s="306"/>
      <c r="E64" s="299" t="s">
        <v>1078</v>
      </c>
      <c r="F64" s="296">
        <f>2158965.39-125271.4-206898.97</f>
        <v>1826795.0200000003</v>
      </c>
      <c r="G64" s="296">
        <v>2024.37</v>
      </c>
      <c r="H64" s="306"/>
      <c r="I64" s="296">
        <f>ROUND((F64/G64),2)</f>
        <v>902.4</v>
      </c>
      <c r="J64" s="311">
        <f>+I64*0.5</f>
        <v>451.2</v>
      </c>
      <c r="K64" s="306"/>
      <c r="L64" s="306"/>
      <c r="O64" s="90"/>
    </row>
    <row r="65" spans="2:15" ht="20.100000000000001" customHeight="1" x14ac:dyDescent="0.25">
      <c r="B65" s="306"/>
      <c r="C65" s="306"/>
      <c r="D65" s="306"/>
      <c r="E65" s="306"/>
      <c r="F65" s="306"/>
      <c r="G65" s="306"/>
      <c r="H65" s="306"/>
      <c r="I65" s="306"/>
      <c r="J65" s="306"/>
      <c r="K65" s="306"/>
      <c r="L65" s="306"/>
      <c r="O65" s="90"/>
    </row>
    <row r="66" spans="2:15" ht="20.100000000000001" customHeight="1" x14ac:dyDescent="0.25">
      <c r="B66" s="306" t="s">
        <v>218</v>
      </c>
      <c r="C66" s="307" t="s">
        <v>768</v>
      </c>
      <c r="D66" s="306" t="s">
        <v>767</v>
      </c>
      <c r="E66" s="306"/>
      <c r="F66" s="306"/>
      <c r="G66" s="306"/>
      <c r="H66" s="306"/>
      <c r="I66" s="306"/>
      <c r="J66" s="306"/>
      <c r="K66" s="306"/>
      <c r="L66" s="306"/>
      <c r="O66" s="90"/>
    </row>
    <row r="67" spans="2:15" ht="20.100000000000001" customHeight="1" x14ac:dyDescent="0.25">
      <c r="B67" s="306"/>
      <c r="C67" s="306"/>
      <c r="D67" s="306"/>
      <c r="E67" s="302"/>
      <c r="F67" s="302" t="s">
        <v>1077</v>
      </c>
      <c r="G67" s="302" t="s">
        <v>1076</v>
      </c>
      <c r="H67" s="306"/>
      <c r="I67" s="302" t="s">
        <v>193</v>
      </c>
      <c r="J67" s="306"/>
      <c r="K67" s="306"/>
      <c r="L67" s="306"/>
      <c r="O67" s="90"/>
    </row>
    <row r="68" spans="2:15" ht="20.100000000000001" customHeight="1" x14ac:dyDescent="0.25">
      <c r="B68" s="306"/>
      <c r="C68" s="306"/>
      <c r="D68" s="306"/>
      <c r="E68" s="299" t="s">
        <v>1078</v>
      </c>
      <c r="F68" s="296">
        <f>F64</f>
        <v>1826795.0200000003</v>
      </c>
      <c r="G68" s="296">
        <f>G64</f>
        <v>2024.37</v>
      </c>
      <c r="H68" s="306"/>
      <c r="I68" s="312">
        <f>ROUND((F68/G68),2)</f>
        <v>902.4</v>
      </c>
      <c r="J68" s="306"/>
      <c r="K68" s="306"/>
      <c r="L68" s="306"/>
      <c r="O68" s="90"/>
    </row>
    <row r="69" spans="2:15" ht="20.100000000000001" customHeight="1" x14ac:dyDescent="0.25">
      <c r="B69" s="306"/>
      <c r="C69" s="306"/>
      <c r="D69" s="306"/>
      <c r="E69" s="306"/>
      <c r="F69" s="306"/>
      <c r="G69" s="306"/>
      <c r="H69" s="306"/>
      <c r="I69" s="306"/>
      <c r="J69" s="306"/>
      <c r="K69" s="306"/>
      <c r="L69" s="306"/>
      <c r="O69" s="90"/>
    </row>
    <row r="70" spans="2:15" ht="20.100000000000001" customHeight="1" x14ac:dyDescent="0.25">
      <c r="B70" s="306" t="s">
        <v>218</v>
      </c>
      <c r="C70" s="307" t="s">
        <v>770</v>
      </c>
      <c r="D70" s="306" t="s">
        <v>769</v>
      </c>
      <c r="E70" s="306"/>
      <c r="F70" s="306"/>
      <c r="G70" s="306"/>
      <c r="H70" s="306"/>
      <c r="I70" s="306"/>
      <c r="J70" s="306"/>
      <c r="K70" s="306"/>
      <c r="L70" s="306"/>
      <c r="O70" s="90"/>
    </row>
    <row r="71" spans="2:15" ht="20.100000000000001" customHeight="1" x14ac:dyDescent="0.25">
      <c r="B71" s="306"/>
      <c r="C71" s="306"/>
      <c r="D71" s="306"/>
      <c r="E71" s="302" t="s">
        <v>211</v>
      </c>
      <c r="F71" s="302" t="s">
        <v>78</v>
      </c>
      <c r="G71" s="302" t="s">
        <v>204</v>
      </c>
      <c r="H71" s="302" t="s">
        <v>853</v>
      </c>
      <c r="I71" s="302" t="s">
        <v>193</v>
      </c>
      <c r="J71" s="306"/>
      <c r="K71" s="306"/>
      <c r="L71" s="306"/>
      <c r="O71" s="90"/>
    </row>
    <row r="72" spans="2:15" ht="20.100000000000001" customHeight="1" x14ac:dyDescent="0.25">
      <c r="B72" s="306"/>
      <c r="C72" s="306"/>
      <c r="D72" s="306"/>
      <c r="E72" s="31" t="s">
        <v>851</v>
      </c>
      <c r="F72" s="268">
        <v>1</v>
      </c>
      <c r="G72" s="268">
        <v>1</v>
      </c>
      <c r="H72" s="268">
        <v>1.5</v>
      </c>
      <c r="I72" s="268">
        <f>+G72*H72</f>
        <v>1.5</v>
      </c>
      <c r="J72" s="306" t="s">
        <v>222</v>
      </c>
      <c r="K72" s="306"/>
      <c r="L72" s="306"/>
      <c r="O72" s="90"/>
    </row>
    <row r="73" spans="2:15" ht="20.100000000000001" customHeight="1" x14ac:dyDescent="0.25">
      <c r="B73" s="306"/>
      <c r="C73" s="306"/>
      <c r="D73" s="306"/>
      <c r="E73" s="31" t="s">
        <v>852</v>
      </c>
      <c r="F73" s="268">
        <v>1</v>
      </c>
      <c r="G73" s="268">
        <v>3</v>
      </c>
      <c r="H73" s="268">
        <v>2</v>
      </c>
      <c r="I73" s="268">
        <f>+G73*H73</f>
        <v>6</v>
      </c>
      <c r="J73" s="306" t="s">
        <v>222</v>
      </c>
      <c r="K73" s="306"/>
      <c r="L73" s="306"/>
      <c r="O73" s="90"/>
    </row>
    <row r="74" spans="2:15" ht="20.100000000000001" customHeight="1" x14ac:dyDescent="0.25">
      <c r="B74" s="306"/>
      <c r="C74" s="306"/>
      <c r="D74" s="306"/>
      <c r="E74" s="31"/>
      <c r="F74" s="738" t="s">
        <v>39</v>
      </c>
      <c r="G74" s="738"/>
      <c r="H74" s="738"/>
      <c r="I74" s="270">
        <f>SUM(I72:I73)</f>
        <v>7.5</v>
      </c>
      <c r="J74" s="298" t="s">
        <v>222</v>
      </c>
      <c r="K74" s="306"/>
      <c r="L74" s="306"/>
      <c r="O74" s="90"/>
    </row>
    <row r="75" spans="2:15" ht="20.100000000000001" customHeight="1" x14ac:dyDescent="0.25">
      <c r="B75" s="306"/>
      <c r="C75" s="306"/>
      <c r="D75" s="306"/>
      <c r="E75" s="306"/>
      <c r="F75" s="306"/>
      <c r="G75" s="306"/>
      <c r="H75" s="306"/>
      <c r="I75" s="306"/>
      <c r="J75" s="306"/>
      <c r="K75" s="306"/>
      <c r="L75" s="306"/>
      <c r="O75" s="90"/>
    </row>
    <row r="76" spans="2:15" ht="20.100000000000001" customHeight="1" x14ac:dyDescent="0.25">
      <c r="B76" s="306" t="s">
        <v>218</v>
      </c>
      <c r="C76" s="307">
        <v>271502</v>
      </c>
      <c r="D76" s="306" t="s">
        <v>990</v>
      </c>
      <c r="E76" s="306"/>
      <c r="F76" s="306"/>
      <c r="G76" s="306" t="s">
        <v>218</v>
      </c>
      <c r="H76" s="307">
        <v>271500</v>
      </c>
      <c r="I76" s="306" t="s">
        <v>1033</v>
      </c>
      <c r="J76" s="306"/>
      <c r="K76" s="306"/>
      <c r="L76" s="309" t="s">
        <v>1035</v>
      </c>
      <c r="M76" s="193">
        <v>4</v>
      </c>
      <c r="N76" s="89" t="s">
        <v>86</v>
      </c>
      <c r="O76" s="90"/>
    </row>
    <row r="77" spans="2:15" s="31" customFormat="1" ht="15" customHeight="1" x14ac:dyDescent="0.25">
      <c r="B77" s="739" t="s">
        <v>76</v>
      </c>
      <c r="C77" s="739" t="s">
        <v>991</v>
      </c>
      <c r="D77" s="739"/>
      <c r="E77" s="739" t="s">
        <v>191</v>
      </c>
      <c r="F77" s="739"/>
      <c r="G77" s="739"/>
      <c r="H77" s="739"/>
      <c r="I77" s="739"/>
      <c r="J77" s="739" t="s">
        <v>103</v>
      </c>
      <c r="K77" s="741" t="s">
        <v>1031</v>
      </c>
      <c r="L77" s="741" t="s">
        <v>1032</v>
      </c>
      <c r="M77" s="194"/>
      <c r="N77" s="741" t="s">
        <v>1034</v>
      </c>
    </row>
    <row r="78" spans="2:15" s="31" customFormat="1" ht="15" customHeight="1" x14ac:dyDescent="0.25">
      <c r="B78" s="740"/>
      <c r="C78" s="740"/>
      <c r="D78" s="740"/>
      <c r="E78" s="740"/>
      <c r="F78" s="740"/>
      <c r="G78" s="740"/>
      <c r="H78" s="740"/>
      <c r="I78" s="740"/>
      <c r="J78" s="740"/>
      <c r="K78" s="742"/>
      <c r="L78" s="742"/>
      <c r="M78" s="194"/>
      <c r="N78" s="742"/>
    </row>
    <row r="79" spans="2:15" s="31" customFormat="1" ht="12" customHeight="1" x14ac:dyDescent="0.25">
      <c r="B79" s="352" t="s">
        <v>992</v>
      </c>
      <c r="C79" s="735" t="s">
        <v>1113</v>
      </c>
      <c r="D79" s="735"/>
      <c r="E79" s="736" t="s">
        <v>994</v>
      </c>
      <c r="F79" s="736"/>
      <c r="G79" s="736"/>
      <c r="H79" s="736"/>
      <c r="I79" s="736"/>
      <c r="J79" s="352" t="s">
        <v>81</v>
      </c>
      <c r="K79" s="353">
        <v>6355.08</v>
      </c>
      <c r="L79" s="353">
        <f>ROUND((K79/8.8)*0.85,0)</f>
        <v>614</v>
      </c>
      <c r="M79" s="194"/>
      <c r="N79" s="356">
        <f>+ROUNDUP(((K79/220)/$M$76),0)</f>
        <v>8</v>
      </c>
    </row>
    <row r="80" spans="2:15" s="31" customFormat="1" ht="12" customHeight="1" x14ac:dyDescent="0.25">
      <c r="B80" s="352" t="s">
        <v>995</v>
      </c>
      <c r="C80" s="745" t="s">
        <v>1113</v>
      </c>
      <c r="D80" s="745"/>
      <c r="E80" s="736" t="s">
        <v>996</v>
      </c>
      <c r="F80" s="736"/>
      <c r="G80" s="736"/>
      <c r="H80" s="736"/>
      <c r="I80" s="736"/>
      <c r="J80" s="352" t="s">
        <v>81</v>
      </c>
      <c r="K80" s="353">
        <v>1760</v>
      </c>
      <c r="L80" s="353">
        <f t="shared" ref="L80:L97" si="0">ROUND((K80/8.8)*0.85,0)</f>
        <v>170</v>
      </c>
      <c r="M80" s="194"/>
      <c r="N80" s="356">
        <f t="shared" ref="N80:N97" si="1">+ROUNDUP(((K80/220)/$M$76),0)</f>
        <v>2</v>
      </c>
    </row>
    <row r="81" spans="2:15" s="31" customFormat="1" ht="12" customHeight="1" x14ac:dyDescent="0.25">
      <c r="B81" s="352" t="s">
        <v>997</v>
      </c>
      <c r="C81" s="735" t="s">
        <v>1113</v>
      </c>
      <c r="D81" s="735"/>
      <c r="E81" s="736" t="s">
        <v>998</v>
      </c>
      <c r="F81" s="736"/>
      <c r="G81" s="736"/>
      <c r="H81" s="736"/>
      <c r="I81" s="736"/>
      <c r="J81" s="352" t="s">
        <v>81</v>
      </c>
      <c r="K81" s="353">
        <v>880</v>
      </c>
      <c r="L81" s="353">
        <f t="shared" si="0"/>
        <v>85</v>
      </c>
      <c r="N81" s="356">
        <f t="shared" si="1"/>
        <v>1</v>
      </c>
    </row>
    <row r="82" spans="2:15" ht="12" customHeight="1" x14ac:dyDescent="0.25">
      <c r="B82" s="352" t="s">
        <v>999</v>
      </c>
      <c r="C82" s="735" t="s">
        <v>1113</v>
      </c>
      <c r="D82" s="735"/>
      <c r="E82" s="736" t="s">
        <v>1000</v>
      </c>
      <c r="F82" s="736"/>
      <c r="G82" s="736"/>
      <c r="H82" s="736"/>
      <c r="I82" s="736"/>
      <c r="J82" s="352" t="s">
        <v>81</v>
      </c>
      <c r="K82" s="353">
        <v>2402.52</v>
      </c>
      <c r="L82" s="353">
        <f t="shared" si="0"/>
        <v>232</v>
      </c>
      <c r="N82" s="356">
        <f t="shared" si="1"/>
        <v>3</v>
      </c>
      <c r="O82" s="89"/>
    </row>
    <row r="83" spans="2:15" ht="12" hidden="1" customHeight="1" x14ac:dyDescent="0.25">
      <c r="B83" s="352" t="s">
        <v>1001</v>
      </c>
      <c r="C83" s="735" t="s">
        <v>1113</v>
      </c>
      <c r="D83" s="735"/>
      <c r="E83" s="736" t="s">
        <v>1002</v>
      </c>
      <c r="F83" s="736"/>
      <c r="G83" s="736"/>
      <c r="H83" s="736"/>
      <c r="I83" s="736"/>
      <c r="J83" s="352" t="s">
        <v>81</v>
      </c>
      <c r="K83" s="353"/>
      <c r="L83" s="353">
        <f t="shared" si="0"/>
        <v>0</v>
      </c>
      <c r="N83" s="356">
        <f t="shared" si="1"/>
        <v>0</v>
      </c>
      <c r="O83" s="89"/>
    </row>
    <row r="84" spans="2:15" ht="12" customHeight="1" x14ac:dyDescent="0.25">
      <c r="B84" s="352" t="s">
        <v>1003</v>
      </c>
      <c r="C84" s="735" t="s">
        <v>1113</v>
      </c>
      <c r="D84" s="735"/>
      <c r="E84" s="736" t="s">
        <v>1004</v>
      </c>
      <c r="F84" s="736"/>
      <c r="G84" s="736"/>
      <c r="H84" s="736"/>
      <c r="I84" s="736"/>
      <c r="J84" s="352" t="s">
        <v>81</v>
      </c>
      <c r="K84" s="353">
        <v>1150.03</v>
      </c>
      <c r="L84" s="353">
        <f t="shared" si="0"/>
        <v>111</v>
      </c>
      <c r="N84" s="356">
        <f t="shared" si="1"/>
        <v>2</v>
      </c>
      <c r="O84" s="89"/>
    </row>
    <row r="85" spans="2:15" ht="12" customHeight="1" x14ac:dyDescent="0.25">
      <c r="B85" s="352" t="s">
        <v>1005</v>
      </c>
      <c r="C85" s="735" t="s">
        <v>1113</v>
      </c>
      <c r="D85" s="735"/>
      <c r="E85" s="736" t="s">
        <v>1006</v>
      </c>
      <c r="F85" s="736"/>
      <c r="G85" s="736"/>
      <c r="H85" s="736"/>
      <c r="I85" s="736"/>
      <c r="J85" s="352" t="s">
        <v>81</v>
      </c>
      <c r="K85" s="353">
        <v>880</v>
      </c>
      <c r="L85" s="353">
        <f t="shared" si="0"/>
        <v>85</v>
      </c>
      <c r="N85" s="356">
        <f t="shared" si="1"/>
        <v>1</v>
      </c>
      <c r="O85" s="89"/>
    </row>
    <row r="86" spans="2:15" ht="12" customHeight="1" x14ac:dyDescent="0.25">
      <c r="B86" s="352" t="s">
        <v>1007</v>
      </c>
      <c r="C86" s="735" t="s">
        <v>1113</v>
      </c>
      <c r="D86" s="735"/>
      <c r="E86" s="736" t="s">
        <v>1008</v>
      </c>
      <c r="F86" s="736"/>
      <c r="G86" s="736"/>
      <c r="H86" s="736"/>
      <c r="I86" s="736"/>
      <c r="J86" s="352" t="s">
        <v>81</v>
      </c>
      <c r="K86" s="353">
        <v>1022.06</v>
      </c>
      <c r="L86" s="353">
        <f t="shared" si="0"/>
        <v>99</v>
      </c>
      <c r="N86" s="356">
        <f t="shared" si="1"/>
        <v>2</v>
      </c>
      <c r="O86" s="89"/>
    </row>
    <row r="87" spans="2:15" ht="12" customHeight="1" x14ac:dyDescent="0.25">
      <c r="B87" s="352" t="s">
        <v>1009</v>
      </c>
      <c r="C87" s="735" t="s">
        <v>1113</v>
      </c>
      <c r="D87" s="735"/>
      <c r="E87" s="736" t="s">
        <v>1010</v>
      </c>
      <c r="F87" s="736"/>
      <c r="G87" s="736"/>
      <c r="H87" s="736"/>
      <c r="I87" s="736"/>
      <c r="J87" s="352" t="s">
        <v>81</v>
      </c>
      <c r="K87" s="353">
        <v>1056.3499999999999</v>
      </c>
      <c r="L87" s="353">
        <f t="shared" si="0"/>
        <v>102</v>
      </c>
      <c r="N87" s="356">
        <f t="shared" si="1"/>
        <v>2</v>
      </c>
      <c r="O87" s="89"/>
    </row>
    <row r="88" spans="2:15" ht="12" customHeight="1" x14ac:dyDescent="0.25">
      <c r="B88" s="352" t="s">
        <v>1011</v>
      </c>
      <c r="C88" s="735" t="s">
        <v>1113</v>
      </c>
      <c r="D88" s="735"/>
      <c r="E88" s="736" t="s">
        <v>1012</v>
      </c>
      <c r="F88" s="736"/>
      <c r="G88" s="736"/>
      <c r="H88" s="736"/>
      <c r="I88" s="736"/>
      <c r="J88" s="352" t="s">
        <v>81</v>
      </c>
      <c r="K88" s="353">
        <v>751.04</v>
      </c>
      <c r="L88" s="353">
        <f t="shared" si="0"/>
        <v>73</v>
      </c>
      <c r="N88" s="356">
        <f t="shared" si="1"/>
        <v>1</v>
      </c>
      <c r="O88" s="89"/>
    </row>
    <row r="89" spans="2:15" ht="12" customHeight="1" x14ac:dyDescent="0.25">
      <c r="B89" s="352" t="s">
        <v>1013</v>
      </c>
      <c r="C89" s="735" t="s">
        <v>1113</v>
      </c>
      <c r="D89" s="735"/>
      <c r="E89" s="736" t="s">
        <v>1014</v>
      </c>
      <c r="F89" s="736"/>
      <c r="G89" s="736"/>
      <c r="H89" s="736"/>
      <c r="I89" s="736"/>
      <c r="J89" s="352" t="s">
        <v>81</v>
      </c>
      <c r="K89" s="353">
        <v>474.77</v>
      </c>
      <c r="L89" s="353">
        <f t="shared" si="0"/>
        <v>46</v>
      </c>
      <c r="N89" s="356">
        <f t="shared" si="1"/>
        <v>1</v>
      </c>
      <c r="O89" s="89"/>
    </row>
    <row r="90" spans="2:15" ht="12" customHeight="1" x14ac:dyDescent="0.25">
      <c r="B90" s="352" t="s">
        <v>1015</v>
      </c>
      <c r="C90" s="735" t="s">
        <v>575</v>
      </c>
      <c r="D90" s="735"/>
      <c r="E90" s="736" t="s">
        <v>1016</v>
      </c>
      <c r="F90" s="736"/>
      <c r="G90" s="736"/>
      <c r="H90" s="736"/>
      <c r="I90" s="736"/>
      <c r="J90" s="352" t="s">
        <v>81</v>
      </c>
      <c r="K90" s="353">
        <v>334.15</v>
      </c>
      <c r="L90" s="353">
        <f t="shared" si="0"/>
        <v>32</v>
      </c>
      <c r="N90" s="356">
        <f t="shared" si="1"/>
        <v>1</v>
      </c>
      <c r="O90" s="89"/>
    </row>
    <row r="91" spans="2:15" ht="12" customHeight="1" x14ac:dyDescent="0.25">
      <c r="B91" s="352" t="s">
        <v>1017</v>
      </c>
      <c r="C91" s="735" t="s">
        <v>575</v>
      </c>
      <c r="D91" s="735"/>
      <c r="E91" s="736" t="s">
        <v>1018</v>
      </c>
      <c r="F91" s="736"/>
      <c r="G91" s="736"/>
      <c r="H91" s="736"/>
      <c r="I91" s="736"/>
      <c r="J91" s="352" t="s">
        <v>81</v>
      </c>
      <c r="K91" s="353">
        <v>133.66</v>
      </c>
      <c r="L91" s="353">
        <f t="shared" si="0"/>
        <v>13</v>
      </c>
      <c r="N91" s="356">
        <f t="shared" si="1"/>
        <v>1</v>
      </c>
      <c r="O91" s="89"/>
    </row>
    <row r="92" spans="2:15" ht="12" customHeight="1" x14ac:dyDescent="0.25">
      <c r="B92" s="352" t="s">
        <v>1019</v>
      </c>
      <c r="C92" s="735" t="s">
        <v>1113</v>
      </c>
      <c r="D92" s="735"/>
      <c r="E92" s="736" t="s">
        <v>1020</v>
      </c>
      <c r="F92" s="736"/>
      <c r="G92" s="736"/>
      <c r="H92" s="736"/>
      <c r="I92" s="736"/>
      <c r="J92" s="352" t="s">
        <v>81</v>
      </c>
      <c r="K92" s="353">
        <v>207.92</v>
      </c>
      <c r="L92" s="353">
        <f t="shared" si="0"/>
        <v>20</v>
      </c>
      <c r="N92" s="356">
        <f t="shared" si="1"/>
        <v>1</v>
      </c>
      <c r="O92" s="89"/>
    </row>
    <row r="93" spans="2:15" ht="12" customHeight="1" x14ac:dyDescent="0.25">
      <c r="B93" s="352" t="s">
        <v>1021</v>
      </c>
      <c r="C93" s="735" t="s">
        <v>1113</v>
      </c>
      <c r="D93" s="735"/>
      <c r="E93" s="736" t="s">
        <v>1022</v>
      </c>
      <c r="F93" s="736"/>
      <c r="G93" s="736"/>
      <c r="H93" s="736"/>
      <c r="I93" s="736"/>
      <c r="J93" s="352" t="s">
        <v>81</v>
      </c>
      <c r="K93" s="353">
        <v>148</v>
      </c>
      <c r="L93" s="353">
        <f t="shared" si="0"/>
        <v>14</v>
      </c>
      <c r="N93" s="356">
        <f t="shared" si="1"/>
        <v>1</v>
      </c>
      <c r="O93" s="89"/>
    </row>
    <row r="94" spans="2:15" ht="12" customHeight="1" x14ac:dyDescent="0.25">
      <c r="B94" s="352" t="s">
        <v>1023</v>
      </c>
      <c r="C94" s="735" t="s">
        <v>1113</v>
      </c>
      <c r="D94" s="735"/>
      <c r="E94" s="736" t="s">
        <v>1024</v>
      </c>
      <c r="F94" s="736"/>
      <c r="G94" s="736"/>
      <c r="H94" s="736"/>
      <c r="I94" s="736"/>
      <c r="J94" s="352" t="s">
        <v>81</v>
      </c>
      <c r="K94" s="353">
        <v>149.1</v>
      </c>
      <c r="L94" s="353">
        <f t="shared" si="0"/>
        <v>14</v>
      </c>
      <c r="N94" s="356">
        <f t="shared" si="1"/>
        <v>1</v>
      </c>
      <c r="O94" s="89"/>
    </row>
    <row r="95" spans="2:15" ht="12" customHeight="1" x14ac:dyDescent="0.25">
      <c r="B95" s="352" t="s">
        <v>1025</v>
      </c>
      <c r="C95" s="735" t="s">
        <v>1113</v>
      </c>
      <c r="D95" s="735"/>
      <c r="E95" s="736" t="s">
        <v>1026</v>
      </c>
      <c r="F95" s="736"/>
      <c r="G95" s="736"/>
      <c r="H95" s="736"/>
      <c r="I95" s="736"/>
      <c r="J95" s="352" t="s">
        <v>81</v>
      </c>
      <c r="K95" s="353">
        <v>186.14</v>
      </c>
      <c r="L95" s="353">
        <f t="shared" si="0"/>
        <v>18</v>
      </c>
      <c r="N95" s="356">
        <f t="shared" si="1"/>
        <v>1</v>
      </c>
      <c r="O95" s="89"/>
    </row>
    <row r="96" spans="2:15" ht="12" customHeight="1" x14ac:dyDescent="0.25">
      <c r="B96" s="352" t="s">
        <v>1027</v>
      </c>
      <c r="C96" s="735" t="s">
        <v>1113</v>
      </c>
      <c r="D96" s="735"/>
      <c r="E96" s="736" t="s">
        <v>1028</v>
      </c>
      <c r="F96" s="736"/>
      <c r="G96" s="736"/>
      <c r="H96" s="736"/>
      <c r="I96" s="736"/>
      <c r="J96" s="352" t="s">
        <v>81</v>
      </c>
      <c r="K96" s="353">
        <v>70.58</v>
      </c>
      <c r="L96" s="353">
        <f t="shared" si="0"/>
        <v>7</v>
      </c>
      <c r="N96" s="356">
        <f t="shared" si="1"/>
        <v>1</v>
      </c>
      <c r="O96" s="89"/>
    </row>
    <row r="97" spans="2:15" ht="12" customHeight="1" x14ac:dyDescent="0.25">
      <c r="B97" s="352" t="s">
        <v>1029</v>
      </c>
      <c r="C97" s="735" t="s">
        <v>1113</v>
      </c>
      <c r="D97" s="735"/>
      <c r="E97" s="736" t="s">
        <v>1030</v>
      </c>
      <c r="F97" s="736"/>
      <c r="G97" s="736"/>
      <c r="H97" s="736"/>
      <c r="I97" s="736"/>
      <c r="J97" s="352" t="s">
        <v>81</v>
      </c>
      <c r="K97" s="353">
        <v>9.1199999999999992</v>
      </c>
      <c r="L97" s="353">
        <f t="shared" si="0"/>
        <v>1</v>
      </c>
      <c r="N97" s="356">
        <f t="shared" si="1"/>
        <v>1</v>
      </c>
      <c r="O97" s="89"/>
    </row>
    <row r="98" spans="2:15" ht="12" customHeight="1" x14ac:dyDescent="0.25">
      <c r="B98" s="743" t="s">
        <v>39</v>
      </c>
      <c r="C98" s="743"/>
      <c r="D98" s="743"/>
      <c r="E98" s="743"/>
      <c r="F98" s="743"/>
      <c r="G98" s="743"/>
      <c r="H98" s="743"/>
      <c r="I98" s="743"/>
      <c r="J98" s="743"/>
      <c r="K98" s="743"/>
      <c r="L98" s="355">
        <f>SUM(L79:L97)</f>
        <v>1736</v>
      </c>
      <c r="N98" s="354">
        <f>SUM(N79:N97)</f>
        <v>31</v>
      </c>
    </row>
    <row r="99" spans="2:15" ht="12" customHeight="1" x14ac:dyDescent="0.25">
      <c r="B99" s="383" t="s">
        <v>1068</v>
      </c>
      <c r="C99" s="735" t="s">
        <v>1113</v>
      </c>
      <c r="D99" s="735"/>
      <c r="E99" s="736" t="s">
        <v>1069</v>
      </c>
      <c r="F99" s="736"/>
      <c r="G99" s="736"/>
      <c r="H99" s="736"/>
      <c r="I99" s="736"/>
      <c r="J99" s="352" t="s">
        <v>81</v>
      </c>
      <c r="K99" s="353">
        <v>300</v>
      </c>
      <c r="L99" s="353"/>
      <c r="N99" s="356">
        <f>+ROUNDUP(((K99/220)/$M$76),0)</f>
        <v>1</v>
      </c>
      <c r="O99" s="89"/>
    </row>
    <row r="100" spans="2:15" ht="12" customHeight="1" x14ac:dyDescent="0.25">
      <c r="B100" s="352" t="s">
        <v>1070</v>
      </c>
      <c r="C100" s="735" t="s">
        <v>2721</v>
      </c>
      <c r="D100" s="735"/>
      <c r="E100" s="736" t="s">
        <v>994</v>
      </c>
      <c r="F100" s="736"/>
      <c r="G100" s="736"/>
      <c r="H100" s="736"/>
      <c r="I100" s="736"/>
      <c r="J100" s="352" t="s">
        <v>81</v>
      </c>
      <c r="K100" s="353">
        <v>313.16443959999998</v>
      </c>
      <c r="L100" s="353"/>
      <c r="N100" s="356">
        <f t="shared" ref="N100:N101" si="2">+ROUNDUP(((K100/220)/$M$76),0)</f>
        <v>1</v>
      </c>
      <c r="O100" s="89"/>
    </row>
    <row r="101" spans="2:15" ht="12" customHeight="1" x14ac:dyDescent="0.25">
      <c r="B101" s="352" t="s">
        <v>1072</v>
      </c>
      <c r="C101" s="735" t="s">
        <v>2721</v>
      </c>
      <c r="D101" s="735"/>
      <c r="E101" s="736" t="s">
        <v>1073</v>
      </c>
      <c r="F101" s="736"/>
      <c r="G101" s="736"/>
      <c r="H101" s="736"/>
      <c r="I101" s="736"/>
      <c r="J101" s="352" t="s">
        <v>81</v>
      </c>
      <c r="K101" s="353">
        <v>36.306910000000002</v>
      </c>
      <c r="L101" s="353"/>
      <c r="N101" s="356">
        <f t="shared" si="2"/>
        <v>1</v>
      </c>
      <c r="O101" s="89"/>
    </row>
    <row r="102" spans="2:15" ht="12" customHeight="1" x14ac:dyDescent="0.25">
      <c r="B102" s="352" t="s">
        <v>1074</v>
      </c>
      <c r="C102" s="735" t="s">
        <v>2721</v>
      </c>
      <c r="D102" s="735"/>
      <c r="E102" s="736" t="s">
        <v>1075</v>
      </c>
      <c r="F102" s="736"/>
      <c r="G102" s="736"/>
      <c r="H102" s="736"/>
      <c r="I102" s="736"/>
      <c r="J102" s="352" t="s">
        <v>81</v>
      </c>
      <c r="K102" s="353">
        <v>35.115655500000003</v>
      </c>
      <c r="L102" s="353"/>
      <c r="N102" s="356">
        <f>+ROUNDUP(((K102/220)/$M$76),0)</f>
        <v>1</v>
      </c>
      <c r="O102" s="89"/>
    </row>
    <row r="103" spans="2:15" ht="12" customHeight="1" x14ac:dyDescent="0.25">
      <c r="B103" s="381"/>
      <c r="C103" s="381"/>
      <c r="D103" s="381"/>
      <c r="E103" s="381"/>
      <c r="F103" s="381"/>
      <c r="G103" s="381"/>
      <c r="H103" s="381"/>
      <c r="I103" s="381"/>
      <c r="J103" s="381"/>
      <c r="K103" s="381"/>
      <c r="L103" s="382"/>
      <c r="N103" s="354">
        <f>SUM(N98:N102)</f>
        <v>35</v>
      </c>
    </row>
  </sheetData>
  <mergeCells count="59">
    <mergeCell ref="B98:K98"/>
    <mergeCell ref="L77:L78"/>
    <mergeCell ref="N77:N78"/>
    <mergeCell ref="C11:P11"/>
    <mergeCell ref="C97:D97"/>
    <mergeCell ref="E77:I78"/>
    <mergeCell ref="C92:D92"/>
    <mergeCell ref="C93:D93"/>
    <mergeCell ref="C94:D94"/>
    <mergeCell ref="C95:D95"/>
    <mergeCell ref="C96:D96"/>
    <mergeCell ref="C77:D78"/>
    <mergeCell ref="C79:D79"/>
    <mergeCell ref="C80:D80"/>
    <mergeCell ref="C81:D81"/>
    <mergeCell ref="C82:D82"/>
    <mergeCell ref="C83:D83"/>
    <mergeCell ref="C84:D84"/>
    <mergeCell ref="C85:D85"/>
    <mergeCell ref="C86:D86"/>
    <mergeCell ref="C87:D87"/>
    <mergeCell ref="C88:D88"/>
    <mergeCell ref="C89:D89"/>
    <mergeCell ref="C90:D90"/>
    <mergeCell ref="C91:D91"/>
    <mergeCell ref="E96:I96"/>
    <mergeCell ref="E88:I88"/>
    <mergeCell ref="E89:I89"/>
    <mergeCell ref="E90:I90"/>
    <mergeCell ref="E91:I91"/>
    <mergeCell ref="E97:I97"/>
    <mergeCell ref="E92:I92"/>
    <mergeCell ref="E93:I93"/>
    <mergeCell ref="E94:I94"/>
    <mergeCell ref="E95:I95"/>
    <mergeCell ref="E83:I83"/>
    <mergeCell ref="E84:I84"/>
    <mergeCell ref="E85:I85"/>
    <mergeCell ref="E86:I86"/>
    <mergeCell ref="E87:I87"/>
    <mergeCell ref="E79:I79"/>
    <mergeCell ref="E80:I80"/>
    <mergeCell ref="E81:I81"/>
    <mergeCell ref="E82:I82"/>
    <mergeCell ref="B1:P2"/>
    <mergeCell ref="D9:O9"/>
    <mergeCell ref="F74:H74"/>
    <mergeCell ref="B77:B78"/>
    <mergeCell ref="J77:J78"/>
    <mergeCell ref="K77:K78"/>
    <mergeCell ref="C4:M4"/>
    <mergeCell ref="C99:D99"/>
    <mergeCell ref="E99:I99"/>
    <mergeCell ref="C102:D102"/>
    <mergeCell ref="E102:I102"/>
    <mergeCell ref="C100:D100"/>
    <mergeCell ref="E100:I100"/>
    <mergeCell ref="C101:D101"/>
    <mergeCell ref="E101:I101"/>
  </mergeCells>
  <printOptions horizontalCentered="1"/>
  <pageMargins left="0.51181102362204722" right="0.51181102362204722" top="0.78740157480314965" bottom="0.78740157480314965" header="0.31496062992125984" footer="0.39370078740157483"/>
  <pageSetup paperSize="9" scale="83"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972BB-C01E-4292-ACD2-C1194CE55B15}">
  <dimension ref="B1:O98"/>
  <sheetViews>
    <sheetView showGridLines="0" showZeros="0" view="pageBreakPreview" topLeftCell="A48" zoomScaleNormal="100" zoomScaleSheetLayoutView="100" workbookViewId="0">
      <selection activeCell="Q14" sqref="Q14:Q15"/>
    </sheetView>
  </sheetViews>
  <sheetFormatPr defaultColWidth="9.140625" defaultRowHeight="13.5" x14ac:dyDescent="0.25"/>
  <cols>
    <col min="1" max="1" width="1.7109375" style="89" customWidth="1"/>
    <col min="2" max="2" width="10.5703125" style="89" customWidth="1"/>
    <col min="3" max="3" width="11" style="89" customWidth="1"/>
    <col min="4" max="4" width="9.7109375" style="89" bestFit="1" customWidth="1"/>
    <col min="5" max="5" width="10.7109375" style="89" customWidth="1"/>
    <col min="6" max="6" width="12.42578125" style="89" customWidth="1"/>
    <col min="7" max="13" width="10.7109375" style="89" customWidth="1"/>
    <col min="14" max="14" width="12.85546875" style="91" customWidth="1"/>
    <col min="15" max="15" width="1.7109375" style="89" customWidth="1"/>
    <col min="16" max="16" width="9.140625" style="89" customWidth="1"/>
    <col min="17" max="16384" width="9.140625" style="89"/>
  </cols>
  <sheetData>
    <row r="1" spans="2:15" s="69" customFormat="1" ht="20.100000000000001" customHeight="1" x14ac:dyDescent="0.25">
      <c r="B1" s="569" t="s">
        <v>133</v>
      </c>
      <c r="C1" s="569"/>
      <c r="D1" s="569"/>
      <c r="E1" s="569"/>
      <c r="F1" s="569"/>
      <c r="G1" s="569"/>
      <c r="H1" s="569"/>
      <c r="I1" s="569"/>
      <c r="J1" s="569"/>
      <c r="K1" s="569"/>
      <c r="L1" s="569"/>
      <c r="M1" s="569"/>
      <c r="N1" s="569"/>
      <c r="O1" s="569"/>
    </row>
    <row r="2" spans="2:15" s="69" customFormat="1" ht="20.100000000000001" customHeight="1" x14ac:dyDescent="0.25">
      <c r="B2" s="569"/>
      <c r="C2" s="569"/>
      <c r="D2" s="569"/>
      <c r="E2" s="569"/>
      <c r="F2" s="569"/>
      <c r="G2" s="569"/>
      <c r="H2" s="569"/>
      <c r="I2" s="569"/>
      <c r="J2" s="569"/>
      <c r="K2" s="569"/>
      <c r="L2" s="569"/>
      <c r="M2" s="569"/>
      <c r="N2" s="569"/>
      <c r="O2" s="569"/>
    </row>
    <row r="3" spans="2:15" s="69" customFormat="1" ht="15" customHeight="1" x14ac:dyDescent="0.25"/>
    <row r="4" spans="2:15"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3" t="s">
        <v>96</v>
      </c>
      <c r="N4" s="4" t="str">
        <f>+'DADOS DA OBRA'!$N$22</f>
        <v>04/11/2024</v>
      </c>
    </row>
    <row r="5" spans="2:15" s="5" customFormat="1" ht="20.100000000000001" customHeight="1" x14ac:dyDescent="0.25">
      <c r="B5" s="1" t="s">
        <v>18</v>
      </c>
      <c r="C5" s="2" t="str">
        <f>+""&amp;'DADOS DA OBRA'!$B$16&amp;", "&amp;'DADOS DA OBRA'!$B$19&amp;", "&amp;'DADOS DA OBRA'!$J$19&amp;", "&amp;'DADOS DA OBRA'!$P$19</f>
        <v>RUAS DIVERSAS, DIVERSOS, MATRINCHÃ, GO</v>
      </c>
      <c r="M5" s="3" t="s">
        <v>17</v>
      </c>
      <c r="N5" s="4" t="str">
        <f>'DADOS DA OBRA'!$N$25</f>
        <v>00</v>
      </c>
    </row>
    <row r="6" spans="2:15" s="5" customFormat="1" ht="20.100000000000001" customHeight="1" x14ac:dyDescent="0.25"/>
    <row r="7" spans="2:15" s="5" customFormat="1" ht="20.100000000000001" customHeight="1" x14ac:dyDescent="0.25">
      <c r="B7" s="1" t="s">
        <v>97</v>
      </c>
      <c r="C7" s="39" t="s">
        <v>751</v>
      </c>
      <c r="M7" s="3"/>
      <c r="N7" s="64"/>
    </row>
    <row r="8" spans="2:15" ht="20.100000000000001" customHeight="1" x14ac:dyDescent="0.25">
      <c r="B8" s="746"/>
      <c r="C8" s="746"/>
      <c r="D8" s="746"/>
      <c r="E8" s="746"/>
      <c r="F8" s="746"/>
      <c r="G8" s="746"/>
      <c r="H8" s="746"/>
      <c r="I8" s="746"/>
      <c r="J8" s="746"/>
      <c r="K8" s="746"/>
      <c r="N8" s="90"/>
    </row>
    <row r="9" spans="2:15" s="31" customFormat="1" ht="20.100000000000001" customHeight="1" x14ac:dyDescent="0.25">
      <c r="B9" s="31" t="s">
        <v>218</v>
      </c>
      <c r="C9" s="200" t="s">
        <v>753</v>
      </c>
      <c r="D9" s="31" t="s">
        <v>752</v>
      </c>
      <c r="M9" s="194"/>
      <c r="N9" s="195"/>
    </row>
    <row r="10" spans="2:15" s="31" customFormat="1" ht="20.100000000000001" customHeight="1" x14ac:dyDescent="0.25">
      <c r="C10" s="194"/>
      <c r="D10" s="294"/>
      <c r="E10" s="302" t="s">
        <v>211</v>
      </c>
      <c r="F10" s="302" t="s">
        <v>193</v>
      </c>
      <c r="G10" s="302"/>
      <c r="H10" s="302"/>
      <c r="I10" s="294" t="s">
        <v>756</v>
      </c>
      <c r="K10" s="302" t="s">
        <v>140</v>
      </c>
      <c r="M10" s="194"/>
      <c r="N10" s="195"/>
    </row>
    <row r="11" spans="2:15" s="31" customFormat="1" ht="20.100000000000001" customHeight="1" x14ac:dyDescent="0.25">
      <c r="C11" s="194"/>
      <c r="E11" s="31" t="s">
        <v>202</v>
      </c>
      <c r="F11" s="270">
        <v>592.63</v>
      </c>
      <c r="G11" s="304" t="s">
        <v>222</v>
      </c>
      <c r="H11" s="268"/>
      <c r="I11" s="268">
        <f>+F11*0.07</f>
        <v>41.484100000000005</v>
      </c>
      <c r="K11" s="270">
        <f>+I11*1.3</f>
        <v>53.929330000000007</v>
      </c>
      <c r="L11" s="294" t="s">
        <v>219</v>
      </c>
      <c r="M11" s="194"/>
      <c r="N11" s="195"/>
    </row>
    <row r="12" spans="2:15" s="31" customFormat="1" ht="20.100000000000001" customHeight="1" x14ac:dyDescent="0.25">
      <c r="C12" s="194"/>
      <c r="F12" s="270"/>
      <c r="G12" s="304"/>
      <c r="H12" s="268"/>
      <c r="I12" s="268"/>
      <c r="K12" s="270"/>
      <c r="L12" s="294"/>
      <c r="M12" s="194"/>
      <c r="N12" s="195"/>
    </row>
    <row r="13" spans="2:15" s="31" customFormat="1" ht="20.100000000000001" customHeight="1" x14ac:dyDescent="0.25">
      <c r="C13" s="194"/>
      <c r="F13" s="270"/>
      <c r="G13" s="304"/>
      <c r="H13" s="268"/>
      <c r="I13" s="268"/>
      <c r="K13" s="270"/>
      <c r="L13" s="294"/>
      <c r="M13" s="194"/>
      <c r="N13" s="195"/>
    </row>
    <row r="14" spans="2:15" ht="20.100000000000001" customHeight="1" x14ac:dyDescent="0.25">
      <c r="B14" s="746"/>
      <c r="C14" s="746"/>
      <c r="D14" s="746"/>
      <c r="E14" s="746"/>
      <c r="F14" s="746"/>
      <c r="G14" s="746"/>
      <c r="H14" s="746"/>
      <c r="I14" s="746"/>
      <c r="J14" s="746"/>
      <c r="K14" s="746"/>
      <c r="N14" s="90"/>
    </row>
    <row r="15" spans="2:15" s="31" customFormat="1" ht="20.100000000000001" customHeight="1" x14ac:dyDescent="0.25">
      <c r="B15" s="31" t="s">
        <v>218</v>
      </c>
      <c r="C15" s="200" t="s">
        <v>755</v>
      </c>
      <c r="D15" s="31" t="s">
        <v>754</v>
      </c>
      <c r="M15" s="194"/>
      <c r="N15" s="195"/>
    </row>
    <row r="16" spans="2:15" s="31" customFormat="1" ht="20.100000000000001" customHeight="1" x14ac:dyDescent="0.25">
      <c r="C16" s="194"/>
      <c r="E16" s="302" t="s">
        <v>211</v>
      </c>
      <c r="F16" s="302" t="s">
        <v>204</v>
      </c>
      <c r="G16" s="302" t="s">
        <v>205</v>
      </c>
      <c r="H16" s="302" t="s">
        <v>193</v>
      </c>
      <c r="I16" s="302"/>
      <c r="K16" s="194"/>
      <c r="M16" s="194"/>
      <c r="N16" s="195"/>
    </row>
    <row r="17" spans="2:14" s="31" customFormat="1" ht="20.100000000000001" customHeight="1" x14ac:dyDescent="0.25">
      <c r="C17" s="194"/>
      <c r="E17" s="299" t="s">
        <v>202</v>
      </c>
      <c r="F17" s="268">
        <v>7.6</v>
      </c>
      <c r="G17" s="268">
        <v>7.6</v>
      </c>
      <c r="H17" s="268">
        <f>+F17*G17</f>
        <v>57.76</v>
      </c>
      <c r="I17" s="319" t="s">
        <v>222</v>
      </c>
      <c r="K17" s="268"/>
      <c r="M17" s="194"/>
      <c r="N17" s="195"/>
    </row>
    <row r="18" spans="2:14" s="31" customFormat="1" ht="20.100000000000001" customHeight="1" x14ac:dyDescent="0.25">
      <c r="C18" s="194"/>
      <c r="E18" s="299" t="s">
        <v>890</v>
      </c>
      <c r="F18" s="268">
        <v>1.5</v>
      </c>
      <c r="G18" s="268">
        <v>0.75</v>
      </c>
      <c r="H18" s="268">
        <f>+F18*G18</f>
        <v>1.125</v>
      </c>
      <c r="I18" s="319" t="s">
        <v>222</v>
      </c>
      <c r="K18" s="268"/>
      <c r="M18" s="194"/>
      <c r="N18" s="195"/>
    </row>
    <row r="19" spans="2:14" s="31" customFormat="1" ht="20.100000000000001" customHeight="1" x14ac:dyDescent="0.25">
      <c r="C19" s="194"/>
      <c r="F19" s="747" t="s">
        <v>39</v>
      </c>
      <c r="G19" s="747"/>
      <c r="H19" s="270">
        <f>SUM(H17:H18)</f>
        <v>58.884999999999998</v>
      </c>
      <c r="I19" s="304" t="s">
        <v>222</v>
      </c>
      <c r="J19" s="294"/>
      <c r="K19" s="270"/>
      <c r="L19" s="294"/>
      <c r="M19" s="194"/>
      <c r="N19" s="195"/>
    </row>
    <row r="20" spans="2:14" s="31" customFormat="1" ht="20.100000000000001" customHeight="1" x14ac:dyDescent="0.25">
      <c r="C20" s="194"/>
      <c r="F20" s="313"/>
      <c r="G20" s="313"/>
      <c r="H20" s="270"/>
      <c r="I20" s="304"/>
      <c r="J20" s="294"/>
      <c r="K20" s="270"/>
      <c r="L20" s="294"/>
      <c r="M20" s="194"/>
      <c r="N20" s="195"/>
    </row>
    <row r="21" spans="2:14" s="31" customFormat="1" ht="20.100000000000001" customHeight="1" x14ac:dyDescent="0.25">
      <c r="C21" s="194"/>
      <c r="F21" s="313"/>
      <c r="G21" s="313"/>
      <c r="H21" s="270"/>
      <c r="I21" s="304"/>
      <c r="J21" s="294"/>
      <c r="K21" s="270"/>
      <c r="L21" s="294"/>
      <c r="M21" s="194"/>
      <c r="N21" s="195"/>
    </row>
    <row r="22" spans="2:14" ht="20.100000000000001" customHeight="1" x14ac:dyDescent="0.25">
      <c r="B22" s="746"/>
      <c r="C22" s="746"/>
      <c r="D22" s="746"/>
      <c r="E22" s="746"/>
      <c r="F22" s="746"/>
      <c r="G22" s="746"/>
      <c r="H22" s="746"/>
      <c r="I22" s="746"/>
      <c r="J22" s="746"/>
      <c r="K22" s="746"/>
      <c r="N22" s="90"/>
    </row>
    <row r="23" spans="2:14" s="31" customFormat="1" ht="20.100000000000001" customHeight="1" x14ac:dyDescent="0.25">
      <c r="B23" s="31" t="s">
        <v>218</v>
      </c>
      <c r="C23" s="200" t="s">
        <v>860</v>
      </c>
      <c r="D23" s="31" t="s">
        <v>859</v>
      </c>
      <c r="M23" s="194"/>
      <c r="N23" s="195"/>
    </row>
    <row r="24" spans="2:14" s="31" customFormat="1" ht="24.95" customHeight="1" x14ac:dyDescent="0.25">
      <c r="C24" s="194"/>
      <c r="E24" s="748" t="s">
        <v>863</v>
      </c>
      <c r="F24" s="748"/>
      <c r="G24" s="748"/>
      <c r="H24" s="748"/>
      <c r="I24" s="748"/>
      <c r="J24" s="748"/>
      <c r="K24" s="748"/>
      <c r="L24" s="748"/>
      <c r="M24" s="748"/>
      <c r="N24" s="748"/>
    </row>
    <row r="25" spans="2:14" s="31" customFormat="1" ht="20.100000000000001" customHeight="1" x14ac:dyDescent="0.25">
      <c r="C25" s="194"/>
      <c r="E25" s="31" t="s">
        <v>864</v>
      </c>
      <c r="F25" s="268"/>
      <c r="G25" s="268"/>
      <c r="H25" s="270">
        <v>1</v>
      </c>
      <c r="I25" s="304" t="s">
        <v>38</v>
      </c>
      <c r="J25" s="268"/>
      <c r="K25" s="268"/>
      <c r="M25" s="194"/>
      <c r="N25" s="195"/>
    </row>
    <row r="26" spans="2:14" s="31" customFormat="1" ht="20.100000000000001" customHeight="1" x14ac:dyDescent="0.25">
      <c r="C26" s="194"/>
      <c r="F26" s="268"/>
      <c r="G26" s="268"/>
      <c r="H26" s="270"/>
      <c r="I26" s="304"/>
      <c r="J26" s="268"/>
      <c r="K26" s="268"/>
      <c r="M26" s="194"/>
      <c r="N26" s="195"/>
    </row>
    <row r="27" spans="2:14" ht="20.100000000000001" customHeight="1" x14ac:dyDescent="0.25">
      <c r="B27" s="746"/>
      <c r="C27" s="746"/>
      <c r="D27" s="746"/>
      <c r="E27" s="746"/>
      <c r="F27" s="746"/>
      <c r="G27" s="746"/>
      <c r="H27" s="746"/>
      <c r="I27" s="746"/>
      <c r="J27" s="746"/>
      <c r="K27" s="746"/>
      <c r="N27" s="90"/>
    </row>
    <row r="28" spans="2:14" s="31" customFormat="1" ht="20.100000000000001" customHeight="1" x14ac:dyDescent="0.25">
      <c r="B28" s="31" t="s">
        <v>218</v>
      </c>
      <c r="C28" s="200" t="s">
        <v>862</v>
      </c>
      <c r="D28" s="31" t="s">
        <v>861</v>
      </c>
      <c r="M28" s="194"/>
      <c r="N28" s="195"/>
    </row>
    <row r="29" spans="2:14" s="31" customFormat="1" ht="39.950000000000003" customHeight="1" x14ac:dyDescent="0.25">
      <c r="C29" s="194"/>
      <c r="E29" s="773" t="s">
        <v>865</v>
      </c>
      <c r="F29" s="773"/>
      <c r="G29" s="773"/>
      <c r="H29" s="773"/>
      <c r="I29" s="773"/>
      <c r="J29" s="773"/>
      <c r="K29" s="773"/>
      <c r="L29" s="773"/>
      <c r="M29" s="773"/>
      <c r="N29" s="773"/>
    </row>
    <row r="30" spans="2:14" s="31" customFormat="1" ht="20.100000000000001" customHeight="1" x14ac:dyDescent="0.25">
      <c r="C30" s="194"/>
      <c r="F30" s="299" t="s">
        <v>866</v>
      </c>
      <c r="G30" s="296">
        <f>SUM('RESUMO LEVTO'!T102,'RESUMO LEVTO'!T87,'RESUMO LEVTO'!T78,'RESUMO LEVTO'!T70)</f>
        <v>157.35031345877127</v>
      </c>
      <c r="I30" s="268"/>
      <c r="J30" s="268"/>
      <c r="K30" s="268"/>
      <c r="M30" s="194"/>
      <c r="N30" s="195"/>
    </row>
    <row r="31" spans="2:14" s="31" customFormat="1" ht="20.100000000000001" customHeight="1" x14ac:dyDescent="0.25">
      <c r="C31" s="194"/>
      <c r="F31" s="299" t="s">
        <v>867</v>
      </c>
      <c r="G31" s="296">
        <v>25</v>
      </c>
      <c r="I31" s="270"/>
      <c r="J31" s="303"/>
      <c r="K31" s="270"/>
      <c r="L31" s="294"/>
      <c r="M31" s="194"/>
      <c r="N31" s="195"/>
    </row>
    <row r="32" spans="2:14" s="31" customFormat="1" ht="20.100000000000001" customHeight="1" x14ac:dyDescent="0.25">
      <c r="C32" s="194"/>
      <c r="F32" s="299" t="s">
        <v>868</v>
      </c>
      <c r="G32" s="312">
        <f>(_xlfn.FLOOR.MATH(G30/G31,3)+1)*6</f>
        <v>42</v>
      </c>
      <c r="H32" s="304" t="s">
        <v>38</v>
      </c>
      <c r="I32" s="270"/>
      <c r="J32" s="303"/>
      <c r="K32" s="270"/>
      <c r="L32" s="294"/>
      <c r="M32" s="194"/>
      <c r="N32" s="195"/>
    </row>
    <row r="33" spans="2:14" s="31" customFormat="1" ht="20.100000000000001" customHeight="1" x14ac:dyDescent="0.25">
      <c r="C33" s="194"/>
      <c r="F33" s="299"/>
      <c r="G33" s="296"/>
      <c r="I33" s="270"/>
      <c r="J33" s="303"/>
      <c r="K33" s="270"/>
      <c r="L33" s="294"/>
      <c r="M33" s="194"/>
      <c r="N33" s="195"/>
    </row>
    <row r="34" spans="2:14" s="31" customFormat="1" ht="20.100000000000001" customHeight="1" x14ac:dyDescent="0.25">
      <c r="C34" s="194"/>
      <c r="F34" s="299"/>
      <c r="G34" s="296"/>
      <c r="I34" s="270"/>
      <c r="J34" s="303"/>
      <c r="K34" s="270"/>
      <c r="L34" s="294"/>
      <c r="M34" s="194"/>
      <c r="N34" s="195"/>
    </row>
    <row r="35" spans="2:14" s="31" customFormat="1" ht="20.100000000000001" customHeight="1" x14ac:dyDescent="0.25">
      <c r="C35" s="194"/>
      <c r="F35" s="299"/>
      <c r="G35" s="296"/>
      <c r="I35" s="270"/>
      <c r="J35" s="303"/>
      <c r="K35" s="270"/>
      <c r="L35" s="294"/>
      <c r="M35" s="194"/>
      <c r="N35" s="195"/>
    </row>
    <row r="36" spans="2:14" s="31" customFormat="1" ht="39.950000000000003" customHeight="1" x14ac:dyDescent="0.25">
      <c r="B36" s="31" t="s">
        <v>247</v>
      </c>
      <c r="C36" s="200" t="s">
        <v>915</v>
      </c>
      <c r="D36" s="748" t="s">
        <v>914</v>
      </c>
      <c r="E36" s="748"/>
      <c r="F36" s="748"/>
      <c r="G36" s="748"/>
      <c r="H36" s="748"/>
      <c r="I36" s="748"/>
      <c r="J36" s="748"/>
      <c r="K36" s="748"/>
      <c r="L36" s="748"/>
      <c r="M36" s="748"/>
      <c r="N36" s="748"/>
    </row>
    <row r="37" spans="2:14" s="31" customFormat="1" ht="20.100000000000001" customHeight="1" x14ac:dyDescent="0.25">
      <c r="C37" s="194"/>
      <c r="E37" s="31" t="s">
        <v>916</v>
      </c>
      <c r="F37" s="268"/>
      <c r="G37" s="268"/>
      <c r="H37" s="270">
        <v>10</v>
      </c>
      <c r="I37" s="304" t="s">
        <v>38</v>
      </c>
      <c r="J37" s="194"/>
      <c r="K37" s="194"/>
      <c r="M37" s="194"/>
      <c r="N37" s="195"/>
    </row>
    <row r="38" spans="2:14" s="31" customFormat="1" ht="20.100000000000001" customHeight="1" x14ac:dyDescent="0.25">
      <c r="C38" s="194"/>
      <c r="F38" s="299"/>
      <c r="G38" s="296"/>
      <c r="I38" s="270"/>
      <c r="J38" s="303"/>
      <c r="K38" s="270"/>
      <c r="L38" s="294"/>
      <c r="M38" s="194"/>
      <c r="N38" s="195"/>
    </row>
    <row r="39" spans="2:14" s="31" customFormat="1" ht="20.100000000000001" customHeight="1" x14ac:dyDescent="0.25">
      <c r="C39" s="194"/>
      <c r="F39" s="299"/>
      <c r="G39" s="296"/>
      <c r="I39" s="270"/>
      <c r="J39" s="303"/>
      <c r="K39" s="270"/>
      <c r="L39" s="294"/>
      <c r="M39" s="194"/>
      <c r="N39" s="195"/>
    </row>
    <row r="40" spans="2:14" s="31" customFormat="1" ht="20.100000000000001" customHeight="1" x14ac:dyDescent="0.25">
      <c r="C40" s="194"/>
      <c r="F40" s="299"/>
      <c r="G40" s="296"/>
      <c r="I40" s="270"/>
      <c r="J40" s="303"/>
      <c r="K40" s="270"/>
      <c r="L40" s="294"/>
      <c r="M40" s="194"/>
      <c r="N40" s="195"/>
    </row>
    <row r="41" spans="2:14" s="31" customFormat="1" ht="20.100000000000001" customHeight="1" x14ac:dyDescent="0.25">
      <c r="B41" s="31" t="s">
        <v>247</v>
      </c>
      <c r="C41" s="200" t="s">
        <v>917</v>
      </c>
      <c r="D41" s="31" t="s">
        <v>919</v>
      </c>
      <c r="M41" s="194"/>
      <c r="N41" s="195"/>
    </row>
    <row r="42" spans="2:14" s="31" customFormat="1" ht="20.100000000000001" customHeight="1" x14ac:dyDescent="0.25">
      <c r="C42" s="194"/>
      <c r="E42" s="31" t="s">
        <v>918</v>
      </c>
      <c r="F42" s="268"/>
      <c r="G42" s="268"/>
      <c r="H42" s="270">
        <v>20</v>
      </c>
      <c r="I42" s="304" t="s">
        <v>38</v>
      </c>
      <c r="J42" s="194"/>
      <c r="K42" s="194"/>
      <c r="M42" s="194"/>
      <c r="N42" s="195"/>
    </row>
    <row r="43" spans="2:14" s="31" customFormat="1" ht="20.100000000000001" customHeight="1" x14ac:dyDescent="0.25">
      <c r="C43" s="194"/>
      <c r="E43" s="299"/>
      <c r="F43" s="268"/>
      <c r="G43" s="268"/>
      <c r="H43" s="268"/>
      <c r="J43" s="268"/>
      <c r="K43" s="268"/>
      <c r="M43" s="194"/>
      <c r="N43" s="195"/>
    </row>
    <row r="44" spans="2:14" s="31" customFormat="1" ht="20.100000000000001" customHeight="1" x14ac:dyDescent="0.25">
      <c r="C44" s="194"/>
      <c r="E44" s="299"/>
      <c r="F44" s="268"/>
      <c r="G44" s="268"/>
      <c r="H44" s="268"/>
      <c r="J44" s="268"/>
      <c r="K44" s="268"/>
      <c r="M44" s="194"/>
      <c r="N44" s="195"/>
    </row>
    <row r="45" spans="2:14" s="31" customFormat="1" ht="20.100000000000001" customHeight="1" x14ac:dyDescent="0.25">
      <c r="C45" s="194"/>
      <c r="E45" s="299"/>
      <c r="F45" s="268"/>
      <c r="G45" s="268"/>
      <c r="H45" s="268"/>
      <c r="J45" s="268"/>
      <c r="K45" s="268"/>
      <c r="M45" s="194"/>
      <c r="N45" s="195"/>
    </row>
    <row r="46" spans="2:14" s="31" customFormat="1" ht="34.5" customHeight="1" x14ac:dyDescent="0.25">
      <c r="B46" s="321" t="s">
        <v>981</v>
      </c>
      <c r="C46" s="194">
        <v>42301</v>
      </c>
      <c r="D46" s="31" t="s">
        <v>982</v>
      </c>
      <c r="E46" s="299"/>
      <c r="F46" s="268"/>
      <c r="G46" s="268"/>
      <c r="H46" s="268"/>
      <c r="J46" s="268"/>
      <c r="K46" s="268"/>
      <c r="M46" s="194"/>
      <c r="N46" s="195"/>
    </row>
    <row r="47" spans="2:14" s="31" customFormat="1" ht="39.75" customHeight="1" x14ac:dyDescent="0.25">
      <c r="B47" s="750" t="s">
        <v>922</v>
      </c>
      <c r="C47" s="750"/>
      <c r="D47" s="750"/>
      <c r="E47" s="750"/>
      <c r="F47" s="750"/>
      <c r="G47" s="750"/>
      <c r="H47" s="336" t="s">
        <v>923</v>
      </c>
      <c r="I47" s="336" t="s">
        <v>924</v>
      </c>
      <c r="J47" s="336" t="s">
        <v>983</v>
      </c>
      <c r="K47" s="336" t="s">
        <v>925</v>
      </c>
      <c r="L47" s="336" t="s">
        <v>926</v>
      </c>
      <c r="M47" s="336" t="s">
        <v>927</v>
      </c>
      <c r="N47" s="336" t="s">
        <v>984</v>
      </c>
    </row>
    <row r="48" spans="2:14" s="31" customFormat="1" ht="20.100000000000001" customHeight="1" x14ac:dyDescent="0.25">
      <c r="B48" s="751" t="s">
        <v>928</v>
      </c>
      <c r="C48" s="752"/>
      <c r="D48" s="752"/>
      <c r="E48" s="752"/>
      <c r="F48" s="752"/>
      <c r="G48" s="752"/>
      <c r="H48" s="752"/>
      <c r="I48" s="752"/>
      <c r="J48" s="752"/>
      <c r="K48" s="752"/>
      <c r="L48" s="752"/>
      <c r="M48" s="752"/>
      <c r="N48" s="753"/>
    </row>
    <row r="49" spans="2:14" s="31" customFormat="1" ht="20.100000000000001" hidden="1" customHeight="1" x14ac:dyDescent="0.25">
      <c r="B49" s="322">
        <v>30050</v>
      </c>
      <c r="C49" s="329" t="s">
        <v>929</v>
      </c>
      <c r="D49" s="330"/>
      <c r="E49" s="330"/>
      <c r="F49" s="331"/>
      <c r="G49" s="332"/>
      <c r="H49" s="323">
        <v>30050</v>
      </c>
      <c r="I49" s="323">
        <v>1</v>
      </c>
      <c r="J49" s="323">
        <v>481.68</v>
      </c>
      <c r="K49" s="324">
        <v>5</v>
      </c>
      <c r="L49" s="325">
        <v>8.02</v>
      </c>
      <c r="M49" s="324"/>
      <c r="N49" s="325">
        <f>ROUND(J49*K49*M49,2)</f>
        <v>0</v>
      </c>
    </row>
    <row r="50" spans="2:14" s="31" customFormat="1" ht="20.100000000000001" hidden="1" customHeight="1" x14ac:dyDescent="0.25">
      <c r="B50" s="322">
        <v>30037</v>
      </c>
      <c r="C50" s="329" t="s">
        <v>930</v>
      </c>
      <c r="D50" s="330"/>
      <c r="E50" s="330"/>
      <c r="F50" s="330"/>
      <c r="G50" s="332"/>
      <c r="H50" s="323">
        <v>30037</v>
      </c>
      <c r="I50" s="323">
        <v>1</v>
      </c>
      <c r="J50" s="323">
        <v>287.75</v>
      </c>
      <c r="K50" s="324">
        <v>5</v>
      </c>
      <c r="L50" s="325">
        <v>4.79</v>
      </c>
      <c r="M50" s="324"/>
      <c r="N50" s="325">
        <f>ROUND(J50*K50*M50,2)</f>
        <v>0</v>
      </c>
    </row>
    <row r="51" spans="2:14" s="31" customFormat="1" ht="15" hidden="1" customHeight="1" x14ac:dyDescent="0.25">
      <c r="B51" s="322">
        <v>30036</v>
      </c>
      <c r="C51" s="329" t="s">
        <v>931</v>
      </c>
      <c r="D51" s="330"/>
      <c r="E51" s="330"/>
      <c r="F51" s="330"/>
      <c r="G51" s="332"/>
      <c r="H51" s="323">
        <v>30036</v>
      </c>
      <c r="I51" s="323">
        <v>1</v>
      </c>
      <c r="J51" s="323">
        <v>170.75</v>
      </c>
      <c r="K51" s="324">
        <v>5</v>
      </c>
      <c r="L51" s="325">
        <v>2.84</v>
      </c>
      <c r="M51" s="324"/>
      <c r="N51" s="325">
        <f>ROUND(J51*K51*M51,2)</f>
        <v>0</v>
      </c>
    </row>
    <row r="52" spans="2:14" x14ac:dyDescent="0.25">
      <c r="B52" s="322">
        <v>30035</v>
      </c>
      <c r="C52" s="329" t="s">
        <v>932</v>
      </c>
      <c r="D52" s="330"/>
      <c r="E52" s="330"/>
      <c r="F52" s="330"/>
      <c r="G52" s="332"/>
      <c r="H52" s="323">
        <v>30035</v>
      </c>
      <c r="I52" s="323">
        <v>1</v>
      </c>
      <c r="J52" s="323">
        <v>244.06</v>
      </c>
      <c r="K52" s="324">
        <f>$C$95</f>
        <v>252</v>
      </c>
      <c r="L52" s="325">
        <v>4.0599999999999996</v>
      </c>
      <c r="M52" s="324">
        <v>1</v>
      </c>
      <c r="N52" s="337">
        <f>ROUND(K52*L52*M52,2)</f>
        <v>1023.12</v>
      </c>
    </row>
    <row r="53" spans="2:14" hidden="1" x14ac:dyDescent="0.25">
      <c r="B53" s="322">
        <v>30125</v>
      </c>
      <c r="C53" s="329" t="s">
        <v>933</v>
      </c>
      <c r="D53" s="330"/>
      <c r="E53" s="330"/>
      <c r="F53" s="330"/>
      <c r="G53" s="332"/>
      <c r="H53" s="323">
        <v>30125</v>
      </c>
      <c r="I53" s="323">
        <v>1</v>
      </c>
      <c r="J53" s="323"/>
      <c r="K53" s="324">
        <v>5</v>
      </c>
      <c r="L53" s="325">
        <v>4.57</v>
      </c>
      <c r="M53" s="324"/>
      <c r="N53" s="337">
        <f>ROUND(J53*K53*M53,2)</f>
        <v>0</v>
      </c>
    </row>
    <row r="54" spans="2:14" hidden="1" x14ac:dyDescent="0.25">
      <c r="B54" s="322">
        <v>30110</v>
      </c>
      <c r="C54" s="329" t="s">
        <v>934</v>
      </c>
      <c r="D54" s="330"/>
      <c r="E54" s="330"/>
      <c r="F54" s="330"/>
      <c r="G54" s="332"/>
      <c r="H54" s="323">
        <v>30110</v>
      </c>
      <c r="I54" s="323">
        <v>1</v>
      </c>
      <c r="J54" s="323"/>
      <c r="K54" s="324">
        <v>5</v>
      </c>
      <c r="L54" s="325">
        <v>7.92</v>
      </c>
      <c r="M54" s="324"/>
      <c r="N54" s="337">
        <f>ROUND(J54*K54*M54,2)</f>
        <v>0</v>
      </c>
    </row>
    <row r="55" spans="2:14" hidden="1" x14ac:dyDescent="0.25">
      <c r="B55" s="322">
        <v>30120</v>
      </c>
      <c r="C55" s="329" t="s">
        <v>935</v>
      </c>
      <c r="D55" s="330"/>
      <c r="E55" s="330"/>
      <c r="F55" s="330"/>
      <c r="G55" s="332"/>
      <c r="H55" s="323">
        <v>30120</v>
      </c>
      <c r="I55" s="323">
        <v>1</v>
      </c>
      <c r="J55" s="323"/>
      <c r="K55" s="324">
        <v>5</v>
      </c>
      <c r="L55" s="325">
        <v>6.97</v>
      </c>
      <c r="M55" s="324"/>
      <c r="N55" s="337">
        <f>ROUND(J55*K55*M55,2)</f>
        <v>0</v>
      </c>
    </row>
    <row r="56" spans="2:14" x14ac:dyDescent="0.25">
      <c r="B56" s="322">
        <v>31062</v>
      </c>
      <c r="C56" s="329" t="s">
        <v>936</v>
      </c>
      <c r="D56" s="330"/>
      <c r="E56" s="330"/>
      <c r="F56" s="330"/>
      <c r="G56" s="332"/>
      <c r="H56" s="323">
        <v>31062</v>
      </c>
      <c r="I56" s="323">
        <v>1</v>
      </c>
      <c r="J56" s="323">
        <v>242.12</v>
      </c>
      <c r="K56" s="324">
        <f t="shared" ref="K56:K61" si="0">$C$95</f>
        <v>252</v>
      </c>
      <c r="L56" s="325">
        <v>4.03</v>
      </c>
      <c r="M56" s="324">
        <v>1</v>
      </c>
      <c r="N56" s="337">
        <f t="shared" ref="N56:N61" si="1">ROUND(K56*L56*M56,2)</f>
        <v>1015.56</v>
      </c>
    </row>
    <row r="57" spans="2:14" hidden="1" x14ac:dyDescent="0.25">
      <c r="B57" s="322">
        <v>30053</v>
      </c>
      <c r="C57" s="329" t="s">
        <v>937</v>
      </c>
      <c r="D57" s="330"/>
      <c r="E57" s="330"/>
      <c r="F57" s="330"/>
      <c r="G57" s="332"/>
      <c r="H57" s="323">
        <v>30053</v>
      </c>
      <c r="I57" s="323">
        <v>1</v>
      </c>
      <c r="J57" s="323"/>
      <c r="K57" s="324">
        <f t="shared" si="0"/>
        <v>252</v>
      </c>
      <c r="L57" s="325">
        <v>4.8</v>
      </c>
      <c r="M57" s="324"/>
      <c r="N57" s="337">
        <f t="shared" si="1"/>
        <v>0</v>
      </c>
    </row>
    <row r="58" spans="2:14" hidden="1" x14ac:dyDescent="0.25">
      <c r="B58" s="322">
        <v>30049</v>
      </c>
      <c r="C58" s="329" t="s">
        <v>938</v>
      </c>
      <c r="D58" s="330"/>
      <c r="E58" s="330"/>
      <c r="F58" s="330"/>
      <c r="G58" s="332"/>
      <c r="H58" s="323">
        <v>30049</v>
      </c>
      <c r="I58" s="323">
        <v>1</v>
      </c>
      <c r="J58" s="323"/>
      <c r="K58" s="324">
        <f t="shared" si="0"/>
        <v>252</v>
      </c>
      <c r="L58" s="325">
        <v>5.08</v>
      </c>
      <c r="M58" s="324"/>
      <c r="N58" s="337">
        <f t="shared" si="1"/>
        <v>0</v>
      </c>
    </row>
    <row r="59" spans="2:14" hidden="1" x14ac:dyDescent="0.25">
      <c r="B59" s="322">
        <v>30040</v>
      </c>
      <c r="C59" s="329" t="s">
        <v>939</v>
      </c>
      <c r="D59" s="330"/>
      <c r="E59" s="330"/>
      <c r="F59" s="330"/>
      <c r="G59" s="332"/>
      <c r="H59" s="323">
        <v>30040</v>
      </c>
      <c r="I59" s="323">
        <v>1</v>
      </c>
      <c r="J59" s="323"/>
      <c r="K59" s="324">
        <f t="shared" si="0"/>
        <v>252</v>
      </c>
      <c r="L59" s="325">
        <v>4.75</v>
      </c>
      <c r="M59" s="324"/>
      <c r="N59" s="337">
        <f t="shared" si="1"/>
        <v>0</v>
      </c>
    </row>
    <row r="60" spans="2:14" hidden="1" x14ac:dyDescent="0.25">
      <c r="B60" s="322">
        <v>30039</v>
      </c>
      <c r="C60" s="329" t="s">
        <v>940</v>
      </c>
      <c r="D60" s="330"/>
      <c r="E60" s="330"/>
      <c r="F60" s="330"/>
      <c r="G60" s="332"/>
      <c r="H60" s="323">
        <v>30039</v>
      </c>
      <c r="I60" s="323">
        <v>1</v>
      </c>
      <c r="J60" s="323"/>
      <c r="K60" s="324">
        <f t="shared" si="0"/>
        <v>252</v>
      </c>
      <c r="L60" s="325">
        <v>3.6</v>
      </c>
      <c r="M60" s="324"/>
      <c r="N60" s="337">
        <f t="shared" si="1"/>
        <v>0</v>
      </c>
    </row>
    <row r="61" spans="2:14" x14ac:dyDescent="0.25">
      <c r="B61" s="322">
        <v>30021</v>
      </c>
      <c r="C61" s="329" t="s">
        <v>941</v>
      </c>
      <c r="D61" s="330"/>
      <c r="E61" s="330"/>
      <c r="F61" s="330"/>
      <c r="G61" s="332"/>
      <c r="H61" s="323">
        <v>30021</v>
      </c>
      <c r="I61" s="323">
        <v>1</v>
      </c>
      <c r="J61" s="323">
        <v>232.06</v>
      </c>
      <c r="K61" s="324">
        <f t="shared" si="0"/>
        <v>252</v>
      </c>
      <c r="L61" s="325">
        <v>3.86</v>
      </c>
      <c r="M61" s="324">
        <v>1</v>
      </c>
      <c r="N61" s="337">
        <f t="shared" si="1"/>
        <v>972.72</v>
      </c>
    </row>
    <row r="62" spans="2:14" hidden="1" x14ac:dyDescent="0.25">
      <c r="B62" s="322">
        <v>30030</v>
      </c>
      <c r="C62" s="329" t="s">
        <v>942</v>
      </c>
      <c r="D62" s="330"/>
      <c r="E62" s="330"/>
      <c r="F62" s="330"/>
      <c r="G62" s="332"/>
      <c r="H62" s="323">
        <v>30030</v>
      </c>
      <c r="I62" s="323">
        <v>1</v>
      </c>
      <c r="J62" s="323">
        <v>627.05999999999995</v>
      </c>
      <c r="K62" s="324">
        <v>5</v>
      </c>
      <c r="L62" s="325">
        <v>10.45</v>
      </c>
      <c r="M62" s="324"/>
      <c r="N62" s="325">
        <f>ROUND(J62*K62*M62,2)</f>
        <v>0</v>
      </c>
    </row>
    <row r="63" spans="2:14" ht="15" customHeight="1" x14ac:dyDescent="0.25">
      <c r="B63" s="754" t="s">
        <v>943</v>
      </c>
      <c r="C63" s="755"/>
      <c r="D63" s="755"/>
      <c r="E63" s="755"/>
      <c r="F63" s="755"/>
      <c r="G63" s="755"/>
      <c r="H63" s="755"/>
      <c r="I63" s="755"/>
      <c r="J63" s="755"/>
      <c r="K63" s="755"/>
      <c r="L63" s="755"/>
      <c r="M63" s="755"/>
      <c r="N63" s="756"/>
    </row>
    <row r="64" spans="2:14" hidden="1" x14ac:dyDescent="0.25">
      <c r="B64" s="322">
        <v>30010</v>
      </c>
      <c r="C64" s="329" t="s">
        <v>944</v>
      </c>
      <c r="D64" s="330"/>
      <c r="E64" s="330"/>
      <c r="F64" s="330"/>
      <c r="G64" s="332"/>
      <c r="H64" s="323">
        <v>30105</v>
      </c>
      <c r="I64" s="323">
        <v>0.5</v>
      </c>
      <c r="J64" s="323"/>
      <c r="K64" s="324">
        <v>5</v>
      </c>
      <c r="L64" s="325">
        <v>3.04</v>
      </c>
      <c r="M64" s="324"/>
      <c r="N64" s="325">
        <f>ROUND(J64*K64*M64,2)</f>
        <v>0</v>
      </c>
    </row>
    <row r="65" spans="2:14" x14ac:dyDescent="0.25">
      <c r="B65" s="322">
        <v>30007</v>
      </c>
      <c r="C65" s="329" t="s">
        <v>945</v>
      </c>
      <c r="D65" s="330"/>
      <c r="E65" s="330"/>
      <c r="F65" s="330"/>
      <c r="G65" s="332"/>
      <c r="H65" s="323">
        <v>30105</v>
      </c>
      <c r="I65" s="323">
        <v>0.5</v>
      </c>
      <c r="J65" s="323">
        <v>372.06</v>
      </c>
      <c r="K65" s="324">
        <f t="shared" ref="K65:K90" si="2">$C$95</f>
        <v>252</v>
      </c>
      <c r="L65" s="325">
        <v>3.1</v>
      </c>
      <c r="M65" s="324">
        <v>1</v>
      </c>
      <c r="N65" s="337">
        <f t="shared" ref="N65:N90" si="3">ROUND(K65*L65*M65,2)</f>
        <v>781.2</v>
      </c>
    </row>
    <row r="66" spans="2:14" hidden="1" x14ac:dyDescent="0.25">
      <c r="B66" s="322">
        <v>30011</v>
      </c>
      <c r="C66" s="329" t="s">
        <v>946</v>
      </c>
      <c r="D66" s="330"/>
      <c r="E66" s="330"/>
      <c r="F66" s="330"/>
      <c r="G66" s="332"/>
      <c r="H66" s="323">
        <v>30105</v>
      </c>
      <c r="I66" s="323">
        <v>1</v>
      </c>
      <c r="J66" s="323"/>
      <c r="K66" s="324">
        <f t="shared" si="2"/>
        <v>252</v>
      </c>
      <c r="L66" s="325">
        <v>6.08</v>
      </c>
      <c r="M66" s="324"/>
      <c r="N66" s="337">
        <f t="shared" si="3"/>
        <v>0</v>
      </c>
    </row>
    <row r="67" spans="2:14" hidden="1" x14ac:dyDescent="0.25">
      <c r="B67" s="322">
        <v>30057</v>
      </c>
      <c r="C67" s="329" t="s">
        <v>947</v>
      </c>
      <c r="D67" s="330"/>
      <c r="E67" s="330"/>
      <c r="F67" s="330"/>
      <c r="G67" s="332"/>
      <c r="H67" s="323">
        <v>30105</v>
      </c>
      <c r="I67" s="323">
        <v>1</v>
      </c>
      <c r="J67" s="323"/>
      <c r="K67" s="324">
        <f t="shared" si="2"/>
        <v>252</v>
      </c>
      <c r="L67" s="325">
        <v>6.08</v>
      </c>
      <c r="M67" s="324"/>
      <c r="N67" s="337">
        <f t="shared" si="3"/>
        <v>0</v>
      </c>
    </row>
    <row r="68" spans="2:14" hidden="1" x14ac:dyDescent="0.25">
      <c r="B68" s="322">
        <v>30019</v>
      </c>
      <c r="C68" s="329" t="s">
        <v>948</v>
      </c>
      <c r="D68" s="330"/>
      <c r="E68" s="330"/>
      <c r="F68" s="330"/>
      <c r="G68" s="332"/>
      <c r="H68" s="323">
        <v>30105</v>
      </c>
      <c r="I68" s="323">
        <v>1</v>
      </c>
      <c r="J68" s="323"/>
      <c r="K68" s="324">
        <f t="shared" si="2"/>
        <v>252</v>
      </c>
      <c r="L68" s="325">
        <v>6.08</v>
      </c>
      <c r="M68" s="324"/>
      <c r="N68" s="337">
        <f t="shared" si="3"/>
        <v>0</v>
      </c>
    </row>
    <row r="69" spans="2:14" hidden="1" x14ac:dyDescent="0.25">
      <c r="B69" s="322">
        <v>30158</v>
      </c>
      <c r="C69" s="329" t="s">
        <v>949</v>
      </c>
      <c r="D69" s="330"/>
      <c r="E69" s="330"/>
      <c r="F69" s="330"/>
      <c r="G69" s="332"/>
      <c r="H69" s="323">
        <v>30105</v>
      </c>
      <c r="I69" s="323">
        <v>0.33</v>
      </c>
      <c r="J69" s="323"/>
      <c r="K69" s="324">
        <f t="shared" si="2"/>
        <v>252</v>
      </c>
      <c r="L69" s="325">
        <v>2</v>
      </c>
      <c r="M69" s="324"/>
      <c r="N69" s="337">
        <f t="shared" si="3"/>
        <v>0</v>
      </c>
    </row>
    <row r="70" spans="2:14" hidden="1" x14ac:dyDescent="0.25">
      <c r="B70" s="322">
        <v>30058</v>
      </c>
      <c r="C70" s="329" t="s">
        <v>950</v>
      </c>
      <c r="D70" s="330"/>
      <c r="E70" s="330"/>
      <c r="F70" s="330"/>
      <c r="G70" s="332"/>
      <c r="H70" s="323">
        <v>30105</v>
      </c>
      <c r="I70" s="323">
        <v>0.33</v>
      </c>
      <c r="J70" s="323"/>
      <c r="K70" s="324">
        <f t="shared" si="2"/>
        <v>252</v>
      </c>
      <c r="L70" s="325">
        <v>2</v>
      </c>
      <c r="M70" s="324"/>
      <c r="N70" s="337">
        <f t="shared" si="3"/>
        <v>0</v>
      </c>
    </row>
    <row r="71" spans="2:14" hidden="1" x14ac:dyDescent="0.25">
      <c r="B71" s="322">
        <v>30046</v>
      </c>
      <c r="C71" s="329" t="s">
        <v>951</v>
      </c>
      <c r="D71" s="330"/>
      <c r="E71" s="330"/>
      <c r="F71" s="330"/>
      <c r="G71" s="332"/>
      <c r="H71" s="323">
        <v>30105</v>
      </c>
      <c r="I71" s="323">
        <v>1</v>
      </c>
      <c r="J71" s="323"/>
      <c r="K71" s="324">
        <f t="shared" si="2"/>
        <v>252</v>
      </c>
      <c r="L71" s="325">
        <v>6.08</v>
      </c>
      <c r="M71" s="324"/>
      <c r="N71" s="337">
        <f t="shared" si="3"/>
        <v>0</v>
      </c>
    </row>
    <row r="72" spans="2:14" hidden="1" x14ac:dyDescent="0.25">
      <c r="B72" s="322">
        <v>30170</v>
      </c>
      <c r="C72" s="329" t="s">
        <v>952</v>
      </c>
      <c r="D72" s="330"/>
      <c r="E72" s="330"/>
      <c r="F72" s="330"/>
      <c r="G72" s="332"/>
      <c r="H72" s="323">
        <v>30105</v>
      </c>
      <c r="I72" s="323">
        <v>1</v>
      </c>
      <c r="J72" s="323"/>
      <c r="K72" s="324">
        <f t="shared" si="2"/>
        <v>252</v>
      </c>
      <c r="L72" s="325">
        <v>6.08</v>
      </c>
      <c r="M72" s="324"/>
      <c r="N72" s="337">
        <f t="shared" si="3"/>
        <v>0</v>
      </c>
    </row>
    <row r="73" spans="2:14" hidden="1" x14ac:dyDescent="0.25">
      <c r="B73" s="322">
        <v>30029</v>
      </c>
      <c r="C73" s="329" t="s">
        <v>953</v>
      </c>
      <c r="D73" s="330"/>
      <c r="E73" s="330"/>
      <c r="F73" s="330"/>
      <c r="G73" s="332"/>
      <c r="H73" s="323">
        <v>30105</v>
      </c>
      <c r="I73" s="323">
        <v>0.5</v>
      </c>
      <c r="J73" s="323"/>
      <c r="K73" s="324">
        <f t="shared" si="2"/>
        <v>252</v>
      </c>
      <c r="L73" s="325">
        <v>3.04</v>
      </c>
      <c r="M73" s="324"/>
      <c r="N73" s="337">
        <f t="shared" si="3"/>
        <v>0</v>
      </c>
    </row>
    <row r="74" spans="2:14" hidden="1" x14ac:dyDescent="0.25">
      <c r="B74" s="322">
        <v>30101</v>
      </c>
      <c r="C74" s="329" t="s">
        <v>954</v>
      </c>
      <c r="D74" s="330"/>
      <c r="E74" s="330"/>
      <c r="F74" s="330"/>
      <c r="G74" s="332"/>
      <c r="H74" s="323">
        <v>30105</v>
      </c>
      <c r="I74" s="323">
        <v>1</v>
      </c>
      <c r="J74" s="323"/>
      <c r="K74" s="324">
        <f t="shared" si="2"/>
        <v>252</v>
      </c>
      <c r="L74" s="325">
        <v>6.08</v>
      </c>
      <c r="M74" s="324"/>
      <c r="N74" s="337">
        <f t="shared" si="3"/>
        <v>0</v>
      </c>
    </row>
    <row r="75" spans="2:14" hidden="1" x14ac:dyDescent="0.25">
      <c r="B75" s="322">
        <v>30008</v>
      </c>
      <c r="C75" s="329" t="s">
        <v>955</v>
      </c>
      <c r="D75" s="330"/>
      <c r="E75" s="330"/>
      <c r="F75" s="330"/>
      <c r="G75" s="332"/>
      <c r="H75" s="323">
        <v>30105</v>
      </c>
      <c r="I75" s="323">
        <v>0.5</v>
      </c>
      <c r="J75" s="323"/>
      <c r="K75" s="324">
        <f t="shared" si="2"/>
        <v>252</v>
      </c>
      <c r="L75" s="325">
        <v>3.04</v>
      </c>
      <c r="M75" s="324"/>
      <c r="N75" s="337">
        <f t="shared" si="3"/>
        <v>0</v>
      </c>
    </row>
    <row r="76" spans="2:14" x14ac:dyDescent="0.25">
      <c r="B76" s="322">
        <v>30015</v>
      </c>
      <c r="C76" s="329" t="s">
        <v>956</v>
      </c>
      <c r="D76" s="330"/>
      <c r="E76" s="330"/>
      <c r="F76" s="330"/>
      <c r="G76" s="332"/>
      <c r="H76" s="323">
        <v>30105</v>
      </c>
      <c r="I76" s="323">
        <v>0.5</v>
      </c>
      <c r="J76" s="323">
        <v>372.06</v>
      </c>
      <c r="K76" s="324">
        <f t="shared" si="2"/>
        <v>252</v>
      </c>
      <c r="L76" s="325">
        <v>3.1</v>
      </c>
      <c r="M76" s="324">
        <v>1</v>
      </c>
      <c r="N76" s="337">
        <f t="shared" si="3"/>
        <v>781.2</v>
      </c>
    </row>
    <row r="77" spans="2:14" x14ac:dyDescent="0.25">
      <c r="B77" s="322">
        <v>30012</v>
      </c>
      <c r="C77" s="329" t="s">
        <v>957</v>
      </c>
      <c r="D77" s="330"/>
      <c r="E77" s="330"/>
      <c r="F77" s="330"/>
      <c r="G77" s="332"/>
      <c r="H77" s="323">
        <v>30105</v>
      </c>
      <c r="I77" s="323">
        <v>0.5</v>
      </c>
      <c r="J77" s="323">
        <v>372.06</v>
      </c>
      <c r="K77" s="324">
        <f t="shared" si="2"/>
        <v>252</v>
      </c>
      <c r="L77" s="325">
        <v>3.1</v>
      </c>
      <c r="M77" s="324">
        <v>1</v>
      </c>
      <c r="N77" s="337">
        <f t="shared" si="3"/>
        <v>781.2</v>
      </c>
    </row>
    <row r="78" spans="2:14" hidden="1" x14ac:dyDescent="0.25">
      <c r="B78" s="322">
        <v>30014</v>
      </c>
      <c r="C78" s="329" t="s">
        <v>958</v>
      </c>
      <c r="D78" s="330"/>
      <c r="E78" s="330"/>
      <c r="F78" s="330"/>
      <c r="G78" s="332"/>
      <c r="H78" s="323">
        <v>30105</v>
      </c>
      <c r="I78" s="323">
        <v>0.5</v>
      </c>
      <c r="J78" s="323"/>
      <c r="K78" s="324">
        <f t="shared" si="2"/>
        <v>252</v>
      </c>
      <c r="L78" s="325">
        <v>3.04</v>
      </c>
      <c r="M78" s="324"/>
      <c r="N78" s="337">
        <f t="shared" si="3"/>
        <v>0</v>
      </c>
    </row>
    <row r="79" spans="2:14" hidden="1" x14ac:dyDescent="0.25">
      <c r="B79" s="322">
        <v>30009</v>
      </c>
      <c r="C79" s="329" t="s">
        <v>959</v>
      </c>
      <c r="D79" s="330"/>
      <c r="E79" s="330"/>
      <c r="F79" s="330"/>
      <c r="G79" s="332"/>
      <c r="H79" s="323">
        <v>30105</v>
      </c>
      <c r="I79" s="323">
        <v>0.5</v>
      </c>
      <c r="J79" s="323"/>
      <c r="K79" s="324">
        <f t="shared" si="2"/>
        <v>252</v>
      </c>
      <c r="L79" s="325">
        <v>3.04</v>
      </c>
      <c r="M79" s="324"/>
      <c r="N79" s="337">
        <f t="shared" si="3"/>
        <v>0</v>
      </c>
    </row>
    <row r="80" spans="2:14" x14ac:dyDescent="0.25">
      <c r="B80" s="322">
        <v>30020</v>
      </c>
      <c r="C80" s="329" t="s">
        <v>960</v>
      </c>
      <c r="D80" s="330"/>
      <c r="E80" s="330"/>
      <c r="F80" s="330"/>
      <c r="G80" s="332"/>
      <c r="H80" s="323">
        <v>30105</v>
      </c>
      <c r="I80" s="323">
        <v>1</v>
      </c>
      <c r="J80" s="323">
        <v>372.06</v>
      </c>
      <c r="K80" s="324">
        <f t="shared" si="2"/>
        <v>252</v>
      </c>
      <c r="L80" s="325">
        <v>6.2</v>
      </c>
      <c r="M80" s="324">
        <v>1</v>
      </c>
      <c r="N80" s="337">
        <f t="shared" si="3"/>
        <v>1562.4</v>
      </c>
    </row>
    <row r="81" spans="2:14" x14ac:dyDescent="0.25">
      <c r="B81" s="322">
        <v>30005</v>
      </c>
      <c r="C81" s="329" t="s">
        <v>961</v>
      </c>
      <c r="D81" s="330"/>
      <c r="E81" s="330"/>
      <c r="F81" s="330"/>
      <c r="G81" s="332"/>
      <c r="H81" s="323">
        <v>30105</v>
      </c>
      <c r="I81" s="323">
        <v>0.5</v>
      </c>
      <c r="J81" s="323">
        <v>372.06</v>
      </c>
      <c r="K81" s="324">
        <f t="shared" si="2"/>
        <v>252</v>
      </c>
      <c r="L81" s="325">
        <v>3.1</v>
      </c>
      <c r="M81" s="324">
        <v>1</v>
      </c>
      <c r="N81" s="337">
        <f t="shared" si="3"/>
        <v>781.2</v>
      </c>
    </row>
    <row r="82" spans="2:14" hidden="1" x14ac:dyDescent="0.25">
      <c r="B82" s="322">
        <v>30006</v>
      </c>
      <c r="C82" s="329" t="s">
        <v>962</v>
      </c>
      <c r="D82" s="330"/>
      <c r="E82" s="330"/>
      <c r="F82" s="330"/>
      <c r="G82" s="332"/>
      <c r="H82" s="323">
        <v>30105</v>
      </c>
      <c r="I82" s="323">
        <v>0.5</v>
      </c>
      <c r="J82" s="323"/>
      <c r="K82" s="324">
        <f t="shared" si="2"/>
        <v>252</v>
      </c>
      <c r="L82" s="325">
        <v>3.04</v>
      </c>
      <c r="M82" s="324"/>
      <c r="N82" s="337">
        <f t="shared" si="3"/>
        <v>0</v>
      </c>
    </row>
    <row r="83" spans="2:14" hidden="1" x14ac:dyDescent="0.25">
      <c r="B83" s="322">
        <v>30001</v>
      </c>
      <c r="C83" s="329" t="s">
        <v>963</v>
      </c>
      <c r="D83" s="330"/>
      <c r="E83" s="330"/>
      <c r="F83" s="330"/>
      <c r="G83" s="332"/>
      <c r="H83" s="323">
        <v>30105</v>
      </c>
      <c r="I83" s="323">
        <v>1</v>
      </c>
      <c r="J83" s="323"/>
      <c r="K83" s="324">
        <f t="shared" si="2"/>
        <v>252</v>
      </c>
      <c r="L83" s="325">
        <v>6.08</v>
      </c>
      <c r="M83" s="324"/>
      <c r="N83" s="337">
        <f t="shared" si="3"/>
        <v>0</v>
      </c>
    </row>
    <row r="84" spans="2:14" hidden="1" x14ac:dyDescent="0.25">
      <c r="B84" s="322">
        <v>30002</v>
      </c>
      <c r="C84" s="329" t="s">
        <v>964</v>
      </c>
      <c r="D84" s="330"/>
      <c r="E84" s="330"/>
      <c r="F84" s="330"/>
      <c r="G84" s="332"/>
      <c r="H84" s="323">
        <v>30105</v>
      </c>
      <c r="I84" s="323">
        <v>1</v>
      </c>
      <c r="J84" s="323"/>
      <c r="K84" s="324">
        <f t="shared" si="2"/>
        <v>252</v>
      </c>
      <c r="L84" s="325">
        <v>6.08</v>
      </c>
      <c r="M84" s="324"/>
      <c r="N84" s="337">
        <f t="shared" si="3"/>
        <v>0</v>
      </c>
    </row>
    <row r="85" spans="2:14" hidden="1" x14ac:dyDescent="0.25">
      <c r="B85" s="322">
        <v>30059</v>
      </c>
      <c r="C85" s="329" t="s">
        <v>965</v>
      </c>
      <c r="D85" s="330"/>
      <c r="E85" s="330"/>
      <c r="F85" s="330"/>
      <c r="G85" s="332"/>
      <c r="H85" s="323">
        <v>30105</v>
      </c>
      <c r="I85" s="323">
        <v>0.5</v>
      </c>
      <c r="J85" s="323"/>
      <c r="K85" s="324">
        <f t="shared" si="2"/>
        <v>252</v>
      </c>
      <c r="L85" s="325">
        <v>3.04</v>
      </c>
      <c r="M85" s="324"/>
      <c r="N85" s="337">
        <f t="shared" si="3"/>
        <v>0</v>
      </c>
    </row>
    <row r="86" spans="2:14" hidden="1" x14ac:dyDescent="0.25">
      <c r="B86" s="322">
        <v>30000</v>
      </c>
      <c r="C86" s="329" t="s">
        <v>966</v>
      </c>
      <c r="D86" s="330"/>
      <c r="E86" s="330"/>
      <c r="F86" s="330"/>
      <c r="G86" s="332"/>
      <c r="H86" s="323">
        <v>30105</v>
      </c>
      <c r="I86" s="323">
        <v>0.5</v>
      </c>
      <c r="J86" s="323"/>
      <c r="K86" s="324">
        <f t="shared" si="2"/>
        <v>252</v>
      </c>
      <c r="L86" s="325">
        <v>3.04</v>
      </c>
      <c r="M86" s="324"/>
      <c r="N86" s="337">
        <f t="shared" si="3"/>
        <v>0</v>
      </c>
    </row>
    <row r="87" spans="2:14" hidden="1" x14ac:dyDescent="0.25">
      <c r="B87" s="322">
        <v>30025</v>
      </c>
      <c r="C87" s="329" t="s">
        <v>967</v>
      </c>
      <c r="D87" s="330"/>
      <c r="E87" s="330"/>
      <c r="F87" s="330"/>
      <c r="G87" s="332"/>
      <c r="H87" s="323">
        <v>30105</v>
      </c>
      <c r="I87" s="323">
        <v>3</v>
      </c>
      <c r="J87" s="323"/>
      <c r="K87" s="324">
        <f t="shared" si="2"/>
        <v>252</v>
      </c>
      <c r="L87" s="325">
        <v>18.25</v>
      </c>
      <c r="M87" s="324"/>
      <c r="N87" s="337">
        <f t="shared" si="3"/>
        <v>0</v>
      </c>
    </row>
    <row r="88" spans="2:14" hidden="1" x14ac:dyDescent="0.25">
      <c r="B88" s="322">
        <v>30016</v>
      </c>
      <c r="C88" s="329" t="s">
        <v>968</v>
      </c>
      <c r="D88" s="330"/>
      <c r="E88" s="330"/>
      <c r="F88" s="330"/>
      <c r="G88" s="332"/>
      <c r="H88" s="323">
        <v>30105</v>
      </c>
      <c r="I88" s="323">
        <v>2</v>
      </c>
      <c r="J88" s="323"/>
      <c r="K88" s="324">
        <f t="shared" si="2"/>
        <v>252</v>
      </c>
      <c r="L88" s="325">
        <v>12.17</v>
      </c>
      <c r="M88" s="324"/>
      <c r="N88" s="337">
        <f t="shared" si="3"/>
        <v>0</v>
      </c>
    </row>
    <row r="89" spans="2:14" x14ac:dyDescent="0.25">
      <c r="B89" s="322">
        <v>30024</v>
      </c>
      <c r="C89" s="329" t="s">
        <v>969</v>
      </c>
      <c r="D89" s="330"/>
      <c r="E89" s="330"/>
      <c r="F89" s="330"/>
      <c r="G89" s="332"/>
      <c r="H89" s="323">
        <v>30105</v>
      </c>
      <c r="I89" s="323">
        <v>1</v>
      </c>
      <c r="J89" s="323">
        <v>372.06</v>
      </c>
      <c r="K89" s="324">
        <f t="shared" si="2"/>
        <v>252</v>
      </c>
      <c r="L89" s="325">
        <v>6.2</v>
      </c>
      <c r="M89" s="324">
        <v>1</v>
      </c>
      <c r="N89" s="337">
        <f t="shared" si="3"/>
        <v>1562.4</v>
      </c>
    </row>
    <row r="90" spans="2:14" x14ac:dyDescent="0.25">
      <c r="B90" s="326">
        <v>30023</v>
      </c>
      <c r="C90" s="333" t="s">
        <v>970</v>
      </c>
      <c r="D90" s="334"/>
      <c r="E90" s="334"/>
      <c r="F90" s="334"/>
      <c r="G90" s="335"/>
      <c r="H90" s="327">
        <v>30105</v>
      </c>
      <c r="I90" s="327">
        <v>0.5</v>
      </c>
      <c r="J90" s="323">
        <v>372.06</v>
      </c>
      <c r="K90" s="324">
        <f t="shared" si="2"/>
        <v>252</v>
      </c>
      <c r="L90" s="325">
        <v>3.1</v>
      </c>
      <c r="M90" s="328">
        <v>1</v>
      </c>
      <c r="N90" s="338">
        <f t="shared" si="3"/>
        <v>781.2</v>
      </c>
    </row>
    <row r="91" spans="2:14" ht="13.5" customHeight="1" x14ac:dyDescent="0.25">
      <c r="B91" s="757" t="s">
        <v>971</v>
      </c>
      <c r="C91" s="757"/>
      <c r="D91" s="757"/>
      <c r="E91" s="757"/>
      <c r="F91" s="757"/>
      <c r="G91" s="757"/>
      <c r="H91" s="757"/>
      <c r="I91" s="757"/>
      <c r="J91" s="757"/>
      <c r="K91" s="757"/>
      <c r="L91" s="757"/>
      <c r="M91" s="342"/>
      <c r="N91" s="350">
        <f>SUM(N52:N61,N65:N90)</f>
        <v>10042.200000000001</v>
      </c>
    </row>
    <row r="92" spans="2:14" ht="38.25" x14ac:dyDescent="0.25">
      <c r="B92" s="758" t="s">
        <v>972</v>
      </c>
      <c r="C92" s="758"/>
      <c r="D92" s="758"/>
      <c r="E92" s="758"/>
      <c r="F92" s="758"/>
      <c r="G92" s="758"/>
      <c r="H92" s="758"/>
      <c r="I92" s="758"/>
      <c r="J92" s="758"/>
      <c r="K92" s="339" t="s">
        <v>973</v>
      </c>
      <c r="L92" s="339" t="s">
        <v>985</v>
      </c>
      <c r="M92" s="339" t="s">
        <v>986</v>
      </c>
      <c r="N92" s="339" t="s">
        <v>974</v>
      </c>
    </row>
    <row r="93" spans="2:14" x14ac:dyDescent="0.25">
      <c r="B93" s="340" t="s">
        <v>975</v>
      </c>
      <c r="C93" s="341" t="s">
        <v>976</v>
      </c>
      <c r="D93" s="342"/>
      <c r="E93" s="342"/>
      <c r="F93" s="342"/>
      <c r="G93" s="342"/>
      <c r="H93" s="340"/>
      <c r="I93" s="340"/>
      <c r="J93" s="343"/>
      <c r="K93" s="344"/>
      <c r="L93" s="345">
        <v>105.44</v>
      </c>
      <c r="M93" s="346"/>
      <c r="N93" s="345">
        <f>K93*L93*M93</f>
        <v>0</v>
      </c>
    </row>
    <row r="94" spans="2:14" x14ac:dyDescent="0.25">
      <c r="B94" s="31"/>
      <c r="C94" s="31"/>
      <c r="D94" s="31"/>
      <c r="E94" s="31"/>
      <c r="F94" s="771" t="s">
        <v>977</v>
      </c>
      <c r="G94" s="771"/>
      <c r="H94" s="771"/>
      <c r="I94" s="771"/>
      <c r="J94" s="771"/>
      <c r="K94" s="771"/>
      <c r="L94" s="771"/>
      <c r="M94" s="771"/>
      <c r="N94" s="347">
        <f>SUM(N93)</f>
        <v>0</v>
      </c>
    </row>
    <row r="95" spans="2:14" x14ac:dyDescent="0.25">
      <c r="B95" s="759" t="s">
        <v>989</v>
      </c>
      <c r="C95" s="762">
        <v>252</v>
      </c>
      <c r="D95" s="763"/>
      <c r="E95" s="768" t="s">
        <v>988</v>
      </c>
      <c r="F95" s="772" t="s">
        <v>978</v>
      </c>
      <c r="G95" s="772"/>
      <c r="H95" s="772"/>
      <c r="I95" s="772"/>
      <c r="J95" s="772"/>
      <c r="K95" s="772"/>
      <c r="L95" s="772"/>
      <c r="M95" s="772"/>
      <c r="N95" s="348">
        <f>N91+N94</f>
        <v>10042.200000000001</v>
      </c>
    </row>
    <row r="96" spans="2:14" x14ac:dyDescent="0.25">
      <c r="B96" s="760"/>
      <c r="C96" s="764"/>
      <c r="D96" s="765"/>
      <c r="E96" s="769"/>
      <c r="F96" s="772" t="s">
        <v>987</v>
      </c>
      <c r="G96" s="772"/>
      <c r="H96" s="772"/>
      <c r="I96" s="772"/>
      <c r="J96" s="772"/>
      <c r="K96" s="772"/>
      <c r="L96" s="772"/>
      <c r="M96" s="772"/>
      <c r="N96" s="348">
        <f>N95*0</f>
        <v>0</v>
      </c>
    </row>
    <row r="97" spans="2:14" x14ac:dyDescent="0.25">
      <c r="B97" s="760"/>
      <c r="C97" s="764"/>
      <c r="D97" s="765"/>
      <c r="E97" s="769"/>
      <c r="F97" s="772" t="s">
        <v>979</v>
      </c>
      <c r="G97" s="772"/>
      <c r="H97" s="772"/>
      <c r="I97" s="772"/>
      <c r="J97" s="772"/>
      <c r="K97" s="772"/>
      <c r="L97" s="772"/>
      <c r="M97" s="772"/>
      <c r="N97" s="348">
        <f>SUM(N95:N96)</f>
        <v>10042.200000000001</v>
      </c>
    </row>
    <row r="98" spans="2:14" x14ac:dyDescent="0.25">
      <c r="B98" s="761"/>
      <c r="C98" s="766"/>
      <c r="D98" s="767"/>
      <c r="E98" s="770"/>
      <c r="F98" s="749" t="s">
        <v>980</v>
      </c>
      <c r="G98" s="749"/>
      <c r="H98" s="749"/>
      <c r="I98" s="749"/>
      <c r="J98" s="749"/>
      <c r="K98" s="749"/>
      <c r="L98" s="749"/>
      <c r="M98" s="749"/>
      <c r="N98" s="349">
        <f>N97*2</f>
        <v>20084.400000000001</v>
      </c>
    </row>
  </sheetData>
  <mergeCells count="23">
    <mergeCell ref="E29:N29"/>
    <mergeCell ref="B22:K22"/>
    <mergeCell ref="B27:K27"/>
    <mergeCell ref="D36:N36"/>
    <mergeCell ref="C4:L4"/>
    <mergeCell ref="F98:M98"/>
    <mergeCell ref="B47:G47"/>
    <mergeCell ref="B48:N48"/>
    <mergeCell ref="B63:N63"/>
    <mergeCell ref="B91:L91"/>
    <mergeCell ref="B92:J92"/>
    <mergeCell ref="B95:B98"/>
    <mergeCell ref="C95:D98"/>
    <mergeCell ref="E95:E98"/>
    <mergeCell ref="F94:M94"/>
    <mergeCell ref="F95:M95"/>
    <mergeCell ref="F96:M96"/>
    <mergeCell ref="F97:M97"/>
    <mergeCell ref="B1:O2"/>
    <mergeCell ref="B8:K8"/>
    <mergeCell ref="B14:K14"/>
    <mergeCell ref="F19:G19"/>
    <mergeCell ref="E24:N24"/>
  </mergeCells>
  <printOptions horizontalCentered="1"/>
  <pageMargins left="0.51181102362204722" right="0.51181102362204722" top="0.78740157480314965" bottom="0.78740157480314965" header="0.31496062992125984" footer="0.39370078740157483"/>
  <pageSetup paperSize="9" scale="92" orientation="landscape" r:id="rId1"/>
  <headerFooter>
    <oddHeader>&amp;L&amp;G</oddHeader>
    <oddFooter>&amp;L&amp;"Arial Narrow,Normal"&amp;10&amp;A
&amp;F&amp;R&amp;"Arial Narrow,Normal"&amp;10&amp;P de &amp;N</oddFooter>
  </headerFooter>
  <legacyDrawingHF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A15C2-3D57-4EFD-B625-9CCE24BAAC4C}">
  <dimension ref="B1:T43"/>
  <sheetViews>
    <sheetView showGridLines="0" showZeros="0" view="pageBreakPreview" zoomScale="115" zoomScaleNormal="100" zoomScaleSheetLayoutView="115"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5" width="10.7109375" style="89" customWidth="1"/>
    <col min="6" max="6" width="12.42578125" style="89" customWidth="1"/>
    <col min="7" max="13" width="10.7109375" style="89" customWidth="1"/>
    <col min="14" max="14" width="12.85546875" style="91" customWidth="1"/>
    <col min="15" max="15" width="1.7109375" style="89" customWidth="1"/>
    <col min="16" max="16" width="9.140625" style="89" customWidth="1"/>
    <col min="17" max="16384" width="9.140625" style="89"/>
  </cols>
  <sheetData>
    <row r="1" spans="2:20" s="69" customFormat="1" ht="20.100000000000001" customHeight="1" x14ac:dyDescent="0.25">
      <c r="B1" s="569" t="s">
        <v>133</v>
      </c>
      <c r="C1" s="569"/>
      <c r="D1" s="569"/>
      <c r="E1" s="569"/>
      <c r="F1" s="569"/>
      <c r="G1" s="569"/>
      <c r="H1" s="569"/>
      <c r="I1" s="569"/>
      <c r="J1" s="569"/>
      <c r="K1" s="569"/>
      <c r="L1" s="569"/>
      <c r="M1" s="569"/>
      <c r="N1" s="569"/>
      <c r="O1" s="569"/>
    </row>
    <row r="2" spans="2:20" s="69" customFormat="1" ht="20.100000000000001" customHeight="1" x14ac:dyDescent="0.25">
      <c r="B2" s="569"/>
      <c r="C2" s="569"/>
      <c r="D2" s="569"/>
      <c r="E2" s="569"/>
      <c r="F2" s="569"/>
      <c r="G2" s="569"/>
      <c r="H2" s="569"/>
      <c r="I2" s="569"/>
      <c r="J2" s="569"/>
      <c r="K2" s="569"/>
      <c r="L2" s="569"/>
      <c r="M2" s="569"/>
      <c r="N2" s="569"/>
      <c r="O2" s="569"/>
    </row>
    <row r="3" spans="2:20" s="69" customFormat="1" ht="15" customHeight="1" x14ac:dyDescent="0.25"/>
    <row r="4" spans="2:20"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3" t="s">
        <v>96</v>
      </c>
      <c r="N4" s="4" t="str">
        <f>+'DADOS DA OBRA'!$N$22</f>
        <v>04/11/2024</v>
      </c>
      <c r="Q4" s="32"/>
      <c r="R4" s="32"/>
      <c r="S4" s="33"/>
      <c r="T4" s="33"/>
    </row>
    <row r="5" spans="2:20" s="5" customFormat="1" ht="20.100000000000001" customHeight="1" x14ac:dyDescent="0.25">
      <c r="B5" s="1" t="s">
        <v>18</v>
      </c>
      <c r="C5" s="2" t="str">
        <f>+""&amp;'DADOS DA OBRA'!$B$16&amp;", "&amp;'DADOS DA OBRA'!$B$19&amp;", "&amp;'DADOS DA OBRA'!$J$19&amp;", "&amp;'DADOS DA OBRA'!$P$19</f>
        <v>RUAS DIVERSAS, DIVERSOS, MATRINCHÃ, GO</v>
      </c>
      <c r="M5" s="3" t="s">
        <v>17</v>
      </c>
      <c r="N5" s="4" t="str">
        <f>'DADOS DA OBRA'!$N$25</f>
        <v>00</v>
      </c>
    </row>
    <row r="6" spans="2:20" s="5" customFormat="1" ht="20.100000000000001" customHeight="1" x14ac:dyDescent="0.25"/>
    <row r="7" spans="2:20" s="5" customFormat="1" ht="20.100000000000001" customHeight="1" x14ac:dyDescent="0.25">
      <c r="B7" s="1" t="s">
        <v>97</v>
      </c>
      <c r="C7" s="39" t="s">
        <v>725</v>
      </c>
      <c r="M7" s="3"/>
      <c r="N7" s="64"/>
    </row>
    <row r="8" spans="2:20" ht="20.100000000000001" customHeight="1" x14ac:dyDescent="0.25">
      <c r="B8" s="746"/>
      <c r="C8" s="746"/>
      <c r="D8" s="746"/>
      <c r="E8" s="746"/>
      <c r="F8" s="746"/>
      <c r="G8" s="746"/>
      <c r="H8" s="746"/>
      <c r="I8" s="746"/>
      <c r="J8" s="746"/>
      <c r="K8" s="746"/>
      <c r="N8" s="90"/>
    </row>
    <row r="9" spans="2:20" s="31" customFormat="1" ht="20.100000000000001" customHeight="1" x14ac:dyDescent="0.25">
      <c r="B9" s="31" t="s">
        <v>247</v>
      </c>
      <c r="C9" s="200" t="s">
        <v>854</v>
      </c>
      <c r="D9" s="31" t="s">
        <v>732</v>
      </c>
      <c r="M9" s="194"/>
      <c r="N9" s="195"/>
    </row>
    <row r="10" spans="2:20" s="31" customFormat="1" ht="20.100000000000001" customHeight="1" x14ac:dyDescent="0.25">
      <c r="C10" s="194"/>
      <c r="E10" s="302" t="s">
        <v>211</v>
      </c>
      <c r="F10" s="302" t="s">
        <v>193</v>
      </c>
      <c r="G10" s="302" t="s">
        <v>200</v>
      </c>
      <c r="H10" s="302" t="s">
        <v>104</v>
      </c>
      <c r="K10" s="194" t="s">
        <v>737</v>
      </c>
      <c r="M10" s="194"/>
      <c r="N10" s="195"/>
    </row>
    <row r="11" spans="2:20" s="31" customFormat="1" ht="20.100000000000001" customHeight="1" x14ac:dyDescent="0.25">
      <c r="C11" s="194"/>
      <c r="E11" s="299" t="s">
        <v>726</v>
      </c>
      <c r="F11" s="268">
        <f>PI()*3.5^2</f>
        <v>38.484510006474963</v>
      </c>
      <c r="G11" s="268">
        <v>0.15</v>
      </c>
      <c r="H11" s="268">
        <f>+F11*G11</f>
        <v>5.7726765009712446</v>
      </c>
      <c r="K11" s="268">
        <f>+H11*1.5</f>
        <v>8.6590147514568674</v>
      </c>
      <c r="M11" s="194"/>
      <c r="N11" s="195"/>
    </row>
    <row r="12" spans="2:20" s="31" customFormat="1" ht="20.100000000000001" customHeight="1" x14ac:dyDescent="0.25">
      <c r="C12" s="194"/>
      <c r="E12" s="299" t="s">
        <v>727</v>
      </c>
      <c r="F12" s="268">
        <f t="shared" ref="F12" si="0">PI()*3.5^2</f>
        <v>38.484510006474963</v>
      </c>
      <c r="G12" s="268">
        <v>0.15</v>
      </c>
      <c r="H12" s="268">
        <f t="shared" ref="H12:H14" si="1">+F12*G12</f>
        <v>5.7726765009712446</v>
      </c>
      <c r="K12" s="268">
        <f t="shared" ref="K12:K14" si="2">+H12*1.5</f>
        <v>8.6590147514568674</v>
      </c>
      <c r="M12" s="194"/>
      <c r="N12" s="195"/>
    </row>
    <row r="13" spans="2:20" s="31" customFormat="1" ht="20.100000000000001" customHeight="1" x14ac:dyDescent="0.25">
      <c r="C13" s="194"/>
      <c r="E13" s="299" t="s">
        <v>728</v>
      </c>
      <c r="F13" s="268">
        <f>2*PI()*3.5*4</f>
        <v>87.964594300514207</v>
      </c>
      <c r="G13" s="268">
        <v>0.15</v>
      </c>
      <c r="H13" s="268">
        <f t="shared" ref="H13" si="3">+F13*G13</f>
        <v>13.194689145077131</v>
      </c>
      <c r="K13" s="268">
        <f t="shared" si="2"/>
        <v>19.792033717615695</v>
      </c>
      <c r="L13" s="294"/>
      <c r="M13" s="194"/>
      <c r="N13" s="195"/>
    </row>
    <row r="14" spans="2:20" s="31" customFormat="1" ht="20.100000000000001" customHeight="1" x14ac:dyDescent="0.25">
      <c r="C14" s="194"/>
      <c r="E14" s="299" t="s">
        <v>741</v>
      </c>
      <c r="F14" s="268">
        <f>6*6</f>
        <v>36</v>
      </c>
      <c r="G14" s="268">
        <v>0.4</v>
      </c>
      <c r="H14" s="268">
        <f t="shared" si="1"/>
        <v>14.4</v>
      </c>
      <c r="K14" s="268">
        <f t="shared" si="2"/>
        <v>21.6</v>
      </c>
      <c r="M14" s="194"/>
      <c r="N14" s="195"/>
    </row>
    <row r="15" spans="2:20" s="31" customFormat="1" ht="20.100000000000001" customHeight="1" x14ac:dyDescent="0.25">
      <c r="C15" s="194"/>
      <c r="F15" s="747" t="s">
        <v>39</v>
      </c>
      <c r="G15" s="747"/>
      <c r="H15" s="270">
        <f>SUM(H11:H14)</f>
        <v>39.140042147019621</v>
      </c>
      <c r="I15" s="294" t="s">
        <v>219</v>
      </c>
      <c r="K15" s="270">
        <f>SUM(K11:K14)</f>
        <v>58.710063220529427</v>
      </c>
      <c r="L15" s="294" t="s">
        <v>219</v>
      </c>
      <c r="M15" s="194"/>
      <c r="N15" s="195"/>
    </row>
    <row r="16" spans="2:20" ht="20.100000000000001" customHeight="1" x14ac:dyDescent="0.25">
      <c r="B16" s="746"/>
      <c r="C16" s="746"/>
      <c r="D16" s="746"/>
      <c r="E16" s="746"/>
      <c r="F16" s="746"/>
      <c r="G16" s="746"/>
      <c r="H16" s="746"/>
      <c r="I16" s="746"/>
      <c r="J16" s="746"/>
      <c r="K16" s="746"/>
      <c r="N16" s="90"/>
    </row>
    <row r="17" spans="2:14" s="31" customFormat="1" ht="20.100000000000001" customHeight="1" x14ac:dyDescent="0.25">
      <c r="B17" s="31" t="s">
        <v>247</v>
      </c>
      <c r="C17" s="200" t="s">
        <v>855</v>
      </c>
      <c r="D17" s="31" t="s">
        <v>739</v>
      </c>
      <c r="M17" s="194"/>
      <c r="N17" s="195"/>
    </row>
    <row r="18" spans="2:14" s="31" customFormat="1" ht="20.100000000000001" customHeight="1" x14ac:dyDescent="0.25">
      <c r="C18" s="194"/>
      <c r="E18" s="302" t="s">
        <v>211</v>
      </c>
      <c r="F18" s="302" t="s">
        <v>193</v>
      </c>
      <c r="G18" s="302" t="s">
        <v>731</v>
      </c>
      <c r="H18" s="302" t="s">
        <v>78</v>
      </c>
      <c r="I18" s="302" t="s">
        <v>104</v>
      </c>
      <c r="K18" s="194" t="s">
        <v>737</v>
      </c>
      <c r="M18" s="194"/>
      <c r="N18" s="195"/>
    </row>
    <row r="19" spans="2:14" s="31" customFormat="1" ht="20.100000000000001" customHeight="1" x14ac:dyDescent="0.25">
      <c r="C19" s="194"/>
      <c r="E19" s="299" t="s">
        <v>729</v>
      </c>
      <c r="F19" s="268">
        <f>0.2*0.5</f>
        <v>0.1</v>
      </c>
      <c r="G19" s="268">
        <v>12</v>
      </c>
      <c r="H19" s="268">
        <v>4</v>
      </c>
      <c r="I19" s="268">
        <f>+F19*G19*H19</f>
        <v>4.8000000000000007</v>
      </c>
      <c r="K19" s="268">
        <f>+I19*1.5</f>
        <v>7.2000000000000011</v>
      </c>
      <c r="M19" s="194"/>
      <c r="N19" s="195"/>
    </row>
    <row r="20" spans="2:14" s="31" customFormat="1" ht="20.100000000000001" customHeight="1" x14ac:dyDescent="0.25">
      <c r="C20" s="194"/>
      <c r="E20" s="299" t="s">
        <v>730</v>
      </c>
      <c r="F20" s="268">
        <f>0.2*0.5</f>
        <v>0.1</v>
      </c>
      <c r="G20" s="268">
        <v>6</v>
      </c>
      <c r="H20" s="268">
        <v>12</v>
      </c>
      <c r="I20" s="268">
        <f t="shared" ref="I20" si="4">+F20*G20*H20</f>
        <v>7.2000000000000011</v>
      </c>
      <c r="K20" s="268">
        <f>+I20*1.5</f>
        <v>10.8</v>
      </c>
      <c r="M20" s="194"/>
      <c r="N20" s="195"/>
    </row>
    <row r="21" spans="2:14" s="31" customFormat="1" ht="20.100000000000001" customHeight="1" x14ac:dyDescent="0.25">
      <c r="C21" s="194"/>
      <c r="F21" s="747" t="s">
        <v>39</v>
      </c>
      <c r="G21" s="747"/>
      <c r="H21" s="747"/>
      <c r="I21" s="270">
        <f>SUM(I19:I20)</f>
        <v>12.000000000000002</v>
      </c>
      <c r="J21" s="294" t="s">
        <v>219</v>
      </c>
      <c r="K21" s="270">
        <f>SUM(K19:K20)</f>
        <v>18</v>
      </c>
      <c r="L21" s="294" t="s">
        <v>219</v>
      </c>
      <c r="M21" s="194"/>
      <c r="N21" s="195"/>
    </row>
    <row r="22" spans="2:14" ht="20.100000000000001" customHeight="1" x14ac:dyDescent="0.25">
      <c r="B22" s="746"/>
      <c r="C22" s="746"/>
      <c r="D22" s="746"/>
      <c r="E22" s="746"/>
      <c r="F22" s="746"/>
      <c r="G22" s="746"/>
      <c r="H22" s="746"/>
      <c r="I22" s="746"/>
      <c r="J22" s="746"/>
      <c r="K22" s="746"/>
      <c r="N22" s="90"/>
    </row>
    <row r="23" spans="2:14" s="31" customFormat="1" ht="20.100000000000001" customHeight="1" x14ac:dyDescent="0.25">
      <c r="B23" s="31" t="s">
        <v>218</v>
      </c>
      <c r="C23" s="200" t="s">
        <v>734</v>
      </c>
      <c r="D23" s="31" t="s">
        <v>733</v>
      </c>
      <c r="M23" s="194"/>
      <c r="N23" s="195"/>
    </row>
    <row r="24" spans="2:14" s="31" customFormat="1" ht="20.100000000000001" customHeight="1" x14ac:dyDescent="0.25">
      <c r="C24" s="194"/>
      <c r="E24" s="302" t="s">
        <v>211</v>
      </c>
      <c r="F24" s="302" t="s">
        <v>204</v>
      </c>
      <c r="G24" s="302" t="s">
        <v>78</v>
      </c>
      <c r="H24" s="302" t="s">
        <v>104</v>
      </c>
      <c r="J24" s="194" t="s">
        <v>735</v>
      </c>
      <c r="K24" s="194" t="s">
        <v>736</v>
      </c>
      <c r="M24" s="194"/>
      <c r="N24" s="195"/>
    </row>
    <row r="25" spans="2:14" s="31" customFormat="1" ht="20.100000000000001" customHeight="1" x14ac:dyDescent="0.25">
      <c r="C25" s="194"/>
      <c r="E25" s="299" t="s">
        <v>202</v>
      </c>
      <c r="F25" s="268">
        <v>21.3</v>
      </c>
      <c r="G25" s="268">
        <v>1</v>
      </c>
      <c r="H25" s="268">
        <f>+F25*G25</f>
        <v>21.3</v>
      </c>
      <c r="J25" s="268">
        <f>+F25*1.8*0.1</f>
        <v>3.8340000000000005</v>
      </c>
      <c r="K25" s="268">
        <f>+J25*1.3</f>
        <v>4.9842000000000004</v>
      </c>
      <c r="M25" s="194"/>
      <c r="N25" s="195"/>
    </row>
    <row r="26" spans="2:14" s="31" customFormat="1" ht="20.100000000000001" customHeight="1" x14ac:dyDescent="0.25">
      <c r="C26" s="194"/>
      <c r="E26" s="299" t="s">
        <v>202</v>
      </c>
      <c r="F26" s="268">
        <v>36.4</v>
      </c>
      <c r="G26" s="268">
        <v>1</v>
      </c>
      <c r="H26" s="268">
        <f>+F26*G26</f>
        <v>36.4</v>
      </c>
      <c r="J26" s="268">
        <f>+F26*1.8*0.1</f>
        <v>6.5519999999999996</v>
      </c>
      <c r="K26" s="268">
        <f>+J26*1.3</f>
        <v>8.5175999999999998</v>
      </c>
      <c r="M26" s="194"/>
      <c r="N26" s="195"/>
    </row>
    <row r="27" spans="2:14" s="31" customFormat="1" ht="20.100000000000001" customHeight="1" x14ac:dyDescent="0.25">
      <c r="C27" s="194"/>
      <c r="F27" s="747" t="s">
        <v>39</v>
      </c>
      <c r="G27" s="747"/>
      <c r="H27" s="270">
        <f>SUM(H25:H26)</f>
        <v>57.7</v>
      </c>
      <c r="I27" s="294" t="s">
        <v>130</v>
      </c>
      <c r="J27" s="270">
        <f>SUM(J25:J26)</f>
        <v>10.385999999999999</v>
      </c>
      <c r="K27" s="270">
        <f>SUM(K25:K26)</f>
        <v>13.501799999999999</v>
      </c>
      <c r="L27" s="294" t="s">
        <v>219</v>
      </c>
      <c r="M27" s="194"/>
      <c r="N27" s="195"/>
    </row>
    <row r="28" spans="2:14" ht="20.100000000000001" customHeight="1" x14ac:dyDescent="0.25">
      <c r="B28" s="746"/>
      <c r="C28" s="746"/>
      <c r="D28" s="746"/>
      <c r="E28" s="746"/>
      <c r="F28" s="746"/>
      <c r="G28" s="746"/>
      <c r="H28" s="746"/>
      <c r="I28" s="746"/>
      <c r="J28" s="746"/>
      <c r="K28" s="746"/>
      <c r="N28" s="90"/>
    </row>
    <row r="29" spans="2:14" s="31" customFormat="1" ht="20.100000000000001" customHeight="1" x14ac:dyDescent="0.25">
      <c r="B29" s="31" t="s">
        <v>247</v>
      </c>
      <c r="C29" s="200" t="s">
        <v>856</v>
      </c>
      <c r="D29" s="31" t="s">
        <v>738</v>
      </c>
      <c r="M29" s="194"/>
      <c r="N29" s="195"/>
    </row>
    <row r="30" spans="2:14" s="31" customFormat="1" ht="20.100000000000001" customHeight="1" x14ac:dyDescent="0.25">
      <c r="C30" s="194"/>
      <c r="E30" s="302" t="s">
        <v>211</v>
      </c>
      <c r="F30" s="302" t="s">
        <v>204</v>
      </c>
      <c r="G30" s="302" t="s">
        <v>205</v>
      </c>
      <c r="H30" s="302" t="s">
        <v>200</v>
      </c>
      <c r="I30" s="302" t="s">
        <v>104</v>
      </c>
      <c r="J30" s="194"/>
      <c r="K30" s="194" t="s">
        <v>736</v>
      </c>
      <c r="M30" s="194"/>
      <c r="N30" s="195"/>
    </row>
    <row r="31" spans="2:14" s="31" customFormat="1" ht="20.100000000000001" customHeight="1" x14ac:dyDescent="0.25">
      <c r="C31" s="194"/>
      <c r="E31" s="299" t="s">
        <v>740</v>
      </c>
      <c r="F31" s="296">
        <f>SUM('REDE ABAST-TUBOS E CONEXÕES'!F87)</f>
        <v>4835</v>
      </c>
      <c r="G31" s="268">
        <v>1</v>
      </c>
      <c r="H31" s="268">
        <v>0.05</v>
      </c>
      <c r="I31" s="268">
        <f>+F31*G31*H31</f>
        <v>241.75</v>
      </c>
      <c r="J31" s="268"/>
      <c r="K31" s="268">
        <f>+I31*1.3</f>
        <v>314.27500000000003</v>
      </c>
      <c r="M31" s="194"/>
      <c r="N31" s="195"/>
    </row>
    <row r="32" spans="2:14" s="31" customFormat="1" ht="20.100000000000001" customHeight="1" x14ac:dyDescent="0.25">
      <c r="C32" s="194"/>
      <c r="F32" s="747" t="s">
        <v>39</v>
      </c>
      <c r="G32" s="747"/>
      <c r="I32" s="270">
        <f>SUM(I31:I31)</f>
        <v>241.75</v>
      </c>
      <c r="J32" s="303" t="s">
        <v>219</v>
      </c>
      <c r="K32" s="270">
        <f>SUM(K31:K31)</f>
        <v>314.27500000000003</v>
      </c>
      <c r="L32" s="294" t="s">
        <v>219</v>
      </c>
      <c r="M32" s="194"/>
      <c r="N32" s="195"/>
    </row>
    <row r="33" spans="2:14" ht="20.100000000000001" customHeight="1" x14ac:dyDescent="0.25">
      <c r="B33" s="746"/>
      <c r="C33" s="746"/>
      <c r="D33" s="746"/>
      <c r="E33" s="746"/>
      <c r="F33" s="746"/>
      <c r="G33" s="746"/>
      <c r="H33" s="746"/>
      <c r="I33" s="746"/>
      <c r="J33" s="746"/>
      <c r="K33" s="746"/>
      <c r="N33" s="90"/>
    </row>
    <row r="34" spans="2:14" s="31" customFormat="1" ht="20.100000000000001" customHeight="1" x14ac:dyDescent="0.25">
      <c r="B34" s="31" t="s">
        <v>218</v>
      </c>
      <c r="C34" s="200" t="s">
        <v>746</v>
      </c>
      <c r="D34" s="31" t="s">
        <v>745</v>
      </c>
      <c r="M34" s="194"/>
      <c r="N34" s="195"/>
    </row>
    <row r="35" spans="2:14" s="31" customFormat="1" ht="20.100000000000001" customHeight="1" x14ac:dyDescent="0.25">
      <c r="C35" s="194"/>
      <c r="E35" s="302" t="s">
        <v>211</v>
      </c>
      <c r="F35" s="302"/>
      <c r="G35" s="302"/>
      <c r="H35" s="302" t="s">
        <v>104</v>
      </c>
      <c r="J35" s="194"/>
      <c r="K35" s="194"/>
      <c r="M35" s="194"/>
      <c r="N35" s="195"/>
    </row>
    <row r="36" spans="2:14" s="31" customFormat="1" ht="20.100000000000001" customHeight="1" x14ac:dyDescent="0.25">
      <c r="C36" s="194"/>
      <c r="E36" s="299" t="s">
        <v>202</v>
      </c>
      <c r="F36" s="268"/>
      <c r="G36" s="268"/>
      <c r="H36" s="268">
        <f>SUM(K15,K21,K27)</f>
        <v>90.211863220529438</v>
      </c>
      <c r="J36" s="268"/>
      <c r="K36" s="268"/>
      <c r="M36" s="194"/>
      <c r="N36" s="195"/>
    </row>
    <row r="37" spans="2:14" s="31" customFormat="1" ht="20.100000000000001" customHeight="1" x14ac:dyDescent="0.25">
      <c r="C37" s="194"/>
      <c r="E37" s="299" t="s">
        <v>742</v>
      </c>
      <c r="F37" s="268"/>
      <c r="G37" s="268"/>
      <c r="H37" s="268">
        <f>'RESERV-FUN-ESTACAS'!P15</f>
        <v>49.66</v>
      </c>
      <c r="J37" s="268"/>
      <c r="K37" s="268"/>
      <c r="M37" s="194"/>
      <c r="N37" s="195"/>
    </row>
    <row r="38" spans="2:14" s="31" customFormat="1" ht="20.100000000000001" customHeight="1" x14ac:dyDescent="0.25">
      <c r="C38" s="194"/>
      <c r="E38" s="299" t="s">
        <v>319</v>
      </c>
      <c r="F38" s="268"/>
      <c r="G38" s="268"/>
      <c r="H38" s="268">
        <f>'CAIXAS-MOV. TERRA'!S15</f>
        <v>25.160850000000003</v>
      </c>
      <c r="J38" s="268"/>
      <c r="K38" s="268"/>
      <c r="M38" s="194"/>
      <c r="N38" s="195"/>
    </row>
    <row r="39" spans="2:14" s="31" customFormat="1" ht="20.100000000000001" customHeight="1" x14ac:dyDescent="0.25">
      <c r="C39" s="194"/>
      <c r="E39" s="299" t="s">
        <v>743</v>
      </c>
      <c r="F39" s="268"/>
      <c r="G39" s="268"/>
      <c r="H39" s="268">
        <f>'REDE ABAST-CAIXAS e POÇOS'!Y18</f>
        <v>51.547095180468652</v>
      </c>
      <c r="J39" s="268">
        <f>+F39*1.8*0.1</f>
        <v>0</v>
      </c>
      <c r="K39" s="268">
        <f>+J39*1.3</f>
        <v>0</v>
      </c>
      <c r="M39" s="194"/>
      <c r="N39" s="195"/>
    </row>
    <row r="40" spans="2:14" s="31" customFormat="1" ht="20.100000000000001" customHeight="1" x14ac:dyDescent="0.25">
      <c r="C40" s="194"/>
      <c r="E40" s="299" t="s">
        <v>744</v>
      </c>
      <c r="F40" s="268"/>
      <c r="G40" s="268"/>
      <c r="H40" s="268">
        <f>K32</f>
        <v>314.27500000000003</v>
      </c>
      <c r="J40" s="268">
        <f>+F40*1.8*0.1</f>
        <v>0</v>
      </c>
      <c r="K40" s="268">
        <f>+J40*1.3</f>
        <v>0</v>
      </c>
      <c r="M40" s="194"/>
      <c r="N40" s="195"/>
    </row>
    <row r="41" spans="2:14" s="31" customFormat="1" ht="20.100000000000001" customHeight="1" x14ac:dyDescent="0.25">
      <c r="C41" s="194"/>
      <c r="F41" s="747" t="s">
        <v>39</v>
      </c>
      <c r="G41" s="747"/>
      <c r="H41" s="270">
        <f>SUM(H36:H40)</f>
        <v>530.85480840099808</v>
      </c>
      <c r="I41" s="294" t="s">
        <v>219</v>
      </c>
      <c r="J41" s="270">
        <f>SUM(J36:J40)</f>
        <v>0</v>
      </c>
      <c r="K41" s="270">
        <f>SUM(K36:K40)</f>
        <v>0</v>
      </c>
      <c r="L41" s="294"/>
      <c r="M41" s="194"/>
      <c r="N41" s="195"/>
    </row>
    <row r="42" spans="2:14" s="31" customFormat="1" ht="20.100000000000001" customHeight="1" x14ac:dyDescent="0.25">
      <c r="C42" s="194"/>
      <c r="E42" s="89"/>
      <c r="F42" s="89"/>
      <c r="G42" s="89"/>
      <c r="H42" s="89"/>
      <c r="M42" s="194"/>
      <c r="N42" s="195"/>
    </row>
    <row r="43" spans="2:14" s="31" customFormat="1" ht="15" customHeight="1" x14ac:dyDescent="0.25">
      <c r="C43" s="194"/>
      <c r="F43" s="89"/>
      <c r="G43" s="89"/>
      <c r="H43" s="89"/>
      <c r="I43" s="294"/>
      <c r="N43" s="195"/>
    </row>
  </sheetData>
  <mergeCells count="12">
    <mergeCell ref="F41:G41"/>
    <mergeCell ref="B22:K22"/>
    <mergeCell ref="F27:G27"/>
    <mergeCell ref="B28:K28"/>
    <mergeCell ref="F32:G32"/>
    <mergeCell ref="B33:K33"/>
    <mergeCell ref="B1:O2"/>
    <mergeCell ref="B8:K8"/>
    <mergeCell ref="F15:G15"/>
    <mergeCell ref="B16:K16"/>
    <mergeCell ref="F21:H21"/>
    <mergeCell ref="C4:L4"/>
  </mergeCells>
  <printOptions horizontalCentered="1"/>
  <pageMargins left="0.51181102362204722" right="0.51181102362204722" top="0.78740157480314965" bottom="0.78740157480314965" header="0.31496062992125984" footer="0.39370078740157483"/>
  <pageSetup paperSize="9" scale="92" orientation="landscape" r:id="rId1"/>
  <headerFooter>
    <oddHeader>&amp;L&amp;G</oddHeader>
    <oddFooter>&amp;L&amp;"Arial Narrow,Normal"&amp;10&amp;A
&amp;F&amp;R&amp;"Arial Narrow,Normal"&amp;10&amp;P de &amp;N</oddFooter>
  </headerFooter>
  <colBreaks count="1" manualBreakCount="1">
    <brk id="16" max="1048575" man="1"/>
  </colBreaks>
  <legacyDrawingHF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B9142-0DAD-414F-B767-01CE40C81708}">
  <dimension ref="B1:Y25"/>
  <sheetViews>
    <sheetView showGridLines="0" showZeros="0" view="pageBreakPreview" zoomScaleNormal="100" zoomScaleSheetLayoutView="100"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8" width="10.7109375" style="89" customWidth="1"/>
    <col min="19" max="19" width="10.7109375" style="91" customWidth="1"/>
    <col min="20" max="20" width="1.7109375" style="89" customWidth="1"/>
    <col min="21" max="21" width="9.140625" style="89" customWidth="1"/>
    <col min="22" max="16384" width="9.140625" style="89"/>
  </cols>
  <sheetData>
    <row r="1" spans="2:25" s="69" customFormat="1" ht="20.100000000000001" customHeight="1" x14ac:dyDescent="0.25">
      <c r="B1" s="569" t="s">
        <v>133</v>
      </c>
      <c r="C1" s="569"/>
      <c r="D1" s="569"/>
      <c r="E1" s="569"/>
      <c r="F1" s="569"/>
      <c r="G1" s="569"/>
      <c r="H1" s="569"/>
      <c r="I1" s="569"/>
      <c r="J1" s="569"/>
      <c r="K1" s="569"/>
      <c r="L1" s="569"/>
      <c r="M1" s="569"/>
      <c r="N1" s="569"/>
      <c r="O1" s="569"/>
      <c r="P1" s="569"/>
      <c r="Q1" s="569"/>
      <c r="R1" s="569"/>
      <c r="S1" s="569"/>
      <c r="T1" s="569"/>
    </row>
    <row r="2" spans="2:25" s="69" customFormat="1" ht="20.100000000000001" customHeight="1" x14ac:dyDescent="0.25">
      <c r="B2" s="569"/>
      <c r="C2" s="569"/>
      <c r="D2" s="569"/>
      <c r="E2" s="569"/>
      <c r="F2" s="569"/>
      <c r="G2" s="569"/>
      <c r="H2" s="569"/>
      <c r="I2" s="569"/>
      <c r="J2" s="569"/>
      <c r="K2" s="569"/>
      <c r="L2" s="569"/>
      <c r="M2" s="569"/>
      <c r="N2" s="569"/>
      <c r="O2" s="569"/>
      <c r="P2" s="569"/>
      <c r="Q2" s="569"/>
      <c r="R2" s="569"/>
      <c r="S2" s="569"/>
      <c r="T2" s="569"/>
    </row>
    <row r="3" spans="2:25" s="69" customFormat="1" ht="15" customHeight="1" x14ac:dyDescent="0.25"/>
    <row r="4" spans="2:25"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3" t="s">
        <v>96</v>
      </c>
      <c r="S4" s="4" t="str">
        <f>+'DADOS DA OBRA'!$N$22</f>
        <v>04/11/2024</v>
      </c>
      <c r="V4" s="32"/>
      <c r="W4" s="32"/>
      <c r="X4" s="33"/>
      <c r="Y4" s="33"/>
    </row>
    <row r="5" spans="2:25" s="5" customFormat="1" ht="20.100000000000001" customHeight="1" x14ac:dyDescent="0.25">
      <c r="B5" s="1" t="s">
        <v>18</v>
      </c>
      <c r="C5" s="2" t="str">
        <f>+""&amp;'DADOS DA OBRA'!$B$16&amp;", "&amp;'DADOS DA OBRA'!$B$19&amp;", "&amp;'DADOS DA OBRA'!$J$19&amp;", "&amp;'DADOS DA OBRA'!$P$19</f>
        <v>RUAS DIVERSAS, DIVERSOS, MATRINCHÃ, GO</v>
      </c>
      <c r="P5" s="3"/>
      <c r="R5" s="3" t="s">
        <v>17</v>
      </c>
      <c r="S5" s="4" t="str">
        <f>'DADOS DA OBRA'!$N$25</f>
        <v>00</v>
      </c>
    </row>
    <row r="6" spans="2:25" s="5" customFormat="1" ht="20.100000000000001" customHeight="1" x14ac:dyDescent="0.25"/>
    <row r="7" spans="2:25" s="5" customFormat="1" ht="20.100000000000001" customHeight="1" x14ac:dyDescent="0.25">
      <c r="B7" s="1" t="s">
        <v>97</v>
      </c>
      <c r="C7" s="39" t="s">
        <v>294</v>
      </c>
      <c r="P7" s="3"/>
      <c r="R7" s="3" t="s">
        <v>18</v>
      </c>
      <c r="S7" s="64" t="s">
        <v>281</v>
      </c>
    </row>
    <row r="8" spans="2:25" s="67" customFormat="1" ht="20.100000000000001" customHeight="1" thickBot="1" x14ac:dyDescent="0.3">
      <c r="B8" s="52"/>
      <c r="C8" s="53"/>
      <c r="D8" s="9"/>
      <c r="E8" s="9"/>
      <c r="F8" s="9"/>
      <c r="G8" s="10"/>
      <c r="H8" s="10"/>
      <c r="I8" s="10"/>
      <c r="J8" s="10"/>
      <c r="K8" s="9"/>
      <c r="P8" s="10"/>
      <c r="Q8" s="10"/>
      <c r="R8" s="10"/>
    </row>
    <row r="9" spans="2:25" s="88" customFormat="1" ht="20.100000000000001" customHeight="1" x14ac:dyDescent="0.25">
      <c r="B9" s="781" t="s">
        <v>134</v>
      </c>
      <c r="C9" s="782"/>
      <c r="D9" s="779" t="s">
        <v>78</v>
      </c>
      <c r="E9" s="776" t="s">
        <v>212</v>
      </c>
      <c r="F9" s="777"/>
      <c r="G9" s="778"/>
      <c r="H9" s="776" t="s">
        <v>213</v>
      </c>
      <c r="I9" s="777"/>
      <c r="J9" s="777"/>
      <c r="K9" s="778"/>
      <c r="L9" s="774" t="s">
        <v>216</v>
      </c>
      <c r="M9" s="774" t="s">
        <v>217</v>
      </c>
      <c r="N9" s="774" t="s">
        <v>226</v>
      </c>
      <c r="O9" s="774" t="s">
        <v>227</v>
      </c>
      <c r="P9" s="190" t="s">
        <v>225</v>
      </c>
      <c r="Q9" s="774" t="s">
        <v>234</v>
      </c>
      <c r="R9" s="774" t="s">
        <v>235</v>
      </c>
      <c r="S9" s="785" t="s">
        <v>280</v>
      </c>
    </row>
    <row r="10" spans="2:25" s="88" customFormat="1" ht="28.5" customHeight="1" thickBot="1" x14ac:dyDescent="0.3">
      <c r="B10" s="783"/>
      <c r="C10" s="784"/>
      <c r="D10" s="780"/>
      <c r="E10" s="192" t="s">
        <v>214</v>
      </c>
      <c r="F10" s="192" t="s">
        <v>154</v>
      </c>
      <c r="G10" s="192" t="s">
        <v>149</v>
      </c>
      <c r="H10" s="192" t="s">
        <v>215</v>
      </c>
      <c r="I10" s="192" t="s">
        <v>153</v>
      </c>
      <c r="J10" s="192" t="s">
        <v>154</v>
      </c>
      <c r="K10" s="192" t="s">
        <v>149</v>
      </c>
      <c r="L10" s="775"/>
      <c r="M10" s="775"/>
      <c r="N10" s="775"/>
      <c r="O10" s="775"/>
      <c r="P10" s="192" t="s">
        <v>228</v>
      </c>
      <c r="Q10" s="775"/>
      <c r="R10" s="775"/>
      <c r="S10" s="786"/>
    </row>
    <row r="11" spans="2:25" s="88" customFormat="1" ht="30" customHeight="1" x14ac:dyDescent="0.25">
      <c r="B11" s="787" t="s">
        <v>663</v>
      </c>
      <c r="C11" s="788"/>
      <c r="D11" s="92">
        <v>1</v>
      </c>
      <c r="E11" s="93">
        <v>3.05</v>
      </c>
      <c r="F11" s="93">
        <v>1.8</v>
      </c>
      <c r="G11" s="93">
        <v>1.8</v>
      </c>
      <c r="H11" s="93">
        <v>0.5</v>
      </c>
      <c r="I11" s="93">
        <f>+E11+H11+H11</f>
        <v>4.05</v>
      </c>
      <c r="J11" s="93">
        <f>+F11+H11+H11</f>
        <v>2.8</v>
      </c>
      <c r="K11" s="93">
        <f>1.8+0.4</f>
        <v>2.2000000000000002</v>
      </c>
      <c r="L11" s="99">
        <f>+I11*J11*K11*D11</f>
        <v>24.947999999999997</v>
      </c>
      <c r="M11" s="99">
        <f>+L11-(E11*F11*G11*D11)</f>
        <v>15.065999999999995</v>
      </c>
      <c r="N11" s="99">
        <f>+I11*J11*D11</f>
        <v>11.339999999999998</v>
      </c>
      <c r="O11" s="99">
        <f>+N11*0.25</f>
        <v>2.8349999999999995</v>
      </c>
      <c r="P11" s="93">
        <f>+O11*5*1.3</f>
        <v>18.427499999999998</v>
      </c>
      <c r="Q11" s="93">
        <f>+N11*0.15</f>
        <v>1.7009999999999996</v>
      </c>
      <c r="R11" s="93">
        <f>+O11+Q11</f>
        <v>4.5359999999999996</v>
      </c>
      <c r="S11" s="100">
        <f>(L11-M11)*1.3</f>
        <v>12.846600000000002</v>
      </c>
    </row>
    <row r="12" spans="2:25" s="88" customFormat="1" ht="30" customHeight="1" x14ac:dyDescent="0.25">
      <c r="B12" s="789" t="s">
        <v>664</v>
      </c>
      <c r="C12" s="790"/>
      <c r="D12" s="94">
        <v>1</v>
      </c>
      <c r="E12" s="95">
        <v>1.75</v>
      </c>
      <c r="F12" s="95">
        <v>2.4</v>
      </c>
      <c r="G12" s="95">
        <v>1.8</v>
      </c>
      <c r="H12" s="95">
        <v>0.5</v>
      </c>
      <c r="I12" s="95">
        <f>+E12+H12+H12</f>
        <v>2.75</v>
      </c>
      <c r="J12" s="95">
        <f>+F12+H12+H12</f>
        <v>3.4</v>
      </c>
      <c r="K12" s="95">
        <f>1.8+0.4</f>
        <v>2.2000000000000002</v>
      </c>
      <c r="L12" s="101">
        <f>+I12*J12*K12*D12</f>
        <v>20.57</v>
      </c>
      <c r="M12" s="101">
        <f>+L12-(E12*F12*G12*D12)</f>
        <v>13.01</v>
      </c>
      <c r="N12" s="101">
        <f>+I12*J12*D12</f>
        <v>9.35</v>
      </c>
      <c r="O12" s="101">
        <f>+N12*0.25</f>
        <v>2.3374999999999999</v>
      </c>
      <c r="P12" s="95">
        <f>+O12*5*1.3</f>
        <v>15.19375</v>
      </c>
      <c r="Q12" s="95">
        <f>+N12*0.15+(PI()*0.2^2*0.4)</f>
        <v>1.4527654824574365</v>
      </c>
      <c r="R12" s="95">
        <f>+O12+Q12</f>
        <v>3.7902654824574364</v>
      </c>
      <c r="S12" s="102">
        <f>(L12-M12)*1.3</f>
        <v>9.8280000000000012</v>
      </c>
    </row>
    <row r="13" spans="2:25" s="88" customFormat="1" ht="30" customHeight="1" x14ac:dyDescent="0.25">
      <c r="B13" s="789" t="s">
        <v>324</v>
      </c>
      <c r="C13" s="790"/>
      <c r="D13" s="94">
        <v>1</v>
      </c>
      <c r="E13" s="95">
        <v>1.7</v>
      </c>
      <c r="F13" s="95">
        <v>0.9</v>
      </c>
      <c r="G13" s="95">
        <v>1.25</v>
      </c>
      <c r="H13" s="95">
        <v>0.5</v>
      </c>
      <c r="I13" s="95">
        <f>+E13+H13+H13</f>
        <v>2.7</v>
      </c>
      <c r="J13" s="95">
        <f>+F13+H13+H13</f>
        <v>1.9</v>
      </c>
      <c r="K13" s="95">
        <v>1.25</v>
      </c>
      <c r="L13" s="101">
        <f>+I13*J13*K13*D13</f>
        <v>6.4124999999999996</v>
      </c>
      <c r="M13" s="101">
        <f>+L13-(E13*F13*G13*D13)</f>
        <v>4.5</v>
      </c>
      <c r="N13" s="101">
        <f>+I13*J13*D13</f>
        <v>5.13</v>
      </c>
      <c r="O13" s="101"/>
      <c r="P13" s="95">
        <f>+O13*5*1.3</f>
        <v>0</v>
      </c>
      <c r="Q13" s="95">
        <f>+N13*0.11</f>
        <v>0.56430000000000002</v>
      </c>
      <c r="R13" s="95">
        <f>+O13+Q13</f>
        <v>0.56430000000000002</v>
      </c>
      <c r="S13" s="102">
        <f>(L13-M13)*1.3</f>
        <v>2.4862499999999996</v>
      </c>
    </row>
    <row r="14" spans="2:25" s="88" customFormat="1" ht="30" customHeight="1" thickBot="1" x14ac:dyDescent="0.3">
      <c r="B14" s="791"/>
      <c r="C14" s="792"/>
      <c r="D14" s="96"/>
      <c r="E14" s="97"/>
      <c r="F14" s="97"/>
      <c r="G14" s="97"/>
      <c r="H14" s="97"/>
      <c r="I14" s="97"/>
      <c r="J14" s="97"/>
      <c r="K14" s="97"/>
      <c r="L14" s="103"/>
      <c r="M14" s="103"/>
      <c r="N14" s="103"/>
      <c r="O14" s="103"/>
      <c r="P14" s="97"/>
      <c r="Q14" s="97"/>
      <c r="R14" s="97"/>
      <c r="S14" s="104"/>
    </row>
    <row r="15" spans="2:25" s="88" customFormat="1" ht="30" customHeight="1" thickBot="1" x14ac:dyDescent="0.3">
      <c r="B15" s="794" t="s">
        <v>146</v>
      </c>
      <c r="C15" s="795"/>
      <c r="D15" s="795"/>
      <c r="E15" s="795"/>
      <c r="F15" s="795"/>
      <c r="G15" s="795"/>
      <c r="H15" s="795"/>
      <c r="I15" s="795"/>
      <c r="J15" s="795"/>
      <c r="K15" s="796"/>
      <c r="L15" s="106">
        <f t="shared" ref="L15:O15" si="0">SUM(L11:L14)</f>
        <v>51.930500000000002</v>
      </c>
      <c r="M15" s="106">
        <f t="shared" si="0"/>
        <v>32.575999999999993</v>
      </c>
      <c r="N15" s="106">
        <f t="shared" si="0"/>
        <v>25.819999999999997</v>
      </c>
      <c r="O15" s="106">
        <f t="shared" si="0"/>
        <v>5.1724999999999994</v>
      </c>
      <c r="P15" s="105">
        <f t="shared" ref="P15:Q15" si="1">SUM(P11:P14)</f>
        <v>33.621249999999996</v>
      </c>
      <c r="Q15" s="105">
        <f t="shared" si="1"/>
        <v>3.718065482457436</v>
      </c>
      <c r="R15" s="105">
        <f>SUM(R11:R14)</f>
        <v>8.8905654824574363</v>
      </c>
      <c r="S15" s="198">
        <f>SUM(S11:S14)</f>
        <v>25.160850000000003</v>
      </c>
    </row>
    <row r="16" spans="2:25" s="88" customFormat="1" ht="30" customHeight="1" x14ac:dyDescent="0.25">
      <c r="B16" s="793"/>
      <c r="C16" s="793"/>
      <c r="D16" s="9"/>
      <c r="E16" s="9"/>
      <c r="F16" s="9"/>
      <c r="G16" s="9"/>
      <c r="H16" s="9"/>
      <c r="I16" s="9"/>
      <c r="J16" s="9"/>
      <c r="K16" s="9"/>
      <c r="P16" s="9"/>
      <c r="Q16" s="9"/>
      <c r="R16" s="9"/>
    </row>
    <row r="17" spans="2:19" ht="20.100000000000001" customHeight="1" x14ac:dyDescent="0.25">
      <c r="B17" s="746" t="s">
        <v>255</v>
      </c>
      <c r="C17" s="746"/>
      <c r="D17" s="746"/>
      <c r="E17" s="746"/>
      <c r="F17" s="746"/>
      <c r="G17" s="746"/>
      <c r="H17" s="746"/>
      <c r="I17" s="746"/>
      <c r="J17" s="746"/>
      <c r="K17" s="746"/>
      <c r="L17" s="746"/>
      <c r="S17" s="90"/>
    </row>
    <row r="18" spans="2:19" s="31" customFormat="1" ht="20.100000000000001" customHeight="1" x14ac:dyDescent="0.25">
      <c r="B18" s="31" t="s">
        <v>218</v>
      </c>
      <c r="C18" s="200" t="s">
        <v>443</v>
      </c>
      <c r="D18" s="31" t="s">
        <v>442</v>
      </c>
      <c r="R18" s="194" t="s">
        <v>219</v>
      </c>
      <c r="S18" s="195">
        <f>+L15</f>
        <v>51.930500000000002</v>
      </c>
    </row>
    <row r="19" spans="2:19" s="31" customFormat="1" ht="20.100000000000001" customHeight="1" x14ac:dyDescent="0.25">
      <c r="B19" s="31" t="s">
        <v>218</v>
      </c>
      <c r="C19" s="194" t="s">
        <v>220</v>
      </c>
      <c r="D19" s="31" t="s">
        <v>221</v>
      </c>
      <c r="R19" s="194" t="s">
        <v>222</v>
      </c>
      <c r="S19" s="195">
        <f>+N15</f>
        <v>25.819999999999997</v>
      </c>
    </row>
    <row r="20" spans="2:19" s="31" customFormat="1" ht="20.100000000000001" customHeight="1" x14ac:dyDescent="0.25">
      <c r="B20" s="31" t="s">
        <v>218</v>
      </c>
      <c r="C20" s="194" t="s">
        <v>223</v>
      </c>
      <c r="D20" s="31" t="s">
        <v>224</v>
      </c>
      <c r="R20" s="194" t="s">
        <v>219</v>
      </c>
      <c r="S20" s="195">
        <f>+O15</f>
        <v>5.1724999999999994</v>
      </c>
    </row>
    <row r="21" spans="2:19" s="31" customFormat="1" ht="20.100000000000001" customHeight="1" x14ac:dyDescent="0.25">
      <c r="B21" s="31" t="s">
        <v>218</v>
      </c>
      <c r="C21" s="194" t="s">
        <v>229</v>
      </c>
      <c r="D21" s="31" t="s">
        <v>230</v>
      </c>
      <c r="R21" s="194" t="s">
        <v>231</v>
      </c>
      <c r="S21" s="195">
        <f>+P15</f>
        <v>33.621249999999996</v>
      </c>
    </row>
    <row r="22" spans="2:19" s="31" customFormat="1" ht="20.100000000000001" customHeight="1" x14ac:dyDescent="0.25">
      <c r="B22" s="31" t="s">
        <v>218</v>
      </c>
      <c r="C22" s="194" t="s">
        <v>232</v>
      </c>
      <c r="D22" s="31" t="s">
        <v>233</v>
      </c>
      <c r="R22" s="194" t="s">
        <v>219</v>
      </c>
      <c r="S22" s="195">
        <f>+Q15</f>
        <v>3.718065482457436</v>
      </c>
    </row>
    <row r="23" spans="2:19" s="31" customFormat="1" ht="20.100000000000001" customHeight="1" x14ac:dyDescent="0.25">
      <c r="B23" s="31" t="s">
        <v>218</v>
      </c>
      <c r="C23" s="194" t="s">
        <v>236</v>
      </c>
      <c r="D23" s="31" t="s">
        <v>237</v>
      </c>
      <c r="R23" s="194" t="s">
        <v>219</v>
      </c>
      <c r="S23" s="195">
        <f>+R15</f>
        <v>8.8905654824574363</v>
      </c>
    </row>
    <row r="24" spans="2:19" s="31" customFormat="1" ht="20.100000000000001" customHeight="1" x14ac:dyDescent="0.25">
      <c r="B24" s="31" t="s">
        <v>218</v>
      </c>
      <c r="C24" s="194" t="s">
        <v>278</v>
      </c>
      <c r="D24" s="31" t="s">
        <v>279</v>
      </c>
      <c r="E24" s="89"/>
      <c r="R24" s="194" t="s">
        <v>219</v>
      </c>
      <c r="S24" s="195">
        <f>+M15</f>
        <v>32.575999999999993</v>
      </c>
    </row>
    <row r="25" spans="2:19" s="31" customFormat="1" ht="15" customHeight="1" x14ac:dyDescent="0.25">
      <c r="C25" s="194"/>
      <c r="L25" s="195"/>
      <c r="S25" s="195"/>
    </row>
  </sheetData>
  <mergeCells count="20">
    <mergeCell ref="B11:C11"/>
    <mergeCell ref="B13:C13"/>
    <mergeCell ref="B14:C14"/>
    <mergeCell ref="B17:L17"/>
    <mergeCell ref="B16:C16"/>
    <mergeCell ref="B12:C12"/>
    <mergeCell ref="B15:K15"/>
    <mergeCell ref="B1:T2"/>
    <mergeCell ref="L9:L10"/>
    <mergeCell ref="H9:K9"/>
    <mergeCell ref="E9:G9"/>
    <mergeCell ref="D9:D10"/>
    <mergeCell ref="B9:C10"/>
    <mergeCell ref="S9:S10"/>
    <mergeCell ref="R9:R10"/>
    <mergeCell ref="Q9:Q10"/>
    <mergeCell ref="M9:M10"/>
    <mergeCell ref="N9:N10"/>
    <mergeCell ref="O9:O10"/>
    <mergeCell ref="C4:Q4"/>
  </mergeCells>
  <printOptions horizontalCentered="1"/>
  <pageMargins left="0.51181102362204722" right="0.51181102362204722" top="0.78740157480314965" bottom="0.78740157480314965" header="0.31496062992125984" footer="0.39370078740157483"/>
  <pageSetup paperSize="9" scale="68" orientation="landscape" r:id="rId1"/>
  <headerFooter>
    <oddHeader>&amp;L&amp;G</oddHeader>
    <oddFooter>&amp;L&amp;"Arial Narrow,Normal"&amp;10&amp;A
&amp;F&amp;R&amp;"Arial Narrow,Normal"&amp;10&amp;P de &amp;N</oddFooter>
  </headerFooter>
  <colBreaks count="1" manualBreakCount="1">
    <brk id="21" max="1048575" man="1"/>
  </colBreaks>
  <legacyDrawing r:id="rId2"/>
  <legacyDrawingHF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444DF-D292-4668-93D9-76C205592916}">
  <dimension ref="B1:Y40"/>
  <sheetViews>
    <sheetView showGridLines="0" showZeros="0" view="pageBreakPreview" zoomScale="85" zoomScaleNormal="100" zoomScaleSheetLayoutView="85" workbookViewId="0">
      <selection activeCell="Q14" sqref="Q14:Q15"/>
    </sheetView>
  </sheetViews>
  <sheetFormatPr defaultColWidth="9.140625" defaultRowHeight="13.5" x14ac:dyDescent="0.25"/>
  <cols>
    <col min="1" max="1" width="1.7109375" style="89" customWidth="1"/>
    <col min="2" max="2" width="9.140625" style="89" customWidth="1"/>
    <col min="3" max="3" width="15.7109375" style="89" customWidth="1"/>
    <col min="4" max="4" width="8.7109375" style="89" customWidth="1"/>
    <col min="5" max="6" width="13.140625" style="89" customWidth="1"/>
    <col min="7" max="8" width="15.28515625" style="89" customWidth="1"/>
    <col min="9" max="9" width="12.7109375" style="89" customWidth="1"/>
    <col min="10" max="17" width="9.7109375" style="89" customWidth="1"/>
    <col min="18" max="18" width="11" style="89" customWidth="1"/>
    <col min="19" max="19" width="11.7109375" style="89" customWidth="1"/>
    <col min="20" max="20" width="1.7109375" style="89" customWidth="1"/>
    <col min="21" max="21" width="9.140625" style="89" customWidth="1"/>
    <col min="22" max="16384" width="9.140625" style="89"/>
  </cols>
  <sheetData>
    <row r="1" spans="2:25" s="69" customFormat="1" ht="20.100000000000001" customHeight="1" x14ac:dyDescent="0.25">
      <c r="B1" s="569" t="s">
        <v>133</v>
      </c>
      <c r="C1" s="569"/>
      <c r="D1" s="569"/>
      <c r="E1" s="569"/>
      <c r="F1" s="569"/>
      <c r="G1" s="569"/>
      <c r="H1" s="569"/>
      <c r="I1" s="569"/>
      <c r="J1" s="569"/>
      <c r="K1" s="569"/>
      <c r="L1" s="569"/>
      <c r="M1" s="569"/>
      <c r="N1" s="569"/>
      <c r="O1" s="569"/>
      <c r="P1" s="569"/>
      <c r="Q1" s="569"/>
      <c r="R1" s="569"/>
      <c r="S1" s="569"/>
      <c r="T1" s="569"/>
    </row>
    <row r="2" spans="2:25" s="69" customFormat="1" ht="20.100000000000001" customHeight="1" x14ac:dyDescent="0.25">
      <c r="B2" s="569"/>
      <c r="C2" s="569"/>
      <c r="D2" s="569"/>
      <c r="E2" s="569"/>
      <c r="F2" s="569"/>
      <c r="G2" s="569"/>
      <c r="H2" s="569"/>
      <c r="I2" s="569"/>
      <c r="J2" s="569"/>
      <c r="K2" s="569"/>
      <c r="L2" s="569"/>
      <c r="M2" s="569"/>
      <c r="N2" s="569"/>
      <c r="O2" s="569"/>
      <c r="P2" s="569"/>
      <c r="Q2" s="569"/>
      <c r="R2" s="569"/>
      <c r="S2" s="569"/>
      <c r="T2" s="569"/>
    </row>
    <row r="3" spans="2:25" s="69" customFormat="1" ht="20.100000000000001" customHeight="1" x14ac:dyDescent="0.25"/>
    <row r="4" spans="2:25"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3" t="s">
        <v>96</v>
      </c>
      <c r="S4" s="4" t="str">
        <f>+'DADOS DA OBRA'!$N$22</f>
        <v>04/11/2024</v>
      </c>
      <c r="V4" s="32"/>
      <c r="W4" s="32"/>
      <c r="X4" s="33"/>
      <c r="Y4" s="33"/>
    </row>
    <row r="5" spans="2:25" s="5" customFormat="1" ht="20.100000000000001" customHeight="1" x14ac:dyDescent="0.25">
      <c r="B5" s="1" t="s">
        <v>18</v>
      </c>
      <c r="C5" s="2" t="str">
        <f>+""&amp;'DADOS DA OBRA'!$B$16&amp;", "&amp;'DADOS DA OBRA'!$B$19&amp;", "&amp;'DADOS DA OBRA'!$J$19&amp;", "&amp;'DADOS DA OBRA'!$P$19</f>
        <v>RUAS DIVERSAS, DIVERSOS, MATRINCHÃ, GO</v>
      </c>
      <c r="Q5" s="3"/>
      <c r="R5" s="3" t="s">
        <v>17</v>
      </c>
      <c r="S5" s="4" t="str">
        <f>'DADOS DA OBRA'!$N$25</f>
        <v>00</v>
      </c>
    </row>
    <row r="6" spans="2:25" s="5" customFormat="1" ht="20.100000000000001" customHeight="1" x14ac:dyDescent="0.25"/>
    <row r="7" spans="2:25" s="5" customFormat="1" ht="20.100000000000001" customHeight="1" x14ac:dyDescent="0.25">
      <c r="B7" s="1" t="s">
        <v>97</v>
      </c>
      <c r="C7" s="39" t="s">
        <v>241</v>
      </c>
      <c r="Q7" s="3"/>
      <c r="R7" s="3" t="s">
        <v>18</v>
      </c>
      <c r="S7" s="64" t="s">
        <v>281</v>
      </c>
    </row>
    <row r="8" spans="2:25" s="67" customFormat="1" ht="20.100000000000001" customHeight="1" thickBot="1" x14ac:dyDescent="0.3">
      <c r="B8" s="52"/>
      <c r="C8" s="53"/>
      <c r="D8" s="10"/>
      <c r="E8" s="9"/>
      <c r="F8" s="9"/>
      <c r="G8" s="9"/>
      <c r="H8" s="10"/>
      <c r="I8" s="10"/>
      <c r="J8" s="10"/>
      <c r="K8" s="10"/>
      <c r="L8" s="10"/>
      <c r="M8" s="10"/>
      <c r="N8" s="10"/>
      <c r="O8" s="10"/>
      <c r="P8" s="10"/>
      <c r="Q8" s="10"/>
      <c r="R8" s="10"/>
      <c r="S8" s="10"/>
    </row>
    <row r="9" spans="2:25" s="88" customFormat="1" ht="20.100000000000001" customHeight="1" x14ac:dyDescent="0.25">
      <c r="B9" s="804" t="s">
        <v>134</v>
      </c>
      <c r="C9" s="805"/>
      <c r="D9" s="810" t="s">
        <v>147</v>
      </c>
      <c r="E9" s="813" t="s">
        <v>192</v>
      </c>
      <c r="F9" s="814"/>
      <c r="G9" s="815"/>
      <c r="H9" s="799" t="s">
        <v>166</v>
      </c>
      <c r="I9" s="799" t="s">
        <v>249</v>
      </c>
      <c r="J9" s="819" t="s">
        <v>135</v>
      </c>
      <c r="K9" s="819"/>
      <c r="L9" s="819"/>
      <c r="M9" s="819"/>
      <c r="N9" s="819"/>
      <c r="O9" s="819"/>
      <c r="P9" s="819"/>
      <c r="Q9" s="819"/>
      <c r="R9" s="810" t="s">
        <v>240</v>
      </c>
      <c r="S9" s="817" t="s">
        <v>252</v>
      </c>
    </row>
    <row r="10" spans="2:25" s="88" customFormat="1" ht="20.100000000000001" customHeight="1" x14ac:dyDescent="0.25">
      <c r="B10" s="806"/>
      <c r="C10" s="807"/>
      <c r="D10" s="811"/>
      <c r="E10" s="797" t="s">
        <v>153</v>
      </c>
      <c r="F10" s="797" t="s">
        <v>154</v>
      </c>
      <c r="G10" s="797" t="s">
        <v>242</v>
      </c>
      <c r="H10" s="800"/>
      <c r="I10" s="800"/>
      <c r="J10" s="801" t="s">
        <v>138</v>
      </c>
      <c r="K10" s="801"/>
      <c r="L10" s="801" t="s">
        <v>156</v>
      </c>
      <c r="M10" s="801"/>
      <c r="N10" s="801" t="s">
        <v>137</v>
      </c>
      <c r="O10" s="801"/>
      <c r="P10" s="801" t="s">
        <v>157</v>
      </c>
      <c r="Q10" s="801"/>
      <c r="R10" s="816"/>
      <c r="S10" s="818"/>
    </row>
    <row r="11" spans="2:25" s="88" customFormat="1" ht="20.100000000000001" customHeight="1" thickBot="1" x14ac:dyDescent="0.3">
      <c r="B11" s="808"/>
      <c r="C11" s="809"/>
      <c r="D11" s="812"/>
      <c r="E11" s="798"/>
      <c r="F11" s="798"/>
      <c r="G11" s="798"/>
      <c r="H11" s="98" t="s">
        <v>160</v>
      </c>
      <c r="I11" s="98" t="s">
        <v>160</v>
      </c>
      <c r="J11" s="98" t="s">
        <v>141</v>
      </c>
      <c r="K11" s="98" t="s">
        <v>142</v>
      </c>
      <c r="L11" s="98" t="s">
        <v>141</v>
      </c>
      <c r="M11" s="98" t="s">
        <v>142</v>
      </c>
      <c r="N11" s="98" t="s">
        <v>143</v>
      </c>
      <c r="O11" s="98" t="s">
        <v>144</v>
      </c>
      <c r="P11" s="98" t="s">
        <v>143</v>
      </c>
      <c r="Q11" s="98" t="s">
        <v>144</v>
      </c>
      <c r="R11" s="98" t="s">
        <v>45</v>
      </c>
      <c r="S11" s="107" t="s">
        <v>145</v>
      </c>
    </row>
    <row r="12" spans="2:25" s="88" customFormat="1" ht="30" customHeight="1" x14ac:dyDescent="0.25">
      <c r="B12" s="820" t="s">
        <v>243</v>
      </c>
      <c r="C12" s="821"/>
      <c r="D12" s="92">
        <v>1</v>
      </c>
      <c r="E12" s="111">
        <v>3.05</v>
      </c>
      <c r="F12" s="111">
        <v>1.8</v>
      </c>
      <c r="G12" s="117">
        <v>0.15</v>
      </c>
      <c r="H12" s="108">
        <f>(SUM(E12+F12)*2*G12)*D12</f>
        <v>1.4549999999999998</v>
      </c>
      <c r="I12" s="108"/>
      <c r="J12" s="108"/>
      <c r="K12" s="111">
        <f t="shared" ref="K12:K28" si="0">+D12*J12*0.154</f>
        <v>0</v>
      </c>
      <c r="L12" s="108">
        <f>14*3.17+14*2.99+24*1.92+24*1.74</f>
        <v>174.07999999999998</v>
      </c>
      <c r="M12" s="111">
        <f t="shared" ref="M12:M28" si="1">+D12*L12*0.245</f>
        <v>42.649599999999992</v>
      </c>
      <c r="N12" s="109"/>
      <c r="O12" s="112">
        <f>+D12*N12*0.395</f>
        <v>0</v>
      </c>
      <c r="P12" s="109"/>
      <c r="Q12" s="109">
        <f>+D12*P12*0.617</f>
        <v>0</v>
      </c>
      <c r="R12" s="108">
        <f>+'CAIXAS-MOV. TERRA'!D11*'CAIXAS-MOV. TERRA'!I11*'CAIXAS-MOV. TERRA'!J11*0.05</f>
        <v>0.56699999999999995</v>
      </c>
      <c r="S12" s="114">
        <f>+D12*E12*F12*G12</f>
        <v>0.82350000000000001</v>
      </c>
    </row>
    <row r="13" spans="2:25" s="88" customFormat="1" ht="30" customHeight="1" x14ac:dyDescent="0.25">
      <c r="B13" s="802" t="s">
        <v>244</v>
      </c>
      <c r="C13" s="803"/>
      <c r="D13" s="94">
        <v>1</v>
      </c>
      <c r="E13" s="111">
        <v>0.15</v>
      </c>
      <c r="F13" s="111">
        <v>0.15</v>
      </c>
      <c r="G13" s="118">
        <v>0.27</v>
      </c>
      <c r="H13" s="111">
        <f t="shared" ref="H13:H14" si="2">(SUM(E13+F13)*2*G13)*D13</f>
        <v>0.16200000000000001</v>
      </c>
      <c r="I13" s="111"/>
      <c r="J13" s="111">
        <f>2*0.5</f>
        <v>1</v>
      </c>
      <c r="K13" s="111">
        <f t="shared" si="0"/>
        <v>0.154</v>
      </c>
      <c r="L13" s="111">
        <f>2*1.21</f>
        <v>2.42</v>
      </c>
      <c r="M13" s="111">
        <f t="shared" si="1"/>
        <v>0.59289999999999998</v>
      </c>
      <c r="N13" s="112"/>
      <c r="O13" s="112">
        <f>+D13*N13*0.395</f>
        <v>0</v>
      </c>
      <c r="P13" s="112"/>
      <c r="Q13" s="112">
        <f>+D13*P13*0.617</f>
        <v>0</v>
      </c>
      <c r="R13" s="111"/>
      <c r="S13" s="115">
        <f>+D13*E13*F13*G13</f>
        <v>6.0750000000000005E-3</v>
      </c>
    </row>
    <row r="14" spans="2:25" s="88" customFormat="1" ht="30" customHeight="1" x14ac:dyDescent="0.25">
      <c r="B14" s="802" t="s">
        <v>245</v>
      </c>
      <c r="C14" s="803"/>
      <c r="D14" s="94">
        <v>4</v>
      </c>
      <c r="E14" s="111">
        <v>0.15</v>
      </c>
      <c r="F14" s="111">
        <v>0.15</v>
      </c>
      <c r="G14" s="118">
        <v>1.6</v>
      </c>
      <c r="H14" s="111">
        <f t="shared" si="2"/>
        <v>3.84</v>
      </c>
      <c r="I14" s="111"/>
      <c r="J14" s="111">
        <f>12*0.5</f>
        <v>6</v>
      </c>
      <c r="K14" s="111">
        <f t="shared" si="0"/>
        <v>3.6959999999999997</v>
      </c>
      <c r="L14" s="111"/>
      <c r="M14" s="111">
        <f t="shared" si="1"/>
        <v>0</v>
      </c>
      <c r="N14" s="112"/>
      <c r="O14" s="112">
        <f t="shared" ref="O14:O28" si="3">+D14*N14*0.395</f>
        <v>0</v>
      </c>
      <c r="P14" s="112">
        <f>4*1.78</f>
        <v>7.12</v>
      </c>
      <c r="Q14" s="112">
        <f t="shared" ref="Q14:Q28" si="4">+D14*P14*0.617</f>
        <v>17.57216</v>
      </c>
      <c r="R14" s="111"/>
      <c r="S14" s="115">
        <f>+E14*F14*G14*D14</f>
        <v>0.14399999999999999</v>
      </c>
    </row>
    <row r="15" spans="2:25" s="88" customFormat="1" ht="30" customHeight="1" x14ac:dyDescent="0.25">
      <c r="B15" s="802" t="s">
        <v>250</v>
      </c>
      <c r="C15" s="803"/>
      <c r="D15" s="94">
        <v>2</v>
      </c>
      <c r="E15" s="111">
        <v>2.75</v>
      </c>
      <c r="F15" s="111"/>
      <c r="G15" s="118">
        <v>1.6</v>
      </c>
      <c r="H15" s="111"/>
      <c r="I15" s="111">
        <f>+D15*E15*G15</f>
        <v>8.8000000000000007</v>
      </c>
      <c r="J15" s="111"/>
      <c r="K15" s="111">
        <f t="shared" si="0"/>
        <v>0</v>
      </c>
      <c r="L15" s="111"/>
      <c r="M15" s="111">
        <f t="shared" si="1"/>
        <v>0</v>
      </c>
      <c r="N15" s="112">
        <f>8*2.99+16*0.89</f>
        <v>38.160000000000004</v>
      </c>
      <c r="O15" s="112">
        <f t="shared" si="3"/>
        <v>30.146400000000003</v>
      </c>
      <c r="P15" s="112"/>
      <c r="Q15" s="112">
        <f t="shared" si="4"/>
        <v>0</v>
      </c>
      <c r="R15" s="111"/>
      <c r="S15" s="115">
        <f>+I15*0.0568</f>
        <v>0.49984000000000006</v>
      </c>
    </row>
    <row r="16" spans="2:25" s="88" customFormat="1" ht="30" customHeight="1" x14ac:dyDescent="0.25">
      <c r="B16" s="802" t="s">
        <v>251</v>
      </c>
      <c r="C16" s="803"/>
      <c r="D16" s="94">
        <v>2</v>
      </c>
      <c r="E16" s="111">
        <v>1.5</v>
      </c>
      <c r="F16" s="111"/>
      <c r="G16" s="118">
        <v>1.6</v>
      </c>
      <c r="H16" s="111"/>
      <c r="I16" s="111">
        <f>+D16*E16*G16</f>
        <v>4.8000000000000007</v>
      </c>
      <c r="J16" s="111"/>
      <c r="K16" s="111">
        <f t="shared" si="0"/>
        <v>0</v>
      </c>
      <c r="L16" s="111"/>
      <c r="M16" s="111">
        <f t="shared" si="1"/>
        <v>0</v>
      </c>
      <c r="N16" s="112">
        <f>8*1.74+16*0.89</f>
        <v>28.16</v>
      </c>
      <c r="O16" s="112">
        <f t="shared" si="3"/>
        <v>22.246400000000001</v>
      </c>
      <c r="P16" s="112"/>
      <c r="Q16" s="112">
        <f t="shared" si="4"/>
        <v>0</v>
      </c>
      <c r="R16" s="111"/>
      <c r="S16" s="115">
        <f>+I16*0.0568</f>
        <v>0.27264000000000005</v>
      </c>
    </row>
    <row r="17" spans="2:20" s="88" customFormat="1" ht="20.100000000000001" customHeight="1" x14ac:dyDescent="0.25">
      <c r="B17" s="802"/>
      <c r="C17" s="803"/>
      <c r="D17" s="94"/>
      <c r="E17" s="111"/>
      <c r="F17" s="111"/>
      <c r="G17" s="118"/>
      <c r="H17" s="111">
        <f t="shared" ref="H17" si="5">(SUM(E17+F17)*2*G17)*D17</f>
        <v>0</v>
      </c>
      <c r="I17" s="111"/>
      <c r="J17" s="111"/>
      <c r="K17" s="111">
        <f t="shared" si="0"/>
        <v>0</v>
      </c>
      <c r="L17" s="111"/>
      <c r="M17" s="111">
        <f t="shared" si="1"/>
        <v>0</v>
      </c>
      <c r="N17" s="112"/>
      <c r="O17" s="112">
        <f>+D17*N17*0.395</f>
        <v>0</v>
      </c>
      <c r="P17" s="112"/>
      <c r="Q17" s="112">
        <f>+D17*P17*0.617</f>
        <v>0</v>
      </c>
      <c r="R17" s="111"/>
      <c r="S17" s="115">
        <f>+D17*E17*F17*G17</f>
        <v>0</v>
      </c>
    </row>
    <row r="18" spans="2:20" s="88" customFormat="1" ht="30" customHeight="1" x14ac:dyDescent="0.25">
      <c r="B18" s="802" t="s">
        <v>665</v>
      </c>
      <c r="C18" s="803"/>
      <c r="D18" s="94">
        <v>1</v>
      </c>
      <c r="E18" s="111">
        <v>1.75</v>
      </c>
      <c r="F18" s="111">
        <v>2.4</v>
      </c>
      <c r="G18" s="118">
        <v>0.2</v>
      </c>
      <c r="H18" s="111">
        <f>(SUM(E18+F18)*2*G18)*D18</f>
        <v>1.6600000000000001</v>
      </c>
      <c r="I18" s="111"/>
      <c r="J18" s="111"/>
      <c r="K18" s="111">
        <f t="shared" ref="K18:K22" si="6">+D18*J18*0.154</f>
        <v>0</v>
      </c>
      <c r="L18" s="111">
        <f>10*1+2*4*1.93</f>
        <v>25.439999999999998</v>
      </c>
      <c r="M18" s="111">
        <f t="shared" ref="M18:M22" si="7">+D18*L18*0.245</f>
        <v>6.2327999999999992</v>
      </c>
      <c r="N18" s="112">
        <f>2*4*1.97+2*4*1.69+2*6*1.92+2*6*1.64+1.32*6+1.04*6+0.96*6+0.68*6</f>
        <v>96</v>
      </c>
      <c r="O18" s="112">
        <f>+D18*N18*0.395</f>
        <v>37.92</v>
      </c>
      <c r="P18" s="112"/>
      <c r="Q18" s="112">
        <f>+D18*P18*0.617</f>
        <v>0</v>
      </c>
      <c r="R18" s="111">
        <f>+'CAIXAS-MOV. TERRA'!D17*'CAIXAS-MOV. TERRA'!I17*'CAIXAS-MOV. TERRA'!J17*0.05</f>
        <v>0</v>
      </c>
      <c r="S18" s="115">
        <f>+D18*E18*F18*G18-(PI()*0.2^2*0.2)</f>
        <v>0.81486725877128174</v>
      </c>
    </row>
    <row r="19" spans="2:20" s="88" customFormat="1" ht="30" customHeight="1" x14ac:dyDescent="0.25">
      <c r="B19" s="802" t="s">
        <v>666</v>
      </c>
      <c r="C19" s="803"/>
      <c r="D19" s="94">
        <v>4</v>
      </c>
      <c r="E19" s="111">
        <v>0.15</v>
      </c>
      <c r="F19" s="111">
        <v>0.15</v>
      </c>
      <c r="G19" s="118">
        <v>1.6</v>
      </c>
      <c r="H19" s="111">
        <f t="shared" ref="H19" si="8">(SUM(E19+F19)*2*G19)*D19</f>
        <v>3.84</v>
      </c>
      <c r="I19" s="111"/>
      <c r="J19" s="111">
        <f>9*0.5</f>
        <v>4.5</v>
      </c>
      <c r="K19" s="111">
        <f t="shared" si="6"/>
        <v>2.7719999999999998</v>
      </c>
      <c r="L19" s="111"/>
      <c r="M19" s="111">
        <f t="shared" si="7"/>
        <v>0</v>
      </c>
      <c r="N19" s="112"/>
      <c r="O19" s="112">
        <f t="shared" ref="O19:O21" si="9">+D19*N19*0.395</f>
        <v>0</v>
      </c>
      <c r="P19" s="112">
        <f>4*1.81</f>
        <v>7.24</v>
      </c>
      <c r="Q19" s="112">
        <f t="shared" ref="Q19:Q21" si="10">+D19*P19*0.617</f>
        <v>17.868320000000001</v>
      </c>
      <c r="R19" s="111"/>
      <c r="S19" s="115">
        <f>+E19*F19*G19*D19</f>
        <v>0.14399999999999999</v>
      </c>
    </row>
    <row r="20" spans="2:20" s="88" customFormat="1" ht="30" customHeight="1" x14ac:dyDescent="0.25">
      <c r="B20" s="802" t="s">
        <v>667</v>
      </c>
      <c r="C20" s="803"/>
      <c r="D20" s="94">
        <v>2</v>
      </c>
      <c r="E20" s="111">
        <v>1.45</v>
      </c>
      <c r="F20" s="111"/>
      <c r="G20" s="118">
        <v>1.6</v>
      </c>
      <c r="H20" s="111"/>
      <c r="I20" s="111">
        <f>+D20*E20*G20</f>
        <v>4.6399999999999997</v>
      </c>
      <c r="J20" s="111"/>
      <c r="K20" s="111">
        <f t="shared" si="6"/>
        <v>0</v>
      </c>
      <c r="L20" s="111">
        <f>7*1.69*2</f>
        <v>23.66</v>
      </c>
      <c r="M20" s="111">
        <f t="shared" si="7"/>
        <v>11.593399999999999</v>
      </c>
      <c r="N20" s="112"/>
      <c r="O20" s="112">
        <f t="shared" si="9"/>
        <v>0</v>
      </c>
      <c r="P20" s="112"/>
      <c r="Q20" s="112">
        <f t="shared" si="10"/>
        <v>0</v>
      </c>
      <c r="R20" s="111"/>
      <c r="S20" s="115">
        <f>+I20*0.0568</f>
        <v>0.26355200000000001</v>
      </c>
    </row>
    <row r="21" spans="2:20" s="88" customFormat="1" ht="30" customHeight="1" x14ac:dyDescent="0.25">
      <c r="B21" s="802" t="s">
        <v>668</v>
      </c>
      <c r="C21" s="803"/>
      <c r="D21" s="94">
        <v>2</v>
      </c>
      <c r="E21" s="111">
        <v>2.1</v>
      </c>
      <c r="F21" s="111"/>
      <c r="G21" s="118">
        <v>1.6</v>
      </c>
      <c r="H21" s="111"/>
      <c r="I21" s="111">
        <f>+D21*E21*G21</f>
        <v>6.7200000000000006</v>
      </c>
      <c r="J21" s="111"/>
      <c r="K21" s="111">
        <f t="shared" si="6"/>
        <v>0</v>
      </c>
      <c r="L21" s="111">
        <f>7*2.34*2</f>
        <v>32.76</v>
      </c>
      <c r="M21" s="111">
        <f t="shared" si="7"/>
        <v>16.052399999999999</v>
      </c>
      <c r="N21" s="112"/>
      <c r="O21" s="112">
        <f t="shared" si="9"/>
        <v>0</v>
      </c>
      <c r="P21" s="112"/>
      <c r="Q21" s="112">
        <f t="shared" si="10"/>
        <v>0</v>
      </c>
      <c r="R21" s="111"/>
      <c r="S21" s="115">
        <f>+I21*0.0568</f>
        <v>0.38169600000000004</v>
      </c>
    </row>
    <row r="22" spans="2:20" s="88" customFormat="1" ht="30" customHeight="1" x14ac:dyDescent="0.25">
      <c r="B22" s="802" t="s">
        <v>669</v>
      </c>
      <c r="C22" s="803"/>
      <c r="D22" s="94">
        <v>3</v>
      </c>
      <c r="E22" s="111">
        <v>1.75</v>
      </c>
      <c r="F22" s="111">
        <v>0.8</v>
      </c>
      <c r="G22" s="118">
        <v>0.1</v>
      </c>
      <c r="H22" s="111">
        <f t="shared" ref="H22" si="11">(SUM(E22+F22)*2*G22)*D22</f>
        <v>1.53</v>
      </c>
      <c r="I22" s="111"/>
      <c r="J22" s="111"/>
      <c r="K22" s="111">
        <f t="shared" si="6"/>
        <v>0</v>
      </c>
      <c r="L22" s="111">
        <f>4*1.69+10*0.74</f>
        <v>14.16</v>
      </c>
      <c r="M22" s="111">
        <f t="shared" si="7"/>
        <v>10.4076</v>
      </c>
      <c r="N22" s="112"/>
      <c r="O22" s="112">
        <f>+D22*N22*0.395</f>
        <v>0</v>
      </c>
      <c r="P22" s="112"/>
      <c r="Q22" s="112">
        <f>+D22*P22*0.617</f>
        <v>0</v>
      </c>
      <c r="R22" s="111"/>
      <c r="S22" s="115">
        <f>(D22*E22*F22*G22)</f>
        <v>0.42000000000000004</v>
      </c>
    </row>
    <row r="23" spans="2:20" s="88" customFormat="1" ht="20.100000000000001" customHeight="1" x14ac:dyDescent="0.25">
      <c r="B23" s="802"/>
      <c r="C23" s="803"/>
      <c r="D23" s="94"/>
      <c r="E23" s="111"/>
      <c r="F23" s="111"/>
      <c r="G23" s="118"/>
      <c r="H23" s="111">
        <f t="shared" ref="H23:H25" si="12">(SUM(E23+F23)*2*G23)*D23</f>
        <v>0</v>
      </c>
      <c r="I23" s="111"/>
      <c r="J23" s="111"/>
      <c r="K23" s="111">
        <f t="shared" ref="K23:K27" si="13">+D23*J23*0.154</f>
        <v>0</v>
      </c>
      <c r="L23" s="111"/>
      <c r="M23" s="111">
        <f t="shared" ref="M23:M27" si="14">+D23*L23*0.245</f>
        <v>0</v>
      </c>
      <c r="N23" s="112"/>
      <c r="O23" s="112">
        <f>+D23*N23*0.395</f>
        <v>0</v>
      </c>
      <c r="P23" s="112"/>
      <c r="Q23" s="112">
        <f>+D23*P23*0.617</f>
        <v>0</v>
      </c>
      <c r="R23" s="111"/>
      <c r="S23" s="115">
        <f>+D23*E23*F23*G23</f>
        <v>0</v>
      </c>
    </row>
    <row r="24" spans="2:20" s="88" customFormat="1" ht="30" customHeight="1" x14ac:dyDescent="0.25">
      <c r="B24" s="802" t="s">
        <v>323</v>
      </c>
      <c r="C24" s="803"/>
      <c r="D24" s="94">
        <v>1</v>
      </c>
      <c r="E24" s="111">
        <v>1.9</v>
      </c>
      <c r="F24" s="111">
        <v>0.9</v>
      </c>
      <c r="G24" s="118">
        <v>0.12</v>
      </c>
      <c r="H24" s="111">
        <f t="shared" ref="H24" si="15">(SUM(E24+F24)*2*G24)*D24</f>
        <v>0.67199999999999993</v>
      </c>
      <c r="I24" s="111"/>
      <c r="J24" s="111"/>
      <c r="K24" s="111">
        <f t="shared" si="13"/>
        <v>0</v>
      </c>
      <c r="L24" s="111">
        <f>7*1.1+7*0.98+2*8*0.43+2*8*0.38+0.89*15+0.73*15+0.25*16</f>
        <v>55.820000000000007</v>
      </c>
      <c r="M24" s="111">
        <f t="shared" si="14"/>
        <v>13.675900000000002</v>
      </c>
      <c r="N24" s="112"/>
      <c r="O24" s="112">
        <f>+D24*N24*0.395</f>
        <v>0</v>
      </c>
      <c r="P24" s="112"/>
      <c r="Q24" s="112">
        <f>+D24*P24*0.617</f>
        <v>0</v>
      </c>
      <c r="R24" s="111"/>
      <c r="S24" s="115">
        <f>(D24*E24*F24*G24)-(0.25*0.25)</f>
        <v>0.14269999999999999</v>
      </c>
    </row>
    <row r="25" spans="2:20" s="88" customFormat="1" ht="30" customHeight="1" x14ac:dyDescent="0.25">
      <c r="B25" s="802" t="s">
        <v>321</v>
      </c>
      <c r="C25" s="803"/>
      <c r="D25" s="94">
        <v>1</v>
      </c>
      <c r="E25" s="111">
        <v>0.2</v>
      </c>
      <c r="F25" s="111">
        <v>0.2</v>
      </c>
      <c r="G25" s="118">
        <v>0.5</v>
      </c>
      <c r="H25" s="111">
        <f t="shared" si="12"/>
        <v>0.4</v>
      </c>
      <c r="I25" s="111"/>
      <c r="J25" s="111">
        <f>3*0.7</f>
        <v>2.0999999999999996</v>
      </c>
      <c r="K25" s="111">
        <f t="shared" si="13"/>
        <v>0.32339999999999997</v>
      </c>
      <c r="L25" s="111">
        <f>2*1.25</f>
        <v>2.5</v>
      </c>
      <c r="M25" s="111">
        <f t="shared" si="14"/>
        <v>0.61250000000000004</v>
      </c>
      <c r="N25" s="112"/>
      <c r="O25" s="112">
        <f t="shared" ref="O25:O27" si="16">+D25*N25*0.395</f>
        <v>0</v>
      </c>
      <c r="P25" s="112"/>
      <c r="Q25" s="112">
        <f t="shared" ref="Q25:Q27" si="17">+D25*P25*0.617</f>
        <v>0</v>
      </c>
      <c r="R25" s="111"/>
      <c r="S25" s="115">
        <f>+E25*F25*G25*D25</f>
        <v>2.0000000000000004E-2</v>
      </c>
    </row>
    <row r="26" spans="2:20" s="88" customFormat="1" ht="30" customHeight="1" x14ac:dyDescent="0.25">
      <c r="B26" s="802" t="s">
        <v>320</v>
      </c>
      <c r="C26" s="803"/>
      <c r="D26" s="94">
        <v>2</v>
      </c>
      <c r="E26" s="111">
        <v>1.7</v>
      </c>
      <c r="F26" s="111"/>
      <c r="G26" s="118">
        <v>1.1299999999999999</v>
      </c>
      <c r="H26" s="111"/>
      <c r="I26" s="111">
        <f t="shared" ref="I26:I27" si="18">+D26*E26*G26</f>
        <v>3.8419999999999996</v>
      </c>
      <c r="J26" s="111"/>
      <c r="K26" s="111">
        <f t="shared" si="13"/>
        <v>0</v>
      </c>
      <c r="L26" s="111">
        <f>2*1.84</f>
        <v>3.68</v>
      </c>
      <c r="M26" s="111">
        <f t="shared" si="14"/>
        <v>1.8032000000000001</v>
      </c>
      <c r="N26" s="112"/>
      <c r="O26" s="112">
        <f t="shared" si="16"/>
        <v>0</v>
      </c>
      <c r="P26" s="112"/>
      <c r="Q26" s="112">
        <f t="shared" si="17"/>
        <v>0</v>
      </c>
      <c r="R26" s="111"/>
      <c r="S26" s="115">
        <f>+E26*2*0.19*0.0568</f>
        <v>3.6692800000000005E-2</v>
      </c>
    </row>
    <row r="27" spans="2:20" s="88" customFormat="1" ht="30" customHeight="1" x14ac:dyDescent="0.25">
      <c r="B27" s="802" t="s">
        <v>322</v>
      </c>
      <c r="C27" s="803"/>
      <c r="D27" s="94">
        <v>2</v>
      </c>
      <c r="E27" s="111">
        <v>0.6</v>
      </c>
      <c r="F27" s="111"/>
      <c r="G27" s="118">
        <v>1.1299999999999999</v>
      </c>
      <c r="H27" s="111"/>
      <c r="I27" s="111">
        <f t="shared" si="18"/>
        <v>1.3559999999999999</v>
      </c>
      <c r="J27" s="111"/>
      <c r="K27" s="111">
        <f t="shared" si="13"/>
        <v>0</v>
      </c>
      <c r="L27" s="111">
        <f>2*0.84</f>
        <v>1.68</v>
      </c>
      <c r="M27" s="111">
        <f t="shared" si="14"/>
        <v>0.82319999999999993</v>
      </c>
      <c r="N27" s="112"/>
      <c r="O27" s="112">
        <f t="shared" si="16"/>
        <v>0</v>
      </c>
      <c r="P27" s="112"/>
      <c r="Q27" s="112">
        <f t="shared" si="17"/>
        <v>0</v>
      </c>
      <c r="R27" s="111"/>
      <c r="S27" s="115">
        <f>+E27*2*0.19*0.0568</f>
        <v>1.2950399999999999E-2</v>
      </c>
    </row>
    <row r="28" spans="2:20" s="88" customFormat="1" ht="20.100000000000001" customHeight="1" thickBot="1" x14ac:dyDescent="0.3">
      <c r="B28" s="789"/>
      <c r="C28" s="790"/>
      <c r="D28" s="94"/>
      <c r="E28" s="111"/>
      <c r="F28" s="111"/>
      <c r="G28" s="118"/>
      <c r="H28" s="111"/>
      <c r="I28" s="111"/>
      <c r="J28" s="111"/>
      <c r="K28" s="111">
        <f t="shared" si="0"/>
        <v>0</v>
      </c>
      <c r="L28" s="111"/>
      <c r="M28" s="111">
        <f t="shared" si="1"/>
        <v>0</v>
      </c>
      <c r="N28" s="111"/>
      <c r="O28" s="111">
        <f t="shared" si="3"/>
        <v>0</v>
      </c>
      <c r="P28" s="111"/>
      <c r="Q28" s="111">
        <f t="shared" si="4"/>
        <v>0</v>
      </c>
      <c r="R28" s="111"/>
      <c r="S28" s="115"/>
    </row>
    <row r="29" spans="2:20" s="88" customFormat="1" ht="30" customHeight="1" thickBot="1" x14ac:dyDescent="0.3">
      <c r="B29" s="794" t="s">
        <v>146</v>
      </c>
      <c r="C29" s="795"/>
      <c r="D29" s="795"/>
      <c r="E29" s="795"/>
      <c r="F29" s="795"/>
      <c r="G29" s="795"/>
      <c r="H29" s="105">
        <f t="shared" ref="H29:S29" si="19">SUM(H12:H28)</f>
        <v>13.559000000000001</v>
      </c>
      <c r="I29" s="105">
        <f t="shared" si="19"/>
        <v>30.158000000000001</v>
      </c>
      <c r="J29" s="105">
        <f t="shared" si="19"/>
        <v>13.6</v>
      </c>
      <c r="K29" s="105">
        <f t="shared" si="19"/>
        <v>6.9454000000000002</v>
      </c>
      <c r="L29" s="105">
        <f t="shared" si="19"/>
        <v>336.2</v>
      </c>
      <c r="M29" s="105">
        <f t="shared" si="19"/>
        <v>104.44349999999999</v>
      </c>
      <c r="N29" s="105">
        <f t="shared" si="19"/>
        <v>162.32</v>
      </c>
      <c r="O29" s="105">
        <f t="shared" si="19"/>
        <v>90.31280000000001</v>
      </c>
      <c r="P29" s="105">
        <f t="shared" si="19"/>
        <v>14.36</v>
      </c>
      <c r="Q29" s="105">
        <f t="shared" si="19"/>
        <v>35.440480000000001</v>
      </c>
      <c r="R29" s="105">
        <f t="shared" si="19"/>
        <v>0.56699999999999995</v>
      </c>
      <c r="S29" s="116">
        <f t="shared" si="19"/>
        <v>3.9825134587712818</v>
      </c>
    </row>
    <row r="31" spans="2:20" ht="20.100000000000001" customHeight="1" x14ac:dyDescent="0.25">
      <c r="B31" s="746" t="s">
        <v>255</v>
      </c>
      <c r="C31" s="746"/>
      <c r="D31" s="746"/>
      <c r="E31" s="746"/>
      <c r="F31" s="746"/>
      <c r="G31" s="746"/>
      <c r="H31" s="746"/>
      <c r="I31" s="746"/>
      <c r="J31" s="746"/>
      <c r="K31" s="746"/>
      <c r="L31" s="746"/>
      <c r="S31" s="90"/>
    </row>
    <row r="32" spans="2:20" s="31" customFormat="1" ht="20.100000000000001" customHeight="1" x14ac:dyDescent="0.25">
      <c r="B32" s="31" t="s">
        <v>218</v>
      </c>
      <c r="C32" s="194" t="s">
        <v>253</v>
      </c>
      <c r="D32" s="31" t="s">
        <v>254</v>
      </c>
      <c r="M32" s="195"/>
      <c r="R32" s="194" t="s">
        <v>219</v>
      </c>
      <c r="S32" s="195">
        <f>+R29</f>
        <v>0.56699999999999995</v>
      </c>
      <c r="T32" s="195"/>
    </row>
    <row r="33" spans="2:20" s="31" customFormat="1" ht="20.100000000000001" customHeight="1" x14ac:dyDescent="0.25">
      <c r="B33" s="31" t="s">
        <v>218</v>
      </c>
      <c r="C33" s="194" t="s">
        <v>256</v>
      </c>
      <c r="D33" s="31" t="s">
        <v>257</v>
      </c>
      <c r="M33" s="195"/>
      <c r="R33" s="194" t="s">
        <v>222</v>
      </c>
      <c r="S33" s="195">
        <f>+H29</f>
        <v>13.559000000000001</v>
      </c>
      <c r="T33" s="195"/>
    </row>
    <row r="34" spans="2:20" s="31" customFormat="1" ht="20.100000000000001" customHeight="1" x14ac:dyDescent="0.25">
      <c r="B34" s="31" t="s">
        <v>218</v>
      </c>
      <c r="C34" s="194" t="s">
        <v>258</v>
      </c>
      <c r="D34" s="31" t="s">
        <v>259</v>
      </c>
      <c r="M34" s="195"/>
      <c r="R34" s="194" t="s">
        <v>264</v>
      </c>
      <c r="S34" s="195">
        <f>+M29</f>
        <v>104.44349999999999</v>
      </c>
      <c r="T34" s="195"/>
    </row>
    <row r="35" spans="2:20" s="31" customFormat="1" ht="20.100000000000001" customHeight="1" x14ac:dyDescent="0.25">
      <c r="B35" s="31" t="s">
        <v>218</v>
      </c>
      <c r="C35" s="194" t="s">
        <v>260</v>
      </c>
      <c r="D35" s="31" t="s">
        <v>261</v>
      </c>
      <c r="M35" s="195"/>
      <c r="R35" s="194" t="s">
        <v>264</v>
      </c>
      <c r="S35" s="195">
        <f>+O29</f>
        <v>90.31280000000001</v>
      </c>
      <c r="T35" s="195"/>
    </row>
    <row r="36" spans="2:20" s="31" customFormat="1" ht="20.100000000000001" customHeight="1" x14ac:dyDescent="0.25">
      <c r="B36" s="31" t="s">
        <v>218</v>
      </c>
      <c r="C36" s="194" t="s">
        <v>262</v>
      </c>
      <c r="D36" s="31" t="s">
        <v>263</v>
      </c>
      <c r="M36" s="195"/>
      <c r="R36" s="194" t="s">
        <v>264</v>
      </c>
      <c r="S36" s="195">
        <f>+Q29</f>
        <v>35.440480000000001</v>
      </c>
      <c r="T36" s="195"/>
    </row>
    <row r="37" spans="2:20" s="31" customFormat="1" ht="20.100000000000001" customHeight="1" x14ac:dyDescent="0.25">
      <c r="B37" s="31" t="s">
        <v>218</v>
      </c>
      <c r="C37" s="194" t="s">
        <v>265</v>
      </c>
      <c r="D37" s="31" t="s">
        <v>266</v>
      </c>
      <c r="M37" s="195"/>
      <c r="R37" s="194" t="s">
        <v>264</v>
      </c>
      <c r="S37" s="195">
        <f>+K29</f>
        <v>6.9454000000000002</v>
      </c>
      <c r="T37" s="195"/>
    </row>
    <row r="38" spans="2:20" s="31" customFormat="1" ht="20.100000000000001" customHeight="1" x14ac:dyDescent="0.25">
      <c r="B38" s="31" t="s">
        <v>218</v>
      </c>
      <c r="C38" s="194" t="s">
        <v>267</v>
      </c>
      <c r="D38" s="31" t="s">
        <v>268</v>
      </c>
      <c r="M38" s="195"/>
      <c r="R38" s="194" t="s">
        <v>219</v>
      </c>
      <c r="S38" s="195">
        <f>+S29</f>
        <v>3.9825134587712818</v>
      </c>
      <c r="T38" s="195"/>
    </row>
    <row r="39" spans="2:20" s="31" customFormat="1" ht="20.100000000000001" customHeight="1" x14ac:dyDescent="0.25">
      <c r="B39" s="31" t="s">
        <v>218</v>
      </c>
      <c r="C39" s="194" t="s">
        <v>276</v>
      </c>
      <c r="D39" s="31" t="s">
        <v>277</v>
      </c>
      <c r="M39" s="195"/>
      <c r="R39" s="194" t="s">
        <v>219</v>
      </c>
      <c r="S39" s="195">
        <f>+S38</f>
        <v>3.9825134587712818</v>
      </c>
      <c r="T39" s="195"/>
    </row>
    <row r="40" spans="2:20" s="31" customFormat="1" ht="20.100000000000001" customHeight="1" x14ac:dyDescent="0.25">
      <c r="B40" s="31" t="s">
        <v>247</v>
      </c>
      <c r="C40" s="194" t="s">
        <v>248</v>
      </c>
      <c r="D40" s="31" t="s">
        <v>2722</v>
      </c>
      <c r="M40" s="195"/>
      <c r="R40" s="194" t="s">
        <v>222</v>
      </c>
      <c r="S40" s="195">
        <f>+I29</f>
        <v>30.158000000000001</v>
      </c>
      <c r="T40" s="195"/>
    </row>
  </sheetData>
  <mergeCells count="36">
    <mergeCell ref="B22:C22"/>
    <mergeCell ref="B31:L31"/>
    <mergeCell ref="B17:C17"/>
    <mergeCell ref="B18:C18"/>
    <mergeCell ref="B20:C20"/>
    <mergeCell ref="B21:C21"/>
    <mergeCell ref="B19:C19"/>
    <mergeCell ref="B29:G29"/>
    <mergeCell ref="B23:C23"/>
    <mergeCell ref="B25:C25"/>
    <mergeCell ref="B26:C26"/>
    <mergeCell ref="B27:C27"/>
    <mergeCell ref="B24:C24"/>
    <mergeCell ref="B28:C28"/>
    <mergeCell ref="B16:C16"/>
    <mergeCell ref="B14:C14"/>
    <mergeCell ref="B15:C15"/>
    <mergeCell ref="B1:T2"/>
    <mergeCell ref="B9:C11"/>
    <mergeCell ref="D9:D11"/>
    <mergeCell ref="E9:G9"/>
    <mergeCell ref="H9:H10"/>
    <mergeCell ref="R9:R10"/>
    <mergeCell ref="S9:S10"/>
    <mergeCell ref="E10:E11"/>
    <mergeCell ref="N10:O10"/>
    <mergeCell ref="P10:Q10"/>
    <mergeCell ref="J10:K10"/>
    <mergeCell ref="J9:Q9"/>
    <mergeCell ref="C4:Q4"/>
    <mergeCell ref="F10:F11"/>
    <mergeCell ref="G10:G11"/>
    <mergeCell ref="I9:I10"/>
    <mergeCell ref="L10:M10"/>
    <mergeCell ref="B13:C13"/>
    <mergeCell ref="B12:C12"/>
  </mergeCells>
  <printOptions horizontalCentered="1"/>
  <pageMargins left="0.51181102362204722" right="0.51181102362204722" top="0.78740157480314965" bottom="0.78740157480314965" header="0.31496062992125984" footer="0.31496062992125984"/>
  <pageSetup paperSize="9" scale="63" orientation="landscape" r:id="rId1"/>
  <headerFooter>
    <oddHeader xml:space="preserve">&amp;L&amp;G
</oddHeader>
    <oddFooter>&amp;L&amp;"Arial Narrow,Normal"&amp;10&amp;A
&amp;F&amp;R&amp;"Arial Narrow,Normal"&amp;10&amp;P de &amp;N</oddFooter>
  </headerFooter>
  <rowBreaks count="1" manualBreakCount="1">
    <brk id="30" max="19" man="1"/>
  </rowBreaks>
  <colBreaks count="1" manualBreakCount="1">
    <brk id="21" max="1048575" man="1"/>
  </colBreaks>
  <legacyDrawing r:id="rId2"/>
  <legacyDrawingHF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74C1F-AEEF-439D-ACBC-EF4B4588FB7F}">
  <dimension ref="A1:AB21"/>
  <sheetViews>
    <sheetView showGridLines="0" showZeros="0" view="pageBreakPreview" zoomScaleNormal="100" zoomScaleSheetLayoutView="100" workbookViewId="0">
      <selection activeCell="Q14" sqref="Q14:Q15"/>
    </sheetView>
  </sheetViews>
  <sheetFormatPr defaultColWidth="9.140625" defaultRowHeight="12" x14ac:dyDescent="0.25"/>
  <cols>
    <col min="1" max="1" width="1.7109375" style="79" customWidth="1"/>
    <col min="2" max="2" width="3.7109375" style="79" customWidth="1"/>
    <col min="3" max="3" width="5" style="79" customWidth="1"/>
    <col min="4" max="5" width="3.7109375" style="79" customWidth="1"/>
    <col min="6" max="6" width="6.7109375" style="79" customWidth="1"/>
    <col min="7" max="11" width="11.7109375" style="79" customWidth="1"/>
    <col min="12" max="12" width="11.7109375" style="80" customWidth="1"/>
    <col min="13" max="14" width="11.7109375" style="81" customWidth="1"/>
    <col min="15" max="15" width="11.7109375" style="82" customWidth="1"/>
    <col min="16" max="16" width="1.7109375" style="79" customWidth="1"/>
    <col min="17" max="17" width="9.140625" style="79" customWidth="1"/>
    <col min="18" max="16384" width="9.140625" style="79"/>
  </cols>
  <sheetData>
    <row r="1" spans="1:21" s="11" customFormat="1" ht="20.100000000000001" customHeight="1" x14ac:dyDescent="0.25">
      <c r="A1" s="69"/>
      <c r="B1" s="569" t="s">
        <v>133</v>
      </c>
      <c r="C1" s="569"/>
      <c r="D1" s="569"/>
      <c r="E1" s="569"/>
      <c r="F1" s="569"/>
      <c r="G1" s="569"/>
      <c r="H1" s="569"/>
      <c r="I1" s="569"/>
      <c r="J1" s="569"/>
      <c r="K1" s="569"/>
      <c r="L1" s="569"/>
      <c r="M1" s="569"/>
      <c r="N1" s="569"/>
      <c r="O1" s="569"/>
      <c r="P1" s="569"/>
      <c r="Q1" s="69"/>
      <c r="R1" s="69"/>
      <c r="S1" s="69"/>
      <c r="T1" s="69"/>
      <c r="U1" s="69"/>
    </row>
    <row r="2" spans="1:21" s="11" customFormat="1" ht="20.100000000000001" customHeight="1" x14ac:dyDescent="0.25">
      <c r="A2" s="69"/>
      <c r="B2" s="569"/>
      <c r="C2" s="569"/>
      <c r="D2" s="569"/>
      <c r="E2" s="569"/>
      <c r="F2" s="569"/>
      <c r="G2" s="569"/>
      <c r="H2" s="569"/>
      <c r="I2" s="569"/>
      <c r="J2" s="569"/>
      <c r="K2" s="569"/>
      <c r="L2" s="569"/>
      <c r="M2" s="569"/>
      <c r="N2" s="569"/>
      <c r="O2" s="569"/>
      <c r="P2" s="569"/>
      <c r="Q2" s="69"/>
      <c r="R2" s="69"/>
      <c r="S2" s="69"/>
      <c r="T2" s="69"/>
      <c r="U2" s="69"/>
    </row>
    <row r="3" spans="1:21" s="11" customFormat="1" ht="20.100000000000001" customHeight="1" x14ac:dyDescent="0.25">
      <c r="A3" s="69"/>
      <c r="B3" s="69"/>
      <c r="C3" s="69"/>
      <c r="D3" s="69"/>
      <c r="E3" s="69"/>
      <c r="F3" s="69"/>
      <c r="G3" s="69"/>
      <c r="H3" s="69"/>
      <c r="I3" s="69"/>
      <c r="J3" s="69"/>
      <c r="K3" s="69"/>
      <c r="L3" s="69"/>
      <c r="M3" s="69"/>
      <c r="N3" s="69"/>
      <c r="O3" s="69"/>
      <c r="P3" s="69"/>
      <c r="Q3" s="69"/>
      <c r="R3" s="69"/>
      <c r="S3" s="69"/>
      <c r="T3" s="69"/>
      <c r="U3" s="69"/>
    </row>
    <row r="4" spans="1:21" s="5" customFormat="1" ht="24.95" customHeight="1" x14ac:dyDescent="0.25">
      <c r="B4" s="1" t="s">
        <v>16</v>
      </c>
      <c r="D4" s="674" t="str">
        <f>'DADOS DA OBRA'!$B$13</f>
        <v>DEMOLIÇÃO DO RESERVATÓRIO EXISTENTE, EXECUÇÃO DE RESERVATÓRIO METÁLICO ELEVADO E REESTRUTURAÇÃO (COM AMPLIAÇÃO) DA REDE DE DISTRIBUIÇÃO DE ÁGUA TRATADA EXISTENTE NO MUNICÍPIO DE MATRINCHÃ</v>
      </c>
      <c r="E4" s="674"/>
      <c r="F4" s="674"/>
      <c r="G4" s="674"/>
      <c r="H4" s="674"/>
      <c r="I4" s="674"/>
      <c r="J4" s="674"/>
      <c r="K4" s="674"/>
      <c r="L4" s="674"/>
      <c r="M4" s="674"/>
      <c r="N4" s="3" t="s">
        <v>96</v>
      </c>
      <c r="O4" s="4" t="str">
        <f>+'DADOS DA OBRA'!$N$22</f>
        <v>04/11/2024</v>
      </c>
      <c r="R4" s="32"/>
      <c r="S4" s="32"/>
      <c r="T4" s="33"/>
      <c r="U4" s="33"/>
    </row>
    <row r="5" spans="1:21" s="5" customFormat="1" ht="20.100000000000001" customHeight="1" x14ac:dyDescent="0.25">
      <c r="B5" s="1" t="s">
        <v>18</v>
      </c>
      <c r="D5" s="2" t="str">
        <f>+""&amp;'DADOS DA OBRA'!$B$16&amp;", "&amp;'DADOS DA OBRA'!$B$19&amp;", "&amp;'DADOS DA OBRA'!$J$19&amp;", "&amp;'DADOS DA OBRA'!$P$19</f>
        <v>RUAS DIVERSAS, DIVERSOS, MATRINCHÃ, GO</v>
      </c>
      <c r="N5" s="3" t="s">
        <v>17</v>
      </c>
      <c r="O5" s="4" t="str">
        <f>'DADOS DA OBRA'!$N$25</f>
        <v>00</v>
      </c>
    </row>
    <row r="6" spans="1:21" s="5" customFormat="1" ht="20.100000000000001" customHeight="1" x14ac:dyDescent="0.25"/>
    <row r="7" spans="1:21" s="5" customFormat="1" ht="20.100000000000001" customHeight="1" x14ac:dyDescent="0.25">
      <c r="B7" s="1" t="s">
        <v>97</v>
      </c>
      <c r="D7" s="39" t="s">
        <v>55</v>
      </c>
      <c r="N7" s="3" t="s">
        <v>18</v>
      </c>
      <c r="O7" s="64" t="s">
        <v>281</v>
      </c>
    </row>
    <row r="8" spans="1:21" s="8" customFormat="1" ht="20.100000000000001" customHeight="1" thickBot="1" x14ac:dyDescent="0.3">
      <c r="A8" s="67"/>
      <c r="B8" s="52"/>
      <c r="C8" s="53"/>
      <c r="D8" s="9"/>
      <c r="E8" s="9"/>
      <c r="F8" s="9"/>
      <c r="G8" s="10"/>
      <c r="H8" s="10"/>
      <c r="I8" s="9"/>
      <c r="J8" s="67"/>
      <c r="K8" s="67"/>
      <c r="L8" s="67"/>
      <c r="M8" s="67"/>
      <c r="N8" s="67"/>
      <c r="O8" s="67"/>
      <c r="P8" s="67"/>
      <c r="Q8" s="67"/>
      <c r="R8" s="67"/>
      <c r="S8" s="67"/>
      <c r="T8" s="67"/>
      <c r="U8" s="67"/>
    </row>
    <row r="9" spans="1:21" ht="30" customHeight="1" thickBot="1" x14ac:dyDescent="0.3">
      <c r="B9" s="824" t="s">
        <v>178</v>
      </c>
      <c r="C9" s="825"/>
      <c r="D9" s="825"/>
      <c r="E9" s="825"/>
      <c r="F9" s="825"/>
      <c r="G9" s="143" t="s">
        <v>179</v>
      </c>
      <c r="H9" s="143" t="s">
        <v>180</v>
      </c>
      <c r="I9" s="143" t="s">
        <v>181</v>
      </c>
      <c r="J9" s="143" t="s">
        <v>182</v>
      </c>
      <c r="K9" s="143" t="s">
        <v>183</v>
      </c>
      <c r="L9" s="144" t="s">
        <v>184</v>
      </c>
      <c r="M9" s="145" t="s">
        <v>185</v>
      </c>
      <c r="N9" s="145" t="s">
        <v>186</v>
      </c>
      <c r="O9" s="146" t="s">
        <v>187</v>
      </c>
      <c r="Q9" s="119"/>
    </row>
    <row r="10" spans="1:21" s="83" customFormat="1" ht="17.45" customHeight="1" x14ac:dyDescent="0.25">
      <c r="B10" s="125" t="s">
        <v>188</v>
      </c>
      <c r="C10" s="126"/>
      <c r="D10" s="126"/>
      <c r="E10" s="126"/>
      <c r="F10" s="826" t="s">
        <v>673</v>
      </c>
      <c r="G10" s="826"/>
      <c r="H10" s="826"/>
      <c r="I10" s="826"/>
      <c r="J10" s="826"/>
      <c r="K10" s="127" t="s">
        <v>189</v>
      </c>
      <c r="L10" s="826"/>
      <c r="M10" s="826"/>
      <c r="N10" s="826"/>
      <c r="O10" s="827"/>
    </row>
    <row r="11" spans="1:21" s="83" customFormat="1" ht="17.45" customHeight="1" x14ac:dyDescent="0.25">
      <c r="B11" s="822">
        <v>1</v>
      </c>
      <c r="C11" s="823"/>
      <c r="D11" s="823"/>
      <c r="E11" s="823"/>
      <c r="F11" s="823"/>
      <c r="G11" s="86">
        <v>0.5</v>
      </c>
      <c r="H11" s="86">
        <v>0.75</v>
      </c>
      <c r="I11" s="86">
        <f t="shared" ref="I11:I13" si="0">+G11*H11</f>
        <v>0.375</v>
      </c>
      <c r="J11" s="86"/>
      <c r="K11" s="86">
        <f t="shared" ref="K11:K13" si="1">+I11-J11</f>
        <v>0.375</v>
      </c>
      <c r="L11" s="87">
        <v>2</v>
      </c>
      <c r="M11" s="86">
        <f>+K11*L11</f>
        <v>0.75</v>
      </c>
      <c r="N11" s="86"/>
      <c r="O11" s="121">
        <v>0</v>
      </c>
    </row>
    <row r="12" spans="1:21" s="83" customFormat="1" ht="17.45" customHeight="1" x14ac:dyDescent="0.25">
      <c r="B12" s="822"/>
      <c r="C12" s="823"/>
      <c r="D12" s="823"/>
      <c r="E12" s="823"/>
      <c r="F12" s="823"/>
      <c r="G12" s="86"/>
      <c r="H12" s="86"/>
      <c r="I12" s="86">
        <f t="shared" si="0"/>
        <v>0</v>
      </c>
      <c r="J12" s="86"/>
      <c r="K12" s="86">
        <f t="shared" si="1"/>
        <v>0</v>
      </c>
      <c r="L12" s="87"/>
      <c r="M12" s="86">
        <f>+K12*L12</f>
        <v>0</v>
      </c>
      <c r="N12" s="86">
        <f>+G12*L12</f>
        <v>0</v>
      </c>
      <c r="O12" s="121"/>
    </row>
    <row r="13" spans="1:21" s="83" customFormat="1" ht="17.45" customHeight="1" x14ac:dyDescent="0.25">
      <c r="B13" s="822"/>
      <c r="C13" s="823"/>
      <c r="D13" s="823"/>
      <c r="E13" s="823"/>
      <c r="F13" s="823"/>
      <c r="G13" s="86"/>
      <c r="H13" s="86"/>
      <c r="I13" s="86">
        <f t="shared" si="0"/>
        <v>0</v>
      </c>
      <c r="J13" s="86"/>
      <c r="K13" s="86">
        <f t="shared" si="1"/>
        <v>0</v>
      </c>
      <c r="L13" s="87"/>
      <c r="M13" s="86">
        <f t="shared" ref="M13" si="2">+K13*L13</f>
        <v>0</v>
      </c>
      <c r="N13" s="86">
        <f t="shared" ref="N13" si="3">+G13*L13</f>
        <v>0</v>
      </c>
      <c r="O13" s="121">
        <v>0</v>
      </c>
    </row>
    <row r="14" spans="1:21" s="83" customFormat="1" ht="17.45" customHeight="1" x14ac:dyDescent="0.25">
      <c r="B14" s="822"/>
      <c r="C14" s="823"/>
      <c r="D14" s="823"/>
      <c r="E14" s="823"/>
      <c r="F14" s="823"/>
      <c r="G14" s="86"/>
      <c r="H14" s="86"/>
      <c r="I14" s="86">
        <f>+G14*H14</f>
        <v>0</v>
      </c>
      <c r="J14" s="86"/>
      <c r="K14" s="86">
        <f>+I14-J14</f>
        <v>0</v>
      </c>
      <c r="L14" s="87"/>
      <c r="M14" s="86">
        <f>+K14*L14</f>
        <v>0</v>
      </c>
      <c r="N14" s="86">
        <f>+G14*L14</f>
        <v>0</v>
      </c>
      <c r="O14" s="121">
        <f>+G14*L14</f>
        <v>0</v>
      </c>
    </row>
    <row r="15" spans="1:21" s="83" customFormat="1" ht="17.45" customHeight="1" thickBot="1" x14ac:dyDescent="0.3">
      <c r="B15" s="829"/>
      <c r="C15" s="830"/>
      <c r="D15" s="830"/>
      <c r="E15" s="830"/>
      <c r="F15" s="830"/>
      <c r="G15" s="84"/>
      <c r="H15" s="84"/>
      <c r="I15" s="84"/>
      <c r="J15" s="84"/>
      <c r="K15" s="84"/>
      <c r="L15" s="85"/>
      <c r="M15" s="84"/>
      <c r="N15" s="84"/>
      <c r="O15" s="122"/>
    </row>
    <row r="16" spans="1:21" s="83" customFormat="1" ht="17.45" customHeight="1" thickBot="1" x14ac:dyDescent="0.3">
      <c r="B16" s="831" t="s">
        <v>39</v>
      </c>
      <c r="C16" s="832"/>
      <c r="D16" s="832"/>
      <c r="E16" s="832"/>
      <c r="F16" s="832"/>
      <c r="G16" s="832"/>
      <c r="H16" s="832"/>
      <c r="I16" s="832"/>
      <c r="J16" s="832"/>
      <c r="K16" s="832"/>
      <c r="L16" s="832"/>
      <c r="M16" s="123">
        <f>SUM(M11:M15)</f>
        <v>0.75</v>
      </c>
      <c r="N16" s="123">
        <f>SUM(N11:N15)</f>
        <v>0</v>
      </c>
      <c r="O16" s="124">
        <f>SUM(O11:O15)</f>
        <v>0</v>
      </c>
    </row>
    <row r="17" spans="2:28" s="88" customFormat="1" ht="30" customHeight="1" x14ac:dyDescent="0.25">
      <c r="B17" s="793"/>
      <c r="C17" s="793"/>
      <c r="D17" s="9"/>
      <c r="E17" s="9"/>
      <c r="F17" s="9"/>
      <c r="G17" s="9"/>
      <c r="H17" s="9"/>
      <c r="I17" s="9"/>
      <c r="J17" s="9"/>
      <c r="K17" s="9"/>
      <c r="L17" s="9"/>
      <c r="M17" s="9"/>
      <c r="N17" s="9"/>
      <c r="O17" s="9"/>
      <c r="T17" s="9"/>
      <c r="U17" s="9"/>
    </row>
    <row r="18" spans="2:28" s="89" customFormat="1" ht="20.100000000000001" customHeight="1" x14ac:dyDescent="0.25">
      <c r="B18" s="746" t="s">
        <v>334</v>
      </c>
      <c r="C18" s="746"/>
      <c r="D18" s="746"/>
      <c r="E18" s="746"/>
      <c r="F18" s="746"/>
      <c r="G18" s="746"/>
      <c r="H18" s="746"/>
      <c r="I18" s="746"/>
      <c r="J18" s="746"/>
      <c r="K18" s="746"/>
      <c r="L18" s="746"/>
      <c r="V18" s="90"/>
    </row>
    <row r="19" spans="2:28" s="89" customFormat="1" ht="20.100000000000001" customHeight="1" x14ac:dyDescent="0.25">
      <c r="B19" s="31" t="s">
        <v>218</v>
      </c>
      <c r="D19" s="828" t="s">
        <v>675</v>
      </c>
      <c r="E19" s="828"/>
      <c r="F19" s="828"/>
      <c r="G19" s="31" t="s">
        <v>674</v>
      </c>
      <c r="H19" s="31"/>
      <c r="I19" s="31"/>
      <c r="J19" s="31"/>
      <c r="N19" s="194" t="s">
        <v>222</v>
      </c>
      <c r="O19" s="194">
        <f>+M16</f>
        <v>0.75</v>
      </c>
      <c r="Q19" s="193"/>
      <c r="R19" s="195"/>
      <c r="U19" s="193"/>
      <c r="X19" s="194" t="s">
        <v>222</v>
      </c>
      <c r="Y19" s="221">
        <f>+W16</f>
        <v>0</v>
      </c>
      <c r="AA19" s="194"/>
      <c r="AB19" s="199"/>
    </row>
    <row r="20" spans="2:28" ht="9.9499999999999993" customHeight="1" x14ac:dyDescent="0.25"/>
    <row r="21" spans="2:28" ht="9.9499999999999993" customHeight="1" x14ac:dyDescent="0.25"/>
  </sheetData>
  <mergeCells count="14">
    <mergeCell ref="D19:F19"/>
    <mergeCell ref="B13:F13"/>
    <mergeCell ref="B14:F14"/>
    <mergeCell ref="B15:F15"/>
    <mergeCell ref="B16:L16"/>
    <mergeCell ref="B17:C17"/>
    <mergeCell ref="B18:L18"/>
    <mergeCell ref="B12:F12"/>
    <mergeCell ref="B1:P2"/>
    <mergeCell ref="B9:F9"/>
    <mergeCell ref="F10:J10"/>
    <mergeCell ref="L10:O10"/>
    <mergeCell ref="B11:F11"/>
    <mergeCell ref="D4:M4"/>
  </mergeCells>
  <printOptions horizontalCentered="1"/>
  <pageMargins left="0.51181102362204722" right="0.51181102362204722" top="0.78740157480314965" bottom="0.78740157480314965" header="0.31496062992125984" footer="0.31496062992125984"/>
  <pageSetup paperSize="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D21"/>
  <sheetViews>
    <sheetView showGridLines="0" view="pageBreakPreview" zoomScaleNormal="70" zoomScaleSheetLayoutView="100" workbookViewId="0">
      <selection activeCell="Q14" sqref="Q14:Q15"/>
    </sheetView>
  </sheetViews>
  <sheetFormatPr defaultRowHeight="12.75" x14ac:dyDescent="0.25"/>
  <cols>
    <col min="1" max="1" width="1.7109375" style="30" customWidth="1"/>
    <col min="2" max="2" width="8.85546875" style="30" customWidth="1"/>
    <col min="3" max="3" width="11.140625" style="30" customWidth="1"/>
    <col min="4" max="11" width="3.7109375" style="30" customWidth="1"/>
    <col min="12" max="12" width="5.28515625" style="30" customWidth="1"/>
    <col min="13" max="14" width="3.7109375" style="30" customWidth="1"/>
    <col min="15" max="15" width="16.85546875" style="31" customWidth="1"/>
    <col min="16" max="17" width="10.28515625" style="30" customWidth="1"/>
    <col min="18" max="18" width="10.7109375" style="30" customWidth="1"/>
    <col min="19" max="19" width="9.85546875" style="30" customWidth="1"/>
    <col min="20" max="20" width="10.7109375" style="139" customWidth="1"/>
    <col min="21" max="21" width="7.5703125" style="30" customWidth="1"/>
    <col min="22" max="22" width="8.85546875" style="30" customWidth="1"/>
    <col min="23" max="23" width="10.28515625" style="30" customWidth="1"/>
    <col min="24" max="25" width="10.7109375" style="30" customWidth="1"/>
    <col min="26" max="26" width="1.7109375" style="30" customWidth="1"/>
    <col min="27" max="16384" width="9.140625" style="30"/>
  </cols>
  <sheetData>
    <row r="1" spans="1:30" s="11" customFormat="1" ht="20.100000000000001" customHeight="1" x14ac:dyDescent="0.25">
      <c r="A1" s="69"/>
      <c r="B1" s="569" t="s">
        <v>133</v>
      </c>
      <c r="C1" s="569"/>
      <c r="D1" s="569"/>
      <c r="E1" s="569"/>
      <c r="F1" s="569"/>
      <c r="G1" s="569"/>
      <c r="H1" s="569"/>
      <c r="I1" s="569"/>
      <c r="J1" s="569"/>
      <c r="K1" s="569"/>
      <c r="L1" s="569"/>
      <c r="M1" s="569"/>
      <c r="N1" s="569"/>
      <c r="O1" s="569"/>
      <c r="P1" s="569"/>
      <c r="Q1" s="569"/>
      <c r="R1" s="569"/>
      <c r="S1" s="569"/>
      <c r="T1" s="569"/>
      <c r="U1" s="569"/>
      <c r="V1" s="569"/>
      <c r="W1" s="569"/>
      <c r="X1" s="569"/>
      <c r="Y1" s="569"/>
      <c r="Z1" s="69"/>
      <c r="AA1" s="69"/>
      <c r="AB1" s="69"/>
      <c r="AC1" s="69"/>
      <c r="AD1" s="69"/>
    </row>
    <row r="2" spans="1:30" s="11" customFormat="1" ht="20.100000000000001" customHeight="1" x14ac:dyDescent="0.25">
      <c r="A2" s="69"/>
      <c r="B2" s="569"/>
      <c r="C2" s="569"/>
      <c r="D2" s="569"/>
      <c r="E2" s="569"/>
      <c r="F2" s="569"/>
      <c r="G2" s="569"/>
      <c r="H2" s="569"/>
      <c r="I2" s="569"/>
      <c r="J2" s="569"/>
      <c r="K2" s="569"/>
      <c r="L2" s="569"/>
      <c r="M2" s="569"/>
      <c r="N2" s="569"/>
      <c r="O2" s="569"/>
      <c r="P2" s="569"/>
      <c r="Q2" s="569"/>
      <c r="R2" s="569"/>
      <c r="S2" s="569"/>
      <c r="T2" s="569"/>
      <c r="U2" s="569"/>
      <c r="V2" s="569"/>
      <c r="W2" s="569"/>
      <c r="X2" s="569"/>
      <c r="Y2" s="569"/>
      <c r="Z2" s="69"/>
      <c r="AA2" s="69"/>
      <c r="AB2" s="69"/>
      <c r="AC2" s="69"/>
      <c r="AD2" s="69"/>
    </row>
    <row r="3" spans="1:30" s="11" customFormat="1" ht="20.100000000000001" customHeight="1" x14ac:dyDescent="0.25">
      <c r="A3" s="69"/>
      <c r="B3" s="69"/>
      <c r="C3" s="69"/>
      <c r="D3" s="69"/>
      <c r="E3" s="69"/>
      <c r="F3" s="69"/>
      <c r="G3" s="69"/>
      <c r="H3" s="69"/>
      <c r="I3" s="69"/>
      <c r="J3" s="69"/>
      <c r="K3" s="69"/>
      <c r="L3" s="69"/>
      <c r="M3" s="69"/>
      <c r="N3" s="69"/>
      <c r="O3" s="69"/>
      <c r="P3" s="69"/>
      <c r="Q3" s="69"/>
      <c r="R3" s="69"/>
      <c r="S3" s="69"/>
      <c r="T3" s="181"/>
      <c r="U3" s="69"/>
      <c r="V3" s="69"/>
      <c r="W3" s="69"/>
      <c r="X3" s="69"/>
      <c r="Y3" s="69"/>
      <c r="Z3" s="69"/>
      <c r="AA3" s="69"/>
      <c r="AB3" s="69"/>
      <c r="AC3" s="69"/>
      <c r="AD3" s="69"/>
    </row>
    <row r="4" spans="1:30"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674"/>
      <c r="W4" s="674"/>
      <c r="X4" s="3" t="s">
        <v>96</v>
      </c>
      <c r="Y4" s="4" t="str">
        <f>+'DADOS DA OBRA'!$N$22</f>
        <v>04/11/2024</v>
      </c>
      <c r="AA4" s="32"/>
      <c r="AB4" s="32"/>
      <c r="AC4" s="33"/>
      <c r="AD4" s="33"/>
    </row>
    <row r="5" spans="1:30" s="5" customFormat="1" ht="20.100000000000001" customHeight="1" x14ac:dyDescent="0.25">
      <c r="B5" s="1" t="s">
        <v>18</v>
      </c>
      <c r="C5" s="2" t="str">
        <f>+""&amp;'DADOS DA OBRA'!$B$16&amp;", "&amp;'DADOS DA OBRA'!$B$19&amp;", "&amp;'DADOS DA OBRA'!$J$19&amp;", "&amp;'DADOS DA OBRA'!$P$19</f>
        <v>RUAS DIVERSAS, DIVERSOS, MATRINCHÃ, GO</v>
      </c>
      <c r="D5" s="1"/>
      <c r="E5" s="1"/>
      <c r="F5" s="1"/>
      <c r="G5" s="1"/>
      <c r="H5" s="1"/>
      <c r="I5" s="1"/>
      <c r="J5" s="1"/>
      <c r="K5" s="1"/>
      <c r="T5" s="50"/>
      <c r="X5" s="3" t="s">
        <v>17</v>
      </c>
      <c r="Y5" s="4" t="str">
        <f>'DADOS DA OBRA'!$N$25</f>
        <v>00</v>
      </c>
    </row>
    <row r="6" spans="1:30" s="5" customFormat="1" ht="20.100000000000001" customHeight="1" x14ac:dyDescent="0.25">
      <c r="D6" s="1"/>
      <c r="E6" s="1"/>
      <c r="F6" s="1"/>
      <c r="G6" s="1"/>
      <c r="H6" s="1"/>
      <c r="I6" s="1"/>
      <c r="J6" s="1"/>
      <c r="K6" s="1"/>
      <c r="T6" s="50"/>
    </row>
    <row r="7" spans="1:30" s="5" customFormat="1" ht="20.100000000000001" customHeight="1" x14ac:dyDescent="0.25">
      <c r="B7" s="1" t="s">
        <v>97</v>
      </c>
      <c r="C7" s="39" t="s">
        <v>56</v>
      </c>
      <c r="D7" s="1"/>
      <c r="E7" s="1"/>
      <c r="F7" s="1"/>
      <c r="G7" s="1"/>
      <c r="H7" s="1"/>
      <c r="I7" s="1"/>
      <c r="J7" s="1"/>
      <c r="K7" s="1"/>
      <c r="T7" s="50"/>
      <c r="X7" s="3" t="s">
        <v>18</v>
      </c>
      <c r="Y7" s="64" t="s">
        <v>281</v>
      </c>
      <c r="AA7" s="3"/>
    </row>
    <row r="8" spans="1:30" s="8" customFormat="1" ht="20.100000000000001" customHeight="1" thickBot="1" x14ac:dyDescent="0.3">
      <c r="A8" s="67"/>
      <c r="B8" s="52"/>
      <c r="C8" s="52"/>
      <c r="D8" s="52"/>
      <c r="E8" s="52"/>
      <c r="F8" s="52"/>
      <c r="G8" s="52"/>
      <c r="H8" s="52"/>
      <c r="I8" s="52"/>
      <c r="J8" s="52"/>
      <c r="K8" s="52"/>
      <c r="L8" s="53"/>
      <c r="M8" s="9"/>
      <c r="N8" s="9"/>
      <c r="O8" s="9"/>
      <c r="P8" s="10"/>
      <c r="Q8" s="10"/>
      <c r="R8" s="9"/>
      <c r="S8" s="67"/>
      <c r="T8" s="164"/>
      <c r="U8" s="67"/>
      <c r="V8" s="67"/>
      <c r="W8" s="67"/>
      <c r="X8" s="67"/>
      <c r="Y8" s="67"/>
      <c r="Z8" s="67"/>
      <c r="AA8" s="67"/>
      <c r="AB8" s="67"/>
      <c r="AC8" s="67"/>
      <c r="AD8" s="67"/>
    </row>
    <row r="9" spans="1:30" s="8" customFormat="1" ht="20.100000000000001" customHeight="1" x14ac:dyDescent="0.25">
      <c r="A9" s="67"/>
      <c r="B9" s="839" t="s">
        <v>191</v>
      </c>
      <c r="C9" s="840"/>
      <c r="D9" s="840"/>
      <c r="E9" s="840"/>
      <c r="F9" s="840"/>
      <c r="G9" s="840"/>
      <c r="H9" s="840"/>
      <c r="I9" s="840"/>
      <c r="J9" s="840"/>
      <c r="K9" s="840"/>
      <c r="L9" s="841"/>
      <c r="M9" s="841"/>
      <c r="N9" s="841"/>
      <c r="O9" s="841"/>
      <c r="P9" s="845" t="s">
        <v>192</v>
      </c>
      <c r="Q9" s="845"/>
      <c r="R9" s="845" t="s">
        <v>78</v>
      </c>
      <c r="S9" s="845" t="s">
        <v>193</v>
      </c>
      <c r="T9" s="845" t="s">
        <v>194</v>
      </c>
      <c r="U9" s="845"/>
      <c r="V9" s="845"/>
      <c r="W9" s="845" t="s">
        <v>195</v>
      </c>
      <c r="X9" s="845" t="s">
        <v>196</v>
      </c>
      <c r="Y9" s="847" t="s">
        <v>197</v>
      </c>
      <c r="Z9" s="67"/>
      <c r="AA9" s="67"/>
      <c r="AB9" s="67"/>
      <c r="AC9" s="67"/>
      <c r="AD9" s="67"/>
    </row>
    <row r="10" spans="1:30" s="8" customFormat="1" ht="20.100000000000001" customHeight="1" thickBot="1" x14ac:dyDescent="0.3">
      <c r="A10" s="67"/>
      <c r="B10" s="842"/>
      <c r="C10" s="843"/>
      <c r="D10" s="843"/>
      <c r="E10" s="843"/>
      <c r="F10" s="843"/>
      <c r="G10" s="843"/>
      <c r="H10" s="843"/>
      <c r="I10" s="843"/>
      <c r="J10" s="843"/>
      <c r="K10" s="843"/>
      <c r="L10" s="844"/>
      <c r="M10" s="844"/>
      <c r="N10" s="844"/>
      <c r="O10" s="844"/>
      <c r="P10" s="147" t="s">
        <v>198</v>
      </c>
      <c r="Q10" s="147" t="s">
        <v>199</v>
      </c>
      <c r="R10" s="846"/>
      <c r="S10" s="846"/>
      <c r="T10" s="147" t="s">
        <v>77</v>
      </c>
      <c r="U10" s="147" t="s">
        <v>200</v>
      </c>
      <c r="V10" s="147" t="s">
        <v>193</v>
      </c>
      <c r="W10" s="846"/>
      <c r="X10" s="846"/>
      <c r="Y10" s="848"/>
      <c r="Z10" s="67"/>
      <c r="AA10" s="67"/>
      <c r="AB10" s="67"/>
      <c r="AC10" s="67"/>
      <c r="AD10" s="67"/>
    </row>
    <row r="11" spans="1:30" s="8" customFormat="1" ht="24.95" customHeight="1" x14ac:dyDescent="0.25">
      <c r="B11" s="849" t="s">
        <v>201</v>
      </c>
      <c r="C11" s="850"/>
      <c r="D11" s="850"/>
      <c r="E11" s="850"/>
      <c r="F11" s="850"/>
      <c r="G11" s="850"/>
      <c r="H11" s="850"/>
      <c r="I11" s="850"/>
      <c r="J11" s="850"/>
      <c r="K11" s="850"/>
      <c r="L11" s="851"/>
      <c r="M11" s="851"/>
      <c r="N11" s="851"/>
      <c r="O11" s="851"/>
      <c r="P11" s="128"/>
      <c r="Q11" s="128"/>
      <c r="R11" s="128"/>
      <c r="S11" s="129"/>
      <c r="T11" s="128"/>
      <c r="U11" s="128"/>
      <c r="V11" s="128"/>
      <c r="W11" s="128"/>
      <c r="X11" s="129"/>
      <c r="Y11" s="130"/>
    </row>
    <row r="12" spans="1:30" s="8" customFormat="1" ht="24.95" customHeight="1" x14ac:dyDescent="0.25">
      <c r="B12" s="216" t="s">
        <v>247</v>
      </c>
      <c r="C12" s="219" t="s">
        <v>332</v>
      </c>
      <c r="D12" s="217" t="s">
        <v>333</v>
      </c>
      <c r="E12" s="215"/>
      <c r="F12" s="215"/>
      <c r="G12" s="215"/>
      <c r="H12" s="215"/>
      <c r="I12" s="215"/>
      <c r="J12" s="215"/>
      <c r="K12" s="215"/>
      <c r="L12" s="215"/>
      <c r="M12" s="215"/>
      <c r="N12" s="215"/>
      <c r="O12" s="214"/>
      <c r="P12" s="128">
        <v>2.85</v>
      </c>
      <c r="Q12" s="128">
        <v>1.6</v>
      </c>
      <c r="R12" s="128">
        <v>2</v>
      </c>
      <c r="S12" s="129">
        <f>+P12*Q12*R12</f>
        <v>9.120000000000001</v>
      </c>
      <c r="T12" s="128"/>
      <c r="U12" s="128"/>
      <c r="V12" s="128"/>
      <c r="W12" s="129">
        <f>+S12*3</f>
        <v>27.360000000000003</v>
      </c>
      <c r="X12" s="129">
        <v>0</v>
      </c>
      <c r="Y12" s="130">
        <v>0</v>
      </c>
    </row>
    <row r="13" spans="1:30" s="8" customFormat="1" ht="24.95" customHeight="1" x14ac:dyDescent="0.25">
      <c r="B13" s="216" t="s">
        <v>218</v>
      </c>
      <c r="C13" s="218" t="s">
        <v>331</v>
      </c>
      <c r="D13" s="217" t="s">
        <v>330</v>
      </c>
      <c r="E13" s="215"/>
      <c r="F13" s="215"/>
      <c r="G13" s="215"/>
      <c r="H13" s="215"/>
      <c r="I13" s="215"/>
      <c r="J13" s="215"/>
      <c r="K13" s="215"/>
      <c r="L13" s="215"/>
      <c r="M13" s="215"/>
      <c r="N13" s="215"/>
      <c r="O13" s="214"/>
      <c r="P13" s="128">
        <v>0.2</v>
      </c>
      <c r="Q13" s="128">
        <v>0.2</v>
      </c>
      <c r="R13" s="129">
        <v>1</v>
      </c>
      <c r="S13" s="128">
        <f>+P13*Q13*R13</f>
        <v>4.0000000000000008E-2</v>
      </c>
      <c r="T13" s="128"/>
      <c r="U13" s="128"/>
      <c r="V13" s="128"/>
      <c r="W13" s="129">
        <f>+S13*3</f>
        <v>0.12000000000000002</v>
      </c>
      <c r="X13" s="129">
        <v>0</v>
      </c>
      <c r="Y13" s="130">
        <v>0</v>
      </c>
    </row>
    <row r="14" spans="1:30" s="8" customFormat="1" ht="24.95" customHeight="1" x14ac:dyDescent="0.25">
      <c r="B14" s="216" t="s">
        <v>218</v>
      </c>
      <c r="C14" s="218" t="s">
        <v>646</v>
      </c>
      <c r="D14" s="217" t="s">
        <v>645</v>
      </c>
      <c r="E14" s="215"/>
      <c r="F14" s="215"/>
      <c r="G14" s="215"/>
      <c r="H14" s="215"/>
      <c r="I14" s="215"/>
      <c r="J14" s="215"/>
      <c r="K14" s="215"/>
      <c r="L14" s="215"/>
      <c r="M14" s="215"/>
      <c r="N14" s="215"/>
      <c r="O14" s="214"/>
      <c r="P14" s="128">
        <v>1.6</v>
      </c>
      <c r="Q14" s="128"/>
      <c r="R14" s="129">
        <v>2</v>
      </c>
      <c r="S14" s="128">
        <f>+P14*R14</f>
        <v>3.2</v>
      </c>
      <c r="T14" s="128"/>
      <c r="U14" s="128"/>
      <c r="V14" s="128"/>
      <c r="W14" s="129"/>
      <c r="X14" s="129">
        <v>0</v>
      </c>
      <c r="Y14" s="130">
        <v>0</v>
      </c>
    </row>
    <row r="15" spans="1:30" s="8" customFormat="1" ht="24.95" customHeight="1" x14ac:dyDescent="0.25">
      <c r="B15" s="836"/>
      <c r="C15" s="837"/>
      <c r="D15" s="837"/>
      <c r="E15" s="837"/>
      <c r="F15" s="837"/>
      <c r="G15" s="837"/>
      <c r="H15" s="837"/>
      <c r="I15" s="837"/>
      <c r="J15" s="837"/>
      <c r="K15" s="837"/>
      <c r="L15" s="838"/>
      <c r="M15" s="838"/>
      <c r="N15" s="838"/>
      <c r="O15" s="838"/>
      <c r="P15" s="140"/>
      <c r="Q15" s="140"/>
      <c r="R15" s="140"/>
      <c r="S15" s="134"/>
      <c r="T15" s="141"/>
      <c r="U15" s="140"/>
      <c r="V15" s="142"/>
      <c r="W15" s="131"/>
      <c r="X15" s="132"/>
      <c r="Y15" s="133"/>
    </row>
    <row r="16" spans="1:30" s="66" customFormat="1" ht="24.95" customHeight="1" thickBot="1" x14ac:dyDescent="0.3">
      <c r="B16" s="833"/>
      <c r="C16" s="834"/>
      <c r="D16" s="834"/>
      <c r="E16" s="834"/>
      <c r="F16" s="834"/>
      <c r="G16" s="834"/>
      <c r="H16" s="834"/>
      <c r="I16" s="834"/>
      <c r="J16" s="834"/>
      <c r="K16" s="834"/>
      <c r="L16" s="835"/>
      <c r="M16" s="835"/>
      <c r="N16" s="835"/>
      <c r="O16" s="835"/>
      <c r="P16" s="136"/>
      <c r="Q16" s="136"/>
      <c r="R16" s="136"/>
      <c r="S16" s="136"/>
      <c r="T16" s="136"/>
      <c r="U16" s="136"/>
      <c r="V16" s="136"/>
      <c r="W16" s="137">
        <f>SUM(W11:W15)</f>
        <v>27.480000000000004</v>
      </c>
      <c r="X16" s="137">
        <f>SUM(X11:X15)</f>
        <v>0</v>
      </c>
      <c r="Y16" s="138">
        <f>SUM(Y11:Y15)</f>
        <v>0</v>
      </c>
    </row>
    <row r="17" spans="2:28" s="88" customFormat="1" ht="30" customHeight="1" x14ac:dyDescent="0.25">
      <c r="B17" s="793"/>
      <c r="C17" s="793"/>
      <c r="D17" s="9"/>
      <c r="E17" s="9"/>
      <c r="F17" s="9"/>
      <c r="G17" s="9"/>
      <c r="H17" s="9"/>
      <c r="I17" s="9"/>
      <c r="J17" s="9"/>
      <c r="K17" s="9"/>
      <c r="L17" s="9"/>
      <c r="M17" s="9"/>
      <c r="N17" s="9"/>
      <c r="O17" s="9"/>
      <c r="T17" s="9"/>
      <c r="U17" s="9"/>
    </row>
    <row r="18" spans="2:28" s="89" customFormat="1" ht="20.100000000000001" customHeight="1" x14ac:dyDescent="0.25">
      <c r="B18" s="746" t="s">
        <v>334</v>
      </c>
      <c r="C18" s="746"/>
      <c r="D18" s="746"/>
      <c r="E18" s="746"/>
      <c r="F18" s="746"/>
      <c r="G18" s="746"/>
      <c r="H18" s="746"/>
      <c r="I18" s="746"/>
      <c r="J18" s="746"/>
      <c r="K18" s="746"/>
      <c r="L18" s="746"/>
      <c r="V18" s="90"/>
    </row>
    <row r="19" spans="2:28" s="89" customFormat="1" ht="20.100000000000001" customHeight="1" x14ac:dyDescent="0.25">
      <c r="B19" s="31" t="s">
        <v>218</v>
      </c>
      <c r="C19" s="200">
        <v>261602</v>
      </c>
      <c r="D19" s="31" t="s">
        <v>335</v>
      </c>
      <c r="F19" s="31"/>
      <c r="G19" s="31"/>
      <c r="H19" s="31"/>
      <c r="I19" s="31"/>
      <c r="J19" s="31"/>
      <c r="Q19" s="193"/>
      <c r="R19" s="195"/>
      <c r="U19" s="193"/>
      <c r="X19" s="194" t="s">
        <v>222</v>
      </c>
      <c r="Y19" s="221">
        <f>+W16</f>
        <v>27.480000000000004</v>
      </c>
      <c r="AA19" s="194"/>
      <c r="AB19" s="199"/>
    </row>
    <row r="20" spans="2:28" s="89" customFormat="1" ht="20.100000000000001" customHeight="1" x14ac:dyDescent="0.25">
      <c r="B20" s="31"/>
      <c r="C20" s="200"/>
      <c r="D20" s="31"/>
      <c r="F20" s="31"/>
      <c r="G20" s="31"/>
      <c r="H20" s="31"/>
      <c r="I20" s="31"/>
      <c r="J20" s="31"/>
      <c r="Q20" s="194"/>
      <c r="R20" s="195"/>
      <c r="U20" s="193"/>
      <c r="X20" s="194"/>
      <c r="AA20" s="194"/>
      <c r="AB20" s="199"/>
    </row>
    <row r="21" spans="2:28" s="89" customFormat="1" ht="20.100000000000001" customHeight="1" x14ac:dyDescent="0.25">
      <c r="B21" s="31"/>
      <c r="C21" s="200"/>
      <c r="D21" s="31"/>
      <c r="F21" s="31"/>
      <c r="G21" s="31"/>
      <c r="H21" s="31"/>
      <c r="I21" s="31"/>
      <c r="J21" s="31"/>
      <c r="Q21" s="194"/>
      <c r="R21" s="195"/>
      <c r="U21" s="193"/>
      <c r="X21" s="194"/>
      <c r="AA21" s="194"/>
      <c r="AB21" s="199"/>
    </row>
  </sheetData>
  <mergeCells count="15">
    <mergeCell ref="B17:C17"/>
    <mergeCell ref="B18:L18"/>
    <mergeCell ref="B16:O16"/>
    <mergeCell ref="B15:O15"/>
    <mergeCell ref="B1:Y2"/>
    <mergeCell ref="B9:O10"/>
    <mergeCell ref="P9:Q9"/>
    <mergeCell ref="R9:R10"/>
    <mergeCell ref="S9:S10"/>
    <mergeCell ref="T9:V9"/>
    <mergeCell ref="W9:W10"/>
    <mergeCell ref="X9:X10"/>
    <mergeCell ref="Y9:Y10"/>
    <mergeCell ref="B11:O11"/>
    <mergeCell ref="C4:W4"/>
  </mergeCells>
  <printOptions horizontalCentered="1"/>
  <pageMargins left="0.51181102362204722" right="0.51181102362204722" top="0.78740157480314965" bottom="0.78740157480314965" header="0.31496062992125984" footer="0.31496062992125984"/>
  <pageSetup paperSize="9" scale="74"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D172D-C600-4A65-AD34-D1F1B6022495}">
  <dimension ref="A1:AJ26"/>
  <sheetViews>
    <sheetView showGridLines="0" view="pageBreakPreview" zoomScaleNormal="70" zoomScaleSheetLayoutView="100" workbookViewId="0">
      <selection activeCell="Q14" sqref="Q14:Q15"/>
    </sheetView>
  </sheetViews>
  <sheetFormatPr defaultRowHeight="12.75" x14ac:dyDescent="0.25"/>
  <cols>
    <col min="1" max="1" width="1.7109375" style="30" customWidth="1"/>
    <col min="2" max="2" width="9.140625" style="30" customWidth="1"/>
    <col min="3" max="3" width="8.140625" style="30" customWidth="1"/>
    <col min="4" max="9" width="3.7109375" style="30" customWidth="1"/>
    <col min="10" max="10" width="5.28515625" style="30" customWidth="1"/>
    <col min="11" max="12" width="3.7109375" style="30" customWidth="1"/>
    <col min="13" max="13" width="16" style="31" customWidth="1"/>
    <col min="14" max="15" width="10.7109375" style="30" customWidth="1"/>
    <col min="16" max="16" width="10.85546875" style="30" customWidth="1"/>
    <col min="17" max="23" width="10.7109375" style="30" customWidth="1"/>
    <col min="24" max="24" width="3.5703125" style="159" customWidth="1"/>
    <col min="25" max="25" width="1.7109375" style="30" customWidth="1"/>
    <col min="26" max="16384" width="9.140625" style="30"/>
  </cols>
  <sheetData>
    <row r="1" spans="1:29" s="11" customFormat="1" ht="20.100000000000001" customHeight="1" x14ac:dyDescent="0.25">
      <c r="A1" s="69"/>
      <c r="B1" s="569" t="s">
        <v>133</v>
      </c>
      <c r="C1" s="569"/>
      <c r="D1" s="569"/>
      <c r="E1" s="569"/>
      <c r="F1" s="569"/>
      <c r="G1" s="569"/>
      <c r="H1" s="569"/>
      <c r="I1" s="569"/>
      <c r="J1" s="569"/>
      <c r="K1" s="569"/>
      <c r="L1" s="569"/>
      <c r="M1" s="569"/>
      <c r="N1" s="569"/>
      <c r="O1" s="569"/>
      <c r="P1" s="569"/>
      <c r="Q1" s="569"/>
      <c r="R1" s="569"/>
      <c r="S1" s="569"/>
      <c r="T1" s="569"/>
      <c r="U1" s="569"/>
      <c r="V1" s="569"/>
      <c r="W1" s="569"/>
      <c r="X1" s="569"/>
      <c r="Y1" s="69"/>
      <c r="Z1" s="69"/>
      <c r="AA1" s="69"/>
      <c r="AB1" s="69"/>
      <c r="AC1" s="69"/>
    </row>
    <row r="2" spans="1:29" s="11" customFormat="1" ht="20.100000000000001" customHeight="1" x14ac:dyDescent="0.25">
      <c r="A2" s="69"/>
      <c r="B2" s="569"/>
      <c r="C2" s="569"/>
      <c r="D2" s="569"/>
      <c r="E2" s="569"/>
      <c r="F2" s="569"/>
      <c r="G2" s="569"/>
      <c r="H2" s="569"/>
      <c r="I2" s="569"/>
      <c r="J2" s="569"/>
      <c r="K2" s="569"/>
      <c r="L2" s="569"/>
      <c r="M2" s="569"/>
      <c r="N2" s="569"/>
      <c r="O2" s="569"/>
      <c r="P2" s="569"/>
      <c r="Q2" s="569"/>
      <c r="R2" s="569"/>
      <c r="S2" s="569"/>
      <c r="T2" s="569"/>
      <c r="U2" s="569"/>
      <c r="V2" s="569"/>
      <c r="W2" s="569"/>
      <c r="X2" s="569"/>
      <c r="Y2" s="69"/>
      <c r="Z2" s="69"/>
      <c r="AA2" s="69"/>
      <c r="AB2" s="69"/>
      <c r="AC2" s="69"/>
    </row>
    <row r="3" spans="1:29" s="11" customFormat="1" ht="20.100000000000001" customHeight="1" x14ac:dyDescent="0.25">
      <c r="A3" s="69"/>
      <c r="B3" s="69"/>
      <c r="C3" s="69"/>
      <c r="D3" s="69"/>
      <c r="E3" s="69"/>
      <c r="F3" s="69"/>
      <c r="G3" s="69"/>
      <c r="H3" s="69"/>
      <c r="I3" s="69"/>
      <c r="J3" s="69"/>
      <c r="K3" s="69"/>
      <c r="L3" s="69"/>
      <c r="M3" s="69"/>
      <c r="N3" s="69"/>
      <c r="O3" s="69"/>
      <c r="P3" s="69"/>
      <c r="Q3" s="69"/>
      <c r="R3" s="69"/>
      <c r="S3" s="69"/>
      <c r="T3" s="69"/>
      <c r="U3" s="69"/>
      <c r="V3" s="69"/>
      <c r="W3" s="69"/>
      <c r="X3" s="181"/>
      <c r="Y3" s="69"/>
      <c r="Z3" s="69"/>
      <c r="AA3" s="69"/>
      <c r="AB3" s="69"/>
      <c r="AC3" s="69"/>
    </row>
    <row r="4" spans="1:29"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3" t="s">
        <v>96</v>
      </c>
      <c r="W4" s="4" t="str">
        <f>+'DADOS DA OBRA'!$N$22</f>
        <v>04/11/2024</v>
      </c>
      <c r="X4" s="50"/>
      <c r="Z4" s="32"/>
      <c r="AA4" s="32"/>
      <c r="AB4" s="33"/>
      <c r="AC4" s="33"/>
    </row>
    <row r="5" spans="1:29" s="5" customFormat="1" ht="20.100000000000001" customHeight="1" x14ac:dyDescent="0.25">
      <c r="B5" s="1" t="s">
        <v>18</v>
      </c>
      <c r="C5" s="2" t="str">
        <f>+""&amp;'DADOS DA OBRA'!$B$16&amp;", "&amp;'DADOS DA OBRA'!$B$19&amp;", "&amp;'DADOS DA OBRA'!$J$19&amp;", "&amp;'DADOS DA OBRA'!$P$19</f>
        <v>RUAS DIVERSAS, DIVERSOS, MATRINCHÃ, GO</v>
      </c>
      <c r="D5" s="1"/>
      <c r="E5" s="1"/>
      <c r="F5" s="1"/>
      <c r="G5" s="1"/>
      <c r="H5" s="1"/>
      <c r="I5" s="1"/>
      <c r="V5" s="3" t="s">
        <v>17</v>
      </c>
      <c r="W5" s="4" t="str">
        <f>'DADOS DA OBRA'!$N$25</f>
        <v>00</v>
      </c>
      <c r="X5" s="50"/>
    </row>
    <row r="6" spans="1:29" s="5" customFormat="1" ht="20.100000000000001" customHeight="1" x14ac:dyDescent="0.25">
      <c r="X6" s="50"/>
    </row>
    <row r="7" spans="1:29" s="5" customFormat="1" ht="20.100000000000001" customHeight="1" x14ac:dyDescent="0.25">
      <c r="B7" s="1" t="s">
        <v>97</v>
      </c>
      <c r="C7" s="39" t="s">
        <v>329</v>
      </c>
      <c r="D7" s="1"/>
      <c r="E7" s="1"/>
      <c r="F7" s="1"/>
      <c r="G7" s="1"/>
      <c r="H7" s="1"/>
      <c r="I7" s="1"/>
      <c r="V7" s="3" t="s">
        <v>18</v>
      </c>
      <c r="W7" s="64" t="s">
        <v>281</v>
      </c>
      <c r="X7" s="50"/>
    </row>
    <row r="8" spans="1:29" s="8" customFormat="1" ht="20.100000000000001" customHeight="1" thickBot="1" x14ac:dyDescent="0.3">
      <c r="A8" s="67"/>
      <c r="B8" s="52"/>
      <c r="C8" s="52"/>
      <c r="D8" s="52"/>
      <c r="E8" s="52"/>
      <c r="F8" s="52"/>
      <c r="G8" s="52"/>
      <c r="H8" s="52"/>
      <c r="I8" s="52"/>
      <c r="J8" s="53"/>
      <c r="K8" s="9"/>
      <c r="L8" s="9"/>
      <c r="M8" s="9"/>
      <c r="N8" s="10"/>
      <c r="O8" s="10"/>
      <c r="P8" s="9"/>
      <c r="Q8" s="67"/>
      <c r="R8" s="67"/>
      <c r="S8" s="67"/>
      <c r="T8" s="67"/>
      <c r="U8" s="67"/>
      <c r="V8" s="67"/>
      <c r="W8" s="67"/>
      <c r="X8" s="164"/>
      <c r="Y8" s="67"/>
      <c r="Z8" s="67"/>
      <c r="AA8" s="67"/>
      <c r="AB8" s="67"/>
      <c r="AC8" s="67"/>
    </row>
    <row r="9" spans="1:29" s="8" customFormat="1" ht="26.25" customHeight="1" x14ac:dyDescent="0.25">
      <c r="A9" s="67"/>
      <c r="B9" s="858"/>
      <c r="C9" s="859"/>
      <c r="D9" s="859"/>
      <c r="E9" s="859"/>
      <c r="F9" s="859"/>
      <c r="G9" s="859"/>
      <c r="H9" s="859"/>
      <c r="I9" s="859"/>
      <c r="J9" s="860"/>
      <c r="K9" s="860"/>
      <c r="L9" s="860"/>
      <c r="M9" s="860"/>
      <c r="N9" s="162" t="s">
        <v>325</v>
      </c>
      <c r="O9" s="162" t="s">
        <v>326</v>
      </c>
      <c r="P9" s="162"/>
      <c r="Q9" s="162"/>
      <c r="R9" s="162"/>
      <c r="S9" s="162"/>
      <c r="T9" s="162"/>
      <c r="U9" s="162"/>
      <c r="V9" s="162"/>
      <c r="W9" s="151" t="s">
        <v>203</v>
      </c>
      <c r="X9" s="163"/>
      <c r="Y9" s="67"/>
      <c r="Z9" s="67"/>
      <c r="AA9" s="67"/>
      <c r="AB9" s="67"/>
      <c r="AC9" s="67"/>
    </row>
    <row r="10" spans="1:29" s="8" customFormat="1" ht="20.100000000000001" customHeight="1" x14ac:dyDescent="0.25">
      <c r="A10" s="67"/>
      <c r="B10" s="861" t="s">
        <v>204</v>
      </c>
      <c r="C10" s="862"/>
      <c r="D10" s="862"/>
      <c r="E10" s="862"/>
      <c r="F10" s="862"/>
      <c r="G10" s="862"/>
      <c r="H10" s="862"/>
      <c r="I10" s="862"/>
      <c r="J10" s="863"/>
      <c r="K10" s="863"/>
      <c r="L10" s="863"/>
      <c r="M10" s="863"/>
      <c r="N10" s="152">
        <v>2.75</v>
      </c>
      <c r="O10" s="152">
        <v>1.45</v>
      </c>
      <c r="P10" s="152"/>
      <c r="Q10" s="152"/>
      <c r="R10" s="152"/>
      <c r="S10" s="152"/>
      <c r="T10" s="152"/>
      <c r="U10" s="152"/>
      <c r="V10" s="152"/>
      <c r="W10" s="152"/>
      <c r="X10" s="184" t="s">
        <v>41</v>
      </c>
      <c r="Y10" s="67"/>
      <c r="Z10" s="67"/>
      <c r="AA10" s="67"/>
      <c r="AB10" s="67"/>
      <c r="AC10" s="67"/>
    </row>
    <row r="11" spans="1:29" s="7" customFormat="1" ht="20.100000000000001" customHeight="1" x14ac:dyDescent="0.25">
      <c r="B11" s="861" t="s">
        <v>205</v>
      </c>
      <c r="C11" s="862"/>
      <c r="D11" s="862"/>
      <c r="E11" s="862"/>
      <c r="F11" s="862"/>
      <c r="G11" s="862"/>
      <c r="H11" s="862"/>
      <c r="I11" s="862"/>
      <c r="J11" s="863"/>
      <c r="K11" s="863"/>
      <c r="L11" s="863"/>
      <c r="M11" s="863"/>
      <c r="N11" s="152">
        <v>1.5</v>
      </c>
      <c r="O11" s="152">
        <v>2.1</v>
      </c>
      <c r="P11" s="152"/>
      <c r="Q11" s="152"/>
      <c r="R11" s="152"/>
      <c r="S11" s="152"/>
      <c r="T11" s="152"/>
      <c r="U11" s="152"/>
      <c r="V11" s="152"/>
      <c r="W11" s="152"/>
      <c r="X11" s="185" t="s">
        <v>41</v>
      </c>
    </row>
    <row r="12" spans="1:29" s="8" customFormat="1" ht="20.100000000000001" customHeight="1" x14ac:dyDescent="0.25">
      <c r="A12" s="67"/>
      <c r="B12" s="861" t="s">
        <v>206</v>
      </c>
      <c r="C12" s="862"/>
      <c r="D12" s="862"/>
      <c r="E12" s="862"/>
      <c r="F12" s="862"/>
      <c r="G12" s="862"/>
      <c r="H12" s="862"/>
      <c r="I12" s="862"/>
      <c r="J12" s="863"/>
      <c r="K12" s="863"/>
      <c r="L12" s="863"/>
      <c r="M12" s="863"/>
      <c r="N12" s="153">
        <f t="shared" ref="N12:O12" si="0">+N10*N11</f>
        <v>4.125</v>
      </c>
      <c r="O12" s="153">
        <f t="shared" si="0"/>
        <v>3.0449999999999999</v>
      </c>
      <c r="P12" s="153"/>
      <c r="Q12" s="153"/>
      <c r="R12" s="153"/>
      <c r="S12" s="153"/>
      <c r="T12" s="153"/>
      <c r="U12" s="153"/>
      <c r="V12" s="153"/>
      <c r="W12" s="153"/>
      <c r="X12" s="186" t="s">
        <v>19</v>
      </c>
      <c r="Y12" s="67"/>
      <c r="Z12" s="67"/>
      <c r="AA12" s="67"/>
      <c r="AB12" s="67"/>
      <c r="AC12" s="67"/>
    </row>
    <row r="13" spans="1:29" s="8" customFormat="1" ht="20.100000000000001" customHeight="1" x14ac:dyDescent="0.25">
      <c r="A13" s="67"/>
      <c r="B13" s="861" t="s">
        <v>207</v>
      </c>
      <c r="C13" s="862"/>
      <c r="D13" s="862"/>
      <c r="E13" s="862"/>
      <c r="F13" s="862"/>
      <c r="G13" s="862"/>
      <c r="H13" s="862"/>
      <c r="I13" s="862"/>
      <c r="J13" s="863"/>
      <c r="K13" s="863"/>
      <c r="L13" s="863"/>
      <c r="M13" s="863"/>
      <c r="N13" s="152"/>
      <c r="O13" s="152"/>
      <c r="P13" s="152"/>
      <c r="Q13" s="152"/>
      <c r="R13" s="152"/>
      <c r="S13" s="152"/>
      <c r="T13" s="152"/>
      <c r="U13" s="152"/>
      <c r="V13" s="152"/>
      <c r="W13" s="152"/>
      <c r="X13" s="184" t="s">
        <v>19</v>
      </c>
      <c r="Y13" s="67"/>
      <c r="Z13" s="67"/>
      <c r="AA13" s="67"/>
      <c r="AB13" s="67"/>
      <c r="AC13" s="67"/>
    </row>
    <row r="14" spans="1:29" s="8" customFormat="1" ht="20.100000000000001" customHeight="1" x14ac:dyDescent="0.25">
      <c r="A14" s="67"/>
      <c r="B14" s="861" t="s">
        <v>208</v>
      </c>
      <c r="C14" s="862"/>
      <c r="D14" s="862"/>
      <c r="E14" s="862"/>
      <c r="F14" s="862"/>
      <c r="G14" s="862"/>
      <c r="H14" s="862"/>
      <c r="I14" s="862"/>
      <c r="J14" s="863"/>
      <c r="K14" s="863"/>
      <c r="L14" s="863"/>
      <c r="M14" s="863"/>
      <c r="N14" s="153"/>
      <c r="O14" s="153">
        <f>PI()*0.2^2</f>
        <v>0.12566370614359174</v>
      </c>
      <c r="P14" s="153"/>
      <c r="Q14" s="153"/>
      <c r="R14" s="153"/>
      <c r="S14" s="153"/>
      <c r="T14" s="153"/>
      <c r="U14" s="153"/>
      <c r="V14" s="153"/>
      <c r="W14" s="153"/>
      <c r="X14" s="186" t="s">
        <v>19</v>
      </c>
      <c r="Y14" s="67"/>
      <c r="Z14" s="67"/>
      <c r="AA14" s="67"/>
      <c r="AB14" s="67"/>
      <c r="AC14" s="67"/>
    </row>
    <row r="15" spans="1:29" s="8" customFormat="1" ht="20.100000000000001" customHeight="1" thickBot="1" x14ac:dyDescent="0.3">
      <c r="A15" s="67"/>
      <c r="B15" s="864" t="s">
        <v>209</v>
      </c>
      <c r="C15" s="865"/>
      <c r="D15" s="865"/>
      <c r="E15" s="865"/>
      <c r="F15" s="865"/>
      <c r="G15" s="865"/>
      <c r="H15" s="865"/>
      <c r="I15" s="865"/>
      <c r="J15" s="866"/>
      <c r="K15" s="866"/>
      <c r="L15" s="866"/>
      <c r="M15" s="866"/>
      <c r="N15" s="154">
        <f t="shared" ref="N15:O15" si="1">+N12+N13-N14</f>
        <v>4.125</v>
      </c>
      <c r="O15" s="154">
        <f t="shared" si="1"/>
        <v>2.919336293856408</v>
      </c>
      <c r="P15" s="154"/>
      <c r="Q15" s="154"/>
      <c r="R15" s="154"/>
      <c r="S15" s="154"/>
      <c r="T15" s="154"/>
      <c r="U15" s="154"/>
      <c r="V15" s="154"/>
      <c r="W15" s="154"/>
      <c r="X15" s="187" t="s">
        <v>19</v>
      </c>
      <c r="Y15" s="67"/>
      <c r="Z15" s="67"/>
      <c r="AA15" s="67"/>
      <c r="AB15" s="67"/>
      <c r="AC15" s="67"/>
    </row>
    <row r="16" spans="1:29" s="8" customFormat="1" ht="24.95" customHeight="1" x14ac:dyDescent="0.25">
      <c r="A16" s="67"/>
      <c r="B16" s="155" t="s">
        <v>210</v>
      </c>
      <c r="C16" s="156"/>
      <c r="D16" s="156"/>
      <c r="E16" s="156"/>
      <c r="F16" s="156"/>
      <c r="G16" s="156"/>
      <c r="H16" s="156"/>
      <c r="I16" s="156"/>
      <c r="J16" s="156"/>
      <c r="K16" s="156"/>
      <c r="L16" s="156"/>
      <c r="M16" s="157"/>
      <c r="N16" s="160"/>
      <c r="O16" s="160"/>
      <c r="P16" s="161"/>
      <c r="Q16" s="188"/>
      <c r="R16" s="188"/>
      <c r="S16" s="188"/>
      <c r="T16" s="188"/>
      <c r="U16" s="188"/>
      <c r="V16" s="188"/>
      <c r="W16" s="188"/>
      <c r="X16" s="189"/>
      <c r="Y16" s="67"/>
      <c r="Z16" s="67"/>
      <c r="AA16" s="67"/>
      <c r="AB16" s="67"/>
      <c r="AC16" s="67"/>
    </row>
    <row r="17" spans="2:36" s="8" customFormat="1" ht="24.95" customHeight="1" x14ac:dyDescent="0.25">
      <c r="B17" s="213" t="s">
        <v>218</v>
      </c>
      <c r="C17" s="212" t="s">
        <v>327</v>
      </c>
      <c r="D17" s="210" t="s">
        <v>328</v>
      </c>
      <c r="E17" s="210"/>
      <c r="F17" s="210"/>
      <c r="G17" s="210"/>
      <c r="H17" s="210"/>
      <c r="I17" s="210"/>
      <c r="J17" s="210"/>
      <c r="K17" s="210"/>
      <c r="L17" s="210"/>
      <c r="M17" s="211"/>
      <c r="N17" s="129">
        <f>+N15</f>
        <v>4.125</v>
      </c>
      <c r="O17" s="129">
        <f t="shared" ref="O17" si="2">+O15</f>
        <v>2.919336293856408</v>
      </c>
      <c r="P17" s="129"/>
      <c r="Q17" s="129"/>
      <c r="R17" s="129"/>
      <c r="S17" s="129"/>
      <c r="T17" s="129"/>
      <c r="U17" s="129"/>
      <c r="V17" s="129"/>
      <c r="W17" s="135">
        <f>SUM(N17:V17)</f>
        <v>7.044336293856408</v>
      </c>
      <c r="X17" s="148" t="s">
        <v>222</v>
      </c>
    </row>
    <row r="18" spans="2:36" s="7" customFormat="1" ht="24.95" customHeight="1" x14ac:dyDescent="0.25">
      <c r="B18" s="852"/>
      <c r="C18" s="853"/>
      <c r="D18" s="853"/>
      <c r="E18" s="853"/>
      <c r="F18" s="853"/>
      <c r="G18" s="853"/>
      <c r="H18" s="853"/>
      <c r="I18" s="853"/>
      <c r="J18" s="853"/>
      <c r="K18" s="853"/>
      <c r="L18" s="853"/>
      <c r="M18" s="854"/>
      <c r="N18" s="129"/>
      <c r="O18" s="129"/>
      <c r="P18" s="129"/>
      <c r="Q18" s="129"/>
      <c r="R18" s="129"/>
      <c r="S18" s="129"/>
      <c r="T18" s="129"/>
      <c r="U18" s="129"/>
      <c r="V18" s="129"/>
      <c r="W18" s="135"/>
      <c r="X18" s="148"/>
    </row>
    <row r="19" spans="2:36" s="7" customFormat="1" ht="24.95" customHeight="1" thickBot="1" x14ac:dyDescent="0.3">
      <c r="B19" s="855"/>
      <c r="C19" s="856"/>
      <c r="D19" s="856"/>
      <c r="E19" s="856"/>
      <c r="F19" s="856"/>
      <c r="G19" s="856"/>
      <c r="H19" s="856"/>
      <c r="I19" s="856"/>
      <c r="J19" s="856"/>
      <c r="K19" s="856"/>
      <c r="L19" s="856"/>
      <c r="M19" s="857"/>
      <c r="N19" s="149"/>
      <c r="O19" s="149"/>
      <c r="P19" s="149"/>
      <c r="Q19" s="149"/>
      <c r="R19" s="149"/>
      <c r="S19" s="149"/>
      <c r="T19" s="149"/>
      <c r="U19" s="149"/>
      <c r="V19" s="149"/>
      <c r="W19" s="137"/>
      <c r="X19" s="150"/>
    </row>
    <row r="20" spans="2:36" s="88" customFormat="1" ht="30" customHeight="1" x14ac:dyDescent="0.25">
      <c r="B20" s="793"/>
      <c r="C20" s="793"/>
      <c r="D20" s="793"/>
      <c r="E20" s="793"/>
      <c r="F20" s="793"/>
      <c r="G20" s="793"/>
      <c r="H20" s="793"/>
      <c r="I20" s="793"/>
      <c r="J20" s="793"/>
      <c r="K20" s="9"/>
      <c r="L20" s="9"/>
      <c r="M20" s="9"/>
      <c r="N20" s="9"/>
      <c r="O20" s="9"/>
      <c r="P20" s="9"/>
      <c r="Q20" s="9"/>
      <c r="R20" s="9"/>
      <c r="S20" s="9"/>
      <c r="T20" s="9"/>
      <c r="U20" s="9"/>
      <c r="V20" s="9"/>
      <c r="W20" s="9"/>
      <c r="AB20" s="9"/>
      <c r="AC20" s="9"/>
    </row>
    <row r="21" spans="2:36" s="89" customFormat="1" ht="20.100000000000001" customHeight="1" x14ac:dyDescent="0.25">
      <c r="B21" s="746"/>
      <c r="C21" s="746"/>
      <c r="D21" s="746"/>
      <c r="E21" s="746"/>
      <c r="F21" s="746"/>
      <c r="G21" s="746"/>
      <c r="H21" s="746"/>
      <c r="I21" s="746"/>
      <c r="J21" s="746"/>
      <c r="K21" s="746"/>
      <c r="L21" s="746"/>
      <c r="M21" s="746"/>
      <c r="N21" s="746"/>
      <c r="O21" s="746"/>
      <c r="P21" s="746"/>
      <c r="Q21" s="746"/>
      <c r="R21" s="746"/>
      <c r="S21" s="746"/>
      <c r="T21" s="746"/>
      <c r="AD21" s="90"/>
    </row>
    <row r="22" spans="2:36" s="89" customFormat="1" ht="20.100000000000001" customHeight="1" x14ac:dyDescent="0.25">
      <c r="B22" s="31"/>
      <c r="C22" s="31"/>
      <c r="D22" s="31"/>
      <c r="E22" s="31"/>
      <c r="F22" s="31"/>
      <c r="G22" s="31"/>
      <c r="H22" s="31"/>
      <c r="I22" s="31"/>
      <c r="K22" s="200"/>
      <c r="L22" s="200"/>
      <c r="M22" s="31"/>
      <c r="N22" s="31"/>
      <c r="O22" s="31"/>
      <c r="P22" s="31"/>
      <c r="Q22" s="31"/>
      <c r="V22" s="194"/>
      <c r="W22" s="199"/>
      <c r="Y22" s="194"/>
      <c r="AC22" s="193"/>
      <c r="AF22" s="194"/>
      <c r="AI22" s="194"/>
      <c r="AJ22" s="199"/>
    </row>
    <row r="23" spans="2:36" s="7" customFormat="1" ht="20.100000000000001" customHeight="1" x14ac:dyDescent="0.25">
      <c r="B23" s="120"/>
      <c r="C23" s="120"/>
      <c r="D23" s="120"/>
      <c r="E23" s="120"/>
      <c r="F23" s="120"/>
      <c r="G23" s="120"/>
      <c r="H23" s="120"/>
      <c r="I23" s="120"/>
      <c r="J23" s="120"/>
      <c r="K23" s="120"/>
      <c r="L23" s="120"/>
      <c r="M23" s="120"/>
      <c r="N23" s="65"/>
      <c r="O23" s="65"/>
      <c r="P23" s="65"/>
      <c r="Q23" s="65"/>
      <c r="R23" s="65"/>
      <c r="S23" s="65"/>
      <c r="T23" s="65"/>
      <c r="U23" s="65"/>
      <c r="V23" s="65"/>
      <c r="W23" s="65"/>
      <c r="X23" s="158"/>
    </row>
    <row r="24" spans="2:36" s="7" customFormat="1" ht="20.100000000000001" customHeight="1" x14ac:dyDescent="0.25">
      <c r="B24" s="120"/>
      <c r="C24" s="120"/>
      <c r="D24" s="120"/>
      <c r="E24" s="120"/>
      <c r="F24" s="120"/>
      <c r="G24" s="120"/>
      <c r="H24" s="120"/>
      <c r="I24" s="120"/>
      <c r="J24" s="120"/>
      <c r="K24" s="120"/>
      <c r="L24" s="120"/>
      <c r="M24" s="120"/>
      <c r="N24" s="65"/>
      <c r="O24" s="65"/>
      <c r="P24" s="65"/>
      <c r="Q24" s="65"/>
      <c r="R24" s="65"/>
      <c r="S24" s="65"/>
      <c r="T24" s="65"/>
      <c r="U24" s="65"/>
      <c r="V24" s="65"/>
      <c r="W24" s="65"/>
      <c r="X24" s="158"/>
    </row>
    <row r="25" spans="2:36" s="7" customFormat="1" ht="20.100000000000001" customHeight="1" x14ac:dyDescent="0.25">
      <c r="B25" s="120"/>
      <c r="C25" s="120"/>
      <c r="D25" s="120"/>
      <c r="E25" s="120"/>
      <c r="F25" s="120"/>
      <c r="G25" s="120"/>
      <c r="H25" s="120"/>
      <c r="I25" s="120"/>
      <c r="J25" s="120"/>
      <c r="K25" s="120"/>
      <c r="L25" s="120"/>
      <c r="M25" s="120"/>
      <c r="N25" s="65"/>
      <c r="O25" s="65"/>
      <c r="P25" s="65"/>
      <c r="Q25" s="65"/>
      <c r="R25" s="65"/>
      <c r="S25" s="65"/>
      <c r="T25" s="65"/>
      <c r="U25" s="65"/>
      <c r="V25" s="65"/>
      <c r="W25" s="65"/>
      <c r="X25" s="158"/>
    </row>
    <row r="26" spans="2:36" s="7" customFormat="1" ht="20.100000000000001" customHeight="1" x14ac:dyDescent="0.25">
      <c r="B26" s="120"/>
      <c r="C26" s="120"/>
      <c r="D26" s="120"/>
      <c r="E26" s="120"/>
      <c r="F26" s="120"/>
      <c r="G26" s="120"/>
      <c r="H26" s="120"/>
      <c r="I26" s="120"/>
      <c r="J26" s="120"/>
      <c r="K26" s="120"/>
      <c r="L26" s="120"/>
      <c r="M26" s="120"/>
      <c r="N26" s="65"/>
      <c r="O26" s="65"/>
      <c r="P26" s="65"/>
      <c r="Q26" s="65"/>
      <c r="R26" s="65"/>
      <c r="S26" s="65"/>
      <c r="T26" s="65"/>
      <c r="U26" s="65"/>
      <c r="V26" s="65"/>
      <c r="W26" s="65"/>
      <c r="X26" s="158"/>
    </row>
  </sheetData>
  <mergeCells count="13">
    <mergeCell ref="B20:J20"/>
    <mergeCell ref="B21:T21"/>
    <mergeCell ref="B18:M18"/>
    <mergeCell ref="B19:M19"/>
    <mergeCell ref="B1:X2"/>
    <mergeCell ref="B9:M9"/>
    <mergeCell ref="B10:M10"/>
    <mergeCell ref="B11:M11"/>
    <mergeCell ref="B12:M12"/>
    <mergeCell ref="B13:M13"/>
    <mergeCell ref="B14:M14"/>
    <mergeCell ref="B15:M15"/>
    <mergeCell ref="C4:U4"/>
  </mergeCells>
  <printOptions horizontalCentered="1"/>
  <pageMargins left="0.51181102362204722" right="0.51181102362204722" top="0.78740157480314965" bottom="0.78740157480314965" header="0.31496062992125984" footer="0.31496062992125984"/>
  <pageSetup paperSize="9" scale="74"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C41A7-D89E-4312-8F55-8F691486E175}">
  <dimension ref="B1:V32"/>
  <sheetViews>
    <sheetView showGridLines="0" showZeros="0" view="pageBreakPreview" topLeftCell="A3" zoomScaleNormal="100" zoomScaleSheetLayoutView="100" workbookViewId="0">
      <selection activeCell="Q14" sqref="Q14:Q15"/>
    </sheetView>
  </sheetViews>
  <sheetFormatPr defaultColWidth="9.140625" defaultRowHeight="13.5" x14ac:dyDescent="0.25"/>
  <cols>
    <col min="1" max="1" width="1.7109375" style="89" customWidth="1"/>
    <col min="2" max="2" width="9.85546875" style="89" customWidth="1"/>
    <col min="3" max="3" width="13" style="89" customWidth="1"/>
    <col min="4" max="6" width="7.28515625" style="89" customWidth="1"/>
    <col min="7" max="7" width="8.7109375" style="89" customWidth="1"/>
    <col min="8" max="9" width="9.7109375" style="89" customWidth="1"/>
    <col min="10" max="11" width="9.7109375" style="89" hidden="1" customWidth="1"/>
    <col min="12" max="13" width="9.7109375" style="89" customWidth="1"/>
    <col min="14" max="15" width="10.7109375" style="89" customWidth="1"/>
    <col min="16" max="16" width="13" style="91" customWidth="1"/>
    <col min="17" max="17" width="1.7109375" style="89" customWidth="1"/>
    <col min="18" max="18" width="9.140625" style="89" customWidth="1"/>
    <col min="19" max="16384" width="9.140625" style="89"/>
  </cols>
  <sheetData>
    <row r="1" spans="2:22" s="69" customFormat="1" ht="20.100000000000001" customHeight="1" x14ac:dyDescent="0.25">
      <c r="B1" s="569" t="s">
        <v>133</v>
      </c>
      <c r="C1" s="569"/>
      <c r="D1" s="569"/>
      <c r="E1" s="569"/>
      <c r="F1" s="569"/>
      <c r="G1" s="569"/>
      <c r="H1" s="569"/>
      <c r="I1" s="569"/>
      <c r="J1" s="569"/>
      <c r="K1" s="569"/>
      <c r="L1" s="569"/>
      <c r="M1" s="569"/>
      <c r="N1" s="569"/>
      <c r="O1" s="569"/>
      <c r="P1" s="569"/>
      <c r="Q1" s="569"/>
    </row>
    <row r="2" spans="2:22" s="69" customFormat="1" ht="20.100000000000001" customHeight="1" x14ac:dyDescent="0.25">
      <c r="B2" s="569"/>
      <c r="C2" s="569"/>
      <c r="D2" s="569"/>
      <c r="E2" s="569"/>
      <c r="F2" s="569"/>
      <c r="G2" s="569"/>
      <c r="H2" s="569"/>
      <c r="I2" s="569"/>
      <c r="J2" s="569"/>
      <c r="K2" s="569"/>
      <c r="L2" s="569"/>
      <c r="M2" s="569"/>
      <c r="N2" s="569"/>
      <c r="O2" s="569"/>
      <c r="P2" s="569"/>
      <c r="Q2" s="569"/>
    </row>
    <row r="3" spans="2:22" s="69" customFormat="1" ht="20.100000000000001" customHeight="1" x14ac:dyDescent="0.25"/>
    <row r="4" spans="2:22"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3" t="s">
        <v>96</v>
      </c>
      <c r="P4" s="4" t="str">
        <f>+'DADOS DA OBRA'!$N$22</f>
        <v>04/11/2024</v>
      </c>
      <c r="S4" s="32"/>
      <c r="T4" s="32"/>
      <c r="U4" s="33"/>
      <c r="V4" s="33"/>
    </row>
    <row r="5" spans="2:22" s="5" customFormat="1" ht="20.100000000000001" customHeight="1" x14ac:dyDescent="0.25">
      <c r="B5" s="1" t="s">
        <v>18</v>
      </c>
      <c r="C5" s="2" t="str">
        <f>+""&amp;'DADOS DA OBRA'!$B$16&amp;", "&amp;'DADOS DA OBRA'!$B$19&amp;", "&amp;'DADOS DA OBRA'!$J$19&amp;", "&amp;'DADOS DA OBRA'!$P$19</f>
        <v>RUAS DIVERSAS, DIVERSOS, MATRINCHÃ, GO</v>
      </c>
      <c r="O5" s="3" t="s">
        <v>17</v>
      </c>
      <c r="P5" s="4" t="str">
        <f>'DADOS DA OBRA'!$N$25</f>
        <v>00</v>
      </c>
    </row>
    <row r="6" spans="2:22" s="5" customFormat="1" ht="20.100000000000001" customHeight="1" x14ac:dyDescent="0.25"/>
    <row r="7" spans="2:22" s="5" customFormat="1" ht="20.100000000000001" customHeight="1" x14ac:dyDescent="0.25">
      <c r="B7" s="1" t="s">
        <v>97</v>
      </c>
      <c r="C7" s="39" t="s">
        <v>48</v>
      </c>
      <c r="O7" s="3" t="s">
        <v>18</v>
      </c>
      <c r="P7" s="64" t="s">
        <v>239</v>
      </c>
    </row>
    <row r="8" spans="2:22" s="67" customFormat="1" ht="20.100000000000001" customHeight="1" thickBot="1" x14ac:dyDescent="0.3">
      <c r="B8" s="52"/>
      <c r="C8" s="53"/>
      <c r="D8" s="10"/>
      <c r="E8" s="10"/>
      <c r="F8" s="9"/>
      <c r="G8" s="9"/>
      <c r="H8" s="10"/>
      <c r="I8" s="9"/>
      <c r="N8" s="10"/>
      <c r="O8" s="10"/>
    </row>
    <row r="9" spans="2:22" s="196" customFormat="1" ht="20.100000000000001" customHeight="1" x14ac:dyDescent="0.25">
      <c r="B9" s="871" t="s">
        <v>134</v>
      </c>
      <c r="C9" s="872"/>
      <c r="D9" s="774" t="s">
        <v>147</v>
      </c>
      <c r="E9" s="774" t="s">
        <v>285</v>
      </c>
      <c r="F9" s="877" t="s">
        <v>282</v>
      </c>
      <c r="G9" s="878"/>
      <c r="H9" s="867"/>
      <c r="I9" s="867"/>
      <c r="J9" s="867"/>
      <c r="K9" s="867"/>
      <c r="L9" s="867"/>
      <c r="M9" s="867"/>
      <c r="N9" s="868" t="s">
        <v>136</v>
      </c>
      <c r="O9" s="868" t="s">
        <v>286</v>
      </c>
      <c r="P9" s="879" t="s">
        <v>238</v>
      </c>
    </row>
    <row r="10" spans="2:22" s="196" customFormat="1" ht="20.100000000000001" customHeight="1" x14ac:dyDescent="0.25">
      <c r="B10" s="873"/>
      <c r="C10" s="874"/>
      <c r="D10" s="870"/>
      <c r="E10" s="870"/>
      <c r="F10" s="881" t="s">
        <v>284</v>
      </c>
      <c r="G10" s="881" t="s">
        <v>283</v>
      </c>
      <c r="H10" s="883" t="s">
        <v>156</v>
      </c>
      <c r="I10" s="883"/>
      <c r="J10" s="883" t="s">
        <v>137</v>
      </c>
      <c r="K10" s="883"/>
      <c r="L10" s="883" t="s">
        <v>159</v>
      </c>
      <c r="M10" s="883"/>
      <c r="N10" s="869"/>
      <c r="O10" s="869"/>
      <c r="P10" s="880"/>
    </row>
    <row r="11" spans="2:22" s="196" customFormat="1" ht="20.100000000000001" customHeight="1" thickBot="1" x14ac:dyDescent="0.3">
      <c r="B11" s="875"/>
      <c r="C11" s="876"/>
      <c r="D11" s="775"/>
      <c r="E11" s="775"/>
      <c r="F11" s="882"/>
      <c r="G11" s="882"/>
      <c r="H11" s="191" t="s">
        <v>141</v>
      </c>
      <c r="I11" s="191" t="s">
        <v>142</v>
      </c>
      <c r="J11" s="191" t="s">
        <v>143</v>
      </c>
      <c r="K11" s="191" t="s">
        <v>144</v>
      </c>
      <c r="L11" s="191" t="s">
        <v>143</v>
      </c>
      <c r="M11" s="191" t="s">
        <v>144</v>
      </c>
      <c r="N11" s="191" t="s">
        <v>145</v>
      </c>
      <c r="O11" s="191" t="s">
        <v>287</v>
      </c>
      <c r="P11" s="197" t="s">
        <v>140</v>
      </c>
    </row>
    <row r="12" spans="2:22" s="88" customFormat="1" ht="30" customHeight="1" x14ac:dyDescent="0.25">
      <c r="B12" s="820" t="s">
        <v>288</v>
      </c>
      <c r="C12" s="821"/>
      <c r="D12" s="94">
        <v>20</v>
      </c>
      <c r="E12" s="94">
        <v>40</v>
      </c>
      <c r="F12" s="111">
        <v>15</v>
      </c>
      <c r="G12" s="111">
        <f>+D12*F12</f>
        <v>300</v>
      </c>
      <c r="H12" s="108">
        <f>35*1.08</f>
        <v>37.800000000000004</v>
      </c>
      <c r="I12" s="111">
        <f>+D12*H12*0.245</f>
        <v>185.22000000000003</v>
      </c>
      <c r="J12" s="109"/>
      <c r="K12" s="112">
        <f>+G12*J12*0.395</f>
        <v>0</v>
      </c>
      <c r="L12" s="109">
        <f>6*6</f>
        <v>36</v>
      </c>
      <c r="M12" s="109">
        <f>+L12*1.578*$D12</f>
        <v>1136.1600000000001</v>
      </c>
      <c r="N12" s="108">
        <f>+ROUND(((PI()*(E12/100)^2)/4)*G12,2)</f>
        <v>37.700000000000003</v>
      </c>
      <c r="O12" s="108">
        <f>+D12</f>
        <v>20</v>
      </c>
      <c r="P12" s="110">
        <f>+ROUND(((((3.1416*(E12/100)^2)/4)*G12)+(((3.1416*(E12/100)^2)/4)*0.2*D12))*1.3,2)</f>
        <v>49.66</v>
      </c>
    </row>
    <row r="13" spans="2:22" s="88" customFormat="1" ht="30" customHeight="1" x14ac:dyDescent="0.25">
      <c r="B13" s="802"/>
      <c r="C13" s="803"/>
      <c r="D13" s="94"/>
      <c r="E13" s="94"/>
      <c r="F13" s="111"/>
      <c r="G13" s="111"/>
      <c r="H13" s="111"/>
      <c r="I13" s="111">
        <f>+G13*H13*0.245</f>
        <v>0</v>
      </c>
      <c r="J13" s="112"/>
      <c r="K13" s="112">
        <f>+G13*J13*0.395</f>
        <v>0</v>
      </c>
      <c r="L13" s="112"/>
      <c r="M13" s="112">
        <f t="shared" ref="M13:M14" si="0">+L13*1.578*$D13</f>
        <v>0</v>
      </c>
      <c r="N13" s="111">
        <f t="shared" ref="N13" si="1">+ROUND(((3.1416*(E13/100)^2)/4)*G13,2)</f>
        <v>0</v>
      </c>
      <c r="O13" s="111"/>
      <c r="P13" s="113">
        <f>+N13*1.3</f>
        <v>0</v>
      </c>
    </row>
    <row r="14" spans="2:22" s="88" customFormat="1" ht="30" customHeight="1" thickBot="1" x14ac:dyDescent="0.3">
      <c r="B14" s="802"/>
      <c r="C14" s="803"/>
      <c r="D14" s="94"/>
      <c r="E14" s="94"/>
      <c r="F14" s="111"/>
      <c r="G14" s="111"/>
      <c r="H14" s="111"/>
      <c r="I14" s="111">
        <f>+G14*H14*0.245</f>
        <v>0</v>
      </c>
      <c r="J14" s="112"/>
      <c r="K14" s="112">
        <f>+G14*J14*0.395</f>
        <v>0</v>
      </c>
      <c r="L14" s="112"/>
      <c r="M14" s="112">
        <f t="shared" si="0"/>
        <v>0</v>
      </c>
      <c r="N14" s="111"/>
      <c r="O14" s="111"/>
      <c r="P14" s="113"/>
    </row>
    <row r="15" spans="2:22" s="88" customFormat="1" ht="30" customHeight="1" thickBot="1" x14ac:dyDescent="0.3">
      <c r="B15" s="794" t="s">
        <v>146</v>
      </c>
      <c r="C15" s="795"/>
      <c r="D15" s="795"/>
      <c r="E15" s="795"/>
      <c r="F15" s="795"/>
      <c r="G15" s="105">
        <f t="shared" ref="G15:P15" si="2">SUM(G12:G14)</f>
        <v>300</v>
      </c>
      <c r="H15" s="105">
        <f t="shared" si="2"/>
        <v>37.800000000000004</v>
      </c>
      <c r="I15" s="105">
        <f t="shared" si="2"/>
        <v>185.22000000000003</v>
      </c>
      <c r="J15" s="106">
        <f t="shared" si="2"/>
        <v>0</v>
      </c>
      <c r="K15" s="106">
        <f t="shared" si="2"/>
        <v>0</v>
      </c>
      <c r="L15" s="106">
        <f t="shared" si="2"/>
        <v>36</v>
      </c>
      <c r="M15" s="106">
        <f t="shared" si="2"/>
        <v>1136.1600000000001</v>
      </c>
      <c r="N15" s="105">
        <f t="shared" si="2"/>
        <v>37.700000000000003</v>
      </c>
      <c r="O15" s="105">
        <f t="shared" si="2"/>
        <v>20</v>
      </c>
      <c r="P15" s="198">
        <f t="shared" si="2"/>
        <v>49.66</v>
      </c>
    </row>
    <row r="16" spans="2:22" s="88" customFormat="1" ht="30" customHeight="1" x14ac:dyDescent="0.25">
      <c r="B16" s="793"/>
      <c r="C16" s="793"/>
      <c r="D16" s="9"/>
      <c r="E16" s="9"/>
      <c r="F16" s="9"/>
      <c r="G16" s="9"/>
      <c r="H16" s="9"/>
      <c r="I16" s="9"/>
      <c r="N16" s="9"/>
      <c r="O16" s="9"/>
    </row>
    <row r="17" spans="2:16" ht="20.100000000000001" customHeight="1" x14ac:dyDescent="0.25">
      <c r="B17" s="746" t="s">
        <v>255</v>
      </c>
      <c r="C17" s="746"/>
      <c r="D17" s="746"/>
      <c r="E17" s="746"/>
      <c r="F17" s="746"/>
      <c r="G17" s="746"/>
      <c r="P17" s="90"/>
    </row>
    <row r="18" spans="2:16" ht="20.100000000000001" customHeight="1" x14ac:dyDescent="0.25">
      <c r="B18" s="31"/>
      <c r="C18" s="194"/>
      <c r="D18" s="31" t="s">
        <v>318</v>
      </c>
      <c r="E18" s="31"/>
      <c r="F18" s="31"/>
      <c r="G18" s="31"/>
      <c r="K18" s="194" t="s">
        <v>219</v>
      </c>
      <c r="L18" s="195"/>
      <c r="N18" s="193" t="s">
        <v>130</v>
      </c>
      <c r="O18" s="195">
        <f>+G14</f>
        <v>0</v>
      </c>
      <c r="P18" s="90"/>
    </row>
    <row r="19" spans="2:16" ht="20.100000000000001" customHeight="1" x14ac:dyDescent="0.25">
      <c r="B19" s="31" t="s">
        <v>247</v>
      </c>
      <c r="C19" s="194" t="s">
        <v>289</v>
      </c>
      <c r="D19" s="31" t="s">
        <v>290</v>
      </c>
      <c r="E19" s="31"/>
      <c r="F19" s="31"/>
      <c r="G19" s="31"/>
      <c r="K19" s="194" t="s">
        <v>219</v>
      </c>
      <c r="L19" s="195"/>
      <c r="N19" s="193" t="s">
        <v>130</v>
      </c>
      <c r="O19" s="195">
        <f>+G15</f>
        <v>300</v>
      </c>
      <c r="P19" s="90"/>
    </row>
    <row r="20" spans="2:16" ht="20.100000000000001" customHeight="1" x14ac:dyDescent="0.25">
      <c r="B20" s="31" t="s">
        <v>218</v>
      </c>
      <c r="C20" s="194" t="s">
        <v>258</v>
      </c>
      <c r="D20" s="31" t="s">
        <v>259</v>
      </c>
      <c r="E20" s="31"/>
      <c r="F20" s="31"/>
      <c r="G20" s="31"/>
      <c r="K20" s="194" t="s">
        <v>222</v>
      </c>
      <c r="L20" s="195"/>
      <c r="N20" s="193" t="s">
        <v>264</v>
      </c>
      <c r="O20" s="195">
        <f>+I15</f>
        <v>185.22000000000003</v>
      </c>
      <c r="P20" s="90"/>
    </row>
    <row r="21" spans="2:16" ht="20.100000000000001" customHeight="1" x14ac:dyDescent="0.25">
      <c r="B21" s="31" t="s">
        <v>218</v>
      </c>
      <c r="C21" s="194" t="s">
        <v>274</v>
      </c>
      <c r="D21" s="31" t="s">
        <v>275</v>
      </c>
      <c r="E21" s="31"/>
      <c r="F21" s="31"/>
      <c r="G21" s="31"/>
      <c r="K21" s="193" t="s">
        <v>222</v>
      </c>
      <c r="L21" s="195"/>
      <c r="N21" s="193" t="s">
        <v>264</v>
      </c>
      <c r="O21" s="195">
        <f>+M15</f>
        <v>1136.1600000000001</v>
      </c>
      <c r="P21" s="90"/>
    </row>
    <row r="22" spans="2:16" ht="20.100000000000001" customHeight="1" x14ac:dyDescent="0.25">
      <c r="B22" s="31" t="s">
        <v>218</v>
      </c>
      <c r="C22" s="194" t="s">
        <v>267</v>
      </c>
      <c r="D22" s="31" t="s">
        <v>268</v>
      </c>
      <c r="E22" s="31"/>
      <c r="F22" s="31"/>
      <c r="G22" s="31"/>
      <c r="K22" s="194" t="s">
        <v>264</v>
      </c>
      <c r="L22" s="195"/>
      <c r="N22" s="193" t="s">
        <v>219</v>
      </c>
      <c r="O22" s="195">
        <f>+N15</f>
        <v>37.700000000000003</v>
      </c>
      <c r="P22" s="90"/>
    </row>
    <row r="23" spans="2:16" ht="20.100000000000001" customHeight="1" x14ac:dyDescent="0.25">
      <c r="B23" s="31" t="s">
        <v>218</v>
      </c>
      <c r="C23" s="194" t="s">
        <v>276</v>
      </c>
      <c r="D23" s="31" t="s">
        <v>277</v>
      </c>
      <c r="E23" s="31"/>
      <c r="F23" s="31"/>
      <c r="G23" s="31"/>
      <c r="K23" s="194" t="s">
        <v>264</v>
      </c>
      <c r="L23" s="195"/>
      <c r="N23" s="193" t="s">
        <v>219</v>
      </c>
      <c r="O23" s="195">
        <f>+O22</f>
        <v>37.700000000000003</v>
      </c>
      <c r="P23" s="90"/>
    </row>
    <row r="24" spans="2:16" ht="20.100000000000001" customHeight="1" x14ac:dyDescent="0.25">
      <c r="B24" s="31" t="s">
        <v>247</v>
      </c>
      <c r="C24" s="194" t="s">
        <v>291</v>
      </c>
      <c r="D24" s="31" t="s">
        <v>292</v>
      </c>
      <c r="E24" s="31"/>
      <c r="F24" s="31"/>
      <c r="G24" s="31"/>
      <c r="K24" s="193" t="s">
        <v>264</v>
      </c>
      <c r="L24" s="195"/>
      <c r="N24" s="193" t="s">
        <v>293</v>
      </c>
      <c r="O24" s="195">
        <f>+O15</f>
        <v>20</v>
      </c>
      <c r="P24" s="90"/>
    </row>
    <row r="25" spans="2:16" x14ac:dyDescent="0.25">
      <c r="P25" s="90"/>
    </row>
    <row r="26" spans="2:16" x14ac:dyDescent="0.25">
      <c r="P26" s="90"/>
    </row>
    <row r="27" spans="2:16" x14ac:dyDescent="0.25">
      <c r="P27" s="90"/>
    </row>
    <row r="28" spans="2:16" x14ac:dyDescent="0.25">
      <c r="P28" s="90"/>
    </row>
    <row r="29" spans="2:16" x14ac:dyDescent="0.25">
      <c r="P29" s="90"/>
    </row>
    <row r="30" spans="2:16" x14ac:dyDescent="0.25">
      <c r="P30" s="90"/>
    </row>
    <row r="31" spans="2:16" x14ac:dyDescent="0.25">
      <c r="P31" s="90"/>
    </row>
    <row r="32" spans="2:16" x14ac:dyDescent="0.25">
      <c r="P32" s="90"/>
    </row>
  </sheetData>
  <mergeCells count="21">
    <mergeCell ref="B1:Q2"/>
    <mergeCell ref="B9:C11"/>
    <mergeCell ref="D9:D11"/>
    <mergeCell ref="F9:G9"/>
    <mergeCell ref="P9:P10"/>
    <mergeCell ref="F10:F11"/>
    <mergeCell ref="G10:G11"/>
    <mergeCell ref="H10:I10"/>
    <mergeCell ref="J10:K10"/>
    <mergeCell ref="L10:M10"/>
    <mergeCell ref="C4:N4"/>
    <mergeCell ref="B17:G17"/>
    <mergeCell ref="B12:C12"/>
    <mergeCell ref="H9:M9"/>
    <mergeCell ref="N9:N10"/>
    <mergeCell ref="O9:O10"/>
    <mergeCell ref="E9:E11"/>
    <mergeCell ref="B15:F15"/>
    <mergeCell ref="B13:C13"/>
    <mergeCell ref="B14:C14"/>
    <mergeCell ref="B16:C16"/>
  </mergeCells>
  <printOptions horizontalCentered="1"/>
  <pageMargins left="0.51181102362204722" right="0.51181102362204722" top="0.78740157480314965" bottom="0.78740157480314965" header="0.31496062992125984" footer="0.31496062992125984"/>
  <pageSetup paperSize="9" scale="90" orientation="landscape" r:id="rId1"/>
  <headerFooter>
    <oddHeader>&amp;L&amp;G</oddHeader>
    <oddFooter>&amp;L&amp;"Arial Narrow,Normal"&amp;10&amp;A
&amp;F&amp;R&amp;"Arial Narrow,Normal"&amp;10&amp;P de &amp;N</oddFooter>
  </headerFooter>
  <colBreaks count="1" manualBreakCount="1">
    <brk id="18" max="1048575" man="1"/>
  </colBreaks>
  <legacyDrawingHF r:id="rId2"/>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F36D6-521E-4D54-BD08-4F9345292692}">
  <dimension ref="B1:AB39"/>
  <sheetViews>
    <sheetView showGridLines="0" showZeros="0" view="pageBreakPreview" zoomScale="85" zoomScaleNormal="100" zoomScaleSheetLayoutView="85" workbookViewId="0">
      <selection activeCell="Q14" sqref="Q14:Q15"/>
    </sheetView>
  </sheetViews>
  <sheetFormatPr defaultColWidth="9.140625" defaultRowHeight="13.5" x14ac:dyDescent="0.25"/>
  <cols>
    <col min="1" max="1" width="1.7109375" style="89" customWidth="1"/>
    <col min="2" max="2" width="8.5703125" style="89" customWidth="1"/>
    <col min="3" max="3" width="7.5703125" style="89" customWidth="1"/>
    <col min="4" max="4" width="6.140625" style="89" customWidth="1"/>
    <col min="5" max="6" width="7.28515625" style="89" customWidth="1"/>
    <col min="7" max="8" width="8.7109375" style="89" customWidth="1"/>
    <col min="9" max="9" width="9.5703125" style="89" customWidth="1"/>
    <col min="10" max="10" width="8.7109375" style="89" customWidth="1"/>
    <col min="11" max="11" width="8.7109375" style="89" hidden="1" customWidth="1"/>
    <col min="12" max="12" width="8.7109375" style="89" customWidth="1"/>
    <col min="13" max="13" width="8" style="89" customWidth="1"/>
    <col min="14" max="19" width="9.7109375" style="89" customWidth="1"/>
    <col min="20" max="21" width="10.7109375" style="89" customWidth="1"/>
    <col min="22" max="22" width="12.85546875" style="91" customWidth="1"/>
    <col min="23" max="23" width="1.7109375" style="89" customWidth="1"/>
    <col min="24" max="24" width="9.140625" style="89" customWidth="1"/>
    <col min="25" max="16384" width="9.140625" style="89"/>
  </cols>
  <sheetData>
    <row r="1" spans="2:28" s="69" customFormat="1" ht="20.100000000000001" customHeight="1" x14ac:dyDescent="0.25">
      <c r="B1" s="569" t="s">
        <v>133</v>
      </c>
      <c r="C1" s="569"/>
      <c r="D1" s="569"/>
      <c r="E1" s="569"/>
      <c r="F1" s="569"/>
      <c r="G1" s="569"/>
      <c r="H1" s="569"/>
      <c r="I1" s="569"/>
      <c r="J1" s="569"/>
      <c r="K1" s="569"/>
      <c r="L1" s="569"/>
      <c r="M1" s="569"/>
      <c r="N1" s="569"/>
      <c r="O1" s="569"/>
      <c r="P1" s="569"/>
      <c r="Q1" s="569"/>
      <c r="R1" s="569"/>
      <c r="S1" s="569"/>
      <c r="T1" s="569"/>
      <c r="U1" s="569"/>
      <c r="V1" s="569"/>
      <c r="W1" s="569"/>
    </row>
    <row r="2" spans="2:28" s="69" customFormat="1" ht="20.100000000000001" customHeight="1" x14ac:dyDescent="0.25">
      <c r="B2" s="569"/>
      <c r="C2" s="569"/>
      <c r="D2" s="569"/>
      <c r="E2" s="569"/>
      <c r="F2" s="569"/>
      <c r="G2" s="569"/>
      <c r="H2" s="569"/>
      <c r="I2" s="569"/>
      <c r="J2" s="569"/>
      <c r="K2" s="569"/>
      <c r="L2" s="569"/>
      <c r="M2" s="569"/>
      <c r="N2" s="569"/>
      <c r="O2" s="569"/>
      <c r="P2" s="569"/>
      <c r="Q2" s="569"/>
      <c r="R2" s="569"/>
      <c r="S2" s="569"/>
      <c r="T2" s="569"/>
      <c r="U2" s="569"/>
      <c r="V2" s="569"/>
      <c r="W2" s="569"/>
    </row>
    <row r="3" spans="2:28" s="69" customFormat="1" ht="15" customHeight="1" x14ac:dyDescent="0.25"/>
    <row r="4" spans="2:28"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3" t="s">
        <v>96</v>
      </c>
      <c r="V4" s="4" t="str">
        <f>+'DADOS DA OBRA'!$N$22</f>
        <v>04/11/2024</v>
      </c>
      <c r="Y4" s="32"/>
      <c r="Z4" s="32"/>
      <c r="AA4" s="33"/>
      <c r="AB4" s="33"/>
    </row>
    <row r="5" spans="2:28" s="5" customFormat="1" ht="20.100000000000001" customHeight="1" x14ac:dyDescent="0.25">
      <c r="B5" s="1" t="s">
        <v>18</v>
      </c>
      <c r="C5" s="2" t="str">
        <f>+""&amp;'DADOS DA OBRA'!$B$16&amp;", "&amp;'DADOS DA OBRA'!$B$19&amp;", "&amp;'DADOS DA OBRA'!$J$19&amp;", "&amp;'DADOS DA OBRA'!$P$19</f>
        <v>RUAS DIVERSAS, DIVERSOS, MATRINCHÃ, GO</v>
      </c>
      <c r="U5" s="3" t="s">
        <v>17</v>
      </c>
      <c r="V5" s="4" t="str">
        <f>'DADOS DA OBRA'!$N$25</f>
        <v>00</v>
      </c>
    </row>
    <row r="6" spans="2:28" s="5" customFormat="1" ht="20.100000000000001" customHeight="1" x14ac:dyDescent="0.25"/>
    <row r="7" spans="2:28" s="5" customFormat="1" ht="20.100000000000001" customHeight="1" x14ac:dyDescent="0.25">
      <c r="B7" s="1" t="s">
        <v>97</v>
      </c>
      <c r="C7" s="39" t="s">
        <v>50</v>
      </c>
      <c r="U7" s="3" t="s">
        <v>18</v>
      </c>
      <c r="V7" s="64" t="s">
        <v>239</v>
      </c>
    </row>
    <row r="8" spans="2:28" s="67" customFormat="1" ht="20.100000000000001" customHeight="1" thickBot="1" x14ac:dyDescent="0.3">
      <c r="B8" s="52"/>
      <c r="C8" s="53"/>
      <c r="D8" s="10"/>
      <c r="E8" s="9"/>
      <c r="F8" s="9"/>
      <c r="G8" s="9"/>
      <c r="H8" s="10"/>
      <c r="I8" s="10"/>
      <c r="J8" s="10"/>
      <c r="K8" s="10"/>
      <c r="L8" s="10"/>
      <c r="M8" s="10"/>
      <c r="N8" s="10"/>
      <c r="O8" s="9"/>
      <c r="T8" s="10"/>
      <c r="U8" s="10"/>
    </row>
    <row r="9" spans="2:28" s="196" customFormat="1" ht="20.100000000000001" customHeight="1" x14ac:dyDescent="0.25">
      <c r="B9" s="871" t="s">
        <v>134</v>
      </c>
      <c r="C9" s="872"/>
      <c r="D9" s="774" t="s">
        <v>147</v>
      </c>
      <c r="E9" s="877" t="s">
        <v>148</v>
      </c>
      <c r="F9" s="886"/>
      <c r="G9" s="878"/>
      <c r="H9" s="774" t="s">
        <v>149</v>
      </c>
      <c r="I9" s="868" t="s">
        <v>271</v>
      </c>
      <c r="J9" s="868" t="s">
        <v>150</v>
      </c>
      <c r="K9" s="868" t="s">
        <v>151</v>
      </c>
      <c r="L9" s="868" t="s">
        <v>152</v>
      </c>
      <c r="M9" s="868" t="s">
        <v>270</v>
      </c>
      <c r="N9" s="867"/>
      <c r="O9" s="867"/>
      <c r="P9" s="867"/>
      <c r="Q9" s="867"/>
      <c r="R9" s="867"/>
      <c r="S9" s="867"/>
      <c r="T9" s="868" t="s">
        <v>136</v>
      </c>
      <c r="U9" s="868" t="s">
        <v>46</v>
      </c>
      <c r="V9" s="879" t="s">
        <v>238</v>
      </c>
    </row>
    <row r="10" spans="2:28" s="196" customFormat="1" ht="20.100000000000001" customHeight="1" x14ac:dyDescent="0.25">
      <c r="B10" s="873"/>
      <c r="C10" s="874"/>
      <c r="D10" s="870"/>
      <c r="E10" s="881" t="s">
        <v>153</v>
      </c>
      <c r="F10" s="881" t="s">
        <v>154</v>
      </c>
      <c r="G10" s="881" t="s">
        <v>155</v>
      </c>
      <c r="H10" s="870"/>
      <c r="I10" s="869"/>
      <c r="J10" s="869"/>
      <c r="K10" s="869"/>
      <c r="L10" s="869"/>
      <c r="M10" s="869"/>
      <c r="N10" s="883" t="s">
        <v>156</v>
      </c>
      <c r="O10" s="883"/>
      <c r="P10" s="883" t="s">
        <v>137</v>
      </c>
      <c r="Q10" s="883"/>
      <c r="R10" s="883" t="s">
        <v>159</v>
      </c>
      <c r="S10" s="883"/>
      <c r="T10" s="869"/>
      <c r="U10" s="869"/>
      <c r="V10" s="880"/>
    </row>
    <row r="11" spans="2:28" s="196" customFormat="1" ht="20.100000000000001" customHeight="1" thickBot="1" x14ac:dyDescent="0.3">
      <c r="B11" s="875"/>
      <c r="C11" s="876"/>
      <c r="D11" s="775"/>
      <c r="E11" s="882"/>
      <c r="F11" s="882"/>
      <c r="G11" s="882"/>
      <c r="H11" s="775"/>
      <c r="I11" s="191" t="s">
        <v>160</v>
      </c>
      <c r="J11" s="191" t="s">
        <v>139</v>
      </c>
      <c r="K11" s="191" t="s">
        <v>139</v>
      </c>
      <c r="L11" s="191" t="s">
        <v>139</v>
      </c>
      <c r="M11" s="191" t="s">
        <v>160</v>
      </c>
      <c r="N11" s="191" t="s">
        <v>141</v>
      </c>
      <c r="O11" s="191" t="s">
        <v>142</v>
      </c>
      <c r="P11" s="191" t="s">
        <v>143</v>
      </c>
      <c r="Q11" s="191" t="s">
        <v>144</v>
      </c>
      <c r="R11" s="191" t="s">
        <v>143</v>
      </c>
      <c r="S11" s="191" t="s">
        <v>144</v>
      </c>
      <c r="T11" s="191" t="s">
        <v>145</v>
      </c>
      <c r="U11" s="191" t="s">
        <v>139</v>
      </c>
      <c r="V11" s="197" t="s">
        <v>140</v>
      </c>
    </row>
    <row r="12" spans="2:28" s="88" customFormat="1" ht="24.95" customHeight="1" x14ac:dyDescent="0.25">
      <c r="B12" s="820" t="s">
        <v>269</v>
      </c>
      <c r="C12" s="821"/>
      <c r="D12" s="94">
        <v>1</v>
      </c>
      <c r="E12" s="884">
        <v>4.13</v>
      </c>
      <c r="F12" s="885"/>
      <c r="G12" s="111">
        <v>0.9</v>
      </c>
      <c r="H12" s="111">
        <v>0.95</v>
      </c>
      <c r="I12" s="111">
        <v>8.92</v>
      </c>
      <c r="J12" s="111">
        <f>+I12*H12</f>
        <v>8.4740000000000002</v>
      </c>
      <c r="K12" s="111">
        <f>+J12-U12</f>
        <v>3.7170000000000005</v>
      </c>
      <c r="L12" s="111">
        <f>+D12*I12*0.05</f>
        <v>0.44600000000000001</v>
      </c>
      <c r="M12" s="111">
        <f>7.75*G12</f>
        <v>6.9750000000000005</v>
      </c>
      <c r="N12" s="108">
        <f>2*18*2.66+2*16*2.57</f>
        <v>178</v>
      </c>
      <c r="O12" s="111">
        <f t="shared" ref="O12:O17" si="0">+G12*N12*0.245</f>
        <v>39.249000000000002</v>
      </c>
      <c r="P12" s="109">
        <f>4*7.53</f>
        <v>30.12</v>
      </c>
      <c r="Q12" s="112">
        <f t="shared" ref="Q12:Q17" si="1">+G12*P12*0.395</f>
        <v>10.707660000000001</v>
      </c>
      <c r="R12" s="109">
        <f>5*7*2.42</f>
        <v>84.7</v>
      </c>
      <c r="S12" s="109">
        <f>+R12*1.578*$D12</f>
        <v>133.6566</v>
      </c>
      <c r="T12" s="108">
        <f>+D12*E12*G12</f>
        <v>3.7170000000000001</v>
      </c>
      <c r="U12" s="108">
        <f>+J12-T12</f>
        <v>4.7569999999999997</v>
      </c>
      <c r="V12" s="110">
        <f>+T12*1.3</f>
        <v>4.8321000000000005</v>
      </c>
    </row>
    <row r="13" spans="2:28" s="88" customFormat="1" ht="24.95" customHeight="1" x14ac:dyDescent="0.25">
      <c r="B13" s="802" t="s">
        <v>161</v>
      </c>
      <c r="C13" s="803"/>
      <c r="D13" s="94">
        <v>1</v>
      </c>
      <c r="E13" s="884">
        <f>+E12</f>
        <v>4.13</v>
      </c>
      <c r="F13" s="885"/>
      <c r="G13" s="111">
        <v>0.9</v>
      </c>
      <c r="H13" s="111">
        <v>0.95</v>
      </c>
      <c r="I13" s="111">
        <v>8.92</v>
      </c>
      <c r="J13" s="111">
        <f t="shared" ref="J13:J15" si="2">+I13*H13</f>
        <v>8.4740000000000002</v>
      </c>
      <c r="K13" s="111">
        <f>+J13-U13</f>
        <v>3.7170000000000005</v>
      </c>
      <c r="L13" s="111">
        <f t="shared" ref="L13:L15" si="3">+D13*I13*0.05</f>
        <v>0.44600000000000001</v>
      </c>
      <c r="M13" s="111">
        <f t="shared" ref="M13:M15" si="4">7.75*G13</f>
        <v>6.9750000000000005</v>
      </c>
      <c r="N13" s="111">
        <f t="shared" ref="N13:N15" si="5">2*18*2.66+2*16*2.57</f>
        <v>178</v>
      </c>
      <c r="O13" s="111">
        <f t="shared" si="0"/>
        <v>39.249000000000002</v>
      </c>
      <c r="P13" s="112">
        <f t="shared" ref="P13:P15" si="6">4*7.53</f>
        <v>30.12</v>
      </c>
      <c r="Q13" s="112">
        <f t="shared" si="1"/>
        <v>10.707660000000001</v>
      </c>
      <c r="R13" s="112">
        <f t="shared" ref="R13:R15" si="7">5*7*2.42</f>
        <v>84.7</v>
      </c>
      <c r="S13" s="112">
        <f t="shared" ref="S13:S15" si="8">+R13*1.578*$D13</f>
        <v>133.6566</v>
      </c>
      <c r="T13" s="111">
        <f>+D13*E13*G13</f>
        <v>3.7170000000000001</v>
      </c>
      <c r="U13" s="111">
        <f>+J13-T13</f>
        <v>4.7569999999999997</v>
      </c>
      <c r="V13" s="113">
        <f t="shared" ref="V13:V15" si="9">+T13*1.3</f>
        <v>4.8321000000000005</v>
      </c>
    </row>
    <row r="14" spans="2:28" s="88" customFormat="1" ht="24.95" customHeight="1" x14ac:dyDescent="0.25">
      <c r="B14" s="802" t="s">
        <v>162</v>
      </c>
      <c r="C14" s="803"/>
      <c r="D14" s="94">
        <v>1</v>
      </c>
      <c r="E14" s="884">
        <f>+E13</f>
        <v>4.13</v>
      </c>
      <c r="F14" s="885"/>
      <c r="G14" s="111">
        <v>0.9</v>
      </c>
      <c r="H14" s="111">
        <v>0.95</v>
      </c>
      <c r="I14" s="111">
        <v>8.92</v>
      </c>
      <c r="J14" s="111">
        <f t="shared" si="2"/>
        <v>8.4740000000000002</v>
      </c>
      <c r="K14" s="111">
        <f>+J14-U14</f>
        <v>3.7170000000000005</v>
      </c>
      <c r="L14" s="111">
        <f t="shared" si="3"/>
        <v>0.44600000000000001</v>
      </c>
      <c r="M14" s="111">
        <f t="shared" si="4"/>
        <v>6.9750000000000005</v>
      </c>
      <c r="N14" s="111">
        <f t="shared" si="5"/>
        <v>178</v>
      </c>
      <c r="O14" s="111">
        <f t="shared" si="0"/>
        <v>39.249000000000002</v>
      </c>
      <c r="P14" s="112">
        <f t="shared" si="6"/>
        <v>30.12</v>
      </c>
      <c r="Q14" s="112">
        <f t="shared" si="1"/>
        <v>10.707660000000001</v>
      </c>
      <c r="R14" s="112">
        <f t="shared" si="7"/>
        <v>84.7</v>
      </c>
      <c r="S14" s="112">
        <f t="shared" si="8"/>
        <v>133.6566</v>
      </c>
      <c r="T14" s="111">
        <f>+D14*E14*G14</f>
        <v>3.7170000000000001</v>
      </c>
      <c r="U14" s="111">
        <f>+J14-T14</f>
        <v>4.7569999999999997</v>
      </c>
      <c r="V14" s="113">
        <f t="shared" si="9"/>
        <v>4.8321000000000005</v>
      </c>
    </row>
    <row r="15" spans="2:28" s="88" customFormat="1" ht="24.95" customHeight="1" x14ac:dyDescent="0.25">
      <c r="B15" s="802" t="s">
        <v>163</v>
      </c>
      <c r="C15" s="803"/>
      <c r="D15" s="94">
        <v>1</v>
      </c>
      <c r="E15" s="884">
        <f>+E14</f>
        <v>4.13</v>
      </c>
      <c r="F15" s="885"/>
      <c r="G15" s="111">
        <v>0.9</v>
      </c>
      <c r="H15" s="111">
        <v>0.95</v>
      </c>
      <c r="I15" s="111">
        <v>8.92</v>
      </c>
      <c r="J15" s="111">
        <f t="shared" si="2"/>
        <v>8.4740000000000002</v>
      </c>
      <c r="K15" s="111">
        <f>+J15-U15</f>
        <v>3.7170000000000005</v>
      </c>
      <c r="L15" s="111">
        <f t="shared" si="3"/>
        <v>0.44600000000000001</v>
      </c>
      <c r="M15" s="111">
        <f t="shared" si="4"/>
        <v>6.9750000000000005</v>
      </c>
      <c r="N15" s="111">
        <f t="shared" si="5"/>
        <v>178</v>
      </c>
      <c r="O15" s="111">
        <f t="shared" si="0"/>
        <v>39.249000000000002</v>
      </c>
      <c r="P15" s="112">
        <f t="shared" si="6"/>
        <v>30.12</v>
      </c>
      <c r="Q15" s="112">
        <f t="shared" si="1"/>
        <v>10.707660000000001</v>
      </c>
      <c r="R15" s="112">
        <f t="shared" si="7"/>
        <v>84.7</v>
      </c>
      <c r="S15" s="112">
        <f t="shared" si="8"/>
        <v>133.6566</v>
      </c>
      <c r="T15" s="111">
        <f>+D15*E15*G15</f>
        <v>3.7170000000000001</v>
      </c>
      <c r="U15" s="111">
        <f>+J15-T15</f>
        <v>4.7569999999999997</v>
      </c>
      <c r="V15" s="113">
        <f t="shared" si="9"/>
        <v>4.8321000000000005</v>
      </c>
    </row>
    <row r="16" spans="2:28" s="88" customFormat="1" ht="24.95" customHeight="1" x14ac:dyDescent="0.25">
      <c r="B16" s="802" t="s">
        <v>901</v>
      </c>
      <c r="C16" s="803"/>
      <c r="D16" s="94">
        <v>1</v>
      </c>
      <c r="E16" s="111">
        <v>1.5</v>
      </c>
      <c r="F16" s="111">
        <v>0.75</v>
      </c>
      <c r="G16" s="111">
        <v>0.3</v>
      </c>
      <c r="H16" s="111">
        <v>0.3</v>
      </c>
      <c r="I16" s="111"/>
      <c r="J16" s="111">
        <f t="shared" ref="J16" si="10">+I16*H16</f>
        <v>0</v>
      </c>
      <c r="K16" s="111">
        <f>+J16-U16</f>
        <v>0</v>
      </c>
      <c r="L16" s="111">
        <f>+D16*E16*F16*0.05</f>
        <v>5.6250000000000001E-2</v>
      </c>
      <c r="M16" s="111">
        <f>+(E16+F16)*2*G16*D16</f>
        <v>1.3499999999999999</v>
      </c>
      <c r="N16" s="111"/>
      <c r="O16" s="111">
        <f t="shared" si="0"/>
        <v>0</v>
      </c>
      <c r="P16" s="112"/>
      <c r="Q16" s="112">
        <f t="shared" si="1"/>
        <v>0</v>
      </c>
      <c r="R16" s="112"/>
      <c r="S16" s="112">
        <f t="shared" ref="S16" si="11">+R16*1.578*$D16</f>
        <v>0</v>
      </c>
      <c r="T16" s="111">
        <f>+D16*E16*F16*G16</f>
        <v>0.33749999999999997</v>
      </c>
      <c r="U16" s="111"/>
      <c r="V16" s="113"/>
    </row>
    <row r="17" spans="2:22" s="88" customFormat="1" ht="24.95" customHeight="1" thickBot="1" x14ac:dyDescent="0.3">
      <c r="B17" s="802"/>
      <c r="C17" s="803"/>
      <c r="D17" s="94"/>
      <c r="E17" s="111"/>
      <c r="F17" s="111"/>
      <c r="G17" s="111"/>
      <c r="H17" s="111"/>
      <c r="I17" s="111">
        <f t="shared" ref="I17:J17" si="12">+(D17)*(E17)*G17</f>
        <v>0</v>
      </c>
      <c r="J17" s="111">
        <f t="shared" si="12"/>
        <v>0</v>
      </c>
      <c r="K17" s="111">
        <f t="shared" ref="K17" si="13">+J17</f>
        <v>0</v>
      </c>
      <c r="L17" s="111"/>
      <c r="M17" s="111">
        <f>+(E17+F17)*2*G17</f>
        <v>0</v>
      </c>
      <c r="N17" s="111"/>
      <c r="O17" s="111">
        <f t="shared" si="0"/>
        <v>0</v>
      </c>
      <c r="P17" s="112"/>
      <c r="Q17" s="112">
        <f t="shared" si="1"/>
        <v>0</v>
      </c>
      <c r="R17" s="112"/>
      <c r="S17" s="112">
        <f t="shared" ref="S17" si="14">+R17*1.578*$D17</f>
        <v>0</v>
      </c>
      <c r="T17" s="111">
        <f>+E17*F17*G17*$D17*1.05</f>
        <v>0</v>
      </c>
      <c r="U17" s="111">
        <f>+J17-T17</f>
        <v>0</v>
      </c>
      <c r="V17" s="113">
        <f t="shared" ref="V17" si="15">+T17/1.1*1.3</f>
        <v>0</v>
      </c>
    </row>
    <row r="18" spans="2:22" s="88" customFormat="1" ht="30" customHeight="1" thickBot="1" x14ac:dyDescent="0.3">
      <c r="B18" s="794" t="s">
        <v>146</v>
      </c>
      <c r="C18" s="795"/>
      <c r="D18" s="795"/>
      <c r="E18" s="795"/>
      <c r="F18" s="795"/>
      <c r="G18" s="795"/>
      <c r="H18" s="796"/>
      <c r="I18" s="105">
        <f t="shared" ref="I18:V18" si="16">SUM(I12:I17)</f>
        <v>35.68</v>
      </c>
      <c r="J18" s="105">
        <f t="shared" si="16"/>
        <v>33.896000000000001</v>
      </c>
      <c r="K18" s="105">
        <f t="shared" si="16"/>
        <v>14.868000000000002</v>
      </c>
      <c r="L18" s="105">
        <f t="shared" si="16"/>
        <v>1.8402499999999999</v>
      </c>
      <c r="M18" s="105">
        <f t="shared" si="16"/>
        <v>29.250000000000004</v>
      </c>
      <c r="N18" s="105">
        <f t="shared" si="16"/>
        <v>712</v>
      </c>
      <c r="O18" s="105">
        <f t="shared" si="16"/>
        <v>156.99600000000001</v>
      </c>
      <c r="P18" s="106">
        <f t="shared" si="16"/>
        <v>120.48</v>
      </c>
      <c r="Q18" s="106">
        <f t="shared" si="16"/>
        <v>42.830640000000002</v>
      </c>
      <c r="R18" s="106">
        <f t="shared" si="16"/>
        <v>338.8</v>
      </c>
      <c r="S18" s="106">
        <f t="shared" si="16"/>
        <v>534.62639999999999</v>
      </c>
      <c r="T18" s="105">
        <f t="shared" si="16"/>
        <v>15.205500000000001</v>
      </c>
      <c r="U18" s="105">
        <f t="shared" si="16"/>
        <v>19.027999999999999</v>
      </c>
      <c r="V18" s="198">
        <f t="shared" si="16"/>
        <v>19.328400000000002</v>
      </c>
    </row>
    <row r="19" spans="2:22" s="88" customFormat="1" ht="30" customHeight="1" x14ac:dyDescent="0.25">
      <c r="B19" s="793"/>
      <c r="C19" s="793"/>
      <c r="D19" s="9"/>
      <c r="E19" s="9"/>
      <c r="F19" s="9"/>
      <c r="G19" s="9"/>
      <c r="H19" s="9"/>
      <c r="I19" s="9"/>
      <c r="J19" s="9"/>
      <c r="K19" s="9"/>
      <c r="L19" s="9"/>
      <c r="M19" s="9"/>
      <c r="N19" s="9"/>
      <c r="O19" s="9"/>
      <c r="T19" s="9"/>
      <c r="U19" s="9"/>
    </row>
    <row r="20" spans="2:22" ht="20.100000000000001" customHeight="1" x14ac:dyDescent="0.25">
      <c r="B20" s="746" t="s">
        <v>255</v>
      </c>
      <c r="C20" s="746"/>
      <c r="D20" s="746"/>
      <c r="E20" s="746"/>
      <c r="F20" s="746"/>
      <c r="G20" s="746"/>
      <c r="H20" s="746"/>
      <c r="I20" s="746"/>
      <c r="J20" s="746"/>
      <c r="K20" s="746"/>
      <c r="L20" s="746"/>
      <c r="V20" s="90"/>
    </row>
    <row r="21" spans="2:22" ht="20.100000000000001" customHeight="1" x14ac:dyDescent="0.25">
      <c r="B21" s="31" t="s">
        <v>218</v>
      </c>
      <c r="C21" s="194" t="s">
        <v>272</v>
      </c>
      <c r="D21" s="31" t="s">
        <v>273</v>
      </c>
      <c r="E21" s="31"/>
      <c r="F21" s="31"/>
      <c r="G21" s="31"/>
      <c r="H21" s="31"/>
      <c r="I21" s="31"/>
      <c r="J21" s="31"/>
      <c r="U21" s="194" t="s">
        <v>219</v>
      </c>
      <c r="V21" s="195">
        <f>+J18</f>
        <v>33.896000000000001</v>
      </c>
    </row>
    <row r="22" spans="2:22" ht="20.100000000000001" customHeight="1" x14ac:dyDescent="0.25">
      <c r="B22" s="31" t="s">
        <v>218</v>
      </c>
      <c r="C22" s="194" t="s">
        <v>220</v>
      </c>
      <c r="D22" s="31" t="s">
        <v>221</v>
      </c>
      <c r="E22" s="31"/>
      <c r="F22" s="31"/>
      <c r="G22" s="31"/>
      <c r="H22" s="31"/>
      <c r="I22" s="31"/>
      <c r="J22" s="31"/>
      <c r="U22" s="194" t="s">
        <v>222</v>
      </c>
      <c r="V22" s="195">
        <f>+I18</f>
        <v>35.68</v>
      </c>
    </row>
    <row r="23" spans="2:22" ht="20.100000000000001" customHeight="1" x14ac:dyDescent="0.25">
      <c r="B23" s="31" t="s">
        <v>218</v>
      </c>
      <c r="C23" s="194" t="s">
        <v>253</v>
      </c>
      <c r="D23" s="31" t="s">
        <v>254</v>
      </c>
      <c r="E23" s="31"/>
      <c r="F23" s="31"/>
      <c r="G23" s="31"/>
      <c r="H23" s="31"/>
      <c r="I23" s="31"/>
      <c r="J23" s="31"/>
      <c r="U23" s="194" t="s">
        <v>219</v>
      </c>
      <c r="V23" s="195">
        <f>L18</f>
        <v>1.8402499999999999</v>
      </c>
    </row>
    <row r="24" spans="2:22" ht="20.100000000000001" customHeight="1" x14ac:dyDescent="0.25">
      <c r="B24" s="31" t="s">
        <v>218</v>
      </c>
      <c r="C24" s="194" t="s">
        <v>256</v>
      </c>
      <c r="D24" s="31" t="s">
        <v>257</v>
      </c>
      <c r="E24" s="31"/>
      <c r="F24" s="31"/>
      <c r="G24" s="31"/>
      <c r="H24" s="31"/>
      <c r="I24" s="31"/>
      <c r="J24" s="31"/>
      <c r="U24" s="193" t="s">
        <v>222</v>
      </c>
      <c r="V24" s="195">
        <f>+M18</f>
        <v>29.250000000000004</v>
      </c>
    </row>
    <row r="25" spans="2:22" ht="20.100000000000001" customHeight="1" x14ac:dyDescent="0.25">
      <c r="B25" s="31" t="s">
        <v>218</v>
      </c>
      <c r="C25" s="194" t="s">
        <v>258</v>
      </c>
      <c r="D25" s="31" t="s">
        <v>259</v>
      </c>
      <c r="E25" s="31"/>
      <c r="F25" s="31"/>
      <c r="G25" s="31"/>
      <c r="H25" s="31"/>
      <c r="I25" s="31"/>
      <c r="J25" s="31"/>
      <c r="U25" s="194" t="s">
        <v>264</v>
      </c>
      <c r="V25" s="195">
        <f>+O18</f>
        <v>156.99600000000001</v>
      </c>
    </row>
    <row r="26" spans="2:22" ht="20.100000000000001" customHeight="1" x14ac:dyDescent="0.25">
      <c r="B26" s="31" t="s">
        <v>218</v>
      </c>
      <c r="C26" s="194" t="s">
        <v>260</v>
      </c>
      <c r="D26" s="31" t="s">
        <v>261</v>
      </c>
      <c r="E26" s="31"/>
      <c r="F26" s="31"/>
      <c r="G26" s="31"/>
      <c r="H26" s="31"/>
      <c r="I26" s="31"/>
      <c r="J26" s="31"/>
      <c r="U26" s="194" t="s">
        <v>264</v>
      </c>
      <c r="V26" s="195">
        <f>+Q18</f>
        <v>42.830640000000002</v>
      </c>
    </row>
    <row r="27" spans="2:22" ht="20.100000000000001" customHeight="1" x14ac:dyDescent="0.25">
      <c r="B27" s="31" t="s">
        <v>218</v>
      </c>
      <c r="C27" s="194" t="s">
        <v>274</v>
      </c>
      <c r="D27" s="31" t="s">
        <v>275</v>
      </c>
      <c r="E27" s="31"/>
      <c r="F27" s="31"/>
      <c r="G27" s="31"/>
      <c r="H27" s="31"/>
      <c r="I27" s="31"/>
      <c r="J27" s="31"/>
      <c r="U27" s="193" t="s">
        <v>264</v>
      </c>
      <c r="V27" s="195">
        <f>+S18</f>
        <v>534.62639999999999</v>
      </c>
    </row>
    <row r="28" spans="2:22" ht="20.100000000000001" customHeight="1" x14ac:dyDescent="0.25">
      <c r="B28" s="31" t="s">
        <v>218</v>
      </c>
      <c r="C28" s="194" t="s">
        <v>267</v>
      </c>
      <c r="D28" s="31" t="s">
        <v>268</v>
      </c>
      <c r="E28" s="31"/>
      <c r="F28" s="31"/>
      <c r="G28" s="31"/>
      <c r="H28" s="31"/>
      <c r="I28" s="31"/>
      <c r="J28" s="31"/>
      <c r="U28" s="193" t="s">
        <v>219</v>
      </c>
      <c r="V28" s="195">
        <f>+T18</f>
        <v>15.205500000000001</v>
      </c>
    </row>
    <row r="29" spans="2:22" ht="20.100000000000001" customHeight="1" x14ac:dyDescent="0.25">
      <c r="B29" s="31" t="s">
        <v>218</v>
      </c>
      <c r="C29" s="194" t="s">
        <v>276</v>
      </c>
      <c r="D29" s="31" t="s">
        <v>277</v>
      </c>
      <c r="E29" s="31"/>
      <c r="F29" s="31"/>
      <c r="G29" s="31"/>
      <c r="H29" s="31"/>
      <c r="I29" s="31"/>
      <c r="J29" s="31"/>
      <c r="U29" s="193" t="s">
        <v>219</v>
      </c>
      <c r="V29" s="195">
        <f>+V28</f>
        <v>15.205500000000001</v>
      </c>
    </row>
    <row r="30" spans="2:22" ht="20.100000000000001" customHeight="1" x14ac:dyDescent="0.25">
      <c r="B30" s="31" t="s">
        <v>218</v>
      </c>
      <c r="C30" s="194" t="s">
        <v>278</v>
      </c>
      <c r="D30" s="31" t="s">
        <v>279</v>
      </c>
      <c r="F30" s="31"/>
      <c r="G30" s="31"/>
      <c r="H30" s="31"/>
      <c r="I30" s="31"/>
      <c r="J30" s="31"/>
      <c r="U30" s="193" t="s">
        <v>219</v>
      </c>
      <c r="V30" s="195">
        <f>+U18</f>
        <v>19.027999999999999</v>
      </c>
    </row>
    <row r="31" spans="2:22" x14ac:dyDescent="0.25">
      <c r="V31" s="90"/>
    </row>
    <row r="32" spans="2:22" x14ac:dyDescent="0.25">
      <c r="V32" s="90"/>
    </row>
    <row r="33" spans="22:22" x14ac:dyDescent="0.25">
      <c r="V33" s="90"/>
    </row>
    <row r="34" spans="22:22" x14ac:dyDescent="0.25">
      <c r="V34" s="90"/>
    </row>
    <row r="35" spans="22:22" x14ac:dyDescent="0.25">
      <c r="V35" s="90"/>
    </row>
    <row r="36" spans="22:22" x14ac:dyDescent="0.25">
      <c r="V36" s="90"/>
    </row>
    <row r="37" spans="22:22" x14ac:dyDescent="0.25">
      <c r="V37" s="90"/>
    </row>
    <row r="38" spans="22:22" x14ac:dyDescent="0.25">
      <c r="V38" s="90"/>
    </row>
    <row r="39" spans="22:22" x14ac:dyDescent="0.25">
      <c r="V39" s="90"/>
    </row>
  </sheetData>
  <mergeCells count="34">
    <mergeCell ref="K9:K10"/>
    <mergeCell ref="H9:H11"/>
    <mergeCell ref="E9:G9"/>
    <mergeCell ref="E10:E11"/>
    <mergeCell ref="C4:T4"/>
    <mergeCell ref="B1:W2"/>
    <mergeCell ref="B9:C11"/>
    <mergeCell ref="D9:D11"/>
    <mergeCell ref="L9:L10"/>
    <mergeCell ref="N9:S9"/>
    <mergeCell ref="T9:T10"/>
    <mergeCell ref="V9:V10"/>
    <mergeCell ref="U9:U10"/>
    <mergeCell ref="M9:M10"/>
    <mergeCell ref="R10:S10"/>
    <mergeCell ref="P10:Q10"/>
    <mergeCell ref="N10:O10"/>
    <mergeCell ref="I9:I10"/>
    <mergeCell ref="F10:F11"/>
    <mergeCell ref="G10:G11"/>
    <mergeCell ref="J9:J10"/>
    <mergeCell ref="B20:L20"/>
    <mergeCell ref="B18:H18"/>
    <mergeCell ref="E12:F12"/>
    <mergeCell ref="E13:F13"/>
    <mergeCell ref="E14:F14"/>
    <mergeCell ref="E15:F15"/>
    <mergeCell ref="B19:C19"/>
    <mergeCell ref="B12:C12"/>
    <mergeCell ref="B13:C13"/>
    <mergeCell ref="B14:C14"/>
    <mergeCell ref="B15:C15"/>
    <mergeCell ref="B17:C17"/>
    <mergeCell ref="B16:C16"/>
  </mergeCells>
  <phoneticPr fontId="52" type="noConversion"/>
  <printOptions horizontalCentered="1"/>
  <pageMargins left="0.51181102362204722" right="0.51181102362204722" top="0.78740157480314965" bottom="0.78740157480314965" header="0.31496062992125984" footer="0.31496062992125984"/>
  <pageSetup paperSize="9" scale="73" orientation="landscape" r:id="rId1"/>
  <headerFooter>
    <oddHeader>&amp;L&amp;G</oddHeader>
    <oddFooter>&amp;L&amp;"Arial Narrow,Normal"&amp;10&amp;A
&amp;F&amp;R&amp;"Arial Narrow,Normal"&amp;10&amp;P de &amp;N</oddFooter>
  </headerFooter>
  <colBreaks count="1" manualBreakCount="1">
    <brk id="24" max="1048575" man="1"/>
  </colBreaks>
  <legacyDrawing r:id="rId2"/>
  <legacyDrawingHF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77768-ED51-4794-845C-4C8B9B3B4EAF}">
  <dimension ref="B1:AA24"/>
  <sheetViews>
    <sheetView showGridLines="0" showZeros="0" view="pageBreakPreview" zoomScale="85" zoomScaleNormal="100" zoomScaleSheetLayoutView="85"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8" width="8.7109375" style="89" customWidth="1"/>
    <col min="9" max="12" width="9.7109375" style="89" customWidth="1"/>
    <col min="13" max="20" width="9.7109375" style="89" hidden="1" customWidth="1"/>
    <col min="21" max="22" width="9.7109375" style="89" customWidth="1"/>
    <col min="23" max="23" width="12.85546875" style="89" customWidth="1"/>
    <col min="24" max="24" width="1.7109375" style="89" customWidth="1"/>
    <col min="25" max="25" width="9.140625" style="89" customWidth="1"/>
    <col min="26" max="16384" width="9.140625" style="89"/>
  </cols>
  <sheetData>
    <row r="1" spans="2:27" s="69" customFormat="1" ht="20.100000000000001" customHeight="1" x14ac:dyDescent="0.25">
      <c r="B1" s="569" t="s">
        <v>133</v>
      </c>
      <c r="C1" s="569"/>
      <c r="D1" s="569"/>
      <c r="E1" s="569"/>
      <c r="F1" s="569"/>
      <c r="G1" s="569"/>
      <c r="H1" s="569"/>
      <c r="I1" s="569"/>
      <c r="J1" s="569"/>
      <c r="K1" s="569"/>
      <c r="L1" s="569"/>
      <c r="M1" s="569"/>
      <c r="N1" s="569"/>
      <c r="O1" s="569"/>
      <c r="P1" s="569"/>
      <c r="Q1" s="569"/>
      <c r="R1" s="569"/>
      <c r="S1" s="569"/>
      <c r="T1" s="569"/>
      <c r="U1" s="569"/>
      <c r="V1" s="569"/>
      <c r="W1" s="569"/>
      <c r="X1" s="569"/>
    </row>
    <row r="2" spans="2:27" s="69" customFormat="1" ht="20.100000000000001" customHeight="1" x14ac:dyDescent="0.25">
      <c r="B2" s="569"/>
      <c r="C2" s="569"/>
      <c r="D2" s="569"/>
      <c r="E2" s="569"/>
      <c r="F2" s="569"/>
      <c r="G2" s="569"/>
      <c r="H2" s="569"/>
      <c r="I2" s="569"/>
      <c r="J2" s="569"/>
      <c r="K2" s="569"/>
      <c r="L2" s="569"/>
      <c r="M2" s="569"/>
      <c r="N2" s="569"/>
      <c r="O2" s="569"/>
      <c r="P2" s="569"/>
      <c r="Q2" s="569"/>
      <c r="R2" s="569"/>
      <c r="S2" s="569"/>
      <c r="T2" s="569"/>
      <c r="U2" s="569"/>
      <c r="V2" s="569"/>
      <c r="W2" s="569"/>
      <c r="X2" s="569"/>
    </row>
    <row r="3" spans="2:27" s="69" customFormat="1" ht="20.100000000000001" customHeight="1" x14ac:dyDescent="0.25"/>
    <row r="4" spans="2:27"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3" t="s">
        <v>96</v>
      </c>
      <c r="W4" s="4" t="str">
        <f>+'DADOS DA OBRA'!$N$22</f>
        <v>04/11/2024</v>
      </c>
      <c r="Z4" s="32"/>
      <c r="AA4" s="32"/>
    </row>
    <row r="5" spans="2:27" s="5" customFormat="1" ht="20.100000000000001" customHeight="1" x14ac:dyDescent="0.25">
      <c r="B5" s="1" t="s">
        <v>18</v>
      </c>
      <c r="C5" s="2" t="str">
        <f>+""&amp;'DADOS DA OBRA'!$B$16&amp;", "&amp;'DADOS DA OBRA'!$B$19&amp;", "&amp;'DADOS DA OBRA'!$J$19&amp;", "&amp;'DADOS DA OBRA'!$P$19</f>
        <v>RUAS DIVERSAS, DIVERSOS, MATRINCHÃ, GO</v>
      </c>
      <c r="V5" s="3" t="s">
        <v>17</v>
      </c>
      <c r="W5" s="4" t="str">
        <f>'DADOS DA OBRA'!$N$25</f>
        <v>00</v>
      </c>
    </row>
    <row r="6" spans="2:27" s="5" customFormat="1" ht="20.100000000000001" customHeight="1" x14ac:dyDescent="0.25"/>
    <row r="7" spans="2:27" s="5" customFormat="1" ht="20.100000000000001" customHeight="1" x14ac:dyDescent="0.25">
      <c r="B7" s="1" t="s">
        <v>97</v>
      </c>
      <c r="C7" s="39" t="s">
        <v>164</v>
      </c>
      <c r="V7" s="3" t="s">
        <v>18</v>
      </c>
      <c r="W7" s="64" t="s">
        <v>239</v>
      </c>
    </row>
    <row r="8" spans="2:27" s="67" customFormat="1" ht="20.100000000000001" customHeight="1" thickBot="1" x14ac:dyDescent="0.3">
      <c r="B8" s="52"/>
      <c r="C8" s="53"/>
      <c r="D8" s="10"/>
      <c r="E8" s="9"/>
      <c r="F8" s="9"/>
      <c r="G8" s="9"/>
      <c r="H8" s="10"/>
      <c r="I8" s="10"/>
      <c r="J8" s="9"/>
      <c r="W8" s="10"/>
    </row>
    <row r="9" spans="2:27" s="88" customFormat="1" ht="20.100000000000001" customHeight="1" x14ac:dyDescent="0.25">
      <c r="B9" s="804" t="s">
        <v>134</v>
      </c>
      <c r="C9" s="805"/>
      <c r="D9" s="810" t="s">
        <v>147</v>
      </c>
      <c r="E9" s="813" t="s">
        <v>165</v>
      </c>
      <c r="F9" s="814"/>
      <c r="G9" s="815"/>
      <c r="H9" s="799" t="s">
        <v>166</v>
      </c>
      <c r="I9" s="819" t="s">
        <v>135</v>
      </c>
      <c r="J9" s="819"/>
      <c r="K9" s="819"/>
      <c r="L9" s="819"/>
      <c r="M9" s="819"/>
      <c r="N9" s="819"/>
      <c r="O9" s="819"/>
      <c r="P9" s="819"/>
      <c r="Q9" s="819"/>
      <c r="R9" s="819"/>
      <c r="S9" s="819"/>
      <c r="T9" s="819"/>
      <c r="U9" s="819"/>
      <c r="V9" s="819"/>
      <c r="W9" s="817" t="s">
        <v>136</v>
      </c>
    </row>
    <row r="10" spans="2:27" s="88" customFormat="1" ht="20.100000000000001" customHeight="1" x14ac:dyDescent="0.25">
      <c r="B10" s="806"/>
      <c r="C10" s="807"/>
      <c r="D10" s="811"/>
      <c r="E10" s="797" t="s">
        <v>153</v>
      </c>
      <c r="F10" s="797" t="s">
        <v>154</v>
      </c>
      <c r="G10" s="797" t="s">
        <v>155</v>
      </c>
      <c r="H10" s="800"/>
      <c r="I10" s="801" t="s">
        <v>138</v>
      </c>
      <c r="J10" s="801"/>
      <c r="K10" s="801" t="s">
        <v>156</v>
      </c>
      <c r="L10" s="801"/>
      <c r="M10" s="887" t="s">
        <v>137</v>
      </c>
      <c r="N10" s="888"/>
      <c r="O10" s="887" t="s">
        <v>157</v>
      </c>
      <c r="P10" s="888"/>
      <c r="Q10" s="887" t="s">
        <v>158</v>
      </c>
      <c r="R10" s="888"/>
      <c r="S10" s="887" t="s">
        <v>159</v>
      </c>
      <c r="T10" s="888"/>
      <c r="U10" s="887" t="s">
        <v>167</v>
      </c>
      <c r="V10" s="888"/>
      <c r="W10" s="818"/>
    </row>
    <row r="11" spans="2:27" s="88" customFormat="1" ht="20.100000000000001" customHeight="1" thickBot="1" x14ac:dyDescent="0.3">
      <c r="B11" s="808"/>
      <c r="C11" s="809"/>
      <c r="D11" s="812"/>
      <c r="E11" s="798"/>
      <c r="F11" s="798"/>
      <c r="G11" s="798"/>
      <c r="H11" s="98" t="s">
        <v>160</v>
      </c>
      <c r="I11" s="98" t="s">
        <v>141</v>
      </c>
      <c r="J11" s="98" t="s">
        <v>142</v>
      </c>
      <c r="K11" s="98" t="s">
        <v>143</v>
      </c>
      <c r="L11" s="98" t="s">
        <v>144</v>
      </c>
      <c r="M11" s="98" t="s">
        <v>143</v>
      </c>
      <c r="N11" s="98" t="s">
        <v>144</v>
      </c>
      <c r="O11" s="98" t="s">
        <v>143</v>
      </c>
      <c r="P11" s="98" t="s">
        <v>144</v>
      </c>
      <c r="Q11" s="98" t="s">
        <v>143</v>
      </c>
      <c r="R11" s="98" t="s">
        <v>144</v>
      </c>
      <c r="S11" s="98" t="s">
        <v>143</v>
      </c>
      <c r="T11" s="98" t="s">
        <v>144</v>
      </c>
      <c r="U11" s="98" t="s">
        <v>143</v>
      </c>
      <c r="V11" s="98" t="s">
        <v>144</v>
      </c>
      <c r="W11" s="107" t="s">
        <v>145</v>
      </c>
    </row>
    <row r="12" spans="2:27" s="88" customFormat="1" ht="30" customHeight="1" x14ac:dyDescent="0.25">
      <c r="B12" s="820" t="s">
        <v>295</v>
      </c>
      <c r="C12" s="821"/>
      <c r="D12" s="92">
        <v>4</v>
      </c>
      <c r="E12" s="108">
        <v>0.4</v>
      </c>
      <c r="F12" s="108">
        <v>0.4</v>
      </c>
      <c r="G12" s="108">
        <v>2</v>
      </c>
      <c r="H12" s="108">
        <f>+(E12+F12)*2*G12</f>
        <v>3.2</v>
      </c>
      <c r="I12" s="109">
        <f>2*1.1</f>
        <v>2.2000000000000002</v>
      </c>
      <c r="J12" s="111">
        <f>+I12*0.154*$D12</f>
        <v>1.3552000000000002</v>
      </c>
      <c r="K12" s="109">
        <f>18*1.36</f>
        <v>24.48</v>
      </c>
      <c r="L12" s="111">
        <f>+K12*0.245*$D12</f>
        <v>23.990400000000001</v>
      </c>
      <c r="M12" s="109"/>
      <c r="N12" s="112">
        <f>+M12*0.395*$D12</f>
        <v>0</v>
      </c>
      <c r="O12" s="109"/>
      <c r="P12" s="109">
        <f>+O12*0.617*$D12</f>
        <v>0</v>
      </c>
      <c r="Q12" s="109"/>
      <c r="R12" s="109">
        <f>+Q12*0.963*$D12</f>
        <v>0</v>
      </c>
      <c r="S12" s="109"/>
      <c r="T12" s="109">
        <f>+S12*1.578*$D12</f>
        <v>0</v>
      </c>
      <c r="U12" s="109">
        <f>4*1.95+4*1.85</f>
        <v>15.2</v>
      </c>
      <c r="V12" s="109">
        <f>+U12*2.466*$D12</f>
        <v>149.93280000000001</v>
      </c>
      <c r="W12" s="114">
        <f>+(E12*F12*G12*D12)</f>
        <v>1.2800000000000002</v>
      </c>
    </row>
    <row r="13" spans="2:27" s="88" customFormat="1" ht="30" customHeight="1" x14ac:dyDescent="0.25">
      <c r="B13" s="802"/>
      <c r="C13" s="803"/>
      <c r="D13" s="94"/>
      <c r="E13" s="111"/>
      <c r="F13" s="111"/>
      <c r="G13" s="111"/>
      <c r="H13" s="111">
        <f t="shared" ref="H13:H15" si="0">+(E13+F13)*2*G13</f>
        <v>0</v>
      </c>
      <c r="I13" s="112"/>
      <c r="J13" s="111">
        <f t="shared" ref="J13:J15" si="1">+I13*0.154*$D13</f>
        <v>0</v>
      </c>
      <c r="K13" s="112"/>
      <c r="L13" s="111">
        <f t="shared" ref="L13:L15" si="2">+K13*0.245*$D13</f>
        <v>0</v>
      </c>
      <c r="M13" s="112"/>
      <c r="N13" s="112">
        <f t="shared" ref="N13:N15" si="3">+M13*0.395*$D13</f>
        <v>0</v>
      </c>
      <c r="O13" s="112"/>
      <c r="P13" s="112">
        <f t="shared" ref="P13:P15" si="4">+O13*0.617*$D13</f>
        <v>0</v>
      </c>
      <c r="Q13" s="112"/>
      <c r="R13" s="112">
        <f t="shared" ref="R13:R15" si="5">+Q13*0.963*$D13</f>
        <v>0</v>
      </c>
      <c r="S13" s="112"/>
      <c r="T13" s="112">
        <f t="shared" ref="T13:T15" si="6">+S13*1.578*$D13</f>
        <v>0</v>
      </c>
      <c r="U13" s="112"/>
      <c r="V13" s="112">
        <f t="shared" ref="V13:V15" si="7">+U13*2.466*$D13</f>
        <v>0</v>
      </c>
      <c r="W13" s="115">
        <f t="shared" ref="W13:W15" si="8">+E13*F13*G13*$D13*1.05</f>
        <v>0</v>
      </c>
    </row>
    <row r="14" spans="2:27" s="88" customFormat="1" ht="30" customHeight="1" x14ac:dyDescent="0.25">
      <c r="B14" s="802"/>
      <c r="C14" s="803"/>
      <c r="D14" s="94"/>
      <c r="E14" s="111"/>
      <c r="F14" s="111"/>
      <c r="G14" s="111"/>
      <c r="H14" s="111">
        <f t="shared" si="0"/>
        <v>0</v>
      </c>
      <c r="I14" s="112"/>
      <c r="J14" s="111">
        <f t="shared" si="1"/>
        <v>0</v>
      </c>
      <c r="K14" s="112"/>
      <c r="L14" s="111">
        <f t="shared" si="2"/>
        <v>0</v>
      </c>
      <c r="M14" s="112"/>
      <c r="N14" s="112">
        <f t="shared" si="3"/>
        <v>0</v>
      </c>
      <c r="O14" s="112"/>
      <c r="P14" s="112">
        <f t="shared" si="4"/>
        <v>0</v>
      </c>
      <c r="Q14" s="112"/>
      <c r="R14" s="112">
        <f t="shared" si="5"/>
        <v>0</v>
      </c>
      <c r="S14" s="112"/>
      <c r="T14" s="112">
        <f t="shared" si="6"/>
        <v>0</v>
      </c>
      <c r="U14" s="112"/>
      <c r="V14" s="112">
        <f t="shared" si="7"/>
        <v>0</v>
      </c>
      <c r="W14" s="115">
        <f t="shared" si="8"/>
        <v>0</v>
      </c>
    </row>
    <row r="15" spans="2:27" s="88" customFormat="1" ht="30" customHeight="1" thickBot="1" x14ac:dyDescent="0.3">
      <c r="B15" s="802"/>
      <c r="C15" s="803"/>
      <c r="D15" s="94"/>
      <c r="E15" s="111"/>
      <c r="F15" s="111"/>
      <c r="G15" s="111"/>
      <c r="H15" s="111">
        <f t="shared" si="0"/>
        <v>0</v>
      </c>
      <c r="I15" s="112"/>
      <c r="J15" s="111">
        <f t="shared" si="1"/>
        <v>0</v>
      </c>
      <c r="K15" s="112"/>
      <c r="L15" s="111">
        <f t="shared" si="2"/>
        <v>0</v>
      </c>
      <c r="M15" s="112"/>
      <c r="N15" s="112">
        <f t="shared" si="3"/>
        <v>0</v>
      </c>
      <c r="O15" s="112"/>
      <c r="P15" s="112">
        <f t="shared" si="4"/>
        <v>0</v>
      </c>
      <c r="Q15" s="112"/>
      <c r="R15" s="112">
        <f t="shared" si="5"/>
        <v>0</v>
      </c>
      <c r="S15" s="112"/>
      <c r="T15" s="112">
        <f t="shared" si="6"/>
        <v>0</v>
      </c>
      <c r="U15" s="112"/>
      <c r="V15" s="112">
        <f t="shared" si="7"/>
        <v>0</v>
      </c>
      <c r="W15" s="115">
        <f t="shared" si="8"/>
        <v>0</v>
      </c>
    </row>
    <row r="16" spans="2:27" s="88" customFormat="1" ht="30" customHeight="1" thickBot="1" x14ac:dyDescent="0.3">
      <c r="B16" s="794" t="s">
        <v>146</v>
      </c>
      <c r="C16" s="795"/>
      <c r="D16" s="795"/>
      <c r="E16" s="795"/>
      <c r="F16" s="795"/>
      <c r="G16" s="795"/>
      <c r="H16" s="105">
        <f t="shared" ref="H16:W16" si="9">SUM(H12:H15)</f>
        <v>3.2</v>
      </c>
      <c r="I16" s="105">
        <f t="shared" si="9"/>
        <v>2.2000000000000002</v>
      </c>
      <c r="J16" s="105">
        <f t="shared" si="9"/>
        <v>1.3552000000000002</v>
      </c>
      <c r="K16" s="106">
        <f t="shared" si="9"/>
        <v>24.48</v>
      </c>
      <c r="L16" s="106">
        <f t="shared" si="9"/>
        <v>23.990400000000001</v>
      </c>
      <c r="M16" s="106">
        <f t="shared" si="9"/>
        <v>0</v>
      </c>
      <c r="N16" s="106">
        <f t="shared" si="9"/>
        <v>0</v>
      </c>
      <c r="O16" s="106">
        <f t="shared" si="9"/>
        <v>0</v>
      </c>
      <c r="P16" s="106">
        <f t="shared" si="9"/>
        <v>0</v>
      </c>
      <c r="Q16" s="106">
        <f t="shared" si="9"/>
        <v>0</v>
      </c>
      <c r="R16" s="106">
        <f t="shared" si="9"/>
        <v>0</v>
      </c>
      <c r="S16" s="106">
        <f t="shared" si="9"/>
        <v>0</v>
      </c>
      <c r="T16" s="106">
        <f t="shared" si="9"/>
        <v>0</v>
      </c>
      <c r="U16" s="106">
        <f t="shared" si="9"/>
        <v>15.2</v>
      </c>
      <c r="V16" s="106">
        <f t="shared" si="9"/>
        <v>149.93280000000001</v>
      </c>
      <c r="W16" s="116">
        <f t="shared" si="9"/>
        <v>1.2800000000000002</v>
      </c>
    </row>
    <row r="17" spans="2:23" s="88" customFormat="1" ht="30" customHeight="1" x14ac:dyDescent="0.25">
      <c r="B17" s="793"/>
      <c r="C17" s="793"/>
      <c r="D17" s="9"/>
      <c r="E17" s="9"/>
      <c r="F17" s="9"/>
      <c r="G17" s="9"/>
      <c r="H17" s="9"/>
      <c r="I17" s="9"/>
      <c r="J17" s="9"/>
      <c r="K17" s="9"/>
      <c r="L17" s="9"/>
      <c r="M17" s="9"/>
      <c r="N17" s="9"/>
      <c r="O17" s="9"/>
      <c r="T17" s="9"/>
      <c r="U17" s="9"/>
    </row>
    <row r="18" spans="2:23" ht="20.100000000000001" customHeight="1" x14ac:dyDescent="0.25">
      <c r="B18" s="746" t="s">
        <v>255</v>
      </c>
      <c r="C18" s="746"/>
      <c r="D18" s="746"/>
      <c r="E18" s="746"/>
      <c r="F18" s="746"/>
      <c r="G18" s="746"/>
      <c r="H18" s="746"/>
      <c r="I18" s="746"/>
      <c r="J18" s="746"/>
      <c r="K18" s="746"/>
      <c r="L18" s="746"/>
      <c r="V18" s="90"/>
    </row>
    <row r="19" spans="2:23" ht="20.100000000000001" customHeight="1" x14ac:dyDescent="0.25">
      <c r="B19" s="31" t="s">
        <v>218</v>
      </c>
      <c r="C19" s="200" t="s">
        <v>299</v>
      </c>
      <c r="D19" s="31" t="s">
        <v>296</v>
      </c>
      <c r="E19" s="31"/>
      <c r="F19" s="31"/>
      <c r="G19" s="31"/>
      <c r="H19" s="31"/>
      <c r="I19" s="31"/>
      <c r="J19" s="31"/>
      <c r="Q19" s="194"/>
      <c r="R19" s="195"/>
      <c r="U19" s="193"/>
      <c r="V19" s="194" t="s">
        <v>222</v>
      </c>
      <c r="W19" s="199">
        <f>+H16</f>
        <v>3.2</v>
      </c>
    </row>
    <row r="20" spans="2:23" ht="20.100000000000001" customHeight="1" x14ac:dyDescent="0.25">
      <c r="B20" s="31" t="s">
        <v>218</v>
      </c>
      <c r="C20" s="200" t="s">
        <v>309</v>
      </c>
      <c r="D20" s="31" t="s">
        <v>308</v>
      </c>
      <c r="E20" s="31"/>
      <c r="F20" s="31"/>
      <c r="G20" s="31"/>
      <c r="H20" s="31"/>
      <c r="I20" s="31"/>
      <c r="J20" s="31"/>
      <c r="Q20" s="194"/>
      <c r="R20" s="195"/>
      <c r="U20" s="193"/>
      <c r="V20" s="194" t="s">
        <v>264</v>
      </c>
      <c r="W20" s="199">
        <f>+L16</f>
        <v>23.990400000000001</v>
      </c>
    </row>
    <row r="21" spans="2:23" ht="20.100000000000001" customHeight="1" x14ac:dyDescent="0.25">
      <c r="B21" s="31" t="s">
        <v>218</v>
      </c>
      <c r="C21" s="200" t="s">
        <v>298</v>
      </c>
      <c r="D21" s="31" t="s">
        <v>297</v>
      </c>
      <c r="E21" s="31"/>
      <c r="F21" s="31"/>
      <c r="G21" s="31"/>
      <c r="H21" s="31"/>
      <c r="I21" s="31"/>
      <c r="J21" s="31"/>
      <c r="Q21" s="194"/>
      <c r="R21" s="195"/>
      <c r="U21" s="193"/>
      <c r="V21" s="194" t="s">
        <v>264</v>
      </c>
      <c r="W21" s="199">
        <f>+V16</f>
        <v>149.93280000000001</v>
      </c>
    </row>
    <row r="22" spans="2:23" ht="20.100000000000001" customHeight="1" x14ac:dyDescent="0.25">
      <c r="B22" s="31" t="s">
        <v>218</v>
      </c>
      <c r="C22" s="200" t="s">
        <v>301</v>
      </c>
      <c r="D22" s="31" t="s">
        <v>300</v>
      </c>
      <c r="E22" s="31"/>
      <c r="F22" s="31"/>
      <c r="G22" s="31"/>
      <c r="H22" s="31"/>
      <c r="I22" s="31"/>
      <c r="J22" s="31"/>
      <c r="Q22" s="193"/>
      <c r="R22" s="195"/>
      <c r="U22" s="193"/>
      <c r="V22" s="194" t="s">
        <v>264</v>
      </c>
      <c r="W22" s="199">
        <f>+J16</f>
        <v>1.3552000000000002</v>
      </c>
    </row>
    <row r="23" spans="2:23" ht="20.100000000000001" customHeight="1" x14ac:dyDescent="0.25">
      <c r="B23" s="31" t="s">
        <v>218</v>
      </c>
      <c r="C23" s="200" t="s">
        <v>303</v>
      </c>
      <c r="D23" s="31" t="s">
        <v>302</v>
      </c>
      <c r="E23" s="31"/>
      <c r="F23" s="31"/>
      <c r="G23" s="31"/>
      <c r="H23" s="31"/>
      <c r="I23" s="31"/>
      <c r="J23" s="31"/>
      <c r="Q23" s="194"/>
      <c r="R23" s="195"/>
      <c r="U23" s="193"/>
      <c r="V23" s="194" t="s">
        <v>219</v>
      </c>
      <c r="W23" s="199">
        <f>+W16</f>
        <v>1.2800000000000002</v>
      </c>
    </row>
    <row r="24" spans="2:23" ht="20.100000000000001" customHeight="1" x14ac:dyDescent="0.25">
      <c r="B24" s="31" t="s">
        <v>218</v>
      </c>
      <c r="C24" s="200" t="s">
        <v>305</v>
      </c>
      <c r="D24" s="31" t="s">
        <v>304</v>
      </c>
      <c r="E24" s="31"/>
      <c r="F24" s="31"/>
      <c r="G24" s="31"/>
      <c r="H24" s="31"/>
      <c r="I24" s="31"/>
      <c r="J24" s="31"/>
      <c r="Q24" s="194"/>
      <c r="R24" s="195"/>
      <c r="U24" s="193"/>
      <c r="V24" s="194" t="s">
        <v>219</v>
      </c>
      <c r="W24" s="199">
        <f>+W23</f>
        <v>1.2800000000000002</v>
      </c>
    </row>
  </sheetData>
  <mergeCells count="25">
    <mergeCell ref="C4:U4"/>
    <mergeCell ref="B17:C17"/>
    <mergeCell ref="B18:L18"/>
    <mergeCell ref="B1:X2"/>
    <mergeCell ref="B9:C11"/>
    <mergeCell ref="D9:D11"/>
    <mergeCell ref="E9:G9"/>
    <mergeCell ref="H9:H10"/>
    <mergeCell ref="I9:V9"/>
    <mergeCell ref="W9:W10"/>
    <mergeCell ref="E10:E11"/>
    <mergeCell ref="F10:F11"/>
    <mergeCell ref="G10:G11"/>
    <mergeCell ref="I10:J10"/>
    <mergeCell ref="K10:L10"/>
    <mergeCell ref="M10:N10"/>
    <mergeCell ref="O10:P10"/>
    <mergeCell ref="B16:G16"/>
    <mergeCell ref="U10:V10"/>
    <mergeCell ref="B12:C12"/>
    <mergeCell ref="B13:C13"/>
    <mergeCell ref="B14:C14"/>
    <mergeCell ref="B15:C15"/>
    <mergeCell ref="Q10:R10"/>
    <mergeCell ref="S10:T10"/>
  </mergeCells>
  <phoneticPr fontId="52" type="noConversion"/>
  <printOptions horizontalCentered="1"/>
  <pageMargins left="0.51181102362204722" right="0.51181102362204722" top="0.78740157480314965" bottom="0.78740157480314965" header="0.31496062992125984" footer="0.31496062992125984"/>
  <pageSetup paperSize="9" scale="90" orientation="landscape" r:id="rId1"/>
  <headerFooter>
    <oddHeader>&amp;L&amp;G</oddHeader>
    <oddFooter>&amp;L&amp;"Arial Narrow,Normal"&amp;10&amp;A
&amp;F&amp;R&amp;"Arial Narrow,Normal"&amp;10&amp;P de &amp;N</oddFooter>
  </headerFooter>
  <colBreaks count="1" manualBreakCount="1">
    <brk id="25" max="1048575" man="1"/>
  </colBreaks>
  <legacyDrawingHF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2770-FC77-4361-A882-271D0932E0C7}">
  <dimension ref="B1:AF25"/>
  <sheetViews>
    <sheetView showGridLines="0" showZeros="0" view="pageBreakPreview" zoomScale="85" zoomScaleNormal="100" zoomScaleSheetLayoutView="85" workbookViewId="0">
      <selection activeCell="Q14" sqref="Q14:Q15"/>
    </sheetView>
  </sheetViews>
  <sheetFormatPr defaultColWidth="9.140625" defaultRowHeight="13.5" x14ac:dyDescent="0.25"/>
  <cols>
    <col min="1" max="1" width="1.7109375" style="89" customWidth="1"/>
    <col min="2" max="2" width="9.140625" style="89" customWidth="1"/>
    <col min="3" max="3" width="3.140625" style="89" customWidth="1"/>
    <col min="4" max="4" width="7.5703125" style="89" customWidth="1"/>
    <col min="5" max="9" width="8.7109375" style="89" customWidth="1"/>
    <col min="10" max="17" width="9.7109375" style="89" customWidth="1"/>
    <col min="18" max="21" width="9.7109375" style="89" hidden="1" customWidth="1"/>
    <col min="22" max="25" width="9.7109375" style="89" customWidth="1"/>
    <col min="26" max="26" width="12.85546875" style="89" customWidth="1"/>
    <col min="27" max="27" width="1.7109375" style="89" customWidth="1"/>
    <col min="28" max="28" width="9.140625" style="89" customWidth="1"/>
    <col min="29" max="16384" width="9.140625" style="89"/>
  </cols>
  <sheetData>
    <row r="1" spans="2:32" s="69" customFormat="1" ht="20.100000000000001" customHeight="1" x14ac:dyDescent="0.25">
      <c r="B1" s="569" t="s">
        <v>133</v>
      </c>
      <c r="C1" s="569"/>
      <c r="D1" s="569"/>
      <c r="E1" s="569"/>
      <c r="F1" s="569"/>
      <c r="G1" s="569"/>
      <c r="H1" s="569"/>
      <c r="I1" s="569"/>
      <c r="J1" s="569"/>
      <c r="K1" s="569"/>
      <c r="L1" s="569"/>
      <c r="M1" s="569"/>
      <c r="N1" s="569"/>
      <c r="O1" s="569"/>
      <c r="P1" s="569"/>
      <c r="Q1" s="569"/>
      <c r="R1" s="569"/>
      <c r="S1" s="569"/>
      <c r="T1" s="569"/>
      <c r="U1" s="569"/>
      <c r="V1" s="569"/>
      <c r="W1" s="569"/>
      <c r="X1" s="569"/>
      <c r="Y1" s="569"/>
      <c r="Z1" s="569"/>
      <c r="AA1" s="569"/>
    </row>
    <row r="2" spans="2:32" s="69" customFormat="1" ht="20.100000000000001" customHeight="1" x14ac:dyDescent="0.25">
      <c r="B2" s="569"/>
      <c r="C2" s="569"/>
      <c r="D2" s="569"/>
      <c r="E2" s="569"/>
      <c r="F2" s="569"/>
      <c r="G2" s="569"/>
      <c r="H2" s="569"/>
      <c r="I2" s="569"/>
      <c r="J2" s="569"/>
      <c r="K2" s="569"/>
      <c r="L2" s="569"/>
      <c r="M2" s="569"/>
      <c r="N2" s="569"/>
      <c r="O2" s="569"/>
      <c r="P2" s="569"/>
      <c r="Q2" s="569"/>
      <c r="R2" s="569"/>
      <c r="S2" s="569"/>
      <c r="T2" s="569"/>
      <c r="U2" s="569"/>
      <c r="V2" s="569"/>
      <c r="W2" s="569"/>
      <c r="X2" s="569"/>
      <c r="Y2" s="569"/>
      <c r="Z2" s="569"/>
      <c r="AA2" s="569"/>
    </row>
    <row r="3" spans="2:32" s="69" customFormat="1" ht="20.100000000000001" customHeight="1" x14ac:dyDescent="0.25"/>
    <row r="4" spans="2:32"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674"/>
      <c r="W4" s="674"/>
      <c r="X4" s="674"/>
      <c r="Y4" s="3" t="s">
        <v>96</v>
      </c>
      <c r="Z4" s="4" t="str">
        <f>+'DADOS DA OBRA'!$N$22</f>
        <v>04/11/2024</v>
      </c>
      <c r="AC4" s="32"/>
      <c r="AD4" s="32"/>
      <c r="AE4" s="33"/>
      <c r="AF4" s="33"/>
    </row>
    <row r="5" spans="2:32" s="5" customFormat="1" ht="20.100000000000001" customHeight="1" x14ac:dyDescent="0.25">
      <c r="B5" s="1" t="s">
        <v>18</v>
      </c>
      <c r="C5" s="2" t="str">
        <f>+""&amp;'DADOS DA OBRA'!$B$16&amp;", "&amp;'DADOS DA OBRA'!$B$19&amp;", "&amp;'DADOS DA OBRA'!$J$19&amp;", "&amp;'DADOS DA OBRA'!$P$19</f>
        <v>RUAS DIVERSAS, DIVERSOS, MATRINCHÃ, GO</v>
      </c>
      <c r="S5" s="3"/>
      <c r="U5" s="3"/>
      <c r="W5" s="3"/>
      <c r="Y5" s="3" t="s">
        <v>17</v>
      </c>
      <c r="Z5" s="4" t="str">
        <f>'DADOS DA OBRA'!$N$25</f>
        <v>00</v>
      </c>
    </row>
    <row r="6" spans="2:32" s="5" customFormat="1" ht="20.100000000000001" customHeight="1" x14ac:dyDescent="0.25"/>
    <row r="7" spans="2:32" s="5" customFormat="1" ht="20.100000000000001" customHeight="1" x14ac:dyDescent="0.25">
      <c r="B7" s="1" t="s">
        <v>97</v>
      </c>
      <c r="C7" s="39" t="s">
        <v>168</v>
      </c>
      <c r="S7" s="3"/>
      <c r="U7" s="3"/>
      <c r="W7" s="3"/>
      <c r="Y7" s="3" t="s">
        <v>18</v>
      </c>
      <c r="Z7" s="64" t="s">
        <v>239</v>
      </c>
    </row>
    <row r="8" spans="2:32" s="67" customFormat="1" ht="20.100000000000001" customHeight="1" thickBot="1" x14ac:dyDescent="0.3">
      <c r="B8" s="52"/>
      <c r="C8" s="53"/>
      <c r="D8" s="10"/>
      <c r="E8" s="9"/>
      <c r="F8" s="9"/>
      <c r="G8" s="9"/>
      <c r="H8" s="10"/>
      <c r="I8" s="10"/>
      <c r="J8" s="10"/>
      <c r="K8" s="9"/>
      <c r="Z8" s="10"/>
    </row>
    <row r="9" spans="2:32" s="88" customFormat="1" ht="20.100000000000001" customHeight="1" x14ac:dyDescent="0.25">
      <c r="B9" s="804" t="s">
        <v>134</v>
      </c>
      <c r="C9" s="805"/>
      <c r="D9" s="810" t="s">
        <v>147</v>
      </c>
      <c r="E9" s="813" t="s">
        <v>169</v>
      </c>
      <c r="F9" s="814"/>
      <c r="G9" s="815"/>
      <c r="H9" s="799" t="s">
        <v>166</v>
      </c>
      <c r="I9" s="799" t="s">
        <v>170</v>
      </c>
      <c r="J9" s="819" t="s">
        <v>135</v>
      </c>
      <c r="K9" s="819"/>
      <c r="L9" s="819"/>
      <c r="M9" s="819"/>
      <c r="N9" s="819"/>
      <c r="O9" s="819"/>
      <c r="P9" s="819"/>
      <c r="Q9" s="819"/>
      <c r="R9" s="819"/>
      <c r="S9" s="819"/>
      <c r="T9" s="819"/>
      <c r="U9" s="819"/>
      <c r="V9" s="819"/>
      <c r="W9" s="819"/>
      <c r="X9" s="819"/>
      <c r="Y9" s="819"/>
      <c r="Z9" s="817" t="s">
        <v>136</v>
      </c>
    </row>
    <row r="10" spans="2:32" s="88" customFormat="1" ht="20.100000000000001" customHeight="1" x14ac:dyDescent="0.25">
      <c r="B10" s="806"/>
      <c r="C10" s="807"/>
      <c r="D10" s="811"/>
      <c r="E10" s="797" t="s">
        <v>153</v>
      </c>
      <c r="F10" s="797" t="s">
        <v>154</v>
      </c>
      <c r="G10" s="797" t="s">
        <v>155</v>
      </c>
      <c r="H10" s="800"/>
      <c r="I10" s="800"/>
      <c r="J10" s="801" t="s">
        <v>138</v>
      </c>
      <c r="K10" s="801"/>
      <c r="L10" s="801" t="s">
        <v>156</v>
      </c>
      <c r="M10" s="801"/>
      <c r="N10" s="887" t="s">
        <v>137</v>
      </c>
      <c r="O10" s="888"/>
      <c r="P10" s="887" t="s">
        <v>157</v>
      </c>
      <c r="Q10" s="888"/>
      <c r="R10" s="887" t="s">
        <v>158</v>
      </c>
      <c r="S10" s="888"/>
      <c r="T10" s="887" t="s">
        <v>159</v>
      </c>
      <c r="U10" s="888"/>
      <c r="V10" s="887" t="s">
        <v>167</v>
      </c>
      <c r="W10" s="888"/>
      <c r="X10" s="887" t="s">
        <v>307</v>
      </c>
      <c r="Y10" s="888"/>
      <c r="Z10" s="818"/>
    </row>
    <row r="11" spans="2:32" s="88" customFormat="1" ht="20.100000000000001" customHeight="1" thickBot="1" x14ac:dyDescent="0.3">
      <c r="B11" s="808"/>
      <c r="C11" s="809"/>
      <c r="D11" s="812"/>
      <c r="E11" s="798"/>
      <c r="F11" s="798"/>
      <c r="G11" s="798"/>
      <c r="H11" s="98" t="s">
        <v>160</v>
      </c>
      <c r="I11" s="98" t="s">
        <v>139</v>
      </c>
      <c r="J11" s="98" t="s">
        <v>141</v>
      </c>
      <c r="K11" s="98" t="s">
        <v>142</v>
      </c>
      <c r="L11" s="98" t="s">
        <v>143</v>
      </c>
      <c r="M11" s="98" t="s">
        <v>144</v>
      </c>
      <c r="N11" s="98" t="s">
        <v>143</v>
      </c>
      <c r="O11" s="98" t="s">
        <v>144</v>
      </c>
      <c r="P11" s="98" t="s">
        <v>143</v>
      </c>
      <c r="Q11" s="98" t="s">
        <v>144</v>
      </c>
      <c r="R11" s="98" t="s">
        <v>143</v>
      </c>
      <c r="S11" s="98" t="s">
        <v>144</v>
      </c>
      <c r="T11" s="98" t="s">
        <v>143</v>
      </c>
      <c r="U11" s="98" t="s">
        <v>144</v>
      </c>
      <c r="V11" s="98" t="s">
        <v>143</v>
      </c>
      <c r="W11" s="98" t="s">
        <v>144</v>
      </c>
      <c r="X11" s="98" t="s">
        <v>143</v>
      </c>
      <c r="Y11" s="98" t="s">
        <v>144</v>
      </c>
      <c r="Z11" s="107" t="s">
        <v>145</v>
      </c>
    </row>
    <row r="12" spans="2:32" s="88" customFormat="1" ht="30" customHeight="1" x14ac:dyDescent="0.25">
      <c r="B12" s="820" t="s">
        <v>306</v>
      </c>
      <c r="C12" s="821"/>
      <c r="D12" s="92">
        <v>4</v>
      </c>
      <c r="E12" s="108">
        <v>5.6</v>
      </c>
      <c r="F12" s="108">
        <v>0.4</v>
      </c>
      <c r="G12" s="108">
        <v>2</v>
      </c>
      <c r="H12" s="108">
        <f>(E12*G12*2)*D12</f>
        <v>89.6</v>
      </c>
      <c r="I12" s="108"/>
      <c r="J12" s="108"/>
      <c r="K12" s="111">
        <f>+J12*0.154*D12</f>
        <v>0</v>
      </c>
      <c r="L12" s="108"/>
      <c r="M12" s="111">
        <f>+L12*0.245*$D12</f>
        <v>0</v>
      </c>
      <c r="N12" s="108">
        <f>2*28*4.38+2*16*6.08</f>
        <v>439.84000000000003</v>
      </c>
      <c r="O12" s="112">
        <f>+N12*0.395*$D12</f>
        <v>694.94720000000007</v>
      </c>
      <c r="P12" s="108">
        <f>4*3*1.45+5*3*1.45</f>
        <v>39.15</v>
      </c>
      <c r="Q12" s="109">
        <f>+P12*0.617*$D12</f>
        <v>96.622199999999992</v>
      </c>
      <c r="R12" s="108"/>
      <c r="S12" s="109">
        <f>+R12*0.963*$D12</f>
        <v>0</v>
      </c>
      <c r="T12" s="108"/>
      <c r="U12" s="109">
        <f>+T12*1.578*$D12</f>
        <v>0</v>
      </c>
      <c r="V12" s="108">
        <f>5*8.15</f>
        <v>40.75</v>
      </c>
      <c r="W12" s="109">
        <f>+V12*2.466*$D12</f>
        <v>401.95800000000003</v>
      </c>
      <c r="X12" s="108">
        <f>4*6.25+4*7.05</f>
        <v>53.2</v>
      </c>
      <c r="Y12" s="109">
        <f>+X12*3.853*$D12</f>
        <v>819.91840000000013</v>
      </c>
      <c r="Z12" s="114">
        <f>+E12*F12*G12*$D12</f>
        <v>17.919999999999998</v>
      </c>
    </row>
    <row r="13" spans="2:32" s="88" customFormat="1" ht="30" customHeight="1" x14ac:dyDescent="0.25">
      <c r="B13" s="802"/>
      <c r="C13" s="803"/>
      <c r="D13" s="94"/>
      <c r="E13" s="111"/>
      <c r="F13" s="111"/>
      <c r="G13" s="111"/>
      <c r="H13" s="111">
        <f t="shared" ref="H13:H15" si="0">(E13*G13*2+E13*F13)*D13</f>
        <v>0</v>
      </c>
      <c r="I13" s="111">
        <f t="shared" ref="I13:I15" si="1">+E13*F13*3.75*D13</f>
        <v>0</v>
      </c>
      <c r="J13" s="111"/>
      <c r="K13" s="111">
        <f t="shared" ref="K13:K15" si="2">+J13*0.154*D13</f>
        <v>0</v>
      </c>
      <c r="L13" s="111"/>
      <c r="M13" s="111">
        <f t="shared" ref="M13:M15" si="3">+L13*0.245*$D13</f>
        <v>0</v>
      </c>
      <c r="N13" s="111"/>
      <c r="O13" s="112">
        <f t="shared" ref="O13:O15" si="4">+N13*0.395*$D13</f>
        <v>0</v>
      </c>
      <c r="P13" s="111"/>
      <c r="Q13" s="112">
        <f t="shared" ref="Q13:Q15" si="5">+P13*0.617*$D13</f>
        <v>0</v>
      </c>
      <c r="R13" s="111"/>
      <c r="S13" s="112">
        <f t="shared" ref="S13:S15" si="6">+R13*0.963*$D13</f>
        <v>0</v>
      </c>
      <c r="T13" s="111"/>
      <c r="U13" s="112">
        <f t="shared" ref="U13" si="7">+T13*1.578*$D13</f>
        <v>0</v>
      </c>
      <c r="V13" s="111"/>
      <c r="W13" s="112">
        <f t="shared" ref="W13:W15" si="8">+V13*2.466*$D13</f>
        <v>0</v>
      </c>
      <c r="X13" s="111"/>
      <c r="Y13" s="112">
        <f t="shared" ref="Y13:Y15" si="9">+X13*3.853*$D13</f>
        <v>0</v>
      </c>
      <c r="Z13" s="115">
        <f>+E13*F13*G13*$D13*1.05</f>
        <v>0</v>
      </c>
    </row>
    <row r="14" spans="2:32" s="88" customFormat="1" ht="30" customHeight="1" x14ac:dyDescent="0.25">
      <c r="B14" s="802"/>
      <c r="C14" s="803"/>
      <c r="D14" s="94"/>
      <c r="E14" s="111"/>
      <c r="F14" s="111"/>
      <c r="G14" s="111"/>
      <c r="H14" s="111">
        <f t="shared" si="0"/>
        <v>0</v>
      </c>
      <c r="I14" s="111">
        <f t="shared" si="1"/>
        <v>0</v>
      </c>
      <c r="J14" s="111"/>
      <c r="K14" s="111">
        <f t="shared" si="2"/>
        <v>0</v>
      </c>
      <c r="L14" s="111"/>
      <c r="M14" s="111">
        <f t="shared" si="3"/>
        <v>0</v>
      </c>
      <c r="N14" s="111"/>
      <c r="O14" s="112">
        <f t="shared" si="4"/>
        <v>0</v>
      </c>
      <c r="P14" s="111"/>
      <c r="Q14" s="112">
        <f t="shared" si="5"/>
        <v>0</v>
      </c>
      <c r="R14" s="111"/>
      <c r="S14" s="112">
        <f t="shared" si="6"/>
        <v>0</v>
      </c>
      <c r="T14" s="111"/>
      <c r="U14" s="112">
        <f t="shared" ref="U14" si="10">+T14*1.578*$D14</f>
        <v>0</v>
      </c>
      <c r="V14" s="111"/>
      <c r="W14" s="112">
        <f t="shared" si="8"/>
        <v>0</v>
      </c>
      <c r="X14" s="111"/>
      <c r="Y14" s="112">
        <f t="shared" si="9"/>
        <v>0</v>
      </c>
      <c r="Z14" s="115">
        <f>+E14*F14*G14*$D14*1.05</f>
        <v>0</v>
      </c>
    </row>
    <row r="15" spans="2:32" s="88" customFormat="1" ht="30" customHeight="1" thickBot="1" x14ac:dyDescent="0.3">
      <c r="B15" s="802"/>
      <c r="C15" s="803"/>
      <c r="D15" s="94"/>
      <c r="E15" s="111"/>
      <c r="F15" s="111"/>
      <c r="G15" s="111"/>
      <c r="H15" s="111">
        <f t="shared" si="0"/>
        <v>0</v>
      </c>
      <c r="I15" s="111">
        <f t="shared" si="1"/>
        <v>0</v>
      </c>
      <c r="J15" s="111"/>
      <c r="K15" s="111">
        <f t="shared" si="2"/>
        <v>0</v>
      </c>
      <c r="L15" s="111"/>
      <c r="M15" s="111">
        <f t="shared" si="3"/>
        <v>0</v>
      </c>
      <c r="N15" s="111"/>
      <c r="O15" s="112">
        <f t="shared" si="4"/>
        <v>0</v>
      </c>
      <c r="P15" s="111"/>
      <c r="Q15" s="112">
        <f t="shared" si="5"/>
        <v>0</v>
      </c>
      <c r="R15" s="111"/>
      <c r="S15" s="112">
        <f t="shared" si="6"/>
        <v>0</v>
      </c>
      <c r="T15" s="111"/>
      <c r="U15" s="112">
        <f t="shared" ref="U15" si="11">+T15*1.578*$D15</f>
        <v>0</v>
      </c>
      <c r="V15" s="111"/>
      <c r="W15" s="112">
        <f t="shared" si="8"/>
        <v>0</v>
      </c>
      <c r="X15" s="111"/>
      <c r="Y15" s="112">
        <f t="shared" si="9"/>
        <v>0</v>
      </c>
      <c r="Z15" s="115">
        <f>+E15*F15*G15*$D15*1.05</f>
        <v>0</v>
      </c>
    </row>
    <row r="16" spans="2:32" s="88" customFormat="1" ht="30" customHeight="1" thickBot="1" x14ac:dyDescent="0.3">
      <c r="B16" s="794" t="s">
        <v>146</v>
      </c>
      <c r="C16" s="795"/>
      <c r="D16" s="795"/>
      <c r="E16" s="795"/>
      <c r="F16" s="795"/>
      <c r="G16" s="795"/>
      <c r="H16" s="105">
        <f t="shared" ref="H16:Z16" si="12">SUM(H12:H15)</f>
        <v>89.6</v>
      </c>
      <c r="I16" s="105">
        <f t="shared" si="12"/>
        <v>0</v>
      </c>
      <c r="J16" s="105">
        <f t="shared" si="12"/>
        <v>0</v>
      </c>
      <c r="K16" s="105">
        <f t="shared" si="12"/>
        <v>0</v>
      </c>
      <c r="L16" s="106">
        <f t="shared" si="12"/>
        <v>0</v>
      </c>
      <c r="M16" s="106">
        <f t="shared" si="12"/>
        <v>0</v>
      </c>
      <c r="N16" s="106">
        <f t="shared" si="12"/>
        <v>439.84000000000003</v>
      </c>
      <c r="O16" s="106">
        <f t="shared" si="12"/>
        <v>694.94720000000007</v>
      </c>
      <c r="P16" s="106">
        <f t="shared" si="12"/>
        <v>39.15</v>
      </c>
      <c r="Q16" s="106">
        <f t="shared" si="12"/>
        <v>96.622199999999992</v>
      </c>
      <c r="R16" s="106">
        <f t="shared" si="12"/>
        <v>0</v>
      </c>
      <c r="S16" s="106">
        <f t="shared" si="12"/>
        <v>0</v>
      </c>
      <c r="T16" s="106">
        <f t="shared" si="12"/>
        <v>0</v>
      </c>
      <c r="U16" s="106">
        <f t="shared" si="12"/>
        <v>0</v>
      </c>
      <c r="V16" s="106">
        <f t="shared" si="12"/>
        <v>40.75</v>
      </c>
      <c r="W16" s="106">
        <f t="shared" si="12"/>
        <v>401.95800000000003</v>
      </c>
      <c r="X16" s="106">
        <f t="shared" si="12"/>
        <v>53.2</v>
      </c>
      <c r="Y16" s="106">
        <f t="shared" si="12"/>
        <v>819.91840000000013</v>
      </c>
      <c r="Z16" s="116">
        <f t="shared" si="12"/>
        <v>17.919999999999998</v>
      </c>
    </row>
    <row r="17" spans="2:23" s="88" customFormat="1" ht="30" customHeight="1" x14ac:dyDescent="0.25">
      <c r="B17" s="793"/>
      <c r="C17" s="793"/>
      <c r="D17" s="9"/>
      <c r="E17" s="9"/>
      <c r="F17" s="9"/>
      <c r="G17" s="9"/>
      <c r="H17" s="9"/>
      <c r="I17" s="9"/>
      <c r="J17" s="9"/>
      <c r="K17" s="9"/>
      <c r="L17" s="9"/>
      <c r="M17" s="9"/>
      <c r="N17" s="9"/>
      <c r="O17" s="9"/>
      <c r="T17" s="9"/>
      <c r="U17" s="9"/>
    </row>
    <row r="18" spans="2:23" ht="20.100000000000001" customHeight="1" x14ac:dyDescent="0.25">
      <c r="B18" s="746" t="s">
        <v>255</v>
      </c>
      <c r="C18" s="746"/>
      <c r="D18" s="746"/>
      <c r="E18" s="746"/>
      <c r="F18" s="746"/>
      <c r="G18" s="746"/>
      <c r="H18" s="746"/>
      <c r="I18" s="746"/>
      <c r="J18" s="746"/>
      <c r="K18" s="746"/>
      <c r="L18" s="746"/>
      <c r="V18" s="90"/>
    </row>
    <row r="19" spans="2:23" ht="20.100000000000001" customHeight="1" x14ac:dyDescent="0.25">
      <c r="B19" s="31" t="s">
        <v>218</v>
      </c>
      <c r="D19" s="200" t="s">
        <v>299</v>
      </c>
      <c r="E19" s="31" t="s">
        <v>296</v>
      </c>
      <c r="F19" s="31"/>
      <c r="G19" s="31"/>
      <c r="H19" s="31"/>
      <c r="I19" s="31"/>
      <c r="J19" s="31"/>
      <c r="Q19" s="194"/>
      <c r="R19" s="195"/>
      <c r="U19" s="193"/>
      <c r="V19" s="194" t="s">
        <v>222</v>
      </c>
      <c r="W19" s="199">
        <f>+H16</f>
        <v>89.6</v>
      </c>
    </row>
    <row r="20" spans="2:23" ht="20.100000000000001" customHeight="1" x14ac:dyDescent="0.25">
      <c r="B20" s="31" t="s">
        <v>218</v>
      </c>
      <c r="D20" s="200" t="s">
        <v>311</v>
      </c>
      <c r="E20" s="31" t="s">
        <v>310</v>
      </c>
      <c r="F20" s="31"/>
      <c r="G20" s="31"/>
      <c r="H20" s="31"/>
      <c r="I20" s="31"/>
      <c r="J20" s="31"/>
      <c r="Q20" s="194"/>
      <c r="R20" s="195"/>
      <c r="U20" s="193"/>
      <c r="V20" s="194" t="s">
        <v>264</v>
      </c>
      <c r="W20" s="199">
        <f>+O16</f>
        <v>694.94720000000007</v>
      </c>
    </row>
    <row r="21" spans="2:23" ht="20.100000000000001" customHeight="1" x14ac:dyDescent="0.25">
      <c r="B21" s="31" t="s">
        <v>218</v>
      </c>
      <c r="D21" s="200" t="s">
        <v>312</v>
      </c>
      <c r="E21" s="31" t="s">
        <v>263</v>
      </c>
      <c r="F21" s="31"/>
      <c r="G21" s="31"/>
      <c r="H21" s="31"/>
      <c r="I21" s="31"/>
      <c r="J21" s="31"/>
      <c r="Q21" s="194"/>
      <c r="R21" s="195"/>
      <c r="U21" s="193"/>
      <c r="V21" s="194" t="s">
        <v>264</v>
      </c>
      <c r="W21" s="199">
        <f>+Q16</f>
        <v>96.622199999999992</v>
      </c>
    </row>
    <row r="22" spans="2:23" ht="20.100000000000001" customHeight="1" x14ac:dyDescent="0.25">
      <c r="B22" s="31" t="s">
        <v>218</v>
      </c>
      <c r="D22" s="200" t="s">
        <v>298</v>
      </c>
      <c r="E22" s="31" t="s">
        <v>314</v>
      </c>
      <c r="F22" s="31"/>
      <c r="G22" s="31"/>
      <c r="H22" s="31"/>
      <c r="I22" s="31"/>
      <c r="J22" s="31"/>
      <c r="Q22" s="193"/>
      <c r="R22" s="195"/>
      <c r="U22" s="193"/>
      <c r="V22" s="194" t="s">
        <v>264</v>
      </c>
      <c r="W22" s="199">
        <f>+W16</f>
        <v>401.95800000000003</v>
      </c>
    </row>
    <row r="23" spans="2:23" ht="20.100000000000001" customHeight="1" x14ac:dyDescent="0.25">
      <c r="B23" s="31" t="s">
        <v>218</v>
      </c>
      <c r="D23" s="200" t="s">
        <v>313</v>
      </c>
      <c r="E23" s="31" t="s">
        <v>315</v>
      </c>
      <c r="F23" s="31"/>
      <c r="G23" s="31"/>
      <c r="H23" s="31"/>
      <c r="I23" s="31"/>
      <c r="J23" s="31"/>
      <c r="Q23" s="194"/>
      <c r="R23" s="195"/>
      <c r="U23" s="193"/>
      <c r="V23" s="194" t="s">
        <v>264</v>
      </c>
      <c r="W23" s="199">
        <f>+Y16</f>
        <v>819.91840000000013</v>
      </c>
    </row>
    <row r="24" spans="2:23" ht="20.100000000000001" customHeight="1" x14ac:dyDescent="0.25">
      <c r="B24" s="31" t="s">
        <v>218</v>
      </c>
      <c r="D24" s="200" t="s">
        <v>303</v>
      </c>
      <c r="E24" s="31" t="s">
        <v>302</v>
      </c>
      <c r="F24" s="31"/>
      <c r="G24" s="31"/>
      <c r="H24" s="31"/>
      <c r="I24" s="31"/>
      <c r="J24" s="31"/>
      <c r="Q24" s="194"/>
      <c r="R24" s="195"/>
      <c r="U24" s="193"/>
      <c r="V24" s="194" t="s">
        <v>219</v>
      </c>
      <c r="W24" s="199">
        <f>+Z16</f>
        <v>17.919999999999998</v>
      </c>
    </row>
    <row r="25" spans="2:23" ht="20.100000000000001" customHeight="1" x14ac:dyDescent="0.25">
      <c r="B25" s="31" t="s">
        <v>218</v>
      </c>
      <c r="D25" s="200" t="s">
        <v>305</v>
      </c>
      <c r="E25" s="31" t="s">
        <v>304</v>
      </c>
      <c r="F25" s="31"/>
      <c r="G25" s="31"/>
      <c r="H25" s="31"/>
      <c r="I25" s="31"/>
      <c r="J25" s="31"/>
      <c r="Q25" s="194"/>
      <c r="R25" s="195"/>
      <c r="U25" s="193"/>
      <c r="V25" s="194" t="s">
        <v>219</v>
      </c>
      <c r="W25" s="199">
        <f>+W24</f>
        <v>17.919999999999998</v>
      </c>
    </row>
  </sheetData>
  <mergeCells count="27">
    <mergeCell ref="C4:X4"/>
    <mergeCell ref="B18:L18"/>
    <mergeCell ref="B1:AA2"/>
    <mergeCell ref="B9:C11"/>
    <mergeCell ref="D9:D11"/>
    <mergeCell ref="E9:G9"/>
    <mergeCell ref="H9:H10"/>
    <mergeCell ref="J9:Y9"/>
    <mergeCell ref="Z9:Z10"/>
    <mergeCell ref="E10:E11"/>
    <mergeCell ref="F10:F11"/>
    <mergeCell ref="G10:G11"/>
    <mergeCell ref="J10:K10"/>
    <mergeCell ref="L10:M10"/>
    <mergeCell ref="N10:O10"/>
    <mergeCell ref="P10:Q10"/>
    <mergeCell ref="X10:Y10"/>
    <mergeCell ref="R10:S10"/>
    <mergeCell ref="B16:G16"/>
    <mergeCell ref="I9:I10"/>
    <mergeCell ref="V10:W10"/>
    <mergeCell ref="T10:U10"/>
    <mergeCell ref="B17:C17"/>
    <mergeCell ref="B12:C12"/>
    <mergeCell ref="B13:C13"/>
    <mergeCell ref="B14:C14"/>
    <mergeCell ref="B15:C15"/>
  </mergeCells>
  <printOptions horizontalCentered="1"/>
  <pageMargins left="0.51181102362204722" right="0.51181102362204722" top="0.78740157480314965" bottom="0.78740157480314965" header="0.31496062992125984" footer="0.31496062992125984"/>
  <pageSetup paperSize="9" scale="66" orientation="landscape" r:id="rId1"/>
  <headerFooter>
    <oddHeader>&amp;L&amp;G</oddHeader>
    <oddFooter>&amp;L&amp;"Arial Narrow,Normal"&amp;10&amp;A
&amp;F&amp;C&amp;"Arial Narrow,Negrito"&amp;10
&amp;R&amp;"Arial Narrow,Normal"&amp;10&amp;P de &amp;N</oddFooter>
  </headerFooter>
  <colBreaks count="1" manualBreakCount="1">
    <brk id="28" max="1048575" man="1"/>
  </colBreaks>
  <legacyDrawingHF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94FC8-54AA-42BE-8CDB-DB7A4B5E7D4E}">
  <dimension ref="B1:AH21"/>
  <sheetViews>
    <sheetView showGridLines="0" showZeros="0" view="pageBreakPreview" zoomScale="85" zoomScaleNormal="100" zoomScaleSheetLayoutView="85" workbookViewId="0">
      <selection activeCell="Q14" sqref="Q14:Q15"/>
    </sheetView>
  </sheetViews>
  <sheetFormatPr defaultColWidth="9.140625" defaultRowHeight="13.5" x14ac:dyDescent="0.25"/>
  <cols>
    <col min="1" max="1" width="1.7109375" style="89" customWidth="1"/>
    <col min="2" max="2" width="9.140625" style="89" customWidth="1"/>
    <col min="3" max="3" width="15.7109375" style="89" customWidth="1"/>
    <col min="4" max="4" width="8.7109375" style="89" customWidth="1"/>
    <col min="5" max="7" width="11.85546875" style="89" customWidth="1"/>
    <col min="8" max="8" width="15.28515625" style="89" customWidth="1"/>
    <col min="9" max="10" width="13" style="89" customWidth="1"/>
    <col min="11" max="22" width="9.7109375" style="89" hidden="1" customWidth="1"/>
    <col min="23" max="24" width="9.7109375" style="89" customWidth="1"/>
    <col min="25" max="27" width="9.7109375" style="89" hidden="1" customWidth="1"/>
    <col min="28" max="28" width="15.28515625" style="89" customWidth="1"/>
    <col min="29" max="29" width="1.7109375" style="89" customWidth="1"/>
    <col min="30" max="30" width="9.140625" style="89" customWidth="1"/>
    <col min="31" max="16384" width="9.140625" style="89"/>
  </cols>
  <sheetData>
    <row r="1" spans="2:34" s="69" customFormat="1" ht="20.100000000000001" customHeight="1" x14ac:dyDescent="0.25">
      <c r="B1" s="569" t="s">
        <v>133</v>
      </c>
      <c r="C1" s="569"/>
      <c r="D1" s="569"/>
      <c r="E1" s="569"/>
      <c r="F1" s="569"/>
      <c r="G1" s="569"/>
      <c r="H1" s="569"/>
      <c r="I1" s="569"/>
      <c r="J1" s="569"/>
      <c r="K1" s="569"/>
      <c r="L1" s="569"/>
      <c r="M1" s="569"/>
      <c r="N1" s="569"/>
      <c r="O1" s="569"/>
      <c r="P1" s="569"/>
      <c r="Q1" s="569"/>
      <c r="R1" s="569"/>
      <c r="S1" s="569"/>
      <c r="T1" s="569"/>
      <c r="U1" s="569"/>
      <c r="V1" s="569"/>
      <c r="W1" s="569"/>
      <c r="X1" s="569"/>
      <c r="Y1" s="569"/>
      <c r="Z1" s="569"/>
      <c r="AA1" s="569"/>
      <c r="AB1" s="569"/>
      <c r="AC1" s="569"/>
    </row>
    <row r="2" spans="2:34" s="69" customFormat="1" ht="20.100000000000001" customHeight="1" x14ac:dyDescent="0.25">
      <c r="B2" s="569"/>
      <c r="C2" s="569"/>
      <c r="D2" s="569"/>
      <c r="E2" s="569"/>
      <c r="F2" s="569"/>
      <c r="G2" s="569"/>
      <c r="H2" s="569"/>
      <c r="I2" s="569"/>
      <c r="J2" s="569"/>
      <c r="K2" s="569"/>
      <c r="L2" s="569"/>
      <c r="M2" s="569"/>
      <c r="N2" s="569"/>
      <c r="O2" s="569"/>
      <c r="P2" s="569"/>
      <c r="Q2" s="569"/>
      <c r="R2" s="569"/>
      <c r="S2" s="569"/>
      <c r="T2" s="569"/>
      <c r="U2" s="569"/>
      <c r="V2" s="569"/>
      <c r="W2" s="569"/>
      <c r="X2" s="569"/>
      <c r="Y2" s="569"/>
      <c r="Z2" s="569"/>
      <c r="AA2" s="569"/>
      <c r="AB2" s="569"/>
      <c r="AC2" s="569"/>
    </row>
    <row r="3" spans="2:34" s="69" customFormat="1" ht="20.100000000000001" customHeight="1" x14ac:dyDescent="0.25"/>
    <row r="4" spans="2:34"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674"/>
      <c r="W4" s="674"/>
      <c r="X4" s="3" t="s">
        <v>96</v>
      </c>
      <c r="Y4" s="2"/>
      <c r="Z4" s="2"/>
      <c r="AA4" s="3"/>
      <c r="AB4" s="4" t="str">
        <f>+'DADOS DA OBRA'!$N$22</f>
        <v>04/11/2024</v>
      </c>
      <c r="AE4" s="32"/>
      <c r="AF4" s="32"/>
      <c r="AG4" s="33"/>
      <c r="AH4" s="33"/>
    </row>
    <row r="5" spans="2:34" s="5" customFormat="1" ht="20.100000000000001" customHeight="1" x14ac:dyDescent="0.25">
      <c r="B5" s="1" t="s">
        <v>18</v>
      </c>
      <c r="C5" s="2" t="str">
        <f>+""&amp;'DADOS DA OBRA'!$B$16&amp;", "&amp;'DADOS DA OBRA'!$B$19&amp;", "&amp;'DADOS DA OBRA'!$J$19&amp;", "&amp;'DADOS DA OBRA'!$P$19</f>
        <v>RUAS DIVERSAS, DIVERSOS, MATRINCHÃ, GO</v>
      </c>
      <c r="X5" s="3" t="s">
        <v>17</v>
      </c>
      <c r="AA5" s="3"/>
      <c r="AB5" s="4" t="str">
        <f>'DADOS DA OBRA'!$N$25</f>
        <v>00</v>
      </c>
    </row>
    <row r="6" spans="2:34" s="5" customFormat="1" ht="20.100000000000001" customHeight="1" x14ac:dyDescent="0.25"/>
    <row r="7" spans="2:34" s="5" customFormat="1" ht="20.100000000000001" customHeight="1" x14ac:dyDescent="0.25">
      <c r="B7" s="1" t="s">
        <v>97</v>
      </c>
      <c r="C7" s="39" t="s">
        <v>171</v>
      </c>
      <c r="X7" s="3" t="s">
        <v>18</v>
      </c>
      <c r="AA7" s="3"/>
      <c r="AB7" s="64" t="s">
        <v>239</v>
      </c>
    </row>
    <row r="8" spans="2:34" s="67" customFormat="1" ht="20.100000000000001" customHeight="1" thickBot="1" x14ac:dyDescent="0.3">
      <c r="B8" s="52"/>
      <c r="C8" s="53"/>
      <c r="D8" s="10"/>
      <c r="E8" s="9"/>
      <c r="F8" s="9"/>
      <c r="G8" s="9"/>
      <c r="H8" s="10"/>
      <c r="I8" s="10"/>
      <c r="J8" s="10"/>
      <c r="K8" s="10"/>
      <c r="L8" s="10"/>
      <c r="M8" s="10"/>
      <c r="N8" s="10"/>
      <c r="O8" s="10"/>
      <c r="P8" s="10"/>
      <c r="Q8" s="10"/>
      <c r="R8" s="10"/>
      <c r="S8" s="10"/>
      <c r="T8" s="10"/>
      <c r="U8" s="10"/>
      <c r="V8" s="10"/>
      <c r="W8" s="10"/>
      <c r="X8" s="10"/>
      <c r="Y8" s="10"/>
      <c r="Z8" s="10"/>
      <c r="AA8" s="10"/>
      <c r="AB8" s="10"/>
    </row>
    <row r="9" spans="2:34" s="88" customFormat="1" ht="20.100000000000001" customHeight="1" x14ac:dyDescent="0.25">
      <c r="B9" s="804" t="s">
        <v>134</v>
      </c>
      <c r="C9" s="805"/>
      <c r="D9" s="810" t="s">
        <v>147</v>
      </c>
      <c r="E9" s="813" t="s">
        <v>172</v>
      </c>
      <c r="F9" s="814"/>
      <c r="G9" s="815"/>
      <c r="H9" s="799" t="s">
        <v>166</v>
      </c>
      <c r="I9" s="799" t="s">
        <v>173</v>
      </c>
      <c r="J9" s="799" t="s">
        <v>174</v>
      </c>
      <c r="K9" s="819" t="s">
        <v>135</v>
      </c>
      <c r="L9" s="819"/>
      <c r="M9" s="819"/>
      <c r="N9" s="819"/>
      <c r="O9" s="819"/>
      <c r="P9" s="819"/>
      <c r="Q9" s="819"/>
      <c r="R9" s="819"/>
      <c r="S9" s="819"/>
      <c r="T9" s="819"/>
      <c r="U9" s="819"/>
      <c r="V9" s="819"/>
      <c r="W9" s="819"/>
      <c r="X9" s="819"/>
      <c r="Y9" s="819"/>
      <c r="Z9" s="819"/>
      <c r="AA9" s="799" t="s">
        <v>105</v>
      </c>
      <c r="AB9" s="817" t="s">
        <v>136</v>
      </c>
    </row>
    <row r="10" spans="2:34" s="88" customFormat="1" ht="20.100000000000001" customHeight="1" x14ac:dyDescent="0.25">
      <c r="B10" s="806"/>
      <c r="C10" s="807"/>
      <c r="D10" s="811"/>
      <c r="E10" s="797" t="s">
        <v>153</v>
      </c>
      <c r="F10" s="797" t="s">
        <v>154</v>
      </c>
      <c r="G10" s="797" t="s">
        <v>175</v>
      </c>
      <c r="H10" s="800"/>
      <c r="I10" s="800"/>
      <c r="J10" s="800"/>
      <c r="K10" s="801" t="s">
        <v>138</v>
      </c>
      <c r="L10" s="801"/>
      <c r="M10" s="801" t="s">
        <v>156</v>
      </c>
      <c r="N10" s="801"/>
      <c r="O10" s="887" t="s">
        <v>137</v>
      </c>
      <c r="P10" s="888"/>
      <c r="Q10" s="887" t="s">
        <v>157</v>
      </c>
      <c r="R10" s="888"/>
      <c r="S10" s="887" t="s">
        <v>158</v>
      </c>
      <c r="T10" s="888"/>
      <c r="U10" s="887" t="s">
        <v>159</v>
      </c>
      <c r="V10" s="888"/>
      <c r="W10" s="887" t="s">
        <v>167</v>
      </c>
      <c r="X10" s="888"/>
      <c r="Y10" s="887" t="s">
        <v>307</v>
      </c>
      <c r="Z10" s="888"/>
      <c r="AA10" s="800"/>
      <c r="AB10" s="818"/>
    </row>
    <row r="11" spans="2:34" s="88" customFormat="1" ht="20.100000000000001" customHeight="1" thickBot="1" x14ac:dyDescent="0.3">
      <c r="B11" s="808"/>
      <c r="C11" s="809"/>
      <c r="D11" s="812"/>
      <c r="E11" s="798"/>
      <c r="F11" s="798"/>
      <c r="G11" s="798"/>
      <c r="H11" s="98" t="s">
        <v>160</v>
      </c>
      <c r="I11" s="98" t="s">
        <v>176</v>
      </c>
      <c r="J11" s="98" t="s">
        <v>45</v>
      </c>
      <c r="K11" s="98" t="s">
        <v>141</v>
      </c>
      <c r="L11" s="98" t="s">
        <v>142</v>
      </c>
      <c r="M11" s="98" t="s">
        <v>143</v>
      </c>
      <c r="N11" s="98" t="s">
        <v>144</v>
      </c>
      <c r="O11" s="98" t="s">
        <v>143</v>
      </c>
      <c r="P11" s="98" t="s">
        <v>144</v>
      </c>
      <c r="Q11" s="98" t="s">
        <v>143</v>
      </c>
      <c r="R11" s="98" t="s">
        <v>144</v>
      </c>
      <c r="S11" s="98" t="s">
        <v>143</v>
      </c>
      <c r="T11" s="98" t="s">
        <v>144</v>
      </c>
      <c r="U11" s="98" t="s">
        <v>143</v>
      </c>
      <c r="V11" s="98" t="s">
        <v>144</v>
      </c>
      <c r="W11" s="98" t="s">
        <v>143</v>
      </c>
      <c r="X11" s="98" t="s">
        <v>144</v>
      </c>
      <c r="Y11" s="98" t="s">
        <v>143</v>
      </c>
      <c r="Z11" s="98" t="s">
        <v>144</v>
      </c>
      <c r="AA11" s="98" t="s">
        <v>19</v>
      </c>
      <c r="AB11" s="107" t="s">
        <v>145</v>
      </c>
    </row>
    <row r="12" spans="2:34" s="88" customFormat="1" ht="30" customHeight="1" x14ac:dyDescent="0.25">
      <c r="B12" s="820" t="s">
        <v>177</v>
      </c>
      <c r="C12" s="821"/>
      <c r="D12" s="92">
        <v>1</v>
      </c>
      <c r="E12" s="111">
        <v>5.6</v>
      </c>
      <c r="F12" s="111">
        <v>5.6</v>
      </c>
      <c r="G12" s="108">
        <v>2</v>
      </c>
      <c r="H12" s="108"/>
      <c r="I12" s="108"/>
      <c r="J12" s="108">
        <f>+I12*3.75</f>
        <v>0</v>
      </c>
      <c r="K12" s="108"/>
      <c r="L12" s="111">
        <f>+K12*0.154*E12</f>
        <v>0</v>
      </c>
      <c r="M12" s="108"/>
      <c r="N12" s="111">
        <f>+M12*0.245*$D12</f>
        <v>0</v>
      </c>
      <c r="O12" s="108"/>
      <c r="P12" s="112">
        <f>+O12*0.395*$D12</f>
        <v>0</v>
      </c>
      <c r="Q12" s="108"/>
      <c r="R12" s="109">
        <f>+Q12*0.617*$D12</f>
        <v>0</v>
      </c>
      <c r="S12" s="108"/>
      <c r="T12" s="109">
        <f>+S12*0.963*$D12</f>
        <v>0</v>
      </c>
      <c r="U12" s="108"/>
      <c r="V12" s="109">
        <f>+U12*1.578*$D12</f>
        <v>0</v>
      </c>
      <c r="W12" s="108">
        <f>56*10.08+56*10.1+56*10.1+55*10.09</f>
        <v>2250.63</v>
      </c>
      <c r="X12" s="109">
        <f>+W12*2.466*$D12</f>
        <v>5550.0535800000007</v>
      </c>
      <c r="Y12" s="108"/>
      <c r="Z12" s="109">
        <f>+Y12*3.853*$D12</f>
        <v>0</v>
      </c>
      <c r="AA12" s="108">
        <f>+I12</f>
        <v>0</v>
      </c>
      <c r="AB12" s="114">
        <f>+E12*F12*G12</f>
        <v>62.719999999999992</v>
      </c>
    </row>
    <row r="13" spans="2:34" s="88" customFormat="1" ht="30" customHeight="1" x14ac:dyDescent="0.25">
      <c r="B13" s="802"/>
      <c r="C13" s="803"/>
      <c r="D13" s="94"/>
      <c r="E13" s="111"/>
      <c r="F13" s="111"/>
      <c r="G13" s="118"/>
      <c r="H13" s="111"/>
      <c r="I13" s="111">
        <f>+E13</f>
        <v>0</v>
      </c>
      <c r="J13" s="111">
        <f t="shared" ref="J13:J15" si="0">+I13*3.75</f>
        <v>0</v>
      </c>
      <c r="K13" s="111"/>
      <c r="L13" s="111"/>
      <c r="M13" s="111"/>
      <c r="N13" s="111"/>
      <c r="O13" s="111"/>
      <c r="P13" s="111"/>
      <c r="Q13" s="111"/>
      <c r="R13" s="111"/>
      <c r="S13" s="111"/>
      <c r="T13" s="111"/>
      <c r="U13" s="111"/>
      <c r="V13" s="111"/>
      <c r="W13" s="111"/>
      <c r="X13" s="111"/>
      <c r="Y13" s="111"/>
      <c r="Z13" s="111"/>
      <c r="AA13" s="111">
        <f t="shared" ref="AA13:AA15" si="1">+I13</f>
        <v>0</v>
      </c>
      <c r="AB13" s="115">
        <f t="shared" ref="AB13:AB15" si="2">+G13*I13*D13</f>
        <v>0</v>
      </c>
    </row>
    <row r="14" spans="2:34" s="88" customFormat="1" ht="30" customHeight="1" x14ac:dyDescent="0.25">
      <c r="B14" s="802"/>
      <c r="C14" s="803"/>
      <c r="D14" s="94"/>
      <c r="E14" s="111"/>
      <c r="F14" s="111"/>
      <c r="G14" s="118"/>
      <c r="H14" s="111"/>
      <c r="I14" s="111">
        <f>+E14</f>
        <v>0</v>
      </c>
      <c r="J14" s="111">
        <f t="shared" si="0"/>
        <v>0</v>
      </c>
      <c r="K14" s="111"/>
      <c r="L14" s="111"/>
      <c r="M14" s="111"/>
      <c r="N14" s="111"/>
      <c r="O14" s="111"/>
      <c r="P14" s="111"/>
      <c r="Q14" s="111"/>
      <c r="R14" s="111"/>
      <c r="S14" s="111"/>
      <c r="T14" s="111"/>
      <c r="U14" s="111"/>
      <c r="V14" s="111"/>
      <c r="W14" s="111"/>
      <c r="X14" s="111"/>
      <c r="Y14" s="111"/>
      <c r="Z14" s="111"/>
      <c r="AA14" s="111">
        <f t="shared" si="1"/>
        <v>0</v>
      </c>
      <c r="AB14" s="115">
        <f t="shared" si="2"/>
        <v>0</v>
      </c>
    </row>
    <row r="15" spans="2:34" s="88" customFormat="1" ht="30" customHeight="1" thickBot="1" x14ac:dyDescent="0.3">
      <c r="B15" s="802"/>
      <c r="C15" s="803"/>
      <c r="D15" s="94"/>
      <c r="E15" s="111"/>
      <c r="F15" s="111"/>
      <c r="G15" s="118"/>
      <c r="H15" s="111"/>
      <c r="I15" s="111">
        <f>+E15</f>
        <v>0</v>
      </c>
      <c r="J15" s="111">
        <f t="shared" si="0"/>
        <v>0</v>
      </c>
      <c r="K15" s="111"/>
      <c r="L15" s="111"/>
      <c r="M15" s="111"/>
      <c r="N15" s="111"/>
      <c r="O15" s="111"/>
      <c r="P15" s="111"/>
      <c r="Q15" s="111"/>
      <c r="R15" s="111"/>
      <c r="S15" s="111"/>
      <c r="T15" s="111"/>
      <c r="U15" s="111"/>
      <c r="V15" s="111"/>
      <c r="W15" s="111"/>
      <c r="X15" s="111"/>
      <c r="Y15" s="111"/>
      <c r="Z15" s="111"/>
      <c r="AA15" s="111">
        <f t="shared" si="1"/>
        <v>0</v>
      </c>
      <c r="AB15" s="115">
        <f t="shared" si="2"/>
        <v>0</v>
      </c>
    </row>
    <row r="16" spans="2:34" s="88" customFormat="1" ht="30" customHeight="1" thickBot="1" x14ac:dyDescent="0.3">
      <c r="B16" s="794" t="s">
        <v>146</v>
      </c>
      <c r="C16" s="795"/>
      <c r="D16" s="795"/>
      <c r="E16" s="795"/>
      <c r="F16" s="795"/>
      <c r="G16" s="795"/>
      <c r="H16" s="105">
        <f t="shared" ref="H16:X16" si="3">SUM(H12:H15)</f>
        <v>0</v>
      </c>
      <c r="I16" s="105">
        <f t="shared" si="3"/>
        <v>0</v>
      </c>
      <c r="J16" s="105">
        <f t="shared" si="3"/>
        <v>0</v>
      </c>
      <c r="K16" s="105">
        <f t="shared" si="3"/>
        <v>0</v>
      </c>
      <c r="L16" s="105">
        <f t="shared" si="3"/>
        <v>0</v>
      </c>
      <c r="M16" s="105">
        <f t="shared" si="3"/>
        <v>0</v>
      </c>
      <c r="N16" s="105">
        <f t="shared" si="3"/>
        <v>0</v>
      </c>
      <c r="O16" s="105">
        <f t="shared" si="3"/>
        <v>0</v>
      </c>
      <c r="P16" s="105">
        <f t="shared" si="3"/>
        <v>0</v>
      </c>
      <c r="Q16" s="105">
        <f t="shared" si="3"/>
        <v>0</v>
      </c>
      <c r="R16" s="105">
        <f t="shared" si="3"/>
        <v>0</v>
      </c>
      <c r="S16" s="105">
        <f t="shared" si="3"/>
        <v>0</v>
      </c>
      <c r="T16" s="105">
        <f t="shared" si="3"/>
        <v>0</v>
      </c>
      <c r="U16" s="105">
        <f t="shared" si="3"/>
        <v>0</v>
      </c>
      <c r="V16" s="105">
        <f t="shared" si="3"/>
        <v>0</v>
      </c>
      <c r="W16" s="105">
        <f t="shared" si="3"/>
        <v>2250.63</v>
      </c>
      <c r="X16" s="105">
        <f t="shared" si="3"/>
        <v>5550.0535800000007</v>
      </c>
      <c r="Y16" s="105"/>
      <c r="Z16" s="105"/>
      <c r="AA16" s="105">
        <f>SUM(AA12:AA15)</f>
        <v>0</v>
      </c>
      <c r="AB16" s="116">
        <f>SUM(AB12:AB15)</f>
        <v>62.719999999999992</v>
      </c>
    </row>
    <row r="17" spans="2:28" s="88" customFormat="1" ht="30" customHeight="1" x14ac:dyDescent="0.25">
      <c r="B17" s="793"/>
      <c r="C17" s="793"/>
      <c r="D17" s="9"/>
      <c r="E17" s="9"/>
      <c r="F17" s="9"/>
      <c r="G17" s="9"/>
      <c r="H17" s="9"/>
      <c r="I17" s="9"/>
      <c r="J17" s="9"/>
      <c r="K17" s="9"/>
      <c r="L17" s="9"/>
      <c r="M17" s="9"/>
      <c r="N17" s="9"/>
      <c r="O17" s="9"/>
      <c r="T17" s="9"/>
      <c r="U17" s="9"/>
    </row>
    <row r="18" spans="2:28" ht="20.100000000000001" customHeight="1" x14ac:dyDescent="0.25">
      <c r="B18" s="746" t="s">
        <v>255</v>
      </c>
      <c r="C18" s="746"/>
      <c r="D18" s="746"/>
      <c r="E18" s="746"/>
      <c r="F18" s="746"/>
      <c r="G18" s="746"/>
      <c r="H18" s="746"/>
      <c r="I18" s="746"/>
      <c r="J18" s="746"/>
      <c r="K18" s="746"/>
      <c r="L18" s="746"/>
      <c r="V18" s="90"/>
    </row>
    <row r="19" spans="2:28" ht="20.100000000000001" customHeight="1" x14ac:dyDescent="0.25">
      <c r="B19" s="31" t="s">
        <v>218</v>
      </c>
      <c r="C19" s="200" t="s">
        <v>298</v>
      </c>
      <c r="D19" s="31" t="s">
        <v>314</v>
      </c>
      <c r="F19" s="31"/>
      <c r="G19" s="31"/>
      <c r="H19" s="31"/>
      <c r="I19" s="31"/>
      <c r="J19" s="31"/>
      <c r="Q19" s="193"/>
      <c r="R19" s="195"/>
      <c r="U19" s="193"/>
      <c r="X19" s="194" t="s">
        <v>264</v>
      </c>
      <c r="AA19" s="194"/>
      <c r="AB19" s="199">
        <f>+X16</f>
        <v>5550.0535800000007</v>
      </c>
    </row>
    <row r="20" spans="2:28" ht="20.100000000000001" customHeight="1" x14ac:dyDescent="0.25">
      <c r="B20" s="31" t="s">
        <v>218</v>
      </c>
      <c r="C20" s="200" t="s">
        <v>303</v>
      </c>
      <c r="D20" s="31" t="s">
        <v>302</v>
      </c>
      <c r="F20" s="31"/>
      <c r="G20" s="31"/>
      <c r="H20" s="31"/>
      <c r="I20" s="31"/>
      <c r="J20" s="31"/>
      <c r="Q20" s="194"/>
      <c r="R20" s="195"/>
      <c r="U20" s="193"/>
      <c r="X20" s="194" t="s">
        <v>219</v>
      </c>
      <c r="AA20" s="194"/>
      <c r="AB20" s="199">
        <f>+AB16</f>
        <v>62.719999999999992</v>
      </c>
    </row>
    <row r="21" spans="2:28" ht="20.100000000000001" customHeight="1" x14ac:dyDescent="0.25">
      <c r="B21" s="31" t="s">
        <v>218</v>
      </c>
      <c r="C21" s="200" t="s">
        <v>305</v>
      </c>
      <c r="D21" s="31" t="s">
        <v>304</v>
      </c>
      <c r="F21" s="31"/>
      <c r="G21" s="31"/>
      <c r="H21" s="31"/>
      <c r="I21" s="31"/>
      <c r="J21" s="31"/>
      <c r="Q21" s="194"/>
      <c r="R21" s="195"/>
      <c r="U21" s="193"/>
      <c r="X21" s="194" t="s">
        <v>219</v>
      </c>
      <c r="AA21" s="194"/>
      <c r="AB21" s="199">
        <f>+AB20</f>
        <v>62.719999999999992</v>
      </c>
    </row>
  </sheetData>
  <mergeCells count="29">
    <mergeCell ref="C4:W4"/>
    <mergeCell ref="Q10:R10"/>
    <mergeCell ref="S10:T10"/>
    <mergeCell ref="U10:V10"/>
    <mergeCell ref="W10:X10"/>
    <mergeCell ref="O10:P10"/>
    <mergeCell ref="Y10:Z10"/>
    <mergeCell ref="AA9:AA10"/>
    <mergeCell ref="J9:J10"/>
    <mergeCell ref="G10:G11"/>
    <mergeCell ref="B1:AC2"/>
    <mergeCell ref="B9:C11"/>
    <mergeCell ref="D9:D11"/>
    <mergeCell ref="E9:G9"/>
    <mergeCell ref="H9:H10"/>
    <mergeCell ref="I9:I10"/>
    <mergeCell ref="AB9:AB10"/>
    <mergeCell ref="E10:E11"/>
    <mergeCell ref="F10:F11"/>
    <mergeCell ref="K9:Z9"/>
    <mergeCell ref="K10:L10"/>
    <mergeCell ref="M10:N10"/>
    <mergeCell ref="B18:L18"/>
    <mergeCell ref="B16:G16"/>
    <mergeCell ref="B12:C12"/>
    <mergeCell ref="B13:C13"/>
    <mergeCell ref="B14:C14"/>
    <mergeCell ref="B15:C15"/>
    <mergeCell ref="B17:C17"/>
  </mergeCells>
  <printOptions horizontalCentered="1"/>
  <pageMargins left="0.51181102362204722" right="0.51181102362204722" top="0.78740157480314965" bottom="0.78740157480314965" header="0.31496062992125984" footer="0.31496062992125984"/>
  <pageSetup paperSize="9" scale="90" orientation="landscape" r:id="rId1"/>
  <headerFooter>
    <oddHeader>&amp;L&amp;G</oddHeader>
    <oddFooter>&amp;L&amp;"Arial Narrow,Normal"&amp;10&amp;A
&amp;F&amp;R&amp;"Arial Narrow,Normal"&amp;10&amp;P de &amp;N</oddFooter>
  </headerFooter>
  <colBreaks count="1" manualBreakCount="1">
    <brk id="30" max="1048575" man="1"/>
  </colBreaks>
  <legacyDrawingHF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8045C-791C-4A55-8022-DB388DBFD532}">
  <dimension ref="B1:AH19"/>
  <sheetViews>
    <sheetView showGridLines="0" showZeros="0" view="pageBreakPreview" zoomScale="85" zoomScaleNormal="100" zoomScaleSheetLayoutView="85" workbookViewId="0">
      <selection activeCell="Q14" sqref="Q14:Q15"/>
    </sheetView>
  </sheetViews>
  <sheetFormatPr defaultColWidth="9.140625" defaultRowHeight="13.5" x14ac:dyDescent="0.25"/>
  <cols>
    <col min="1" max="1" width="1.7109375" style="89" customWidth="1"/>
    <col min="2" max="2" width="9.140625" style="89" customWidth="1"/>
    <col min="3" max="3" width="15.7109375" style="89" customWidth="1"/>
    <col min="4" max="4" width="8.7109375" style="89" customWidth="1"/>
    <col min="5" max="7" width="11.85546875" style="89" customWidth="1"/>
    <col min="8" max="8" width="15.28515625" style="89" customWidth="1"/>
    <col min="9" max="10" width="13" style="89" customWidth="1"/>
    <col min="11" max="22" width="9.7109375" style="89" hidden="1" customWidth="1"/>
    <col min="23" max="24" width="9.7109375" style="89" customWidth="1"/>
    <col min="25" max="27" width="9.7109375" style="89" hidden="1" customWidth="1"/>
    <col min="28" max="28" width="15.28515625" style="89" customWidth="1"/>
    <col min="29" max="29" width="1.7109375" style="89" customWidth="1"/>
    <col min="30" max="30" width="9.140625" style="89" customWidth="1"/>
    <col min="31" max="16384" width="9.140625" style="89"/>
  </cols>
  <sheetData>
    <row r="1" spans="2:34" s="69" customFormat="1" ht="20.100000000000001" customHeight="1" x14ac:dyDescent="0.25">
      <c r="B1" s="569" t="s">
        <v>133</v>
      </c>
      <c r="C1" s="569"/>
      <c r="D1" s="569"/>
      <c r="E1" s="569"/>
      <c r="F1" s="569"/>
      <c r="G1" s="569"/>
      <c r="H1" s="569"/>
      <c r="I1" s="569"/>
      <c r="J1" s="569"/>
      <c r="K1" s="569"/>
      <c r="L1" s="569"/>
      <c r="M1" s="569"/>
      <c r="N1" s="569"/>
      <c r="O1" s="569"/>
      <c r="P1" s="569"/>
      <c r="Q1" s="569"/>
      <c r="R1" s="569"/>
      <c r="S1" s="569"/>
      <c r="T1" s="569"/>
      <c r="U1" s="569"/>
      <c r="V1" s="569"/>
      <c r="W1" s="569"/>
      <c r="X1" s="569"/>
      <c r="Y1" s="569"/>
      <c r="Z1" s="569"/>
      <c r="AA1" s="569"/>
      <c r="AB1" s="569"/>
      <c r="AC1" s="569"/>
    </row>
    <row r="2" spans="2:34" s="69" customFormat="1" ht="20.100000000000001" customHeight="1" x14ac:dyDescent="0.25">
      <c r="B2" s="569"/>
      <c r="C2" s="569"/>
      <c r="D2" s="569"/>
      <c r="E2" s="569"/>
      <c r="F2" s="569"/>
      <c r="G2" s="569"/>
      <c r="H2" s="569"/>
      <c r="I2" s="569"/>
      <c r="J2" s="569"/>
      <c r="K2" s="569"/>
      <c r="L2" s="569"/>
      <c r="M2" s="569"/>
      <c r="N2" s="569"/>
      <c r="O2" s="569"/>
      <c r="P2" s="569"/>
      <c r="Q2" s="569"/>
      <c r="R2" s="569"/>
      <c r="S2" s="569"/>
      <c r="T2" s="569"/>
      <c r="U2" s="569"/>
      <c r="V2" s="569"/>
      <c r="W2" s="569"/>
      <c r="X2" s="569"/>
      <c r="Y2" s="569"/>
      <c r="Z2" s="569"/>
      <c r="AA2" s="569"/>
      <c r="AB2" s="569"/>
      <c r="AC2" s="569"/>
    </row>
    <row r="3" spans="2:34" s="69" customFormat="1" ht="20.100000000000001" customHeight="1" x14ac:dyDescent="0.25"/>
    <row r="4" spans="2:34"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674"/>
      <c r="W4" s="674"/>
      <c r="X4" s="3" t="s">
        <v>96</v>
      </c>
      <c r="Y4" s="2"/>
      <c r="Z4" s="2"/>
      <c r="AA4" s="3"/>
      <c r="AB4" s="4" t="str">
        <f>+'DADOS DA OBRA'!$N$22</f>
        <v>04/11/2024</v>
      </c>
      <c r="AE4" s="32"/>
      <c r="AF4" s="32"/>
      <c r="AG4" s="33"/>
      <c r="AH4" s="33"/>
    </row>
    <row r="5" spans="2:34" s="5" customFormat="1" ht="20.100000000000001" customHeight="1" x14ac:dyDescent="0.25">
      <c r="B5" s="1" t="s">
        <v>18</v>
      </c>
      <c r="C5" s="2" t="str">
        <f>+""&amp;'DADOS DA OBRA'!$B$16&amp;", "&amp;'DADOS DA OBRA'!$B$19&amp;", "&amp;'DADOS DA OBRA'!$J$19&amp;", "&amp;'DADOS DA OBRA'!$P$19</f>
        <v>RUAS DIVERSAS, DIVERSOS, MATRINCHÃ, GO</v>
      </c>
      <c r="X5" s="3" t="s">
        <v>17</v>
      </c>
      <c r="AA5" s="3"/>
      <c r="AB5" s="4" t="str">
        <f>'DADOS DA OBRA'!$N$25</f>
        <v>00</v>
      </c>
    </row>
    <row r="6" spans="2:34" s="5" customFormat="1" ht="20.100000000000001" customHeight="1" x14ac:dyDescent="0.25"/>
    <row r="7" spans="2:34" s="5" customFormat="1" ht="20.100000000000001" customHeight="1" x14ac:dyDescent="0.25">
      <c r="B7" s="1" t="s">
        <v>97</v>
      </c>
      <c r="C7" s="39" t="s">
        <v>171</v>
      </c>
      <c r="X7" s="3" t="s">
        <v>18</v>
      </c>
      <c r="AA7" s="3"/>
      <c r="AB7" s="64" t="s">
        <v>910</v>
      </c>
    </row>
    <row r="8" spans="2:34" s="67" customFormat="1" ht="20.100000000000001" customHeight="1" thickBot="1" x14ac:dyDescent="0.3">
      <c r="B8" s="52"/>
      <c r="C8" s="53"/>
      <c r="D8" s="10"/>
      <c r="E8" s="9"/>
      <c r="F8" s="9"/>
      <c r="G8" s="9"/>
      <c r="H8" s="10"/>
      <c r="I8" s="10"/>
      <c r="J8" s="10"/>
      <c r="K8" s="10"/>
      <c r="L8" s="10"/>
      <c r="M8" s="10"/>
      <c r="N8" s="10"/>
      <c r="O8" s="10"/>
      <c r="P8" s="10"/>
      <c r="Q8" s="10"/>
      <c r="R8" s="10"/>
      <c r="S8" s="10"/>
      <c r="T8" s="10"/>
      <c r="U8" s="10"/>
      <c r="V8" s="10"/>
      <c r="W8" s="10"/>
      <c r="X8" s="10"/>
      <c r="Y8" s="10"/>
      <c r="Z8" s="10"/>
      <c r="AA8" s="10"/>
      <c r="AB8" s="10"/>
    </row>
    <row r="9" spans="2:34" s="88" customFormat="1" ht="20.100000000000001" customHeight="1" x14ac:dyDescent="0.25">
      <c r="B9" s="804" t="s">
        <v>134</v>
      </c>
      <c r="C9" s="805"/>
      <c r="D9" s="810" t="s">
        <v>147</v>
      </c>
      <c r="E9" s="813" t="s">
        <v>172</v>
      </c>
      <c r="F9" s="814"/>
      <c r="G9" s="815"/>
      <c r="H9" s="799" t="s">
        <v>166</v>
      </c>
      <c r="I9" s="799" t="s">
        <v>173</v>
      </c>
      <c r="J9" s="799" t="s">
        <v>174</v>
      </c>
      <c r="K9" s="819" t="s">
        <v>135</v>
      </c>
      <c r="L9" s="819"/>
      <c r="M9" s="819"/>
      <c r="N9" s="819"/>
      <c r="O9" s="819"/>
      <c r="P9" s="819"/>
      <c r="Q9" s="819"/>
      <c r="R9" s="819"/>
      <c r="S9" s="819"/>
      <c r="T9" s="819"/>
      <c r="U9" s="819"/>
      <c r="V9" s="819"/>
      <c r="W9" s="819"/>
      <c r="X9" s="819"/>
      <c r="Y9" s="819"/>
      <c r="Z9" s="819"/>
      <c r="AA9" s="799" t="s">
        <v>105</v>
      </c>
      <c r="AB9" s="817" t="s">
        <v>136</v>
      </c>
    </row>
    <row r="10" spans="2:34" s="88" customFormat="1" ht="20.100000000000001" customHeight="1" x14ac:dyDescent="0.25">
      <c r="B10" s="806"/>
      <c r="C10" s="807"/>
      <c r="D10" s="811"/>
      <c r="E10" s="797" t="s">
        <v>153</v>
      </c>
      <c r="F10" s="797" t="s">
        <v>154</v>
      </c>
      <c r="G10" s="797" t="s">
        <v>175</v>
      </c>
      <c r="H10" s="800"/>
      <c r="I10" s="800"/>
      <c r="J10" s="800"/>
      <c r="K10" s="801" t="s">
        <v>138</v>
      </c>
      <c r="L10" s="801"/>
      <c r="M10" s="801" t="s">
        <v>156</v>
      </c>
      <c r="N10" s="801"/>
      <c r="O10" s="887" t="s">
        <v>137</v>
      </c>
      <c r="P10" s="888"/>
      <c r="Q10" s="887" t="s">
        <v>157</v>
      </c>
      <c r="R10" s="888"/>
      <c r="S10" s="887" t="s">
        <v>158</v>
      </c>
      <c r="T10" s="888"/>
      <c r="U10" s="887" t="s">
        <v>159</v>
      </c>
      <c r="V10" s="888"/>
      <c r="W10" s="887" t="s">
        <v>167</v>
      </c>
      <c r="X10" s="888"/>
      <c r="Y10" s="887" t="s">
        <v>307</v>
      </c>
      <c r="Z10" s="888"/>
      <c r="AA10" s="800"/>
      <c r="AB10" s="818"/>
    </row>
    <row r="11" spans="2:34" s="88" customFormat="1" ht="20.100000000000001" customHeight="1" thickBot="1" x14ac:dyDescent="0.3">
      <c r="B11" s="808"/>
      <c r="C11" s="809"/>
      <c r="D11" s="812"/>
      <c r="E11" s="798"/>
      <c r="F11" s="798"/>
      <c r="G11" s="798"/>
      <c r="H11" s="98" t="s">
        <v>160</v>
      </c>
      <c r="I11" s="98" t="s">
        <v>160</v>
      </c>
      <c r="J11" s="98" t="s">
        <v>45</v>
      </c>
      <c r="K11" s="98" t="s">
        <v>141</v>
      </c>
      <c r="L11" s="98" t="s">
        <v>142</v>
      </c>
      <c r="M11" s="98" t="s">
        <v>143</v>
      </c>
      <c r="N11" s="98" t="s">
        <v>144</v>
      </c>
      <c r="O11" s="98" t="s">
        <v>143</v>
      </c>
      <c r="P11" s="98" t="s">
        <v>144</v>
      </c>
      <c r="Q11" s="98" t="s">
        <v>143</v>
      </c>
      <c r="R11" s="98" t="s">
        <v>144</v>
      </c>
      <c r="S11" s="98" t="s">
        <v>143</v>
      </c>
      <c r="T11" s="98" t="s">
        <v>144</v>
      </c>
      <c r="U11" s="98" t="s">
        <v>143</v>
      </c>
      <c r="V11" s="98" t="s">
        <v>144</v>
      </c>
      <c r="W11" s="98" t="s">
        <v>143</v>
      </c>
      <c r="X11" s="98" t="s">
        <v>144</v>
      </c>
      <c r="Y11" s="98" t="s">
        <v>143</v>
      </c>
      <c r="Z11" s="98" t="s">
        <v>144</v>
      </c>
      <c r="AA11" s="98" t="s">
        <v>19</v>
      </c>
      <c r="AB11" s="107" t="s">
        <v>145</v>
      </c>
    </row>
    <row r="12" spans="2:34" s="88" customFormat="1" ht="30" customHeight="1" x14ac:dyDescent="0.25">
      <c r="B12" s="820" t="s">
        <v>177</v>
      </c>
      <c r="C12" s="821"/>
      <c r="D12" s="92">
        <v>1</v>
      </c>
      <c r="E12" s="111">
        <v>1.8</v>
      </c>
      <c r="F12" s="111">
        <v>1.05</v>
      </c>
      <c r="G12" s="108"/>
      <c r="H12" s="108"/>
      <c r="I12" s="108">
        <f>+D12*E12*F12</f>
        <v>1.8900000000000001</v>
      </c>
      <c r="J12" s="108"/>
      <c r="K12" s="108"/>
      <c r="L12" s="111"/>
      <c r="M12" s="108"/>
      <c r="N12" s="111"/>
      <c r="O12" s="108"/>
      <c r="P12" s="112"/>
      <c r="Q12" s="108"/>
      <c r="R12" s="109"/>
      <c r="S12" s="108"/>
      <c r="T12" s="109"/>
      <c r="U12" s="108"/>
      <c r="V12" s="109"/>
      <c r="W12" s="108"/>
      <c r="X12" s="109">
        <f>+W12*2.466*$D12</f>
        <v>0</v>
      </c>
      <c r="Y12" s="108"/>
      <c r="Z12" s="109">
        <f>+Y12*3.853*$D12</f>
        <v>0</v>
      </c>
      <c r="AA12" s="108">
        <f>+I12</f>
        <v>1.8900000000000001</v>
      </c>
      <c r="AB12" s="114">
        <f>+E12*F12*G12</f>
        <v>0</v>
      </c>
    </row>
    <row r="13" spans="2:34" s="88" customFormat="1" ht="30" customHeight="1" x14ac:dyDescent="0.25">
      <c r="B13" s="802"/>
      <c r="C13" s="803"/>
      <c r="D13" s="94"/>
      <c r="E13" s="111"/>
      <c r="F13" s="111"/>
      <c r="G13" s="118"/>
      <c r="H13" s="111"/>
      <c r="I13" s="111">
        <f>+E13</f>
        <v>0</v>
      </c>
      <c r="J13" s="111">
        <f t="shared" ref="J13:J15" si="0">+I13*3.75</f>
        <v>0</v>
      </c>
      <c r="K13" s="111"/>
      <c r="L13" s="111"/>
      <c r="M13" s="111"/>
      <c r="N13" s="111"/>
      <c r="O13" s="111"/>
      <c r="P13" s="111"/>
      <c r="Q13" s="111"/>
      <c r="R13" s="111"/>
      <c r="S13" s="111"/>
      <c r="T13" s="111"/>
      <c r="U13" s="111"/>
      <c r="V13" s="111"/>
      <c r="W13" s="111"/>
      <c r="X13" s="111"/>
      <c r="Y13" s="111"/>
      <c r="Z13" s="111"/>
      <c r="AA13" s="111">
        <f t="shared" ref="AA13:AA15" si="1">+I13</f>
        <v>0</v>
      </c>
      <c r="AB13" s="115">
        <f t="shared" ref="AB13:AB15" si="2">+G13*I13*D13</f>
        <v>0</v>
      </c>
    </row>
    <row r="14" spans="2:34" s="88" customFormat="1" ht="30" customHeight="1" x14ac:dyDescent="0.25">
      <c r="B14" s="802"/>
      <c r="C14" s="803"/>
      <c r="D14" s="94"/>
      <c r="E14" s="111"/>
      <c r="F14" s="111"/>
      <c r="G14" s="118"/>
      <c r="H14" s="111"/>
      <c r="I14" s="111">
        <f>+E14</f>
        <v>0</v>
      </c>
      <c r="J14" s="111">
        <f t="shared" si="0"/>
        <v>0</v>
      </c>
      <c r="K14" s="111"/>
      <c r="L14" s="111"/>
      <c r="M14" s="111"/>
      <c r="N14" s="111"/>
      <c r="O14" s="111"/>
      <c r="P14" s="111"/>
      <c r="Q14" s="111"/>
      <c r="R14" s="111"/>
      <c r="S14" s="111"/>
      <c r="T14" s="111"/>
      <c r="U14" s="111"/>
      <c r="V14" s="111"/>
      <c r="W14" s="111"/>
      <c r="X14" s="111"/>
      <c r="Y14" s="111"/>
      <c r="Z14" s="111"/>
      <c r="AA14" s="111">
        <f t="shared" si="1"/>
        <v>0</v>
      </c>
      <c r="AB14" s="115">
        <f t="shared" si="2"/>
        <v>0</v>
      </c>
    </row>
    <row r="15" spans="2:34" s="88" customFormat="1" ht="30" customHeight="1" thickBot="1" x14ac:dyDescent="0.3">
      <c r="B15" s="802"/>
      <c r="C15" s="803"/>
      <c r="D15" s="94"/>
      <c r="E15" s="111"/>
      <c r="F15" s="111"/>
      <c r="G15" s="118"/>
      <c r="H15" s="111"/>
      <c r="I15" s="111">
        <f>+E15</f>
        <v>0</v>
      </c>
      <c r="J15" s="111">
        <f t="shared" si="0"/>
        <v>0</v>
      </c>
      <c r="K15" s="111"/>
      <c r="L15" s="111"/>
      <c r="M15" s="111"/>
      <c r="N15" s="111"/>
      <c r="O15" s="111"/>
      <c r="P15" s="111"/>
      <c r="Q15" s="111"/>
      <c r="R15" s="111"/>
      <c r="S15" s="111"/>
      <c r="T15" s="111"/>
      <c r="U15" s="111"/>
      <c r="V15" s="111"/>
      <c r="W15" s="111"/>
      <c r="X15" s="111"/>
      <c r="Y15" s="111"/>
      <c r="Z15" s="111"/>
      <c r="AA15" s="111">
        <f t="shared" si="1"/>
        <v>0</v>
      </c>
      <c r="AB15" s="115">
        <f t="shared" si="2"/>
        <v>0</v>
      </c>
    </row>
    <row r="16" spans="2:34" s="88" customFormat="1" ht="30" customHeight="1" thickBot="1" x14ac:dyDescent="0.3">
      <c r="B16" s="794" t="s">
        <v>146</v>
      </c>
      <c r="C16" s="795"/>
      <c r="D16" s="795"/>
      <c r="E16" s="795"/>
      <c r="F16" s="795"/>
      <c r="G16" s="795"/>
      <c r="H16" s="105">
        <f t="shared" ref="H16:X16" si="3">SUM(H12:H15)</f>
        <v>0</v>
      </c>
      <c r="I16" s="105">
        <f t="shared" si="3"/>
        <v>1.8900000000000001</v>
      </c>
      <c r="J16" s="105">
        <f t="shared" si="3"/>
        <v>0</v>
      </c>
      <c r="K16" s="105">
        <f t="shared" si="3"/>
        <v>0</v>
      </c>
      <c r="L16" s="105">
        <f t="shared" si="3"/>
        <v>0</v>
      </c>
      <c r="M16" s="105">
        <f t="shared" si="3"/>
        <v>0</v>
      </c>
      <c r="N16" s="105">
        <f t="shared" si="3"/>
        <v>0</v>
      </c>
      <c r="O16" s="105">
        <f t="shared" si="3"/>
        <v>0</v>
      </c>
      <c r="P16" s="105">
        <f t="shared" si="3"/>
        <v>0</v>
      </c>
      <c r="Q16" s="105">
        <f t="shared" si="3"/>
        <v>0</v>
      </c>
      <c r="R16" s="105">
        <f t="shared" si="3"/>
        <v>0</v>
      </c>
      <c r="S16" s="105">
        <f t="shared" si="3"/>
        <v>0</v>
      </c>
      <c r="T16" s="105">
        <f t="shared" si="3"/>
        <v>0</v>
      </c>
      <c r="U16" s="105">
        <f t="shared" si="3"/>
        <v>0</v>
      </c>
      <c r="V16" s="105">
        <f t="shared" si="3"/>
        <v>0</v>
      </c>
      <c r="W16" s="105">
        <f t="shared" si="3"/>
        <v>0</v>
      </c>
      <c r="X16" s="105">
        <f t="shared" si="3"/>
        <v>0</v>
      </c>
      <c r="Y16" s="105"/>
      <c r="Z16" s="105"/>
      <c r="AA16" s="105">
        <f>SUM(AA12:AA15)</f>
        <v>1.8900000000000001</v>
      </c>
      <c r="AB16" s="116">
        <f>SUM(AB12:AB15)</f>
        <v>0</v>
      </c>
    </row>
    <row r="17" spans="2:28" s="88" customFormat="1" ht="30" customHeight="1" x14ac:dyDescent="0.25">
      <c r="B17" s="793"/>
      <c r="C17" s="793"/>
      <c r="D17" s="9"/>
      <c r="E17" s="9"/>
      <c r="F17" s="9"/>
      <c r="G17" s="9"/>
      <c r="H17" s="9"/>
      <c r="I17" s="9"/>
      <c r="J17" s="9"/>
      <c r="K17" s="9"/>
      <c r="L17" s="9"/>
      <c r="M17" s="9"/>
      <c r="N17" s="9"/>
      <c r="O17" s="9"/>
      <c r="T17" s="9"/>
      <c r="U17" s="9"/>
    </row>
    <row r="18" spans="2:28" ht="20.100000000000001" customHeight="1" x14ac:dyDescent="0.25">
      <c r="B18" s="746" t="s">
        <v>255</v>
      </c>
      <c r="C18" s="746"/>
      <c r="D18" s="746"/>
      <c r="E18" s="746"/>
      <c r="F18" s="746"/>
      <c r="G18" s="746"/>
      <c r="H18" s="746"/>
      <c r="I18" s="746"/>
      <c r="J18" s="746"/>
      <c r="K18" s="746"/>
      <c r="L18" s="746"/>
      <c r="V18" s="90"/>
    </row>
    <row r="19" spans="2:28" ht="27.75" customHeight="1" x14ac:dyDescent="0.25">
      <c r="B19" s="31" t="s">
        <v>218</v>
      </c>
      <c r="C19" s="200" t="s">
        <v>912</v>
      </c>
      <c r="D19" s="748" t="s">
        <v>911</v>
      </c>
      <c r="E19" s="748"/>
      <c r="F19" s="748"/>
      <c r="G19" s="748"/>
      <c r="H19" s="748"/>
      <c r="I19" s="748"/>
      <c r="J19" s="748"/>
      <c r="K19" s="748"/>
      <c r="L19" s="748"/>
      <c r="M19" s="748"/>
      <c r="N19" s="748"/>
      <c r="O19" s="748"/>
      <c r="P19" s="748"/>
      <c r="Q19" s="748"/>
      <c r="R19" s="748"/>
      <c r="S19" s="748"/>
      <c r="T19" s="748"/>
      <c r="U19" s="748"/>
      <c r="V19" s="748"/>
      <c r="W19" s="748"/>
      <c r="X19" s="194" t="s">
        <v>222</v>
      </c>
      <c r="AA19" s="194"/>
      <c r="AB19" s="199">
        <f>I16</f>
        <v>1.8900000000000001</v>
      </c>
    </row>
  </sheetData>
  <mergeCells count="30">
    <mergeCell ref="O10:P10"/>
    <mergeCell ref="C4:W4"/>
    <mergeCell ref="B12:C12"/>
    <mergeCell ref="E10:E11"/>
    <mergeCell ref="F10:F11"/>
    <mergeCell ref="G10:G11"/>
    <mergeCell ref="K10:L10"/>
    <mergeCell ref="D19:W19"/>
    <mergeCell ref="B13:C13"/>
    <mergeCell ref="B14:C14"/>
    <mergeCell ref="B15:C15"/>
    <mergeCell ref="B16:G16"/>
    <mergeCell ref="B17:C17"/>
    <mergeCell ref="B18:L18"/>
    <mergeCell ref="B1:AC2"/>
    <mergeCell ref="B9:C11"/>
    <mergeCell ref="D9:D11"/>
    <mergeCell ref="E9:G9"/>
    <mergeCell ref="H9:H10"/>
    <mergeCell ref="I9:I10"/>
    <mergeCell ref="J9:J10"/>
    <mergeCell ref="K9:Z9"/>
    <mergeCell ref="AA9:AA10"/>
    <mergeCell ref="AB9:AB10"/>
    <mergeCell ref="Q10:R10"/>
    <mergeCell ref="S10:T10"/>
    <mergeCell ref="U10:V10"/>
    <mergeCell ref="W10:X10"/>
    <mergeCell ref="Y10:Z10"/>
    <mergeCell ref="M10:N10"/>
  </mergeCells>
  <printOptions horizontalCentered="1"/>
  <pageMargins left="0.51181102362204722" right="0.51181102362204722" top="0.78740157480314965" bottom="0.78740157480314965" header="0.31496062992125984" footer="0.31496062992125984"/>
  <pageSetup paperSize="9" scale="90" orientation="landscape" r:id="rId1"/>
  <headerFooter>
    <oddHeader>&amp;L&amp;G</oddHeader>
    <oddFooter>&amp;L&amp;"Arial Narrow,Normal"&amp;10&amp;A
&amp;F&amp;R&amp;"Arial Narrow,Normal"&amp;10&amp;P de &amp;N</oddFooter>
  </headerFooter>
  <colBreaks count="1" manualBreakCount="1">
    <brk id="30" max="1048575" man="1"/>
  </colBreaks>
  <legacyDrawingHF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60514-A6A4-4493-B3D5-04A61AEAF4F3}">
  <dimension ref="A1:AB30"/>
  <sheetViews>
    <sheetView showGridLines="0" showZeros="0" view="pageBreakPreview" topLeftCell="A11" zoomScaleNormal="100" zoomScaleSheetLayoutView="100" workbookViewId="0">
      <selection activeCell="Q14" sqref="Q14:Q15"/>
    </sheetView>
  </sheetViews>
  <sheetFormatPr defaultColWidth="9.140625" defaultRowHeight="12" x14ac:dyDescent="0.25"/>
  <cols>
    <col min="1" max="1" width="1.7109375" style="79" customWidth="1"/>
    <col min="2" max="2" width="3.7109375" style="79" customWidth="1"/>
    <col min="3" max="3" width="5" style="79" customWidth="1"/>
    <col min="4" max="5" width="3.7109375" style="79" customWidth="1"/>
    <col min="6" max="6" width="6.7109375" style="79" customWidth="1"/>
    <col min="7" max="11" width="11.7109375" style="79" customWidth="1"/>
    <col min="12" max="12" width="11.7109375" style="80" customWidth="1"/>
    <col min="13" max="14" width="11.7109375" style="81" customWidth="1"/>
    <col min="15" max="15" width="11.7109375" style="82" customWidth="1"/>
    <col min="16" max="16" width="1.7109375" style="79" customWidth="1"/>
    <col min="17" max="17" width="9.140625" style="79" customWidth="1"/>
    <col min="18" max="16384" width="9.140625" style="79"/>
  </cols>
  <sheetData>
    <row r="1" spans="1:21" s="11" customFormat="1" ht="20.100000000000001" customHeight="1" x14ac:dyDescent="0.25">
      <c r="A1" s="69"/>
      <c r="B1" s="569" t="s">
        <v>133</v>
      </c>
      <c r="C1" s="569"/>
      <c r="D1" s="569"/>
      <c r="E1" s="569"/>
      <c r="F1" s="569"/>
      <c r="G1" s="569"/>
      <c r="H1" s="569"/>
      <c r="I1" s="569"/>
      <c r="J1" s="569"/>
      <c r="K1" s="569"/>
      <c r="L1" s="569"/>
      <c r="M1" s="569"/>
      <c r="N1" s="569"/>
      <c r="O1" s="569"/>
      <c r="P1" s="569"/>
      <c r="Q1" s="69"/>
      <c r="R1" s="69"/>
      <c r="S1" s="69"/>
      <c r="T1" s="69"/>
      <c r="U1" s="69"/>
    </row>
    <row r="2" spans="1:21" s="11" customFormat="1" ht="20.100000000000001" customHeight="1" x14ac:dyDescent="0.25">
      <c r="A2" s="69"/>
      <c r="B2" s="569"/>
      <c r="C2" s="569"/>
      <c r="D2" s="569"/>
      <c r="E2" s="569"/>
      <c r="F2" s="569"/>
      <c r="G2" s="569"/>
      <c r="H2" s="569"/>
      <c r="I2" s="569"/>
      <c r="J2" s="569"/>
      <c r="K2" s="569"/>
      <c r="L2" s="569"/>
      <c r="M2" s="569"/>
      <c r="N2" s="569"/>
      <c r="O2" s="569"/>
      <c r="P2" s="569"/>
      <c r="Q2" s="69"/>
      <c r="R2" s="69"/>
      <c r="S2" s="69"/>
      <c r="T2" s="69"/>
      <c r="U2" s="69"/>
    </row>
    <row r="3" spans="1:21" s="11" customFormat="1" ht="20.100000000000001" customHeight="1" x14ac:dyDescent="0.25">
      <c r="A3" s="69"/>
      <c r="B3" s="69"/>
      <c r="C3" s="69"/>
      <c r="D3" s="69"/>
      <c r="E3" s="69"/>
      <c r="F3" s="69"/>
      <c r="G3" s="69"/>
      <c r="H3" s="69"/>
      <c r="I3" s="69"/>
      <c r="J3" s="69"/>
      <c r="K3" s="69"/>
      <c r="L3" s="69"/>
      <c r="M3" s="69"/>
      <c r="N3" s="69"/>
      <c r="O3" s="69"/>
      <c r="P3" s="69"/>
      <c r="Q3" s="69"/>
      <c r="R3" s="69"/>
      <c r="S3" s="69"/>
      <c r="T3" s="69"/>
      <c r="U3" s="69"/>
    </row>
    <row r="4" spans="1:21" s="5" customFormat="1" ht="24.95" customHeight="1" x14ac:dyDescent="0.25">
      <c r="B4" s="1" t="s">
        <v>16</v>
      </c>
      <c r="D4" s="674" t="str">
        <f>'DADOS DA OBRA'!$B$13</f>
        <v>DEMOLIÇÃO DO RESERVATÓRIO EXISTENTE, EXECUÇÃO DE RESERVATÓRIO METÁLICO ELEVADO E REESTRUTURAÇÃO (COM AMPLIAÇÃO) DA REDE DE DISTRIBUIÇÃO DE ÁGUA TRATADA EXISTENTE NO MUNICÍPIO DE MATRINCHÃ</v>
      </c>
      <c r="E4" s="674"/>
      <c r="F4" s="674"/>
      <c r="G4" s="674"/>
      <c r="H4" s="674"/>
      <c r="I4" s="674"/>
      <c r="J4" s="674"/>
      <c r="K4" s="674"/>
      <c r="L4" s="674"/>
      <c r="M4" s="674"/>
      <c r="N4" s="3" t="s">
        <v>96</v>
      </c>
      <c r="O4" s="4" t="str">
        <f>+'DADOS DA OBRA'!$N$22</f>
        <v>04/11/2024</v>
      </c>
      <c r="R4" s="32"/>
      <c r="S4" s="32"/>
      <c r="T4" s="33"/>
      <c r="U4" s="33"/>
    </row>
    <row r="5" spans="1:21" s="5" customFormat="1" ht="20.100000000000001" customHeight="1" x14ac:dyDescent="0.25">
      <c r="B5" s="1" t="s">
        <v>18</v>
      </c>
      <c r="D5" s="2" t="str">
        <f>+""&amp;'DADOS DA OBRA'!$B$16&amp;", "&amp;'DADOS DA OBRA'!$B$19&amp;", "&amp;'DADOS DA OBRA'!$J$19&amp;", "&amp;'DADOS DA OBRA'!$P$19</f>
        <v>RUAS DIVERSAS, DIVERSOS, MATRINCHÃ, GO</v>
      </c>
      <c r="N5" s="3" t="s">
        <v>17</v>
      </c>
      <c r="O5" s="4" t="str">
        <f>'DADOS DA OBRA'!$N$25</f>
        <v>00</v>
      </c>
    </row>
    <row r="6" spans="1:21" s="5" customFormat="1" ht="20.100000000000001" customHeight="1" x14ac:dyDescent="0.25"/>
    <row r="7" spans="1:21" s="5" customFormat="1" ht="20.100000000000001" customHeight="1" x14ac:dyDescent="0.25">
      <c r="B7" s="1" t="s">
        <v>97</v>
      </c>
      <c r="D7" s="39" t="s">
        <v>55</v>
      </c>
      <c r="N7" s="3" t="s">
        <v>99</v>
      </c>
      <c r="O7" s="64" t="s">
        <v>239</v>
      </c>
    </row>
    <row r="8" spans="1:21" s="8" customFormat="1" ht="20.100000000000001" customHeight="1" thickBot="1" x14ac:dyDescent="0.3">
      <c r="A8" s="67"/>
      <c r="B8" s="52"/>
      <c r="C8" s="53"/>
      <c r="D8" s="9"/>
      <c r="E8" s="9"/>
      <c r="F8" s="9"/>
      <c r="G8" s="10"/>
      <c r="H8" s="10"/>
      <c r="I8" s="9"/>
      <c r="J8" s="67"/>
      <c r="K8" s="67"/>
      <c r="L8" s="67"/>
      <c r="M8" s="67"/>
      <c r="N8" s="67"/>
      <c r="O8" s="67"/>
      <c r="P8" s="67"/>
      <c r="Q8" s="67"/>
      <c r="R8" s="67"/>
      <c r="S8" s="67"/>
      <c r="T8" s="67"/>
      <c r="U8" s="67"/>
    </row>
    <row r="9" spans="1:21" ht="30" customHeight="1" thickBot="1" x14ac:dyDescent="0.3">
      <c r="B9" s="824" t="s">
        <v>178</v>
      </c>
      <c r="C9" s="825"/>
      <c r="D9" s="825"/>
      <c r="E9" s="825"/>
      <c r="F9" s="825"/>
      <c r="G9" s="143" t="s">
        <v>179</v>
      </c>
      <c r="H9" s="143" t="s">
        <v>180</v>
      </c>
      <c r="I9" s="143" t="s">
        <v>181</v>
      </c>
      <c r="J9" s="143" t="s">
        <v>182</v>
      </c>
      <c r="K9" s="143" t="s">
        <v>183</v>
      </c>
      <c r="L9" s="144" t="s">
        <v>184</v>
      </c>
      <c r="M9" s="145" t="s">
        <v>185</v>
      </c>
      <c r="N9" s="145" t="s">
        <v>186</v>
      </c>
      <c r="O9" s="146" t="s">
        <v>187</v>
      </c>
      <c r="Q9" s="119"/>
    </row>
    <row r="10" spans="1:21" s="83" customFormat="1" ht="17.45" customHeight="1" x14ac:dyDescent="0.25">
      <c r="B10" s="125" t="s">
        <v>188</v>
      </c>
      <c r="C10" s="126"/>
      <c r="D10" s="126"/>
      <c r="E10" s="126"/>
      <c r="F10" s="826" t="s">
        <v>670</v>
      </c>
      <c r="G10" s="826"/>
      <c r="H10" s="826"/>
      <c r="I10" s="826"/>
      <c r="J10" s="826"/>
      <c r="K10" s="127" t="s">
        <v>189</v>
      </c>
      <c r="L10" s="826" t="s">
        <v>190</v>
      </c>
      <c r="M10" s="826"/>
      <c r="N10" s="826"/>
      <c r="O10" s="827"/>
    </row>
    <row r="11" spans="1:21" s="83" customFormat="1" ht="17.45" customHeight="1" x14ac:dyDescent="0.25">
      <c r="B11" s="822">
        <v>1</v>
      </c>
      <c r="C11" s="823"/>
      <c r="D11" s="823"/>
      <c r="E11" s="823"/>
      <c r="F11" s="823"/>
      <c r="G11" s="86">
        <v>21.3</v>
      </c>
      <c r="H11" s="86">
        <v>2.2000000000000002</v>
      </c>
      <c r="I11" s="86">
        <f t="shared" ref="I11:I12" si="0">+G11*H11</f>
        <v>46.860000000000007</v>
      </c>
      <c r="J11" s="86"/>
      <c r="K11" s="86">
        <f t="shared" ref="K11:K12" si="1">+I11-J11</f>
        <v>46.860000000000007</v>
      </c>
      <c r="L11" s="87">
        <v>1</v>
      </c>
      <c r="M11" s="86">
        <f>+K11*L11</f>
        <v>46.860000000000007</v>
      </c>
      <c r="N11" s="86"/>
      <c r="O11" s="121">
        <v>0</v>
      </c>
    </row>
    <row r="12" spans="1:21" s="83" customFormat="1" ht="17.45" customHeight="1" x14ac:dyDescent="0.25">
      <c r="B12" s="822">
        <v>2</v>
      </c>
      <c r="C12" s="823"/>
      <c r="D12" s="823"/>
      <c r="E12" s="823"/>
      <c r="F12" s="823"/>
      <c r="G12" s="86">
        <v>36.4</v>
      </c>
      <c r="H12" s="86">
        <v>2.2000000000000002</v>
      </c>
      <c r="I12" s="86">
        <f t="shared" si="0"/>
        <v>80.08</v>
      </c>
      <c r="J12" s="86"/>
      <c r="K12" s="86">
        <f t="shared" si="1"/>
        <v>80.08</v>
      </c>
      <c r="L12" s="87">
        <v>1</v>
      </c>
      <c r="M12" s="86">
        <f>+K12*L12</f>
        <v>80.08</v>
      </c>
      <c r="N12" s="86"/>
      <c r="O12" s="121"/>
    </row>
    <row r="13" spans="1:21" s="83" customFormat="1" ht="17.45" customHeight="1" x14ac:dyDescent="0.25">
      <c r="B13" s="822"/>
      <c r="C13" s="823"/>
      <c r="D13" s="823"/>
      <c r="E13" s="823"/>
      <c r="F13" s="823"/>
      <c r="G13" s="86"/>
      <c r="H13" s="86"/>
      <c r="I13" s="86">
        <f t="shared" ref="I13" si="2">+G13*H13</f>
        <v>0</v>
      </c>
      <c r="J13" s="86"/>
      <c r="K13" s="86">
        <f t="shared" ref="K13" si="3">+I13-J13</f>
        <v>0</v>
      </c>
      <c r="L13" s="87"/>
      <c r="M13" s="86">
        <f t="shared" ref="M13" si="4">+K13*L13</f>
        <v>0</v>
      </c>
      <c r="N13" s="86">
        <f t="shared" ref="N13" si="5">+G13*L13</f>
        <v>0</v>
      </c>
      <c r="O13" s="121">
        <v>0</v>
      </c>
    </row>
    <row r="14" spans="1:21" s="83" customFormat="1" ht="17.45" customHeight="1" x14ac:dyDescent="0.25">
      <c r="B14" s="822"/>
      <c r="C14" s="823"/>
      <c r="D14" s="823"/>
      <c r="E14" s="823"/>
      <c r="F14" s="823"/>
      <c r="G14" s="86"/>
      <c r="H14" s="86"/>
      <c r="I14" s="86">
        <f>+G14*H14</f>
        <v>0</v>
      </c>
      <c r="J14" s="86"/>
      <c r="K14" s="86">
        <f>+I14-J14</f>
        <v>0</v>
      </c>
      <c r="L14" s="87"/>
      <c r="M14" s="86">
        <f>+K14*L14</f>
        <v>0</v>
      </c>
      <c r="N14" s="86">
        <f>+G14*L14</f>
        <v>0</v>
      </c>
      <c r="O14" s="121">
        <f>+G14*L14</f>
        <v>0</v>
      </c>
    </row>
    <row r="15" spans="1:21" s="83" customFormat="1" ht="17.45" customHeight="1" thickBot="1" x14ac:dyDescent="0.3">
      <c r="B15" s="829"/>
      <c r="C15" s="830"/>
      <c r="D15" s="830"/>
      <c r="E15" s="830"/>
      <c r="F15" s="830"/>
      <c r="G15" s="84"/>
      <c r="H15" s="84"/>
      <c r="I15" s="84"/>
      <c r="J15" s="84"/>
      <c r="K15" s="84"/>
      <c r="L15" s="85"/>
      <c r="M15" s="84"/>
      <c r="N15" s="84"/>
      <c r="O15" s="122"/>
    </row>
    <row r="16" spans="1:21" s="83" customFormat="1" ht="17.45" customHeight="1" thickBot="1" x14ac:dyDescent="0.3">
      <c r="B16" s="831" t="s">
        <v>39</v>
      </c>
      <c r="C16" s="832"/>
      <c r="D16" s="832"/>
      <c r="E16" s="832"/>
      <c r="F16" s="832"/>
      <c r="G16" s="832"/>
      <c r="H16" s="832"/>
      <c r="I16" s="832"/>
      <c r="J16" s="832"/>
      <c r="K16" s="832"/>
      <c r="L16" s="832"/>
      <c r="M16" s="123">
        <f>SUM(M11:M15)</f>
        <v>126.94</v>
      </c>
      <c r="N16" s="123">
        <f>SUM(N11:N15)</f>
        <v>0</v>
      </c>
      <c r="O16" s="124">
        <f>SUM(O11:O15)</f>
        <v>0</v>
      </c>
    </row>
    <row r="17" spans="2:28" s="88" customFormat="1" ht="30" customHeight="1" thickBot="1" x14ac:dyDescent="0.3">
      <c r="B17" s="793"/>
      <c r="C17" s="793"/>
      <c r="D17" s="9"/>
      <c r="E17" s="9"/>
      <c r="F17" s="9"/>
      <c r="G17" s="9"/>
      <c r="H17" s="9"/>
      <c r="I17" s="9"/>
      <c r="J17" s="9"/>
      <c r="K17" s="9"/>
      <c r="L17" s="9"/>
      <c r="M17" s="9"/>
      <c r="N17" s="9"/>
      <c r="O17" s="9"/>
      <c r="T17" s="9"/>
      <c r="U17" s="9"/>
    </row>
    <row r="18" spans="2:28" s="83" customFormat="1" ht="17.45" customHeight="1" x14ac:dyDescent="0.25">
      <c r="B18" s="125" t="s">
        <v>188</v>
      </c>
      <c r="C18" s="126"/>
      <c r="D18" s="126"/>
      <c r="E18" s="126"/>
      <c r="F18" s="826" t="s">
        <v>891</v>
      </c>
      <c r="G18" s="826"/>
      <c r="H18" s="826"/>
      <c r="I18" s="826"/>
      <c r="J18" s="826"/>
      <c r="K18" s="127" t="s">
        <v>189</v>
      </c>
      <c r="L18" s="826" t="s">
        <v>892</v>
      </c>
      <c r="M18" s="826"/>
      <c r="N18" s="826"/>
      <c r="O18" s="827"/>
    </row>
    <row r="19" spans="2:28" s="83" customFormat="1" ht="17.45" customHeight="1" x14ac:dyDescent="0.25">
      <c r="B19" s="822">
        <v>1</v>
      </c>
      <c r="C19" s="823"/>
      <c r="D19" s="823"/>
      <c r="E19" s="823"/>
      <c r="F19" s="823"/>
      <c r="G19" s="86">
        <v>1.5</v>
      </c>
      <c r="H19" s="86">
        <v>1.8</v>
      </c>
      <c r="I19" s="86">
        <f t="shared" ref="I19:I21" si="6">+G19*H19</f>
        <v>2.7</v>
      </c>
      <c r="J19" s="86"/>
      <c r="K19" s="86">
        <f t="shared" ref="K19:K21" si="7">+I19-J19</f>
        <v>2.7</v>
      </c>
      <c r="L19" s="87">
        <v>1</v>
      </c>
      <c r="M19" s="86">
        <f>+K19*L19</f>
        <v>2.7</v>
      </c>
      <c r="N19" s="86"/>
      <c r="O19" s="121">
        <v>0</v>
      </c>
    </row>
    <row r="20" spans="2:28" s="83" customFormat="1" ht="17.45" customHeight="1" x14ac:dyDescent="0.25">
      <c r="B20" s="822">
        <v>2</v>
      </c>
      <c r="C20" s="823"/>
      <c r="D20" s="823"/>
      <c r="E20" s="823"/>
      <c r="F20" s="823"/>
      <c r="G20" s="86">
        <v>0.75</v>
      </c>
      <c r="H20" s="86">
        <v>1.8</v>
      </c>
      <c r="I20" s="86">
        <f t="shared" si="6"/>
        <v>1.35</v>
      </c>
      <c r="J20" s="86"/>
      <c r="K20" s="86">
        <f t="shared" si="7"/>
        <v>1.35</v>
      </c>
      <c r="L20" s="87">
        <v>1</v>
      </c>
      <c r="M20" s="86">
        <f>+K20*L20</f>
        <v>1.35</v>
      </c>
      <c r="N20" s="86"/>
      <c r="O20" s="121"/>
    </row>
    <row r="21" spans="2:28" s="83" customFormat="1" ht="17.45" customHeight="1" x14ac:dyDescent="0.25">
      <c r="B21" s="822">
        <v>3</v>
      </c>
      <c r="C21" s="823"/>
      <c r="D21" s="823"/>
      <c r="E21" s="823"/>
      <c r="F21" s="823"/>
      <c r="G21" s="86">
        <v>0.75</v>
      </c>
      <c r="H21" s="86">
        <v>1.8</v>
      </c>
      <c r="I21" s="86">
        <f t="shared" si="6"/>
        <v>1.35</v>
      </c>
      <c r="J21" s="86"/>
      <c r="K21" s="86">
        <f t="shared" si="7"/>
        <v>1.35</v>
      </c>
      <c r="L21" s="87">
        <v>1</v>
      </c>
      <c r="M21" s="86">
        <f t="shared" ref="M21" si="8">+K21*L21</f>
        <v>1.35</v>
      </c>
      <c r="N21" s="86"/>
      <c r="O21" s="121"/>
    </row>
    <row r="22" spans="2:28" s="83" customFormat="1" ht="17.45" customHeight="1" x14ac:dyDescent="0.25">
      <c r="B22" s="822">
        <v>4</v>
      </c>
      <c r="C22" s="823"/>
      <c r="D22" s="823"/>
      <c r="E22" s="823"/>
      <c r="F22" s="823"/>
      <c r="G22" s="86">
        <v>1.5</v>
      </c>
      <c r="H22" s="86">
        <v>1.8</v>
      </c>
      <c r="I22" s="86">
        <f>+G22*H22</f>
        <v>2.7</v>
      </c>
      <c r="J22" s="86">
        <f>1*1.8</f>
        <v>1.8</v>
      </c>
      <c r="K22" s="86">
        <f>+I22-J22</f>
        <v>0.90000000000000013</v>
      </c>
      <c r="L22" s="87">
        <v>1</v>
      </c>
      <c r="M22" s="86">
        <f>+K22*L22</f>
        <v>0.90000000000000013</v>
      </c>
      <c r="N22" s="86"/>
      <c r="O22" s="121"/>
    </row>
    <row r="23" spans="2:28" s="83" customFormat="1" ht="17.45" customHeight="1" thickBot="1" x14ac:dyDescent="0.3">
      <c r="B23" s="829"/>
      <c r="C23" s="830"/>
      <c r="D23" s="830"/>
      <c r="E23" s="830"/>
      <c r="F23" s="830"/>
      <c r="G23" s="84"/>
      <c r="H23" s="84"/>
      <c r="I23" s="84"/>
      <c r="J23" s="84"/>
      <c r="K23" s="84"/>
      <c r="L23" s="85"/>
      <c r="M23" s="84"/>
      <c r="N23" s="84"/>
      <c r="O23" s="122"/>
    </row>
    <row r="24" spans="2:28" s="83" customFormat="1" ht="17.45" customHeight="1" thickBot="1" x14ac:dyDescent="0.3">
      <c r="B24" s="831" t="s">
        <v>39</v>
      </c>
      <c r="C24" s="832"/>
      <c r="D24" s="832"/>
      <c r="E24" s="832"/>
      <c r="F24" s="832"/>
      <c r="G24" s="832"/>
      <c r="H24" s="832"/>
      <c r="I24" s="832"/>
      <c r="J24" s="832"/>
      <c r="K24" s="832"/>
      <c r="L24" s="832"/>
      <c r="M24" s="123">
        <f>SUM(M19:M23)</f>
        <v>6.3000000000000007</v>
      </c>
      <c r="N24" s="123">
        <f>SUM(N19:N23)</f>
        <v>0</v>
      </c>
      <c r="O24" s="124">
        <f>SUM(O19:O23)</f>
        <v>0</v>
      </c>
    </row>
    <row r="25" spans="2:28" s="88" customFormat="1" ht="30" customHeight="1" x14ac:dyDescent="0.25">
      <c r="B25" s="793"/>
      <c r="C25" s="793"/>
      <c r="D25" s="9"/>
      <c r="E25" s="9"/>
      <c r="F25" s="9"/>
      <c r="G25" s="9"/>
      <c r="H25" s="9"/>
      <c r="I25" s="9"/>
      <c r="J25" s="9"/>
      <c r="K25" s="9"/>
      <c r="L25" s="9"/>
      <c r="M25" s="9"/>
      <c r="N25" s="9"/>
      <c r="O25" s="9"/>
      <c r="T25" s="9"/>
      <c r="U25" s="9"/>
    </row>
    <row r="26" spans="2:28" s="89" customFormat="1" ht="20.100000000000001" customHeight="1" x14ac:dyDescent="0.25">
      <c r="B26" s="746" t="s">
        <v>334</v>
      </c>
      <c r="C26" s="746"/>
      <c r="D26" s="746"/>
      <c r="E26" s="746"/>
      <c r="F26" s="746"/>
      <c r="G26" s="746"/>
      <c r="H26" s="746"/>
      <c r="I26" s="746"/>
      <c r="J26" s="746"/>
      <c r="K26" s="746"/>
      <c r="L26" s="746"/>
      <c r="V26" s="90"/>
    </row>
    <row r="27" spans="2:28" s="89" customFormat="1" ht="37.5" customHeight="1" x14ac:dyDescent="0.25">
      <c r="B27" s="31" t="s">
        <v>247</v>
      </c>
      <c r="D27" s="828" t="s">
        <v>857</v>
      </c>
      <c r="E27" s="828"/>
      <c r="F27" s="828"/>
      <c r="G27" s="773" t="s">
        <v>858</v>
      </c>
      <c r="H27" s="773"/>
      <c r="I27" s="773"/>
      <c r="J27" s="773"/>
      <c r="K27" s="773"/>
      <c r="L27" s="773"/>
      <c r="M27" s="773"/>
      <c r="N27" s="194" t="s">
        <v>222</v>
      </c>
      <c r="O27" s="296">
        <f>M16</f>
        <v>126.94</v>
      </c>
      <c r="Q27" s="193"/>
      <c r="R27" s="195"/>
      <c r="U27" s="193"/>
      <c r="X27" s="194"/>
      <c r="Y27" s="221"/>
      <c r="AA27" s="194"/>
      <c r="AB27" s="199"/>
    </row>
    <row r="28" spans="2:28" s="89" customFormat="1" ht="37.5" customHeight="1" x14ac:dyDescent="0.25">
      <c r="B28" s="31" t="s">
        <v>218</v>
      </c>
      <c r="D28" s="828">
        <v>100155</v>
      </c>
      <c r="E28" s="828"/>
      <c r="F28" s="828"/>
      <c r="G28" s="773" t="s">
        <v>893</v>
      </c>
      <c r="H28" s="773"/>
      <c r="I28" s="773"/>
      <c r="J28" s="773"/>
      <c r="K28" s="773"/>
      <c r="L28" s="773"/>
      <c r="M28" s="773"/>
      <c r="N28" s="194" t="s">
        <v>222</v>
      </c>
      <c r="O28" s="296">
        <f>+M24</f>
        <v>6.3000000000000007</v>
      </c>
      <c r="Q28" s="193"/>
      <c r="R28" s="195"/>
      <c r="U28" s="193"/>
      <c r="X28" s="194"/>
      <c r="Y28" s="221"/>
      <c r="AA28" s="194"/>
      <c r="AB28" s="199"/>
    </row>
    <row r="29" spans="2:28" ht="9.9499999999999993" customHeight="1" x14ac:dyDescent="0.25"/>
    <row r="30" spans="2:28" ht="9.9499999999999993" customHeight="1" x14ac:dyDescent="0.25"/>
  </sheetData>
  <mergeCells count="26">
    <mergeCell ref="B24:L24"/>
    <mergeCell ref="B17:C17"/>
    <mergeCell ref="D28:F28"/>
    <mergeCell ref="G28:M28"/>
    <mergeCell ref="B19:F19"/>
    <mergeCell ref="B20:F20"/>
    <mergeCell ref="B21:F21"/>
    <mergeCell ref="B22:F22"/>
    <mergeCell ref="B23:F23"/>
    <mergeCell ref="B25:C25"/>
    <mergeCell ref="B26:L26"/>
    <mergeCell ref="D27:F27"/>
    <mergeCell ref="G27:M27"/>
    <mergeCell ref="F18:J18"/>
    <mergeCell ref="L18:O18"/>
    <mergeCell ref="B1:P2"/>
    <mergeCell ref="B9:F9"/>
    <mergeCell ref="F10:J10"/>
    <mergeCell ref="L10:O10"/>
    <mergeCell ref="B11:F11"/>
    <mergeCell ref="D4:M4"/>
    <mergeCell ref="B12:F12"/>
    <mergeCell ref="B15:F15"/>
    <mergeCell ref="B16:L16"/>
    <mergeCell ref="B13:F13"/>
    <mergeCell ref="B14:F14"/>
  </mergeCells>
  <printOptions horizontalCentered="1"/>
  <pageMargins left="0.51181102362204722" right="0.51181102362204722" top="0.78740157480314965" bottom="0.78740157480314965" header="0.31496062992125984" footer="0.31496062992125984"/>
  <pageSetup paperSize="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1B430-F4B4-4B8B-81E2-DBB7B1D0785C}">
  <dimension ref="A1:AD21"/>
  <sheetViews>
    <sheetView showGridLines="0" view="pageBreakPreview" zoomScaleNormal="70" zoomScaleSheetLayoutView="100" workbookViewId="0">
      <selection activeCell="Q14" sqref="Q14:Q15"/>
    </sheetView>
  </sheetViews>
  <sheetFormatPr defaultRowHeight="12.75" x14ac:dyDescent="0.25"/>
  <cols>
    <col min="1" max="1" width="1.7109375" style="30" customWidth="1"/>
    <col min="2" max="2" width="8.85546875" style="30" customWidth="1"/>
    <col min="3" max="3" width="11.140625" style="30" customWidth="1"/>
    <col min="4" max="11" width="3.7109375" style="30" customWidth="1"/>
    <col min="12" max="12" width="5.28515625" style="30" customWidth="1"/>
    <col min="13" max="14" width="3.7109375" style="30" customWidth="1"/>
    <col min="15" max="15" width="16.85546875" style="31" customWidth="1"/>
    <col min="16" max="17" width="10.28515625" style="30" customWidth="1"/>
    <col min="18" max="18" width="10.7109375" style="30" customWidth="1"/>
    <col min="19" max="19" width="9.85546875" style="30" customWidth="1"/>
    <col min="20" max="20" width="10.7109375" style="139" customWidth="1"/>
    <col min="21" max="21" width="7.5703125" style="30" customWidth="1"/>
    <col min="22" max="22" width="8.85546875" style="30" customWidth="1"/>
    <col min="23" max="23" width="10.28515625" style="30" customWidth="1"/>
    <col min="24" max="25" width="10.7109375" style="30" customWidth="1"/>
    <col min="26" max="26" width="1.7109375" style="30" customWidth="1"/>
    <col min="27" max="16384" width="9.140625" style="30"/>
  </cols>
  <sheetData>
    <row r="1" spans="1:30" s="11" customFormat="1" ht="20.100000000000001" customHeight="1" x14ac:dyDescent="0.25">
      <c r="A1" s="69"/>
      <c r="B1" s="569" t="s">
        <v>133</v>
      </c>
      <c r="C1" s="569"/>
      <c r="D1" s="569"/>
      <c r="E1" s="569"/>
      <c r="F1" s="569"/>
      <c r="G1" s="569"/>
      <c r="H1" s="569"/>
      <c r="I1" s="569"/>
      <c r="J1" s="569"/>
      <c r="K1" s="569"/>
      <c r="L1" s="569"/>
      <c r="M1" s="569"/>
      <c r="N1" s="569"/>
      <c r="O1" s="569"/>
      <c r="P1" s="569"/>
      <c r="Q1" s="569"/>
      <c r="R1" s="569"/>
      <c r="S1" s="569"/>
      <c r="T1" s="569"/>
      <c r="U1" s="569"/>
      <c r="V1" s="569"/>
      <c r="W1" s="569"/>
      <c r="X1" s="569"/>
      <c r="Y1" s="569"/>
      <c r="Z1" s="69"/>
      <c r="AA1" s="69"/>
      <c r="AB1" s="69"/>
      <c r="AC1" s="69"/>
      <c r="AD1" s="69"/>
    </row>
    <row r="2" spans="1:30" s="11" customFormat="1" ht="20.100000000000001" customHeight="1" x14ac:dyDescent="0.25">
      <c r="A2" s="69"/>
      <c r="B2" s="569"/>
      <c r="C2" s="569"/>
      <c r="D2" s="569"/>
      <c r="E2" s="569"/>
      <c r="F2" s="569"/>
      <c r="G2" s="569"/>
      <c r="H2" s="569"/>
      <c r="I2" s="569"/>
      <c r="J2" s="569"/>
      <c r="K2" s="569"/>
      <c r="L2" s="569"/>
      <c r="M2" s="569"/>
      <c r="N2" s="569"/>
      <c r="O2" s="569"/>
      <c r="P2" s="569"/>
      <c r="Q2" s="569"/>
      <c r="R2" s="569"/>
      <c r="S2" s="569"/>
      <c r="T2" s="569"/>
      <c r="U2" s="569"/>
      <c r="V2" s="569"/>
      <c r="W2" s="569"/>
      <c r="X2" s="569"/>
      <c r="Y2" s="569"/>
      <c r="Z2" s="69"/>
      <c r="AA2" s="69"/>
      <c r="AB2" s="69"/>
      <c r="AC2" s="69"/>
      <c r="AD2" s="69"/>
    </row>
    <row r="3" spans="1:30" s="11" customFormat="1" ht="20.100000000000001" customHeight="1" x14ac:dyDescent="0.25">
      <c r="A3" s="69"/>
      <c r="B3" s="69"/>
      <c r="C3" s="69"/>
      <c r="D3" s="69"/>
      <c r="E3" s="69"/>
      <c r="F3" s="69"/>
      <c r="G3" s="69"/>
      <c r="H3" s="69"/>
      <c r="I3" s="69"/>
      <c r="J3" s="69"/>
      <c r="K3" s="69"/>
      <c r="L3" s="69"/>
      <c r="M3" s="69"/>
      <c r="N3" s="69"/>
      <c r="O3" s="69"/>
      <c r="P3" s="69"/>
      <c r="Q3" s="69"/>
      <c r="R3" s="69"/>
      <c r="S3" s="69"/>
      <c r="T3" s="181"/>
      <c r="U3" s="69"/>
      <c r="V3" s="69"/>
      <c r="W3" s="69"/>
      <c r="X3" s="69"/>
      <c r="Y3" s="69"/>
      <c r="Z3" s="69"/>
      <c r="AA3" s="69"/>
      <c r="AB3" s="69"/>
      <c r="AC3" s="69"/>
      <c r="AD3" s="69"/>
    </row>
    <row r="4" spans="1:30"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674"/>
      <c r="W4" s="3" t="s">
        <v>96</v>
      </c>
      <c r="X4" s="4" t="str">
        <f>+'DADOS DA OBRA'!$N$22</f>
        <v>04/11/2024</v>
      </c>
      <c r="AA4" s="32"/>
      <c r="AB4" s="32"/>
      <c r="AC4" s="33"/>
      <c r="AD4" s="33"/>
    </row>
    <row r="5" spans="1:30" s="5" customFormat="1" ht="20.100000000000001" customHeight="1" x14ac:dyDescent="0.25">
      <c r="B5" s="1" t="s">
        <v>18</v>
      </c>
      <c r="C5" s="2" t="str">
        <f>+""&amp;'DADOS DA OBRA'!$B$16&amp;", "&amp;'DADOS DA OBRA'!$B$19&amp;", "&amp;'DADOS DA OBRA'!$J$19&amp;", "&amp;'DADOS DA OBRA'!$P$19</f>
        <v>RUAS DIVERSAS, DIVERSOS, MATRINCHÃ, GO</v>
      </c>
      <c r="D5" s="1"/>
      <c r="E5" s="1"/>
      <c r="F5" s="1"/>
      <c r="G5" s="1"/>
      <c r="H5" s="1"/>
      <c r="I5" s="1"/>
      <c r="J5" s="1"/>
      <c r="K5" s="1"/>
      <c r="T5" s="50"/>
      <c r="W5" s="3" t="s">
        <v>17</v>
      </c>
      <c r="X5" s="4" t="str">
        <f>'DADOS DA OBRA'!$N$25</f>
        <v>00</v>
      </c>
    </row>
    <row r="6" spans="1:30" s="5" customFormat="1" ht="20.100000000000001" customHeight="1" x14ac:dyDescent="0.25">
      <c r="D6" s="1"/>
      <c r="E6" s="1"/>
      <c r="F6" s="1"/>
      <c r="G6" s="1"/>
      <c r="H6" s="1"/>
      <c r="I6" s="1"/>
      <c r="J6" s="1"/>
      <c r="K6" s="1"/>
      <c r="T6" s="50"/>
    </row>
    <row r="7" spans="1:30" s="5" customFormat="1" ht="20.100000000000001" customHeight="1" x14ac:dyDescent="0.25">
      <c r="B7" s="1" t="s">
        <v>97</v>
      </c>
      <c r="C7" s="39" t="s">
        <v>56</v>
      </c>
      <c r="D7" s="1"/>
      <c r="E7" s="1"/>
      <c r="F7" s="1"/>
      <c r="G7" s="1"/>
      <c r="H7" s="1"/>
      <c r="I7" s="1"/>
      <c r="J7" s="1"/>
      <c r="K7" s="1"/>
      <c r="T7" s="50"/>
      <c r="W7" s="3" t="s">
        <v>18</v>
      </c>
      <c r="X7" s="64" t="s">
        <v>239</v>
      </c>
      <c r="AA7" s="3"/>
    </row>
    <row r="8" spans="1:30" s="8" customFormat="1" ht="20.100000000000001" customHeight="1" thickBot="1" x14ac:dyDescent="0.3">
      <c r="A8" s="67"/>
      <c r="B8" s="52"/>
      <c r="C8" s="52"/>
      <c r="D8" s="52"/>
      <c r="E8" s="52"/>
      <c r="F8" s="52"/>
      <c r="G8" s="52"/>
      <c r="H8" s="52"/>
      <c r="I8" s="52"/>
      <c r="J8" s="52"/>
      <c r="K8" s="52"/>
      <c r="L8" s="53"/>
      <c r="M8" s="9"/>
      <c r="N8" s="9"/>
      <c r="O8" s="9"/>
      <c r="P8" s="10"/>
      <c r="Q8" s="10"/>
      <c r="R8" s="9"/>
      <c r="S8" s="67"/>
      <c r="T8" s="164"/>
      <c r="U8" s="67"/>
      <c r="V8" s="67"/>
      <c r="W8" s="67"/>
      <c r="X8" s="67"/>
      <c r="Y8" s="67"/>
      <c r="Z8" s="67"/>
      <c r="AA8" s="67"/>
      <c r="AB8" s="67"/>
      <c r="AC8" s="67"/>
      <c r="AD8" s="67"/>
    </row>
    <row r="9" spans="1:30" s="8" customFormat="1" ht="20.100000000000001" customHeight="1" x14ac:dyDescent="0.25">
      <c r="A9" s="67"/>
      <c r="B9" s="839" t="s">
        <v>191</v>
      </c>
      <c r="C9" s="840"/>
      <c r="D9" s="840"/>
      <c r="E9" s="840"/>
      <c r="F9" s="840"/>
      <c r="G9" s="840"/>
      <c r="H9" s="840"/>
      <c r="I9" s="840"/>
      <c r="J9" s="840"/>
      <c r="K9" s="840"/>
      <c r="L9" s="841"/>
      <c r="M9" s="841"/>
      <c r="N9" s="841"/>
      <c r="O9" s="841"/>
      <c r="P9" s="845" t="s">
        <v>192</v>
      </c>
      <c r="Q9" s="845"/>
      <c r="R9" s="845" t="s">
        <v>78</v>
      </c>
      <c r="S9" s="845" t="s">
        <v>193</v>
      </c>
      <c r="T9" s="845" t="s">
        <v>194</v>
      </c>
      <c r="U9" s="845"/>
      <c r="V9" s="845"/>
      <c r="W9" s="845" t="s">
        <v>195</v>
      </c>
      <c r="X9" s="845" t="s">
        <v>196</v>
      </c>
      <c r="Y9" s="847" t="s">
        <v>197</v>
      </c>
      <c r="Z9" s="67"/>
      <c r="AA9" s="67"/>
      <c r="AB9" s="67"/>
      <c r="AC9" s="67"/>
      <c r="AD9" s="67"/>
    </row>
    <row r="10" spans="1:30" s="8" customFormat="1" ht="20.100000000000001" customHeight="1" thickBot="1" x14ac:dyDescent="0.3">
      <c r="A10" s="67"/>
      <c r="B10" s="842"/>
      <c r="C10" s="843"/>
      <c r="D10" s="843"/>
      <c r="E10" s="843"/>
      <c r="F10" s="843"/>
      <c r="G10" s="843"/>
      <c r="H10" s="843"/>
      <c r="I10" s="843"/>
      <c r="J10" s="843"/>
      <c r="K10" s="843"/>
      <c r="L10" s="844"/>
      <c r="M10" s="844"/>
      <c r="N10" s="844"/>
      <c r="O10" s="844"/>
      <c r="P10" s="147" t="s">
        <v>198</v>
      </c>
      <c r="Q10" s="147" t="s">
        <v>199</v>
      </c>
      <c r="R10" s="846"/>
      <c r="S10" s="846"/>
      <c r="T10" s="147" t="s">
        <v>77</v>
      </c>
      <c r="U10" s="147" t="s">
        <v>200</v>
      </c>
      <c r="V10" s="147" t="s">
        <v>193</v>
      </c>
      <c r="W10" s="846"/>
      <c r="X10" s="846"/>
      <c r="Y10" s="848"/>
      <c r="Z10" s="67"/>
      <c r="AA10" s="67"/>
      <c r="AB10" s="67"/>
      <c r="AC10" s="67"/>
      <c r="AD10" s="67"/>
    </row>
    <row r="11" spans="1:30" s="8" customFormat="1" ht="24.95" customHeight="1" x14ac:dyDescent="0.25">
      <c r="B11" s="849" t="s">
        <v>201</v>
      </c>
      <c r="C11" s="850"/>
      <c r="D11" s="850"/>
      <c r="E11" s="850"/>
      <c r="F11" s="850"/>
      <c r="G11" s="850"/>
      <c r="H11" s="850"/>
      <c r="I11" s="850"/>
      <c r="J11" s="850"/>
      <c r="K11" s="850"/>
      <c r="L11" s="851"/>
      <c r="M11" s="851"/>
      <c r="N11" s="851"/>
      <c r="O11" s="851"/>
      <c r="P11" s="128"/>
      <c r="Q11" s="128"/>
      <c r="R11" s="128"/>
      <c r="S11" s="129"/>
      <c r="T11" s="128"/>
      <c r="U11" s="128"/>
      <c r="V11" s="128"/>
      <c r="W11" s="128"/>
      <c r="X11" s="129"/>
      <c r="Y11" s="130"/>
    </row>
    <row r="12" spans="1:30" s="8" customFormat="1" ht="24.95" customHeight="1" x14ac:dyDescent="0.25">
      <c r="B12" s="216" t="s">
        <v>218</v>
      </c>
      <c r="C12" s="218" t="s">
        <v>676</v>
      </c>
      <c r="D12" s="217" t="s">
        <v>678</v>
      </c>
      <c r="E12" s="215"/>
      <c r="F12" s="215"/>
      <c r="G12" s="215"/>
      <c r="H12" s="215"/>
      <c r="I12" s="215"/>
      <c r="J12" s="215"/>
      <c r="K12" s="215"/>
      <c r="L12" s="215"/>
      <c r="M12" s="215"/>
      <c r="N12" s="215"/>
      <c r="O12" s="214"/>
      <c r="P12" s="128">
        <v>4</v>
      </c>
      <c r="Q12" s="128">
        <v>1.85</v>
      </c>
      <c r="R12" s="128">
        <v>1</v>
      </c>
      <c r="S12" s="129">
        <f>+P12*Q12*R12</f>
        <v>7.4</v>
      </c>
      <c r="T12" s="128"/>
      <c r="U12" s="128"/>
      <c r="V12" s="128"/>
      <c r="W12" s="129">
        <f>+S12*3</f>
        <v>22.200000000000003</v>
      </c>
      <c r="X12" s="129">
        <v>0</v>
      </c>
      <c r="Y12" s="130">
        <v>0</v>
      </c>
    </row>
    <row r="13" spans="1:30" s="8" customFormat="1" ht="24.95" customHeight="1" x14ac:dyDescent="0.25">
      <c r="B13" s="216" t="s">
        <v>218</v>
      </c>
      <c r="C13" s="218" t="s">
        <v>677</v>
      </c>
      <c r="D13" s="217" t="s">
        <v>679</v>
      </c>
      <c r="E13" s="215"/>
      <c r="F13" s="215"/>
      <c r="G13" s="215"/>
      <c r="H13" s="215"/>
      <c r="I13" s="215"/>
      <c r="J13" s="215"/>
      <c r="K13" s="215"/>
      <c r="L13" s="215"/>
      <c r="M13" s="215"/>
      <c r="N13" s="215"/>
      <c r="O13" s="214"/>
      <c r="P13" s="128">
        <v>1.2</v>
      </c>
      <c r="Q13" s="128">
        <v>1.85</v>
      </c>
      <c r="R13" s="129">
        <v>1</v>
      </c>
      <c r="S13" s="128">
        <f>+P13*Q13*R13</f>
        <v>2.2200000000000002</v>
      </c>
      <c r="T13" s="128"/>
      <c r="U13" s="128"/>
      <c r="V13" s="128"/>
      <c r="W13" s="129">
        <f>+S13*3</f>
        <v>6.66</v>
      </c>
      <c r="X13" s="129">
        <v>0</v>
      </c>
      <c r="Y13" s="130">
        <v>0</v>
      </c>
    </row>
    <row r="14" spans="1:30" s="8" customFormat="1" ht="24.95" customHeight="1" x14ac:dyDescent="0.25">
      <c r="B14" s="216" t="s">
        <v>218</v>
      </c>
      <c r="C14" s="218">
        <v>180505</v>
      </c>
      <c r="D14" s="217" t="s">
        <v>894</v>
      </c>
      <c r="E14" s="215"/>
      <c r="F14" s="215"/>
      <c r="G14" s="215"/>
      <c r="H14" s="215"/>
      <c r="I14" s="215"/>
      <c r="J14" s="215"/>
      <c r="K14" s="215"/>
      <c r="L14" s="215"/>
      <c r="M14" s="215"/>
      <c r="N14" s="215"/>
      <c r="O14" s="214"/>
      <c r="P14" s="128">
        <v>1</v>
      </c>
      <c r="Q14" s="128">
        <v>1.8</v>
      </c>
      <c r="R14" s="129">
        <v>1</v>
      </c>
      <c r="S14" s="128">
        <f>+P14*Q14*R14</f>
        <v>1.8</v>
      </c>
      <c r="T14" s="128"/>
      <c r="U14" s="128"/>
      <c r="V14" s="128"/>
      <c r="W14" s="129">
        <f>+S14*3</f>
        <v>5.4</v>
      </c>
      <c r="X14" s="129">
        <v>0</v>
      </c>
      <c r="Y14" s="130">
        <v>0</v>
      </c>
    </row>
    <row r="15" spans="1:30" s="8" customFormat="1" ht="24.95" customHeight="1" x14ac:dyDescent="0.25">
      <c r="B15" s="836"/>
      <c r="C15" s="837"/>
      <c r="D15" s="837"/>
      <c r="E15" s="837"/>
      <c r="F15" s="837"/>
      <c r="G15" s="837"/>
      <c r="H15" s="837"/>
      <c r="I15" s="837"/>
      <c r="J15" s="837"/>
      <c r="K15" s="837"/>
      <c r="L15" s="838"/>
      <c r="M15" s="838"/>
      <c r="N15" s="838"/>
      <c r="O15" s="838"/>
      <c r="P15" s="140"/>
      <c r="Q15" s="140"/>
      <c r="R15" s="140"/>
      <c r="S15" s="134"/>
      <c r="T15" s="141"/>
      <c r="U15" s="140"/>
      <c r="V15" s="142"/>
      <c r="W15" s="131"/>
      <c r="X15" s="132"/>
      <c r="Y15" s="133"/>
    </row>
    <row r="16" spans="1:30" s="66" customFormat="1" ht="24.95" customHeight="1" thickBot="1" x14ac:dyDescent="0.3">
      <c r="B16" s="833"/>
      <c r="C16" s="834"/>
      <c r="D16" s="834"/>
      <c r="E16" s="834"/>
      <c r="F16" s="834"/>
      <c r="G16" s="834"/>
      <c r="H16" s="834"/>
      <c r="I16" s="834"/>
      <c r="J16" s="834"/>
      <c r="K16" s="834"/>
      <c r="L16" s="835"/>
      <c r="M16" s="835"/>
      <c r="N16" s="835"/>
      <c r="O16" s="835"/>
      <c r="P16" s="136"/>
      <c r="Q16" s="136"/>
      <c r="R16" s="136"/>
      <c r="S16" s="136"/>
      <c r="T16" s="136"/>
      <c r="U16" s="136"/>
      <c r="V16" s="136"/>
      <c r="W16" s="137">
        <f>SUM(W11:W15)</f>
        <v>34.260000000000005</v>
      </c>
      <c r="X16" s="137">
        <f>SUM(X11:X15)</f>
        <v>0</v>
      </c>
      <c r="Y16" s="138">
        <f>SUM(Y11:Y15)</f>
        <v>0</v>
      </c>
    </row>
    <row r="17" spans="2:28" s="88" customFormat="1" ht="30" customHeight="1" x14ac:dyDescent="0.25">
      <c r="B17" s="793"/>
      <c r="C17" s="793"/>
      <c r="D17" s="9"/>
      <c r="E17" s="9"/>
      <c r="F17" s="9"/>
      <c r="G17" s="9"/>
      <c r="H17" s="9"/>
      <c r="I17" s="9"/>
      <c r="J17" s="9"/>
      <c r="K17" s="9"/>
      <c r="L17" s="9"/>
      <c r="M17" s="9"/>
      <c r="N17" s="9"/>
      <c r="O17" s="9"/>
      <c r="T17" s="9"/>
      <c r="U17" s="9"/>
    </row>
    <row r="18" spans="2:28" s="89" customFormat="1" ht="20.100000000000001" customHeight="1" x14ac:dyDescent="0.25">
      <c r="B18" s="746" t="s">
        <v>334</v>
      </c>
      <c r="C18" s="746"/>
      <c r="D18" s="746"/>
      <c r="E18" s="746"/>
      <c r="F18" s="746"/>
      <c r="G18" s="746"/>
      <c r="H18" s="746"/>
      <c r="I18" s="746"/>
      <c r="J18" s="746"/>
      <c r="K18" s="746"/>
      <c r="L18" s="746"/>
      <c r="V18" s="90"/>
    </row>
    <row r="19" spans="2:28" s="89" customFormat="1" ht="20.100000000000001" customHeight="1" x14ac:dyDescent="0.25">
      <c r="B19" s="31" t="s">
        <v>218</v>
      </c>
      <c r="C19" s="200">
        <v>261602</v>
      </c>
      <c r="D19" s="31" t="s">
        <v>335</v>
      </c>
      <c r="F19" s="31"/>
      <c r="G19" s="31"/>
      <c r="H19" s="31"/>
      <c r="I19" s="31"/>
      <c r="J19" s="31"/>
      <c r="Q19" s="193"/>
      <c r="R19" s="195"/>
      <c r="U19" s="193"/>
      <c r="X19" s="194" t="s">
        <v>222</v>
      </c>
      <c r="Y19" s="221">
        <f>+W16</f>
        <v>34.260000000000005</v>
      </c>
      <c r="AA19" s="194"/>
      <c r="AB19" s="199"/>
    </row>
    <row r="20" spans="2:28" s="89" customFormat="1" ht="20.100000000000001" customHeight="1" x14ac:dyDescent="0.25">
      <c r="B20" s="31"/>
      <c r="C20" s="200"/>
      <c r="D20" s="31"/>
      <c r="F20" s="31"/>
      <c r="G20" s="31"/>
      <c r="H20" s="31"/>
      <c r="I20" s="31"/>
      <c r="J20" s="31"/>
      <c r="Q20" s="194"/>
      <c r="R20" s="195"/>
      <c r="U20" s="193"/>
      <c r="X20" s="194"/>
      <c r="AA20" s="194"/>
      <c r="AB20" s="199"/>
    </row>
    <row r="21" spans="2:28" s="89" customFormat="1" ht="20.100000000000001" customHeight="1" x14ac:dyDescent="0.25">
      <c r="B21" s="31"/>
      <c r="C21" s="200"/>
      <c r="D21" s="31"/>
      <c r="F21" s="31"/>
      <c r="G21" s="31"/>
      <c r="H21" s="31"/>
      <c r="I21" s="31"/>
      <c r="J21" s="31"/>
      <c r="Q21" s="194"/>
      <c r="R21" s="195"/>
      <c r="U21" s="193"/>
      <c r="X21" s="194"/>
      <c r="AA21" s="194"/>
      <c r="AB21" s="199"/>
    </row>
  </sheetData>
  <mergeCells count="15">
    <mergeCell ref="B11:O11"/>
    <mergeCell ref="B15:O15"/>
    <mergeCell ref="B16:O16"/>
    <mergeCell ref="B17:C17"/>
    <mergeCell ref="B18:L18"/>
    <mergeCell ref="B1:Y2"/>
    <mergeCell ref="B9:O10"/>
    <mergeCell ref="P9:Q9"/>
    <mergeCell ref="R9:R10"/>
    <mergeCell ref="S9:S10"/>
    <mergeCell ref="T9:V9"/>
    <mergeCell ref="W9:W10"/>
    <mergeCell ref="X9:X10"/>
    <mergeCell ref="Y9:Y10"/>
    <mergeCell ref="C4:V4"/>
  </mergeCells>
  <printOptions horizontalCentered="1"/>
  <pageMargins left="0.51181102362204722" right="0.51181102362204722" top="0.78740157480314965" bottom="0.78740157480314965" header="0.31496062992125984" footer="0.31496062992125984"/>
  <pageSetup paperSize="9" scale="74"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2F01E-E038-42A2-A521-92465B0F3568}">
  <dimension ref="A1:AJ28"/>
  <sheetViews>
    <sheetView showGridLines="0" view="pageBreakPreview" zoomScaleNormal="70" zoomScaleSheetLayoutView="100" workbookViewId="0">
      <selection activeCell="Q14" sqref="Q14:Q15"/>
    </sheetView>
  </sheetViews>
  <sheetFormatPr defaultRowHeight="12.75" x14ac:dyDescent="0.25"/>
  <cols>
    <col min="1" max="1" width="1.7109375" style="30" customWidth="1"/>
    <col min="2" max="2" width="9.140625" style="30" customWidth="1"/>
    <col min="3" max="3" width="8.140625" style="30" customWidth="1"/>
    <col min="4" max="9" width="3.7109375" style="30" customWidth="1"/>
    <col min="10" max="10" width="5.28515625" style="30" customWidth="1"/>
    <col min="11" max="12" width="3.7109375" style="30" customWidth="1"/>
    <col min="13" max="13" width="16" style="31" customWidth="1"/>
    <col min="14" max="15" width="10.7109375" style="30" customWidth="1"/>
    <col min="16" max="16" width="10.85546875" style="30" customWidth="1"/>
    <col min="17" max="23" width="10.7109375" style="30" customWidth="1"/>
    <col min="24" max="24" width="3.5703125" style="159" customWidth="1"/>
    <col min="25" max="25" width="1.7109375" style="30" customWidth="1"/>
    <col min="26" max="16384" width="9.140625" style="30"/>
  </cols>
  <sheetData>
    <row r="1" spans="1:29" s="11" customFormat="1" ht="20.100000000000001" customHeight="1" x14ac:dyDescent="0.25">
      <c r="A1" s="69"/>
      <c r="B1" s="569" t="s">
        <v>133</v>
      </c>
      <c r="C1" s="569"/>
      <c r="D1" s="569"/>
      <c r="E1" s="569"/>
      <c r="F1" s="569"/>
      <c r="G1" s="569"/>
      <c r="H1" s="569"/>
      <c r="I1" s="569"/>
      <c r="J1" s="569"/>
      <c r="K1" s="569"/>
      <c r="L1" s="569"/>
      <c r="M1" s="569"/>
      <c r="N1" s="569"/>
      <c r="O1" s="569"/>
      <c r="P1" s="569"/>
      <c r="Q1" s="569"/>
      <c r="R1" s="569"/>
      <c r="S1" s="569"/>
      <c r="T1" s="569"/>
      <c r="U1" s="569"/>
      <c r="V1" s="569"/>
      <c r="W1" s="569"/>
      <c r="X1" s="569"/>
      <c r="Y1" s="69"/>
      <c r="Z1" s="69"/>
      <c r="AA1" s="69"/>
      <c r="AB1" s="69"/>
      <c r="AC1" s="69"/>
    </row>
    <row r="2" spans="1:29" s="11" customFormat="1" ht="20.100000000000001" customHeight="1" x14ac:dyDescent="0.25">
      <c r="A2" s="69"/>
      <c r="B2" s="569"/>
      <c r="C2" s="569"/>
      <c r="D2" s="569"/>
      <c r="E2" s="569"/>
      <c r="F2" s="569"/>
      <c r="G2" s="569"/>
      <c r="H2" s="569"/>
      <c r="I2" s="569"/>
      <c r="J2" s="569"/>
      <c r="K2" s="569"/>
      <c r="L2" s="569"/>
      <c r="M2" s="569"/>
      <c r="N2" s="569"/>
      <c r="O2" s="569"/>
      <c r="P2" s="569"/>
      <c r="Q2" s="569"/>
      <c r="R2" s="569"/>
      <c r="S2" s="569"/>
      <c r="T2" s="569"/>
      <c r="U2" s="569"/>
      <c r="V2" s="569"/>
      <c r="W2" s="569"/>
      <c r="X2" s="569"/>
      <c r="Y2" s="69"/>
      <c r="Z2" s="69"/>
      <c r="AA2" s="69"/>
      <c r="AB2" s="69"/>
      <c r="AC2" s="69"/>
    </row>
    <row r="3" spans="1:29" s="11" customFormat="1" ht="20.100000000000001" customHeight="1" x14ac:dyDescent="0.25">
      <c r="A3" s="69"/>
      <c r="B3" s="69"/>
      <c r="C3" s="69"/>
      <c r="D3" s="69"/>
      <c r="E3" s="69"/>
      <c r="F3" s="69"/>
      <c r="G3" s="69"/>
      <c r="H3" s="69"/>
      <c r="I3" s="69"/>
      <c r="J3" s="69"/>
      <c r="K3" s="69"/>
      <c r="L3" s="69"/>
      <c r="M3" s="69"/>
      <c r="N3" s="69"/>
      <c r="O3" s="69"/>
      <c r="P3" s="69"/>
      <c r="Q3" s="69"/>
      <c r="R3" s="69"/>
      <c r="S3" s="69"/>
      <c r="T3" s="69"/>
      <c r="U3" s="69"/>
      <c r="V3" s="69"/>
      <c r="W3" s="69"/>
      <c r="X3" s="181"/>
      <c r="Y3" s="69"/>
      <c r="Z3" s="69"/>
      <c r="AA3" s="69"/>
      <c r="AB3" s="69"/>
      <c r="AC3" s="69"/>
    </row>
    <row r="4" spans="1:29"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3" t="s">
        <v>96</v>
      </c>
      <c r="W4" s="4" t="str">
        <f>+'DADOS DA OBRA'!$N$22</f>
        <v>04/11/2024</v>
      </c>
      <c r="X4" s="50"/>
      <c r="Z4" s="32"/>
      <c r="AA4" s="32"/>
      <c r="AB4" s="33"/>
      <c r="AC4" s="33"/>
    </row>
    <row r="5" spans="1:29" s="5" customFormat="1" ht="20.100000000000001" customHeight="1" x14ac:dyDescent="0.25">
      <c r="B5" s="1" t="s">
        <v>18</v>
      </c>
      <c r="C5" s="2" t="str">
        <f>+""&amp;'DADOS DA OBRA'!$B$16&amp;", "&amp;'DADOS DA OBRA'!$B$19&amp;", "&amp;'DADOS DA OBRA'!$J$19&amp;", "&amp;'DADOS DA OBRA'!$P$19</f>
        <v>RUAS DIVERSAS, DIVERSOS, MATRINCHÃ, GO</v>
      </c>
      <c r="D5" s="1"/>
      <c r="E5" s="1"/>
      <c r="F5" s="1"/>
      <c r="G5" s="1"/>
      <c r="H5" s="1"/>
      <c r="I5" s="1"/>
      <c r="V5" s="3" t="s">
        <v>17</v>
      </c>
      <c r="W5" s="4" t="str">
        <f>'DADOS DA OBRA'!$N$25</f>
        <v>00</v>
      </c>
      <c r="X5" s="50"/>
    </row>
    <row r="6" spans="1:29" s="5" customFormat="1" ht="20.100000000000001" customHeight="1" x14ac:dyDescent="0.25">
      <c r="X6" s="50"/>
    </row>
    <row r="7" spans="1:29" s="5" customFormat="1" ht="20.100000000000001" customHeight="1" x14ac:dyDescent="0.25">
      <c r="B7" s="1" t="s">
        <v>97</v>
      </c>
      <c r="C7" s="39" t="s">
        <v>895</v>
      </c>
      <c r="D7" s="1"/>
      <c r="E7" s="1"/>
      <c r="F7" s="1"/>
      <c r="G7" s="1"/>
      <c r="H7" s="1"/>
      <c r="I7" s="1"/>
      <c r="V7" s="3" t="s">
        <v>18</v>
      </c>
      <c r="W7" s="64" t="s">
        <v>239</v>
      </c>
      <c r="X7" s="50"/>
    </row>
    <row r="8" spans="1:29" s="8" customFormat="1" ht="20.100000000000001" customHeight="1" thickBot="1" x14ac:dyDescent="0.3">
      <c r="A8" s="67"/>
      <c r="B8" s="52"/>
      <c r="C8" s="52"/>
      <c r="D8" s="52"/>
      <c r="E8" s="52"/>
      <c r="F8" s="52"/>
      <c r="G8" s="52"/>
      <c r="H8" s="52"/>
      <c r="I8" s="52"/>
      <c r="J8" s="53"/>
      <c r="K8" s="9"/>
      <c r="L8" s="9"/>
      <c r="M8" s="9"/>
      <c r="N8" s="10"/>
      <c r="O8" s="10"/>
      <c r="P8" s="9"/>
      <c r="Q8" s="67"/>
      <c r="R8" s="67"/>
      <c r="S8" s="67"/>
      <c r="T8" s="67"/>
      <c r="U8" s="67"/>
      <c r="V8" s="67"/>
      <c r="W8" s="67"/>
      <c r="X8" s="164"/>
      <c r="Y8" s="67"/>
      <c r="Z8" s="67"/>
      <c r="AA8" s="67"/>
      <c r="AB8" s="67"/>
      <c r="AC8" s="67"/>
    </row>
    <row r="9" spans="1:29" s="8" customFormat="1" ht="26.25" customHeight="1" x14ac:dyDescent="0.25">
      <c r="A9" s="67"/>
      <c r="B9" s="858"/>
      <c r="C9" s="859"/>
      <c r="D9" s="859"/>
      <c r="E9" s="859"/>
      <c r="F9" s="859"/>
      <c r="G9" s="859"/>
      <c r="H9" s="859"/>
      <c r="I9" s="859"/>
      <c r="J9" s="860"/>
      <c r="K9" s="860"/>
      <c r="L9" s="860"/>
      <c r="M9" s="860"/>
      <c r="N9" s="162" t="s">
        <v>896</v>
      </c>
      <c r="O9" s="162"/>
      <c r="P9" s="162"/>
      <c r="Q9" s="162"/>
      <c r="R9" s="162"/>
      <c r="S9" s="162"/>
      <c r="T9" s="162"/>
      <c r="U9" s="162"/>
      <c r="V9" s="162"/>
      <c r="W9" s="151" t="s">
        <v>203</v>
      </c>
      <c r="X9" s="163"/>
      <c r="Y9" s="67"/>
      <c r="Z9" s="67"/>
      <c r="AA9" s="67"/>
      <c r="AB9" s="67"/>
      <c r="AC9" s="67"/>
    </row>
    <row r="10" spans="1:29" s="8" customFormat="1" ht="20.100000000000001" customHeight="1" x14ac:dyDescent="0.25">
      <c r="A10" s="67"/>
      <c r="B10" s="861" t="s">
        <v>204</v>
      </c>
      <c r="C10" s="862"/>
      <c r="D10" s="862"/>
      <c r="E10" s="862"/>
      <c r="F10" s="862"/>
      <c r="G10" s="862"/>
      <c r="H10" s="862"/>
      <c r="I10" s="862"/>
      <c r="J10" s="863"/>
      <c r="K10" s="863"/>
      <c r="L10" s="863"/>
      <c r="M10" s="863"/>
      <c r="N10" s="152">
        <v>1.8</v>
      </c>
      <c r="O10" s="152"/>
      <c r="P10" s="152"/>
      <c r="Q10" s="152"/>
      <c r="R10" s="152"/>
      <c r="S10" s="152"/>
      <c r="T10" s="152"/>
      <c r="U10" s="152"/>
      <c r="V10" s="152"/>
      <c r="W10" s="152"/>
      <c r="X10" s="184" t="s">
        <v>41</v>
      </c>
      <c r="Y10" s="67"/>
      <c r="Z10" s="67"/>
      <c r="AA10" s="67"/>
      <c r="AB10" s="67"/>
      <c r="AC10" s="67"/>
    </row>
    <row r="11" spans="1:29" s="7" customFormat="1" ht="20.100000000000001" customHeight="1" x14ac:dyDescent="0.25">
      <c r="B11" s="861" t="s">
        <v>205</v>
      </c>
      <c r="C11" s="862"/>
      <c r="D11" s="862"/>
      <c r="E11" s="862"/>
      <c r="F11" s="862"/>
      <c r="G11" s="862"/>
      <c r="H11" s="862"/>
      <c r="I11" s="862"/>
      <c r="J11" s="863"/>
      <c r="K11" s="863"/>
      <c r="L11" s="863"/>
      <c r="M11" s="863"/>
      <c r="N11" s="152">
        <v>1.05</v>
      </c>
      <c r="O11" s="152"/>
      <c r="P11" s="152"/>
      <c r="Q11" s="152"/>
      <c r="R11" s="152"/>
      <c r="S11" s="152"/>
      <c r="T11" s="152"/>
      <c r="U11" s="152"/>
      <c r="V11" s="152"/>
      <c r="W11" s="152"/>
      <c r="X11" s="185" t="s">
        <v>41</v>
      </c>
    </row>
    <row r="12" spans="1:29" s="8" customFormat="1" ht="20.100000000000001" customHeight="1" x14ac:dyDescent="0.25">
      <c r="A12" s="67"/>
      <c r="B12" s="861" t="s">
        <v>206</v>
      </c>
      <c r="C12" s="862"/>
      <c r="D12" s="862"/>
      <c r="E12" s="862"/>
      <c r="F12" s="862"/>
      <c r="G12" s="862"/>
      <c r="H12" s="862"/>
      <c r="I12" s="862"/>
      <c r="J12" s="863"/>
      <c r="K12" s="863"/>
      <c r="L12" s="863"/>
      <c r="M12" s="863"/>
      <c r="N12" s="153">
        <f t="shared" ref="N12" si="0">+N10*N11</f>
        <v>1.8900000000000001</v>
      </c>
      <c r="O12" s="153"/>
      <c r="P12" s="153"/>
      <c r="Q12" s="153"/>
      <c r="R12" s="153"/>
      <c r="S12" s="153"/>
      <c r="T12" s="153"/>
      <c r="U12" s="153"/>
      <c r="V12" s="153"/>
      <c r="W12" s="153"/>
      <c r="X12" s="186" t="s">
        <v>19</v>
      </c>
      <c r="Y12" s="67"/>
      <c r="Z12" s="67"/>
      <c r="AA12" s="67"/>
      <c r="AB12" s="67"/>
      <c r="AC12" s="67"/>
    </row>
    <row r="13" spans="1:29" s="8" customFormat="1" ht="20.100000000000001" customHeight="1" x14ac:dyDescent="0.25">
      <c r="A13" s="67"/>
      <c r="B13" s="861" t="s">
        <v>207</v>
      </c>
      <c r="C13" s="862"/>
      <c r="D13" s="862"/>
      <c r="E13" s="862"/>
      <c r="F13" s="862"/>
      <c r="G13" s="862"/>
      <c r="H13" s="862"/>
      <c r="I13" s="862"/>
      <c r="J13" s="863"/>
      <c r="K13" s="863"/>
      <c r="L13" s="863"/>
      <c r="M13" s="863"/>
      <c r="N13" s="152"/>
      <c r="O13" s="152"/>
      <c r="P13" s="152"/>
      <c r="Q13" s="152"/>
      <c r="R13" s="152"/>
      <c r="S13" s="152"/>
      <c r="T13" s="152"/>
      <c r="U13" s="152"/>
      <c r="V13" s="152"/>
      <c r="W13" s="152"/>
      <c r="X13" s="184" t="s">
        <v>19</v>
      </c>
      <c r="Y13" s="67"/>
      <c r="Z13" s="67"/>
      <c r="AA13" s="67"/>
      <c r="AB13" s="67"/>
      <c r="AC13" s="67"/>
    </row>
    <row r="14" spans="1:29" s="8" customFormat="1" ht="20.100000000000001" customHeight="1" x14ac:dyDescent="0.25">
      <c r="A14" s="67"/>
      <c r="B14" s="861" t="s">
        <v>208</v>
      </c>
      <c r="C14" s="862"/>
      <c r="D14" s="862"/>
      <c r="E14" s="862"/>
      <c r="F14" s="862"/>
      <c r="G14" s="862"/>
      <c r="H14" s="862"/>
      <c r="I14" s="862"/>
      <c r="J14" s="863"/>
      <c r="K14" s="863"/>
      <c r="L14" s="863"/>
      <c r="M14" s="863"/>
      <c r="N14" s="153"/>
      <c r="O14" s="153"/>
      <c r="P14" s="153"/>
      <c r="Q14" s="153"/>
      <c r="R14" s="153"/>
      <c r="S14" s="153"/>
      <c r="T14" s="153"/>
      <c r="U14" s="153"/>
      <c r="V14" s="153"/>
      <c r="W14" s="153"/>
      <c r="X14" s="186" t="s">
        <v>19</v>
      </c>
      <c r="Y14" s="67"/>
      <c r="Z14" s="67"/>
      <c r="AA14" s="67"/>
      <c r="AB14" s="67"/>
      <c r="AC14" s="67"/>
    </row>
    <row r="15" spans="1:29" s="8" customFormat="1" ht="20.100000000000001" customHeight="1" thickBot="1" x14ac:dyDescent="0.3">
      <c r="A15" s="67"/>
      <c r="B15" s="864" t="s">
        <v>209</v>
      </c>
      <c r="C15" s="865"/>
      <c r="D15" s="865"/>
      <c r="E15" s="865"/>
      <c r="F15" s="865"/>
      <c r="G15" s="865"/>
      <c r="H15" s="865"/>
      <c r="I15" s="865"/>
      <c r="J15" s="866"/>
      <c r="K15" s="866"/>
      <c r="L15" s="866"/>
      <c r="M15" s="866"/>
      <c r="N15" s="154">
        <f t="shared" ref="N15:O15" si="1">+N12+N13-N14</f>
        <v>1.8900000000000001</v>
      </c>
      <c r="O15" s="154">
        <f t="shared" si="1"/>
        <v>0</v>
      </c>
      <c r="P15" s="154"/>
      <c r="Q15" s="154"/>
      <c r="R15" s="154"/>
      <c r="S15" s="154"/>
      <c r="T15" s="154"/>
      <c r="U15" s="154"/>
      <c r="V15" s="154"/>
      <c r="W15" s="154"/>
      <c r="X15" s="187" t="s">
        <v>19</v>
      </c>
      <c r="Y15" s="67"/>
      <c r="Z15" s="67"/>
      <c r="AA15" s="67"/>
      <c r="AB15" s="67"/>
      <c r="AC15" s="67"/>
    </row>
    <row r="16" spans="1:29" s="8" customFormat="1" ht="24.95" customHeight="1" x14ac:dyDescent="0.25">
      <c r="A16" s="67"/>
      <c r="B16" s="155" t="s">
        <v>61</v>
      </c>
      <c r="C16" s="156"/>
      <c r="D16" s="156"/>
      <c r="E16" s="156"/>
      <c r="F16" s="156"/>
      <c r="G16" s="156"/>
      <c r="H16" s="156"/>
      <c r="I16" s="156"/>
      <c r="J16" s="156"/>
      <c r="K16" s="156"/>
      <c r="L16" s="156"/>
      <c r="M16" s="157"/>
      <c r="N16" s="160"/>
      <c r="O16" s="160"/>
      <c r="P16" s="161"/>
      <c r="Q16" s="188"/>
      <c r="R16" s="188"/>
      <c r="S16" s="188"/>
      <c r="T16" s="188"/>
      <c r="U16" s="188"/>
      <c r="V16" s="188"/>
      <c r="W16" s="188"/>
      <c r="X16" s="189"/>
      <c r="Y16" s="67"/>
      <c r="Z16" s="67"/>
      <c r="AA16" s="67"/>
      <c r="AB16" s="67"/>
      <c r="AC16" s="67"/>
    </row>
    <row r="17" spans="2:36" s="8" customFormat="1" ht="24.95" customHeight="1" x14ac:dyDescent="0.25">
      <c r="B17" s="213" t="s">
        <v>218</v>
      </c>
      <c r="C17" s="212">
        <v>120101</v>
      </c>
      <c r="D17" s="853" t="s">
        <v>328</v>
      </c>
      <c r="E17" s="853"/>
      <c r="F17" s="853"/>
      <c r="G17" s="853"/>
      <c r="H17" s="853"/>
      <c r="I17" s="853"/>
      <c r="J17" s="853"/>
      <c r="K17" s="853"/>
      <c r="L17" s="853"/>
      <c r="M17" s="854"/>
      <c r="N17" s="129">
        <f>+N15</f>
        <v>1.8900000000000001</v>
      </c>
      <c r="O17" s="129"/>
      <c r="P17" s="129"/>
      <c r="Q17" s="129"/>
      <c r="R17" s="129"/>
      <c r="S17" s="129"/>
      <c r="T17" s="129"/>
      <c r="U17" s="129"/>
      <c r="V17" s="129"/>
      <c r="W17" s="135">
        <f>SUM(N17:V17)</f>
        <v>1.8900000000000001</v>
      </c>
      <c r="X17" s="148" t="s">
        <v>222</v>
      </c>
    </row>
    <row r="18" spans="2:36" s="8" customFormat="1" ht="24.95" customHeight="1" x14ac:dyDescent="0.25">
      <c r="B18" s="213" t="s">
        <v>218</v>
      </c>
      <c r="C18" s="212">
        <v>120207</v>
      </c>
      <c r="D18" s="853" t="s">
        <v>897</v>
      </c>
      <c r="E18" s="853"/>
      <c r="F18" s="853"/>
      <c r="G18" s="853"/>
      <c r="H18" s="853"/>
      <c r="I18" s="853"/>
      <c r="J18" s="853"/>
      <c r="K18" s="853"/>
      <c r="L18" s="853"/>
      <c r="M18" s="854"/>
      <c r="N18" s="129">
        <f>+N20</f>
        <v>1.8900000000000001</v>
      </c>
      <c r="O18" s="129"/>
      <c r="P18" s="129"/>
      <c r="Q18" s="129"/>
      <c r="R18" s="129"/>
      <c r="S18" s="129"/>
      <c r="T18" s="129"/>
      <c r="U18" s="129"/>
      <c r="V18" s="129"/>
      <c r="W18" s="135">
        <f>SUM(N18:V18)</f>
        <v>1.8900000000000001</v>
      </c>
      <c r="X18" s="148" t="s">
        <v>222</v>
      </c>
    </row>
    <row r="19" spans="2:36" s="8" customFormat="1" ht="24.95" customHeight="1" x14ac:dyDescent="0.25">
      <c r="B19" s="320" t="s">
        <v>63</v>
      </c>
      <c r="C19" s="212"/>
      <c r="D19" s="853"/>
      <c r="E19" s="853"/>
      <c r="F19" s="853"/>
      <c r="G19" s="853"/>
      <c r="H19" s="853"/>
      <c r="I19" s="853"/>
      <c r="J19" s="853"/>
      <c r="K19" s="853"/>
      <c r="L19" s="853"/>
      <c r="M19" s="854"/>
      <c r="N19" s="129"/>
      <c r="O19" s="129"/>
      <c r="P19" s="129"/>
      <c r="Q19" s="129"/>
      <c r="R19" s="129"/>
      <c r="S19" s="129"/>
      <c r="T19" s="129"/>
      <c r="U19" s="129"/>
      <c r="V19" s="129"/>
      <c r="W19" s="135"/>
      <c r="X19" s="148"/>
    </row>
    <row r="20" spans="2:36" s="8" customFormat="1" ht="24.95" customHeight="1" x14ac:dyDescent="0.25">
      <c r="B20" s="213" t="s">
        <v>218</v>
      </c>
      <c r="C20" s="212">
        <v>120107</v>
      </c>
      <c r="D20" s="853" t="s">
        <v>898</v>
      </c>
      <c r="E20" s="853"/>
      <c r="F20" s="853"/>
      <c r="G20" s="853"/>
      <c r="H20" s="853"/>
      <c r="I20" s="853"/>
      <c r="J20" s="853"/>
      <c r="K20" s="853"/>
      <c r="L20" s="853"/>
      <c r="M20" s="854"/>
      <c r="N20" s="129">
        <f>+N17</f>
        <v>1.8900000000000001</v>
      </c>
      <c r="O20" s="129"/>
      <c r="P20" s="129"/>
      <c r="Q20" s="129"/>
      <c r="R20" s="129"/>
      <c r="S20" s="129"/>
      <c r="T20" s="129"/>
      <c r="U20" s="129"/>
      <c r="V20" s="129"/>
      <c r="W20" s="135">
        <f>SUM(N20:V20)</f>
        <v>1.8900000000000001</v>
      </c>
      <c r="X20" s="148" t="s">
        <v>222</v>
      </c>
    </row>
    <row r="21" spans="2:36" s="7" customFormat="1" ht="24.95" customHeight="1" thickBot="1" x14ac:dyDescent="0.3">
      <c r="B21" s="855"/>
      <c r="C21" s="856"/>
      <c r="D21" s="856"/>
      <c r="E21" s="856"/>
      <c r="F21" s="856"/>
      <c r="G21" s="856"/>
      <c r="H21" s="856"/>
      <c r="I21" s="856"/>
      <c r="J21" s="856"/>
      <c r="K21" s="856"/>
      <c r="L21" s="856"/>
      <c r="M21" s="857"/>
      <c r="N21" s="149"/>
      <c r="O21" s="149"/>
      <c r="P21" s="149"/>
      <c r="Q21" s="149"/>
      <c r="R21" s="149"/>
      <c r="S21" s="149"/>
      <c r="T21" s="149"/>
      <c r="U21" s="149"/>
      <c r="V21" s="149"/>
      <c r="W21" s="137"/>
      <c r="X21" s="150"/>
    </row>
    <row r="22" spans="2:36" s="88" customFormat="1" ht="30" customHeight="1" x14ac:dyDescent="0.25">
      <c r="B22" s="793"/>
      <c r="C22" s="793"/>
      <c r="D22" s="793"/>
      <c r="E22" s="793"/>
      <c r="F22" s="793"/>
      <c r="G22" s="793"/>
      <c r="H22" s="793"/>
      <c r="I22" s="793"/>
      <c r="J22" s="793"/>
      <c r="K22" s="9"/>
      <c r="L22" s="9"/>
      <c r="M22" s="9"/>
      <c r="N22" s="9"/>
      <c r="O22" s="9"/>
      <c r="P22" s="9"/>
      <c r="Q22" s="9"/>
      <c r="R22" s="9"/>
      <c r="S22" s="9"/>
      <c r="T22" s="9"/>
      <c r="U22" s="9"/>
      <c r="V22" s="9"/>
      <c r="W22" s="9"/>
      <c r="AB22" s="9"/>
      <c r="AC22" s="9"/>
    </row>
    <row r="23" spans="2:36" s="89" customFormat="1" ht="20.100000000000001" customHeight="1" x14ac:dyDescent="0.25">
      <c r="B23" s="746"/>
      <c r="C23" s="746"/>
      <c r="D23" s="746"/>
      <c r="E23" s="746"/>
      <c r="F23" s="746"/>
      <c r="G23" s="746"/>
      <c r="H23" s="746"/>
      <c r="I23" s="746"/>
      <c r="J23" s="746"/>
      <c r="K23" s="746"/>
      <c r="L23" s="746"/>
      <c r="M23" s="746"/>
      <c r="N23" s="746"/>
      <c r="O23" s="746"/>
      <c r="P23" s="746"/>
      <c r="Q23" s="746"/>
      <c r="R23" s="746"/>
      <c r="S23" s="746"/>
      <c r="T23" s="746"/>
      <c r="AD23" s="90"/>
    </row>
    <row r="24" spans="2:36" s="89" customFormat="1" ht="20.100000000000001" customHeight="1" x14ac:dyDescent="0.25">
      <c r="B24" s="31"/>
      <c r="C24" s="31"/>
      <c r="D24" s="31"/>
      <c r="E24" s="31"/>
      <c r="F24" s="31"/>
      <c r="G24" s="31"/>
      <c r="H24" s="31"/>
      <c r="I24" s="31"/>
      <c r="K24" s="200"/>
      <c r="L24" s="200"/>
      <c r="M24" s="31"/>
      <c r="N24" s="31"/>
      <c r="O24" s="31"/>
      <c r="P24" s="31"/>
      <c r="Q24" s="31"/>
      <c r="V24" s="194"/>
      <c r="W24" s="199"/>
      <c r="Y24" s="194"/>
      <c r="AC24" s="193"/>
      <c r="AF24" s="194"/>
      <c r="AI24" s="194"/>
      <c r="AJ24" s="199"/>
    </row>
    <row r="25" spans="2:36" s="7" customFormat="1" ht="20.100000000000001" customHeight="1" x14ac:dyDescent="0.25">
      <c r="B25" s="120"/>
      <c r="C25" s="120"/>
      <c r="D25" s="120"/>
      <c r="E25" s="120"/>
      <c r="F25" s="120"/>
      <c r="G25" s="120"/>
      <c r="H25" s="120"/>
      <c r="I25" s="120"/>
      <c r="J25" s="120"/>
      <c r="K25" s="120"/>
      <c r="L25" s="120"/>
      <c r="M25" s="120"/>
      <c r="N25" s="65"/>
      <c r="O25" s="65"/>
      <c r="P25" s="65"/>
      <c r="Q25" s="65"/>
      <c r="R25" s="65"/>
      <c r="S25" s="65"/>
      <c r="T25" s="65"/>
      <c r="U25" s="65"/>
      <c r="V25" s="65"/>
      <c r="W25" s="65"/>
      <c r="X25" s="158"/>
    </row>
    <row r="26" spans="2:36" s="7" customFormat="1" ht="20.100000000000001" customHeight="1" x14ac:dyDescent="0.25">
      <c r="B26" s="120"/>
      <c r="C26" s="120"/>
      <c r="D26" s="120"/>
      <c r="E26" s="120"/>
      <c r="F26" s="120"/>
      <c r="G26" s="120"/>
      <c r="H26" s="120"/>
      <c r="I26" s="120"/>
      <c r="J26" s="120"/>
      <c r="K26" s="120"/>
      <c r="L26" s="120"/>
      <c r="M26" s="120"/>
      <c r="N26" s="65"/>
      <c r="O26" s="65"/>
      <c r="P26" s="65"/>
      <c r="Q26" s="65"/>
      <c r="R26" s="65"/>
      <c r="S26" s="65"/>
      <c r="T26" s="65"/>
      <c r="U26" s="65"/>
      <c r="V26" s="65"/>
      <c r="W26" s="65"/>
      <c r="X26" s="158"/>
    </row>
    <row r="27" spans="2:36" s="7" customFormat="1" ht="20.100000000000001" customHeight="1" x14ac:dyDescent="0.25">
      <c r="B27" s="120"/>
      <c r="C27" s="120"/>
      <c r="D27" s="120"/>
      <c r="E27" s="120"/>
      <c r="F27" s="120"/>
      <c r="G27" s="120"/>
      <c r="H27" s="120"/>
      <c r="I27" s="120"/>
      <c r="J27" s="120"/>
      <c r="K27" s="120"/>
      <c r="L27" s="120"/>
      <c r="M27" s="120"/>
      <c r="N27" s="65"/>
      <c r="O27" s="65"/>
      <c r="P27" s="65"/>
      <c r="Q27" s="65"/>
      <c r="R27" s="65"/>
      <c r="S27" s="65"/>
      <c r="T27" s="65"/>
      <c r="U27" s="65"/>
      <c r="V27" s="65"/>
      <c r="W27" s="65"/>
      <c r="X27" s="158"/>
    </row>
    <row r="28" spans="2:36" s="7" customFormat="1" ht="20.100000000000001" customHeight="1" x14ac:dyDescent="0.25">
      <c r="B28" s="120"/>
      <c r="C28" s="120"/>
      <c r="D28" s="120"/>
      <c r="E28" s="120"/>
      <c r="F28" s="120"/>
      <c r="G28" s="120"/>
      <c r="H28" s="120"/>
      <c r="I28" s="120"/>
      <c r="J28" s="120"/>
      <c r="K28" s="120"/>
      <c r="L28" s="120"/>
      <c r="M28" s="120"/>
      <c r="N28" s="65"/>
      <c r="O28" s="65"/>
      <c r="P28" s="65"/>
      <c r="Q28" s="65"/>
      <c r="R28" s="65"/>
      <c r="S28" s="65"/>
      <c r="T28" s="65"/>
      <c r="U28" s="65"/>
      <c r="V28" s="65"/>
      <c r="W28" s="65"/>
      <c r="X28" s="158"/>
    </row>
  </sheetData>
  <mergeCells count="16">
    <mergeCell ref="B23:T23"/>
    <mergeCell ref="D19:M19"/>
    <mergeCell ref="D20:M20"/>
    <mergeCell ref="B14:M14"/>
    <mergeCell ref="B15:M15"/>
    <mergeCell ref="D17:M17"/>
    <mergeCell ref="D18:M18"/>
    <mergeCell ref="B21:M21"/>
    <mergeCell ref="B22:J22"/>
    <mergeCell ref="B13:M13"/>
    <mergeCell ref="B1:X2"/>
    <mergeCell ref="B9:M9"/>
    <mergeCell ref="B10:M10"/>
    <mergeCell ref="B11:M11"/>
    <mergeCell ref="B12:M12"/>
    <mergeCell ref="C4:U4"/>
  </mergeCells>
  <printOptions horizontalCentered="1"/>
  <pageMargins left="0.51181102362204722" right="0.51181102362204722" top="0.78740157480314965" bottom="0.78740157480314965" header="0.31496062992125984" footer="0.31496062992125984"/>
  <pageSetup paperSize="9" scale="74"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5D493-B6CB-4EB6-BB1F-46C4871C495D}">
  <dimension ref="A1:AJ29"/>
  <sheetViews>
    <sheetView showGridLines="0" view="pageBreakPreview" zoomScaleNormal="70" zoomScaleSheetLayoutView="100" workbookViewId="0">
      <selection activeCell="Q14" sqref="Q14:Q15"/>
    </sheetView>
  </sheetViews>
  <sheetFormatPr defaultRowHeight="12.75" x14ac:dyDescent="0.25"/>
  <cols>
    <col min="1" max="1" width="1.7109375" style="30" customWidth="1"/>
    <col min="2" max="2" width="9.140625" style="30" customWidth="1"/>
    <col min="3" max="3" width="8.140625" style="30" customWidth="1"/>
    <col min="4" max="9" width="3.7109375" style="30" customWidth="1"/>
    <col min="10" max="10" width="5.28515625" style="30" customWidth="1"/>
    <col min="11" max="12" width="3.7109375" style="30" customWidth="1"/>
    <col min="13" max="13" width="16" style="31" customWidth="1"/>
    <col min="14" max="15" width="10.7109375" style="30" customWidth="1"/>
    <col min="16" max="16" width="10.85546875" style="30" customWidth="1"/>
    <col min="17" max="23" width="10.7109375" style="30" customWidth="1"/>
    <col min="24" max="24" width="3.5703125" style="159" customWidth="1"/>
    <col min="25" max="25" width="1.7109375" style="30" customWidth="1"/>
    <col min="26" max="16384" width="9.140625" style="30"/>
  </cols>
  <sheetData>
    <row r="1" spans="1:29" s="11" customFormat="1" ht="20.100000000000001" customHeight="1" x14ac:dyDescent="0.25">
      <c r="A1" s="69"/>
      <c r="B1" s="569" t="s">
        <v>133</v>
      </c>
      <c r="C1" s="569"/>
      <c r="D1" s="569"/>
      <c r="E1" s="569"/>
      <c r="F1" s="569"/>
      <c r="G1" s="569"/>
      <c r="H1" s="569"/>
      <c r="I1" s="569"/>
      <c r="J1" s="569"/>
      <c r="K1" s="569"/>
      <c r="L1" s="569"/>
      <c r="M1" s="569"/>
      <c r="N1" s="569"/>
      <c r="O1" s="569"/>
      <c r="P1" s="569"/>
      <c r="Q1" s="569"/>
      <c r="R1" s="569"/>
      <c r="S1" s="569"/>
      <c r="T1" s="569"/>
      <c r="U1" s="569"/>
      <c r="V1" s="569"/>
      <c r="W1" s="569"/>
      <c r="X1" s="569"/>
      <c r="Y1" s="69"/>
      <c r="Z1" s="69"/>
      <c r="AA1" s="69"/>
      <c r="AB1" s="69"/>
      <c r="AC1" s="69"/>
    </row>
    <row r="2" spans="1:29" s="11" customFormat="1" ht="20.100000000000001" customHeight="1" x14ac:dyDescent="0.25">
      <c r="A2" s="69"/>
      <c r="B2" s="569"/>
      <c r="C2" s="569"/>
      <c r="D2" s="569"/>
      <c r="E2" s="569"/>
      <c r="F2" s="569"/>
      <c r="G2" s="569"/>
      <c r="H2" s="569"/>
      <c r="I2" s="569"/>
      <c r="J2" s="569"/>
      <c r="K2" s="569"/>
      <c r="L2" s="569"/>
      <c r="M2" s="569"/>
      <c r="N2" s="569"/>
      <c r="O2" s="569"/>
      <c r="P2" s="569"/>
      <c r="Q2" s="569"/>
      <c r="R2" s="569"/>
      <c r="S2" s="569"/>
      <c r="T2" s="569"/>
      <c r="U2" s="569"/>
      <c r="V2" s="569"/>
      <c r="W2" s="569"/>
      <c r="X2" s="569"/>
      <c r="Y2" s="69"/>
      <c r="Z2" s="69"/>
      <c r="AA2" s="69"/>
      <c r="AB2" s="69"/>
      <c r="AC2" s="69"/>
    </row>
    <row r="3" spans="1:29" s="11" customFormat="1" ht="20.100000000000001" customHeight="1" x14ac:dyDescent="0.25">
      <c r="A3" s="69"/>
      <c r="B3" s="69"/>
      <c r="C3" s="69"/>
      <c r="D3" s="69"/>
      <c r="E3" s="69"/>
      <c r="F3" s="69"/>
      <c r="G3" s="69"/>
      <c r="H3" s="69"/>
      <c r="I3" s="69"/>
      <c r="J3" s="69"/>
      <c r="K3" s="69"/>
      <c r="L3" s="69"/>
      <c r="M3" s="69"/>
      <c r="N3" s="69"/>
      <c r="O3" s="69"/>
      <c r="P3" s="69"/>
      <c r="Q3" s="69"/>
      <c r="R3" s="69"/>
      <c r="S3" s="69"/>
      <c r="T3" s="69"/>
      <c r="U3" s="69"/>
      <c r="V3" s="69"/>
      <c r="W3" s="69"/>
      <c r="X3" s="181"/>
      <c r="Y3" s="69"/>
      <c r="Z3" s="69"/>
      <c r="AA3" s="69"/>
      <c r="AB3" s="69"/>
      <c r="AC3" s="69"/>
    </row>
    <row r="4" spans="1:29"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3" t="s">
        <v>96</v>
      </c>
      <c r="W4" s="4" t="str">
        <f>+'DADOS DA OBRA'!$N$22</f>
        <v>04/11/2024</v>
      </c>
      <c r="X4" s="50"/>
      <c r="Z4" s="32"/>
      <c r="AA4" s="32"/>
      <c r="AB4" s="33"/>
      <c r="AC4" s="33"/>
    </row>
    <row r="5" spans="1:29" s="5" customFormat="1" ht="20.100000000000001" customHeight="1" x14ac:dyDescent="0.25">
      <c r="B5" s="1" t="s">
        <v>18</v>
      </c>
      <c r="C5" s="2" t="str">
        <f>+""&amp;'DADOS DA OBRA'!$B$16&amp;", "&amp;'DADOS DA OBRA'!$B$19&amp;", "&amp;'DADOS DA OBRA'!$J$19&amp;", "&amp;'DADOS DA OBRA'!$P$19</f>
        <v>RUAS DIVERSAS, DIVERSOS, MATRINCHÃ, GO</v>
      </c>
      <c r="D5" s="1"/>
      <c r="E5" s="1"/>
      <c r="F5" s="1"/>
      <c r="G5" s="1"/>
      <c r="H5" s="1"/>
      <c r="I5" s="1"/>
      <c r="V5" s="3" t="s">
        <v>17</v>
      </c>
      <c r="W5" s="4" t="str">
        <f>'DADOS DA OBRA'!$N$25</f>
        <v>00</v>
      </c>
      <c r="X5" s="50"/>
    </row>
    <row r="6" spans="1:29" s="5" customFormat="1" ht="20.100000000000001" customHeight="1" x14ac:dyDescent="0.25">
      <c r="X6" s="50"/>
    </row>
    <row r="7" spans="1:29" s="5" customFormat="1" ht="20.100000000000001" customHeight="1" x14ac:dyDescent="0.25">
      <c r="B7" s="1" t="s">
        <v>97</v>
      </c>
      <c r="C7" s="39" t="s">
        <v>900</v>
      </c>
      <c r="D7" s="1"/>
      <c r="E7" s="1"/>
      <c r="F7" s="1"/>
      <c r="G7" s="1"/>
      <c r="H7" s="1"/>
      <c r="I7" s="1"/>
      <c r="V7" s="3" t="s">
        <v>18</v>
      </c>
      <c r="W7" s="64" t="s">
        <v>239</v>
      </c>
      <c r="X7" s="50"/>
    </row>
    <row r="8" spans="1:29" s="8" customFormat="1" ht="20.100000000000001" customHeight="1" thickBot="1" x14ac:dyDescent="0.3">
      <c r="A8" s="67"/>
      <c r="B8" s="52"/>
      <c r="C8" s="52"/>
      <c r="D8" s="52"/>
      <c r="E8" s="52"/>
      <c r="F8" s="52"/>
      <c r="G8" s="52"/>
      <c r="H8" s="52"/>
      <c r="I8" s="52"/>
      <c r="J8" s="53"/>
      <c r="K8" s="9"/>
      <c r="L8" s="9"/>
      <c r="M8" s="9"/>
      <c r="N8" s="10"/>
      <c r="O8" s="10"/>
      <c r="P8" s="9"/>
      <c r="Q8" s="67"/>
      <c r="R8" s="67"/>
      <c r="S8" s="67"/>
      <c r="T8" s="67"/>
      <c r="U8" s="67"/>
      <c r="V8" s="67"/>
      <c r="W8" s="67"/>
      <c r="X8" s="164"/>
      <c r="Y8" s="67"/>
      <c r="Z8" s="67"/>
      <c r="AA8" s="67"/>
      <c r="AB8" s="67"/>
      <c r="AC8" s="67"/>
    </row>
    <row r="9" spans="1:29" s="8" customFormat="1" ht="26.25" customHeight="1" x14ac:dyDescent="0.25">
      <c r="A9" s="67"/>
      <c r="B9" s="858"/>
      <c r="C9" s="859"/>
      <c r="D9" s="859"/>
      <c r="E9" s="859"/>
      <c r="F9" s="859"/>
      <c r="G9" s="859"/>
      <c r="H9" s="859"/>
      <c r="I9" s="859"/>
      <c r="J9" s="860"/>
      <c r="K9" s="860"/>
      <c r="L9" s="860"/>
      <c r="M9" s="860"/>
      <c r="N9" s="162" t="s">
        <v>902</v>
      </c>
      <c r="O9" s="162" t="s">
        <v>903</v>
      </c>
      <c r="P9" s="162"/>
      <c r="Q9" s="162"/>
      <c r="R9" s="162"/>
      <c r="S9" s="162"/>
      <c r="T9" s="162"/>
      <c r="U9" s="162"/>
      <c r="V9" s="162"/>
      <c r="W9" s="151" t="s">
        <v>203</v>
      </c>
      <c r="X9" s="163"/>
      <c r="Y9" s="67"/>
      <c r="Z9" s="67"/>
      <c r="AA9" s="67"/>
      <c r="AB9" s="67"/>
      <c r="AC9" s="67"/>
    </row>
    <row r="10" spans="1:29" s="8" customFormat="1" ht="20.100000000000001" customHeight="1" x14ac:dyDescent="0.25">
      <c r="A10" s="67"/>
      <c r="B10" s="861" t="s">
        <v>204</v>
      </c>
      <c r="C10" s="862"/>
      <c r="D10" s="862"/>
      <c r="E10" s="862"/>
      <c r="F10" s="862"/>
      <c r="G10" s="862"/>
      <c r="H10" s="862"/>
      <c r="I10" s="862"/>
      <c r="J10" s="863"/>
      <c r="K10" s="863"/>
      <c r="L10" s="863"/>
      <c r="M10" s="863"/>
      <c r="N10" s="152">
        <v>4.0999999999999996</v>
      </c>
      <c r="O10" s="152">
        <v>5</v>
      </c>
      <c r="P10" s="152"/>
      <c r="Q10" s="152"/>
      <c r="R10" s="152"/>
      <c r="S10" s="152"/>
      <c r="T10" s="152"/>
      <c r="U10" s="152"/>
      <c r="V10" s="152"/>
      <c r="W10" s="152"/>
      <c r="X10" s="184" t="s">
        <v>41</v>
      </c>
      <c r="Y10" s="67"/>
      <c r="Z10" s="67"/>
      <c r="AA10" s="67"/>
      <c r="AB10" s="67"/>
      <c r="AC10" s="67"/>
    </row>
    <row r="11" spans="1:29" s="7" customFormat="1" ht="20.100000000000001" customHeight="1" x14ac:dyDescent="0.25">
      <c r="B11" s="861" t="s">
        <v>853</v>
      </c>
      <c r="C11" s="862"/>
      <c r="D11" s="862"/>
      <c r="E11" s="862"/>
      <c r="F11" s="862"/>
      <c r="G11" s="862"/>
      <c r="H11" s="862"/>
      <c r="I11" s="862"/>
      <c r="J11" s="863"/>
      <c r="K11" s="863"/>
      <c r="L11" s="863"/>
      <c r="M11" s="863"/>
      <c r="N11" s="152">
        <v>1.8</v>
      </c>
      <c r="O11" s="152">
        <v>2.2000000000000002</v>
      </c>
      <c r="P11" s="152"/>
      <c r="Q11" s="152"/>
      <c r="R11" s="152"/>
      <c r="S11" s="152"/>
      <c r="T11" s="152"/>
      <c r="U11" s="152"/>
      <c r="V11" s="152"/>
      <c r="W11" s="152"/>
      <c r="X11" s="185" t="s">
        <v>41</v>
      </c>
    </row>
    <row r="12" spans="1:29" s="8" customFormat="1" ht="20.100000000000001" customHeight="1" x14ac:dyDescent="0.25">
      <c r="A12" s="67"/>
      <c r="B12" s="861" t="s">
        <v>206</v>
      </c>
      <c r="C12" s="862"/>
      <c r="D12" s="862"/>
      <c r="E12" s="862"/>
      <c r="F12" s="862"/>
      <c r="G12" s="862"/>
      <c r="H12" s="862"/>
      <c r="I12" s="862"/>
      <c r="J12" s="863"/>
      <c r="K12" s="863"/>
      <c r="L12" s="863"/>
      <c r="M12" s="863"/>
      <c r="N12" s="153">
        <f t="shared" ref="N12:O12" si="0">+N10*N11</f>
        <v>7.38</v>
      </c>
      <c r="O12" s="153">
        <f t="shared" si="0"/>
        <v>11</v>
      </c>
      <c r="P12" s="153"/>
      <c r="Q12" s="153"/>
      <c r="R12" s="153"/>
      <c r="S12" s="153"/>
      <c r="T12" s="153"/>
      <c r="U12" s="153"/>
      <c r="V12" s="153"/>
      <c r="W12" s="153"/>
      <c r="X12" s="186" t="s">
        <v>19</v>
      </c>
      <c r="Y12" s="67"/>
      <c r="Z12" s="67"/>
      <c r="AA12" s="67"/>
      <c r="AB12" s="67"/>
      <c r="AC12" s="67"/>
    </row>
    <row r="13" spans="1:29" s="8" customFormat="1" ht="20.100000000000001" customHeight="1" x14ac:dyDescent="0.25">
      <c r="A13" s="67"/>
      <c r="B13" s="861" t="s">
        <v>207</v>
      </c>
      <c r="C13" s="862"/>
      <c r="D13" s="862"/>
      <c r="E13" s="862"/>
      <c r="F13" s="862"/>
      <c r="G13" s="862"/>
      <c r="H13" s="862"/>
      <c r="I13" s="862"/>
      <c r="J13" s="863"/>
      <c r="K13" s="863"/>
      <c r="L13" s="863"/>
      <c r="M13" s="863"/>
      <c r="N13" s="152">
        <v>2.1</v>
      </c>
      <c r="O13" s="152"/>
      <c r="P13" s="152"/>
      <c r="Q13" s="152"/>
      <c r="R13" s="152"/>
      <c r="S13" s="152"/>
      <c r="T13" s="152"/>
      <c r="U13" s="152"/>
      <c r="V13" s="152"/>
      <c r="W13" s="152"/>
      <c r="X13" s="184" t="s">
        <v>19</v>
      </c>
      <c r="Y13" s="67"/>
      <c r="Z13" s="67"/>
      <c r="AA13" s="67"/>
      <c r="AB13" s="67"/>
      <c r="AC13" s="67"/>
    </row>
    <row r="14" spans="1:29" s="8" customFormat="1" ht="20.100000000000001" customHeight="1" x14ac:dyDescent="0.25">
      <c r="A14" s="67"/>
      <c r="B14" s="861" t="s">
        <v>208</v>
      </c>
      <c r="C14" s="862"/>
      <c r="D14" s="862"/>
      <c r="E14" s="862"/>
      <c r="F14" s="862"/>
      <c r="G14" s="862"/>
      <c r="H14" s="862"/>
      <c r="I14" s="862"/>
      <c r="J14" s="863"/>
      <c r="K14" s="863"/>
      <c r="L14" s="863"/>
      <c r="M14" s="863"/>
      <c r="N14" s="153">
        <f>1*1.8</f>
        <v>1.8</v>
      </c>
      <c r="O14" s="153">
        <f>1*1.8</f>
        <v>1.8</v>
      </c>
      <c r="P14" s="153"/>
      <c r="Q14" s="153"/>
      <c r="R14" s="153"/>
      <c r="S14" s="153"/>
      <c r="T14" s="153"/>
      <c r="U14" s="153"/>
      <c r="V14" s="153"/>
      <c r="W14" s="153"/>
      <c r="X14" s="186" t="s">
        <v>19</v>
      </c>
      <c r="Y14" s="67"/>
      <c r="Z14" s="67"/>
      <c r="AA14" s="67"/>
      <c r="AB14" s="67"/>
      <c r="AC14" s="67"/>
    </row>
    <row r="15" spans="1:29" s="8" customFormat="1" ht="20.100000000000001" customHeight="1" thickBot="1" x14ac:dyDescent="0.3">
      <c r="A15" s="67"/>
      <c r="B15" s="864" t="s">
        <v>209</v>
      </c>
      <c r="C15" s="865"/>
      <c r="D15" s="865"/>
      <c r="E15" s="865"/>
      <c r="F15" s="865"/>
      <c r="G15" s="865"/>
      <c r="H15" s="865"/>
      <c r="I15" s="865"/>
      <c r="J15" s="866"/>
      <c r="K15" s="866"/>
      <c r="L15" s="866"/>
      <c r="M15" s="866"/>
      <c r="N15" s="154">
        <f t="shared" ref="N15:O15" si="1">+N12+N13-N14</f>
        <v>7.6800000000000006</v>
      </c>
      <c r="O15" s="154">
        <f t="shared" si="1"/>
        <v>9.1999999999999993</v>
      </c>
      <c r="P15" s="154"/>
      <c r="Q15" s="154"/>
      <c r="R15" s="154"/>
      <c r="S15" s="154"/>
      <c r="T15" s="154"/>
      <c r="U15" s="154"/>
      <c r="V15" s="154"/>
      <c r="W15" s="154"/>
      <c r="X15" s="187" t="s">
        <v>19</v>
      </c>
      <c r="Y15" s="67"/>
      <c r="Z15" s="67"/>
      <c r="AA15" s="67"/>
      <c r="AB15" s="67"/>
      <c r="AC15" s="67"/>
    </row>
    <row r="16" spans="1:29" s="8" customFormat="1" ht="24.95" customHeight="1" x14ac:dyDescent="0.25">
      <c r="A16" s="67"/>
      <c r="B16" s="155" t="str">
        <f>'RESUMO LEVTO'!G129</f>
        <v>REVESTIMENTOS ARGAMASSADOS</v>
      </c>
      <c r="C16" s="156"/>
      <c r="D16" s="156"/>
      <c r="E16" s="156"/>
      <c r="F16" s="156"/>
      <c r="G16" s="156"/>
      <c r="H16" s="156"/>
      <c r="I16" s="156"/>
      <c r="J16" s="156"/>
      <c r="K16" s="156"/>
      <c r="L16" s="156"/>
      <c r="M16" s="157"/>
      <c r="N16" s="160"/>
      <c r="O16" s="160"/>
      <c r="P16" s="161"/>
      <c r="Q16" s="188"/>
      <c r="R16" s="188"/>
      <c r="S16" s="188"/>
      <c r="T16" s="188"/>
      <c r="U16" s="188"/>
      <c r="V16" s="188"/>
      <c r="W16" s="188"/>
      <c r="X16" s="189"/>
      <c r="Y16" s="67"/>
      <c r="Z16" s="67"/>
      <c r="AA16" s="67"/>
      <c r="AB16" s="67"/>
      <c r="AC16" s="67"/>
    </row>
    <row r="17" spans="2:36" s="8" customFormat="1" ht="24.95" customHeight="1" x14ac:dyDescent="0.25">
      <c r="B17" s="213" t="s">
        <v>218</v>
      </c>
      <c r="C17" s="212">
        <v>200101</v>
      </c>
      <c r="D17" s="853" t="s">
        <v>904</v>
      </c>
      <c r="E17" s="853"/>
      <c r="F17" s="853"/>
      <c r="G17" s="853"/>
      <c r="H17" s="853"/>
      <c r="I17" s="853"/>
      <c r="J17" s="853"/>
      <c r="K17" s="853"/>
      <c r="L17" s="853"/>
      <c r="M17" s="854"/>
      <c r="N17" s="129">
        <f>+N15</f>
        <v>7.6800000000000006</v>
      </c>
      <c r="O17" s="129">
        <f>+O15</f>
        <v>9.1999999999999993</v>
      </c>
      <c r="P17" s="129"/>
      <c r="Q17" s="129"/>
      <c r="R17" s="129"/>
      <c r="S17" s="129"/>
      <c r="T17" s="129"/>
      <c r="U17" s="129"/>
      <c r="V17" s="129"/>
      <c r="W17" s="135">
        <f>SUM(N17:V17)</f>
        <v>16.88</v>
      </c>
      <c r="X17" s="148" t="s">
        <v>222</v>
      </c>
    </row>
    <row r="18" spans="2:36" s="8" customFormat="1" ht="24.95" customHeight="1" x14ac:dyDescent="0.25">
      <c r="B18" s="213" t="s">
        <v>218</v>
      </c>
      <c r="C18" s="212">
        <v>200201</v>
      </c>
      <c r="D18" s="853" t="s">
        <v>905</v>
      </c>
      <c r="E18" s="853"/>
      <c r="F18" s="853"/>
      <c r="G18" s="853"/>
      <c r="H18" s="853"/>
      <c r="I18" s="853"/>
      <c r="J18" s="853"/>
      <c r="K18" s="853"/>
      <c r="L18" s="853"/>
      <c r="M18" s="854"/>
      <c r="N18" s="129"/>
      <c r="O18" s="129">
        <f>+O17</f>
        <v>9.1999999999999993</v>
      </c>
      <c r="P18" s="129"/>
      <c r="Q18" s="129"/>
      <c r="R18" s="129"/>
      <c r="S18" s="129"/>
      <c r="T18" s="129"/>
      <c r="U18" s="129"/>
      <c r="V18" s="129"/>
      <c r="W18" s="135">
        <f>SUM(N18:V18)</f>
        <v>9.1999999999999993</v>
      </c>
      <c r="X18" s="148" t="s">
        <v>222</v>
      </c>
    </row>
    <row r="19" spans="2:36" s="8" customFormat="1" ht="24.95" customHeight="1" x14ac:dyDescent="0.25">
      <c r="B19" s="213" t="s">
        <v>218</v>
      </c>
      <c r="C19" s="212">
        <v>200500</v>
      </c>
      <c r="D19" s="853" t="s">
        <v>906</v>
      </c>
      <c r="E19" s="853"/>
      <c r="F19" s="853"/>
      <c r="G19" s="853"/>
      <c r="H19" s="853"/>
      <c r="I19" s="853"/>
      <c r="J19" s="853"/>
      <c r="K19" s="853"/>
      <c r="L19" s="853"/>
      <c r="M19" s="854"/>
      <c r="N19" s="129">
        <f>+N17</f>
        <v>7.6800000000000006</v>
      </c>
      <c r="O19" s="129"/>
      <c r="P19" s="129"/>
      <c r="Q19" s="129"/>
      <c r="R19" s="129"/>
      <c r="S19" s="129"/>
      <c r="T19" s="129"/>
      <c r="U19" s="129"/>
      <c r="V19" s="129"/>
      <c r="W19" s="135">
        <f>SUM(N19:V19)</f>
        <v>7.6800000000000006</v>
      </c>
      <c r="X19" s="148" t="s">
        <v>222</v>
      </c>
    </row>
    <row r="20" spans="2:36" s="8" customFormat="1" ht="24.95" customHeight="1" x14ac:dyDescent="0.25">
      <c r="B20" s="320" t="str">
        <f>'RESUMO LEVTO'!G133</f>
        <v>REVESTIMENTOS CERÂMICOS / PORCELANATOS</v>
      </c>
      <c r="C20" s="212"/>
      <c r="D20" s="210"/>
      <c r="E20" s="210"/>
      <c r="F20" s="210"/>
      <c r="G20" s="210"/>
      <c r="H20" s="210"/>
      <c r="I20" s="210"/>
      <c r="J20" s="210"/>
      <c r="K20" s="210"/>
      <c r="L20" s="210"/>
      <c r="M20" s="211"/>
      <c r="N20" s="129"/>
      <c r="O20" s="129"/>
      <c r="P20" s="129"/>
      <c r="Q20" s="129"/>
      <c r="R20" s="129"/>
      <c r="S20" s="129"/>
      <c r="T20" s="129"/>
      <c r="U20" s="129"/>
      <c r="V20" s="129"/>
      <c r="W20" s="135"/>
      <c r="X20" s="148"/>
    </row>
    <row r="21" spans="2:36" s="8" customFormat="1" ht="24.95" customHeight="1" x14ac:dyDescent="0.25">
      <c r="B21" s="213" t="s">
        <v>218</v>
      </c>
      <c r="C21" s="212">
        <v>201003</v>
      </c>
      <c r="D21" s="853" t="s">
        <v>907</v>
      </c>
      <c r="E21" s="853"/>
      <c r="F21" s="853"/>
      <c r="G21" s="853"/>
      <c r="H21" s="853"/>
      <c r="I21" s="853"/>
      <c r="J21" s="853"/>
      <c r="K21" s="853"/>
      <c r="L21" s="853"/>
      <c r="M21" s="854"/>
      <c r="N21" s="129"/>
      <c r="O21" s="129">
        <f>+O18</f>
        <v>9.1999999999999993</v>
      </c>
      <c r="P21" s="129"/>
      <c r="Q21" s="129"/>
      <c r="R21" s="129"/>
      <c r="S21" s="129"/>
      <c r="T21" s="129"/>
      <c r="U21" s="129"/>
      <c r="V21" s="129"/>
      <c r="W21" s="135">
        <f>SUM(N21:V21)</f>
        <v>9.1999999999999993</v>
      </c>
      <c r="X21" s="148" t="s">
        <v>222</v>
      </c>
    </row>
    <row r="22" spans="2:36" s="8" customFormat="1" ht="24.95" customHeight="1" x14ac:dyDescent="0.25">
      <c r="B22" s="320" t="s">
        <v>70</v>
      </c>
      <c r="C22" s="212"/>
      <c r="D22" s="210"/>
      <c r="E22" s="210"/>
      <c r="F22" s="210"/>
      <c r="G22" s="210"/>
      <c r="H22" s="210"/>
      <c r="I22" s="210"/>
      <c r="J22" s="210"/>
      <c r="K22" s="210"/>
      <c r="L22" s="210"/>
      <c r="M22" s="211"/>
      <c r="N22" s="129"/>
      <c r="O22" s="129"/>
      <c r="P22" s="129"/>
      <c r="Q22" s="129"/>
      <c r="R22" s="129"/>
      <c r="S22" s="129"/>
      <c r="T22" s="129"/>
      <c r="U22" s="129"/>
      <c r="V22" s="129"/>
      <c r="W22" s="135"/>
      <c r="X22" s="148"/>
    </row>
    <row r="23" spans="2:36" s="8" customFormat="1" ht="24.95" customHeight="1" x14ac:dyDescent="0.25">
      <c r="B23" s="213" t="s">
        <v>218</v>
      </c>
      <c r="C23" s="212">
        <v>261300</v>
      </c>
      <c r="D23" s="853" t="s">
        <v>908</v>
      </c>
      <c r="E23" s="853"/>
      <c r="F23" s="853"/>
      <c r="G23" s="853"/>
      <c r="H23" s="853"/>
      <c r="I23" s="853"/>
      <c r="J23" s="853"/>
      <c r="K23" s="853"/>
      <c r="L23" s="853"/>
      <c r="M23" s="854"/>
      <c r="N23" s="129">
        <f>+N19</f>
        <v>7.6800000000000006</v>
      </c>
      <c r="O23" s="129"/>
      <c r="P23" s="129"/>
      <c r="Q23" s="129"/>
      <c r="R23" s="129"/>
      <c r="S23" s="129"/>
      <c r="T23" s="129"/>
      <c r="U23" s="129"/>
      <c r="V23" s="129"/>
      <c r="W23" s="135">
        <f>SUM(N23:V23)</f>
        <v>7.6800000000000006</v>
      </c>
      <c r="X23" s="148" t="s">
        <v>222</v>
      </c>
    </row>
    <row r="24" spans="2:36" s="8" customFormat="1" ht="24.95" customHeight="1" x14ac:dyDescent="0.25">
      <c r="B24" s="213" t="s">
        <v>218</v>
      </c>
      <c r="C24" s="212">
        <v>261000</v>
      </c>
      <c r="D24" s="853" t="s">
        <v>909</v>
      </c>
      <c r="E24" s="853"/>
      <c r="F24" s="853"/>
      <c r="G24" s="853"/>
      <c r="H24" s="853"/>
      <c r="I24" s="853"/>
      <c r="J24" s="853"/>
      <c r="K24" s="853"/>
      <c r="L24" s="853"/>
      <c r="M24" s="854"/>
      <c r="N24" s="129">
        <f>+N23</f>
        <v>7.6800000000000006</v>
      </c>
      <c r="O24" s="129"/>
      <c r="P24" s="129"/>
      <c r="Q24" s="129"/>
      <c r="R24" s="129"/>
      <c r="S24" s="129"/>
      <c r="T24" s="129"/>
      <c r="U24" s="129"/>
      <c r="V24" s="129"/>
      <c r="W24" s="135">
        <f>SUM(N24:V24)</f>
        <v>7.6800000000000006</v>
      </c>
      <c r="X24" s="148" t="s">
        <v>222</v>
      </c>
    </row>
    <row r="25" spans="2:36" s="7" customFormat="1" ht="24.95" customHeight="1" thickBot="1" x14ac:dyDescent="0.3">
      <c r="B25" s="855"/>
      <c r="C25" s="856"/>
      <c r="D25" s="856"/>
      <c r="E25" s="856"/>
      <c r="F25" s="856"/>
      <c r="G25" s="856"/>
      <c r="H25" s="856"/>
      <c r="I25" s="856"/>
      <c r="J25" s="856"/>
      <c r="K25" s="856"/>
      <c r="L25" s="856"/>
      <c r="M25" s="857"/>
      <c r="N25" s="149"/>
      <c r="O25" s="149"/>
      <c r="P25" s="149"/>
      <c r="Q25" s="149"/>
      <c r="R25" s="149"/>
      <c r="S25" s="149"/>
      <c r="T25" s="149"/>
      <c r="U25" s="149"/>
      <c r="V25" s="149"/>
      <c r="W25" s="137"/>
      <c r="X25" s="150"/>
    </row>
    <row r="26" spans="2:36" s="88" customFormat="1" ht="30" customHeight="1" x14ac:dyDescent="0.25">
      <c r="B26" s="793"/>
      <c r="C26" s="793"/>
      <c r="D26" s="793"/>
      <c r="E26" s="793"/>
      <c r="F26" s="793"/>
      <c r="G26" s="793"/>
      <c r="H26" s="793"/>
      <c r="I26" s="793"/>
      <c r="J26" s="793"/>
      <c r="K26" s="9"/>
      <c r="L26" s="9"/>
      <c r="M26" s="9"/>
      <c r="N26" s="9"/>
      <c r="O26" s="9"/>
      <c r="P26" s="9"/>
      <c r="Q26" s="9"/>
      <c r="R26" s="9"/>
      <c r="S26" s="9"/>
      <c r="T26" s="9"/>
      <c r="U26" s="9"/>
      <c r="V26" s="9"/>
      <c r="W26" s="9"/>
      <c r="AB26" s="9"/>
      <c r="AC26" s="9"/>
    </row>
    <row r="27" spans="2:36" s="89" customFormat="1" ht="20.100000000000001" customHeight="1" x14ac:dyDescent="0.25">
      <c r="B27" s="746"/>
      <c r="C27" s="746"/>
      <c r="D27" s="746"/>
      <c r="E27" s="746"/>
      <c r="F27" s="746"/>
      <c r="G27" s="746"/>
      <c r="H27" s="746"/>
      <c r="I27" s="746"/>
      <c r="J27" s="746"/>
      <c r="K27" s="746"/>
      <c r="L27" s="746"/>
      <c r="M27" s="746"/>
      <c r="N27" s="746"/>
      <c r="O27" s="746"/>
      <c r="P27" s="746"/>
      <c r="Q27" s="746"/>
      <c r="R27" s="746"/>
      <c r="S27" s="746"/>
      <c r="T27" s="746"/>
      <c r="AD27" s="90"/>
    </row>
    <row r="28" spans="2:36" s="89" customFormat="1" ht="20.100000000000001" customHeight="1" x14ac:dyDescent="0.25">
      <c r="B28" s="31"/>
      <c r="C28" s="31"/>
      <c r="D28" s="31"/>
      <c r="E28" s="31"/>
      <c r="F28" s="31"/>
      <c r="G28" s="31"/>
      <c r="H28" s="31"/>
      <c r="I28" s="31"/>
      <c r="K28" s="200"/>
      <c r="L28" s="200"/>
      <c r="M28" s="31"/>
      <c r="N28" s="31"/>
      <c r="O28" s="31"/>
      <c r="P28" s="31"/>
      <c r="Q28" s="31"/>
      <c r="V28" s="194"/>
      <c r="W28" s="199"/>
      <c r="Y28" s="194"/>
      <c r="AC28" s="193"/>
      <c r="AF28" s="194"/>
      <c r="AI28" s="194"/>
      <c r="AJ28" s="199"/>
    </row>
    <row r="29" spans="2:36" s="7" customFormat="1" ht="20.100000000000001" customHeight="1" x14ac:dyDescent="0.25">
      <c r="B29" s="120"/>
      <c r="C29" s="120"/>
      <c r="D29" s="120"/>
      <c r="E29" s="120"/>
      <c r="F29" s="120"/>
      <c r="G29" s="120"/>
      <c r="H29" s="120"/>
      <c r="I29" s="120"/>
      <c r="J29" s="120"/>
      <c r="K29" s="120"/>
      <c r="L29" s="120"/>
      <c r="M29" s="120"/>
      <c r="N29" s="65"/>
      <c r="O29" s="65"/>
      <c r="P29" s="65"/>
      <c r="Q29" s="65"/>
      <c r="R29" s="65"/>
      <c r="S29" s="65"/>
      <c r="T29" s="65"/>
      <c r="U29" s="65"/>
      <c r="V29" s="65"/>
      <c r="W29" s="65"/>
      <c r="X29" s="158"/>
    </row>
  </sheetData>
  <mergeCells count="18">
    <mergeCell ref="B25:M25"/>
    <mergeCell ref="B26:J26"/>
    <mergeCell ref="B27:T27"/>
    <mergeCell ref="D18:M18"/>
    <mergeCell ref="D23:M23"/>
    <mergeCell ref="D24:M24"/>
    <mergeCell ref="B14:M14"/>
    <mergeCell ref="B15:M15"/>
    <mergeCell ref="D17:M17"/>
    <mergeCell ref="D19:M19"/>
    <mergeCell ref="D21:M21"/>
    <mergeCell ref="B13:M13"/>
    <mergeCell ref="B1:X2"/>
    <mergeCell ref="B9:M9"/>
    <mergeCell ref="B10:M10"/>
    <mergeCell ref="B11:M11"/>
    <mergeCell ref="B12:M12"/>
    <mergeCell ref="C4:U4"/>
  </mergeCells>
  <printOptions horizontalCentered="1"/>
  <pageMargins left="0.51181102362204722" right="0.51181102362204722" top="0.78740157480314965" bottom="0.78740157480314965" header="0.31496062992125984" footer="0.31496062992125984"/>
  <pageSetup paperSize="9" scale="74"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556DB-BEF9-42A4-AA09-833C59C0A6E6}">
  <dimension ref="A1:AJ26"/>
  <sheetViews>
    <sheetView showGridLines="0" view="pageBreakPreview" zoomScaleNormal="70" zoomScaleSheetLayoutView="100" workbookViewId="0">
      <selection activeCell="Q14" sqref="Q14:Q15"/>
    </sheetView>
  </sheetViews>
  <sheetFormatPr defaultRowHeight="12.75" x14ac:dyDescent="0.25"/>
  <cols>
    <col min="1" max="1" width="1.7109375" style="30" customWidth="1"/>
    <col min="2" max="2" width="9.140625" style="30" customWidth="1"/>
    <col min="3" max="3" width="8.140625" style="30" customWidth="1"/>
    <col min="4" max="9" width="3.7109375" style="30" customWidth="1"/>
    <col min="10" max="10" width="5.28515625" style="30" customWidth="1"/>
    <col min="11" max="12" width="3.7109375" style="30" customWidth="1"/>
    <col min="13" max="13" width="16" style="31" customWidth="1"/>
    <col min="14" max="15" width="10.7109375" style="30" customWidth="1"/>
    <col min="16" max="16" width="10.85546875" style="30" customWidth="1"/>
    <col min="17" max="23" width="10.7109375" style="30" customWidth="1"/>
    <col min="24" max="24" width="3.5703125" style="159" customWidth="1"/>
    <col min="25" max="25" width="1.7109375" style="30" customWidth="1"/>
    <col min="26" max="16384" width="9.140625" style="30"/>
  </cols>
  <sheetData>
    <row r="1" spans="1:29" s="11" customFormat="1" ht="20.100000000000001" customHeight="1" x14ac:dyDescent="0.25">
      <c r="A1" s="69"/>
      <c r="B1" s="569" t="s">
        <v>133</v>
      </c>
      <c r="C1" s="569"/>
      <c r="D1" s="569"/>
      <c r="E1" s="569"/>
      <c r="F1" s="569"/>
      <c r="G1" s="569"/>
      <c r="H1" s="569"/>
      <c r="I1" s="569"/>
      <c r="J1" s="569"/>
      <c r="K1" s="569"/>
      <c r="L1" s="569"/>
      <c r="M1" s="569"/>
      <c r="N1" s="569"/>
      <c r="O1" s="569"/>
      <c r="P1" s="569"/>
      <c r="Q1" s="569"/>
      <c r="R1" s="569"/>
      <c r="S1" s="569"/>
      <c r="T1" s="569"/>
      <c r="U1" s="569"/>
      <c r="V1" s="569"/>
      <c r="W1" s="569"/>
      <c r="X1" s="569"/>
      <c r="Y1" s="69"/>
      <c r="Z1" s="69"/>
      <c r="AA1" s="69"/>
      <c r="AB1" s="69"/>
      <c r="AC1" s="69"/>
    </row>
    <row r="2" spans="1:29" s="11" customFormat="1" ht="20.100000000000001" customHeight="1" x14ac:dyDescent="0.25">
      <c r="A2" s="69"/>
      <c r="B2" s="569"/>
      <c r="C2" s="569"/>
      <c r="D2" s="569"/>
      <c r="E2" s="569"/>
      <c r="F2" s="569"/>
      <c r="G2" s="569"/>
      <c r="H2" s="569"/>
      <c r="I2" s="569"/>
      <c r="J2" s="569"/>
      <c r="K2" s="569"/>
      <c r="L2" s="569"/>
      <c r="M2" s="569"/>
      <c r="N2" s="569"/>
      <c r="O2" s="569"/>
      <c r="P2" s="569"/>
      <c r="Q2" s="569"/>
      <c r="R2" s="569"/>
      <c r="S2" s="569"/>
      <c r="T2" s="569"/>
      <c r="U2" s="569"/>
      <c r="V2" s="569"/>
      <c r="W2" s="569"/>
      <c r="X2" s="569"/>
      <c r="Y2" s="69"/>
      <c r="Z2" s="69"/>
      <c r="AA2" s="69"/>
      <c r="AB2" s="69"/>
      <c r="AC2" s="69"/>
    </row>
    <row r="3" spans="1:29" s="11" customFormat="1" ht="20.100000000000001" customHeight="1" x14ac:dyDescent="0.25">
      <c r="A3" s="69"/>
      <c r="B3" s="69"/>
      <c r="C3" s="69"/>
      <c r="D3" s="69"/>
      <c r="E3" s="69"/>
      <c r="F3" s="69"/>
      <c r="G3" s="69"/>
      <c r="H3" s="69"/>
      <c r="I3" s="69"/>
      <c r="J3" s="69"/>
      <c r="K3" s="69"/>
      <c r="L3" s="69"/>
      <c r="M3" s="69"/>
      <c r="N3" s="69"/>
      <c r="O3" s="69"/>
      <c r="P3" s="69"/>
      <c r="Q3" s="69"/>
      <c r="R3" s="69"/>
      <c r="S3" s="69"/>
      <c r="T3" s="69"/>
      <c r="U3" s="69"/>
      <c r="V3" s="69"/>
      <c r="W3" s="69"/>
      <c r="X3" s="181"/>
      <c r="Y3" s="69"/>
      <c r="Z3" s="69"/>
      <c r="AA3" s="69"/>
      <c r="AB3" s="69"/>
      <c r="AC3" s="69"/>
    </row>
    <row r="4" spans="1:29"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3" t="s">
        <v>96</v>
      </c>
      <c r="W4" s="4" t="str">
        <f>+'DADOS DA OBRA'!$N$22</f>
        <v>04/11/2024</v>
      </c>
      <c r="X4" s="50"/>
      <c r="Z4" s="32"/>
      <c r="AA4" s="32"/>
      <c r="AB4" s="33"/>
      <c r="AC4" s="33"/>
    </row>
    <row r="5" spans="1:29" s="5" customFormat="1" ht="20.100000000000001" customHeight="1" x14ac:dyDescent="0.25">
      <c r="B5" s="1" t="s">
        <v>18</v>
      </c>
      <c r="C5" s="2" t="str">
        <f>+""&amp;'DADOS DA OBRA'!$B$16&amp;", "&amp;'DADOS DA OBRA'!$B$19&amp;", "&amp;'DADOS DA OBRA'!$J$19&amp;", "&amp;'DADOS DA OBRA'!$P$19</f>
        <v>RUAS DIVERSAS, DIVERSOS, MATRINCHÃ, GO</v>
      </c>
      <c r="D5" s="1"/>
      <c r="E5" s="1"/>
      <c r="F5" s="1"/>
      <c r="G5" s="1"/>
      <c r="H5" s="1"/>
      <c r="I5" s="1"/>
      <c r="V5" s="3" t="s">
        <v>17</v>
      </c>
      <c r="W5" s="4" t="str">
        <f>'DADOS DA OBRA'!$N$25</f>
        <v>00</v>
      </c>
      <c r="X5" s="50"/>
    </row>
    <row r="6" spans="1:29" s="5" customFormat="1" ht="20.100000000000001" customHeight="1" x14ac:dyDescent="0.25">
      <c r="X6" s="50"/>
    </row>
    <row r="7" spans="1:29" s="5" customFormat="1" ht="20.100000000000001" customHeight="1" x14ac:dyDescent="0.25">
      <c r="B7" s="1" t="s">
        <v>97</v>
      </c>
      <c r="C7" s="39" t="s">
        <v>329</v>
      </c>
      <c r="D7" s="1"/>
      <c r="E7" s="1"/>
      <c r="F7" s="1"/>
      <c r="G7" s="1"/>
      <c r="H7" s="1"/>
      <c r="I7" s="1"/>
      <c r="V7" s="3" t="s">
        <v>18</v>
      </c>
      <c r="W7" s="64" t="s">
        <v>239</v>
      </c>
      <c r="X7" s="50"/>
    </row>
    <row r="8" spans="1:29" s="8" customFormat="1" ht="20.100000000000001" customHeight="1" thickBot="1" x14ac:dyDescent="0.3">
      <c r="A8" s="67"/>
      <c r="B8" s="52"/>
      <c r="C8" s="52"/>
      <c r="D8" s="52"/>
      <c r="E8" s="52"/>
      <c r="F8" s="52"/>
      <c r="G8" s="52"/>
      <c r="H8" s="52"/>
      <c r="I8" s="52"/>
      <c r="J8" s="53"/>
      <c r="K8" s="9"/>
      <c r="L8" s="9"/>
      <c r="M8" s="9"/>
      <c r="N8" s="10"/>
      <c r="O8" s="10"/>
      <c r="P8" s="9"/>
      <c r="Q8" s="67"/>
      <c r="R8" s="67"/>
      <c r="S8" s="67"/>
      <c r="T8" s="67"/>
      <c r="U8" s="67"/>
      <c r="V8" s="67"/>
      <c r="W8" s="67"/>
      <c r="X8" s="164"/>
      <c r="Y8" s="67"/>
      <c r="Z8" s="67"/>
      <c r="AA8" s="67"/>
      <c r="AB8" s="67"/>
      <c r="AC8" s="67"/>
    </row>
    <row r="9" spans="1:29" s="8" customFormat="1" ht="26.25" customHeight="1" x14ac:dyDescent="0.25">
      <c r="A9" s="67"/>
      <c r="B9" s="858"/>
      <c r="C9" s="859"/>
      <c r="D9" s="859"/>
      <c r="E9" s="859"/>
      <c r="F9" s="859"/>
      <c r="G9" s="859"/>
      <c r="H9" s="859"/>
      <c r="I9" s="859"/>
      <c r="J9" s="860"/>
      <c r="K9" s="860"/>
      <c r="L9" s="860"/>
      <c r="M9" s="860"/>
      <c r="N9" s="162" t="s">
        <v>680</v>
      </c>
      <c r="O9" s="162" t="s">
        <v>681</v>
      </c>
      <c r="P9" s="162"/>
      <c r="Q9" s="162"/>
      <c r="R9" s="162"/>
      <c r="S9" s="162"/>
      <c r="T9" s="162"/>
      <c r="U9" s="162"/>
      <c r="V9" s="162"/>
      <c r="W9" s="151" t="s">
        <v>203</v>
      </c>
      <c r="X9" s="163"/>
      <c r="Y9" s="67"/>
      <c r="Z9" s="67"/>
      <c r="AA9" s="67"/>
      <c r="AB9" s="67"/>
      <c r="AC9" s="67"/>
    </row>
    <row r="10" spans="1:29" s="8" customFormat="1" ht="20.100000000000001" customHeight="1" x14ac:dyDescent="0.25">
      <c r="A10" s="67"/>
      <c r="B10" s="861" t="s">
        <v>204</v>
      </c>
      <c r="C10" s="862"/>
      <c r="D10" s="862"/>
      <c r="E10" s="862"/>
      <c r="F10" s="862"/>
      <c r="G10" s="862"/>
      <c r="H10" s="862"/>
      <c r="I10" s="862"/>
      <c r="J10" s="863"/>
      <c r="K10" s="863"/>
      <c r="L10" s="863"/>
      <c r="M10" s="863"/>
      <c r="N10" s="152">
        <v>6.6</v>
      </c>
      <c r="O10" s="152">
        <v>17.11</v>
      </c>
      <c r="P10" s="152"/>
      <c r="Q10" s="152"/>
      <c r="R10" s="152"/>
      <c r="S10" s="152"/>
      <c r="T10" s="152"/>
      <c r="U10" s="152"/>
      <c r="V10" s="152"/>
      <c r="W10" s="152"/>
      <c r="X10" s="184" t="s">
        <v>41</v>
      </c>
      <c r="Y10" s="67"/>
      <c r="Z10" s="67"/>
      <c r="AA10" s="67"/>
      <c r="AB10" s="67"/>
      <c r="AC10" s="67"/>
    </row>
    <row r="11" spans="1:29" s="7" customFormat="1" ht="20.100000000000001" customHeight="1" x14ac:dyDescent="0.25">
      <c r="B11" s="861" t="s">
        <v>205</v>
      </c>
      <c r="C11" s="862"/>
      <c r="D11" s="862"/>
      <c r="E11" s="862"/>
      <c r="F11" s="862"/>
      <c r="G11" s="862"/>
      <c r="H11" s="862"/>
      <c r="I11" s="862"/>
      <c r="J11" s="863"/>
      <c r="K11" s="863"/>
      <c r="L11" s="863"/>
      <c r="M11" s="863"/>
      <c r="N11" s="152">
        <v>1.05</v>
      </c>
      <c r="O11" s="152">
        <v>4</v>
      </c>
      <c r="P11" s="152"/>
      <c r="Q11" s="152"/>
      <c r="R11" s="152"/>
      <c r="S11" s="152"/>
      <c r="T11" s="152"/>
      <c r="U11" s="152"/>
      <c r="V11" s="152"/>
      <c r="W11" s="152"/>
      <c r="X11" s="185" t="s">
        <v>41</v>
      </c>
    </row>
    <row r="12" spans="1:29" s="8" customFormat="1" ht="20.100000000000001" customHeight="1" x14ac:dyDescent="0.25">
      <c r="A12" s="67"/>
      <c r="B12" s="861" t="s">
        <v>206</v>
      </c>
      <c r="C12" s="862"/>
      <c r="D12" s="862"/>
      <c r="E12" s="862"/>
      <c r="F12" s="862"/>
      <c r="G12" s="862"/>
      <c r="H12" s="862"/>
      <c r="I12" s="862"/>
      <c r="J12" s="863"/>
      <c r="K12" s="863"/>
      <c r="L12" s="863"/>
      <c r="M12" s="863"/>
      <c r="N12" s="153">
        <f t="shared" ref="N12:O12" si="0">+N10*N11</f>
        <v>6.93</v>
      </c>
      <c r="O12" s="153">
        <f t="shared" si="0"/>
        <v>68.44</v>
      </c>
      <c r="P12" s="153"/>
      <c r="Q12" s="153"/>
      <c r="R12" s="153"/>
      <c r="S12" s="153"/>
      <c r="T12" s="153"/>
      <c r="U12" s="153"/>
      <c r="V12" s="153"/>
      <c r="W12" s="153"/>
      <c r="X12" s="186" t="s">
        <v>19</v>
      </c>
      <c r="Y12" s="67"/>
      <c r="Z12" s="67"/>
      <c r="AA12" s="67"/>
      <c r="AB12" s="67"/>
      <c r="AC12" s="67"/>
    </row>
    <row r="13" spans="1:29" s="8" customFormat="1" ht="20.100000000000001" customHeight="1" x14ac:dyDescent="0.25">
      <c r="A13" s="67"/>
      <c r="B13" s="861" t="s">
        <v>207</v>
      </c>
      <c r="C13" s="862"/>
      <c r="D13" s="862"/>
      <c r="E13" s="862"/>
      <c r="F13" s="862"/>
      <c r="G13" s="862"/>
      <c r="H13" s="862"/>
      <c r="I13" s="862"/>
      <c r="J13" s="863"/>
      <c r="K13" s="863"/>
      <c r="L13" s="863"/>
      <c r="M13" s="863"/>
      <c r="N13" s="152">
        <v>30.21</v>
      </c>
      <c r="O13" s="152"/>
      <c r="P13" s="152"/>
      <c r="Q13" s="152"/>
      <c r="R13" s="152"/>
      <c r="S13" s="152"/>
      <c r="T13" s="152"/>
      <c r="U13" s="152"/>
      <c r="V13" s="152"/>
      <c r="W13" s="152"/>
      <c r="X13" s="184" t="s">
        <v>19</v>
      </c>
      <c r="Y13" s="67"/>
      <c r="Z13" s="67"/>
      <c r="AA13" s="67"/>
      <c r="AB13" s="67"/>
      <c r="AC13" s="67"/>
    </row>
    <row r="14" spans="1:29" s="8" customFormat="1" ht="20.100000000000001" customHeight="1" x14ac:dyDescent="0.25">
      <c r="A14" s="67"/>
      <c r="B14" s="861" t="s">
        <v>208</v>
      </c>
      <c r="C14" s="862"/>
      <c r="D14" s="862"/>
      <c r="E14" s="862"/>
      <c r="F14" s="862"/>
      <c r="G14" s="862"/>
      <c r="H14" s="862"/>
      <c r="I14" s="862"/>
      <c r="J14" s="863"/>
      <c r="K14" s="863"/>
      <c r="L14" s="863"/>
      <c r="M14" s="863"/>
      <c r="N14" s="153"/>
      <c r="O14" s="153"/>
      <c r="P14" s="153"/>
      <c r="Q14" s="153"/>
      <c r="R14" s="153"/>
      <c r="S14" s="153"/>
      <c r="T14" s="153"/>
      <c r="U14" s="153"/>
      <c r="V14" s="153"/>
      <c r="W14" s="153"/>
      <c r="X14" s="186" t="s">
        <v>19</v>
      </c>
      <c r="Y14" s="67"/>
      <c r="Z14" s="67"/>
      <c r="AA14" s="67"/>
      <c r="AB14" s="67"/>
      <c r="AC14" s="67"/>
    </row>
    <row r="15" spans="1:29" s="8" customFormat="1" ht="20.100000000000001" customHeight="1" thickBot="1" x14ac:dyDescent="0.3">
      <c r="A15" s="67"/>
      <c r="B15" s="864" t="s">
        <v>209</v>
      </c>
      <c r="C15" s="865"/>
      <c r="D15" s="865"/>
      <c r="E15" s="865"/>
      <c r="F15" s="865"/>
      <c r="G15" s="865"/>
      <c r="H15" s="865"/>
      <c r="I15" s="865"/>
      <c r="J15" s="866"/>
      <c r="K15" s="866"/>
      <c r="L15" s="866"/>
      <c r="M15" s="866"/>
      <c r="N15" s="154">
        <f t="shared" ref="N15:O15" si="1">+N12+N13-N14</f>
        <v>37.14</v>
      </c>
      <c r="O15" s="154">
        <f t="shared" si="1"/>
        <v>68.44</v>
      </c>
      <c r="P15" s="154"/>
      <c r="Q15" s="154"/>
      <c r="R15" s="154"/>
      <c r="S15" s="154"/>
      <c r="T15" s="154"/>
      <c r="U15" s="154"/>
      <c r="V15" s="154"/>
      <c r="W15" s="154"/>
      <c r="X15" s="187" t="s">
        <v>19</v>
      </c>
      <c r="Y15" s="67"/>
      <c r="Z15" s="67"/>
      <c r="AA15" s="67"/>
      <c r="AB15" s="67"/>
      <c r="AC15" s="67"/>
    </row>
    <row r="16" spans="1:29" s="8" customFormat="1" ht="24.95" customHeight="1" x14ac:dyDescent="0.25">
      <c r="A16" s="67"/>
      <c r="B16" s="155" t="s">
        <v>210</v>
      </c>
      <c r="C16" s="156"/>
      <c r="D16" s="156"/>
      <c r="E16" s="156"/>
      <c r="F16" s="156"/>
      <c r="G16" s="156"/>
      <c r="H16" s="156"/>
      <c r="I16" s="156"/>
      <c r="J16" s="156"/>
      <c r="K16" s="156"/>
      <c r="L16" s="156"/>
      <c r="M16" s="157"/>
      <c r="N16" s="160"/>
      <c r="O16" s="160"/>
      <c r="P16" s="161"/>
      <c r="Q16" s="188"/>
      <c r="R16" s="188"/>
      <c r="S16" s="188"/>
      <c r="T16" s="188"/>
      <c r="U16" s="188"/>
      <c r="V16" s="188"/>
      <c r="W16" s="188"/>
      <c r="X16" s="189"/>
      <c r="Y16" s="67"/>
      <c r="Z16" s="67"/>
      <c r="AA16" s="67"/>
      <c r="AB16" s="67"/>
      <c r="AC16" s="67"/>
    </row>
    <row r="17" spans="2:36" s="8" customFormat="1" ht="24.95" customHeight="1" x14ac:dyDescent="0.25">
      <c r="B17" s="213" t="s">
        <v>218</v>
      </c>
      <c r="C17" s="212" t="s">
        <v>683</v>
      </c>
      <c r="D17" s="853" t="s">
        <v>682</v>
      </c>
      <c r="E17" s="853"/>
      <c r="F17" s="853"/>
      <c r="G17" s="853"/>
      <c r="H17" s="853"/>
      <c r="I17" s="853"/>
      <c r="J17" s="853"/>
      <c r="K17" s="853"/>
      <c r="L17" s="853"/>
      <c r="M17" s="854"/>
      <c r="N17" s="129">
        <f>+N15</f>
        <v>37.14</v>
      </c>
      <c r="O17" s="129"/>
      <c r="P17" s="129"/>
      <c r="Q17" s="129"/>
      <c r="R17" s="129"/>
      <c r="S17" s="129"/>
      <c r="T17" s="129"/>
      <c r="U17" s="129"/>
      <c r="V17" s="129"/>
      <c r="W17" s="135">
        <f>SUM(N17:V17)</f>
        <v>37.14</v>
      </c>
      <c r="X17" s="148" t="s">
        <v>222</v>
      </c>
    </row>
    <row r="18" spans="2:36" s="8" customFormat="1" ht="24.95" customHeight="1" x14ac:dyDescent="0.25">
      <c r="B18" s="213" t="s">
        <v>218</v>
      </c>
      <c r="C18" s="212" t="s">
        <v>685</v>
      </c>
      <c r="D18" s="853" t="s">
        <v>684</v>
      </c>
      <c r="E18" s="853"/>
      <c r="F18" s="853"/>
      <c r="G18" s="853"/>
      <c r="H18" s="853"/>
      <c r="I18" s="853"/>
      <c r="J18" s="853"/>
      <c r="K18" s="853"/>
      <c r="L18" s="853"/>
      <c r="M18" s="854"/>
      <c r="N18" s="129"/>
      <c r="O18" s="129">
        <f>+O15</f>
        <v>68.44</v>
      </c>
      <c r="P18" s="129"/>
      <c r="Q18" s="129"/>
      <c r="R18" s="129"/>
      <c r="S18" s="129"/>
      <c r="T18" s="129"/>
      <c r="U18" s="129"/>
      <c r="V18" s="129"/>
      <c r="W18" s="135">
        <f>SUM(N18:V18)</f>
        <v>68.44</v>
      </c>
      <c r="X18" s="148" t="s">
        <v>222</v>
      </c>
    </row>
    <row r="19" spans="2:36" s="7" customFormat="1" ht="24.95" customHeight="1" thickBot="1" x14ac:dyDescent="0.3">
      <c r="B19" s="855"/>
      <c r="C19" s="856"/>
      <c r="D19" s="856"/>
      <c r="E19" s="856"/>
      <c r="F19" s="856"/>
      <c r="G19" s="856"/>
      <c r="H19" s="856"/>
      <c r="I19" s="856"/>
      <c r="J19" s="856"/>
      <c r="K19" s="856"/>
      <c r="L19" s="856"/>
      <c r="M19" s="857"/>
      <c r="N19" s="149"/>
      <c r="O19" s="149"/>
      <c r="P19" s="149"/>
      <c r="Q19" s="149"/>
      <c r="R19" s="149"/>
      <c r="S19" s="149"/>
      <c r="T19" s="149"/>
      <c r="U19" s="149"/>
      <c r="V19" s="149"/>
      <c r="W19" s="137"/>
      <c r="X19" s="150"/>
    </row>
    <row r="20" spans="2:36" s="88" customFormat="1" ht="30" customHeight="1" x14ac:dyDescent="0.25">
      <c r="B20" s="793"/>
      <c r="C20" s="793"/>
      <c r="D20" s="793"/>
      <c r="E20" s="793"/>
      <c r="F20" s="793"/>
      <c r="G20" s="793"/>
      <c r="H20" s="793"/>
      <c r="I20" s="793"/>
      <c r="J20" s="793"/>
      <c r="K20" s="9"/>
      <c r="L20" s="9"/>
      <c r="M20" s="9"/>
      <c r="N20" s="9"/>
      <c r="O20" s="9"/>
      <c r="P20" s="9"/>
      <c r="Q20" s="9"/>
      <c r="R20" s="9"/>
      <c r="S20" s="9"/>
      <c r="T20" s="9"/>
      <c r="U20" s="9"/>
      <c r="V20" s="9"/>
      <c r="W20" s="9"/>
      <c r="AB20" s="9"/>
      <c r="AC20" s="9"/>
    </row>
    <row r="21" spans="2:36" s="89" customFormat="1" ht="20.100000000000001" customHeight="1" x14ac:dyDescent="0.25">
      <c r="B21" s="746"/>
      <c r="C21" s="746"/>
      <c r="D21" s="746"/>
      <c r="E21" s="746"/>
      <c r="F21" s="746"/>
      <c r="G21" s="746"/>
      <c r="H21" s="746"/>
      <c r="I21" s="746"/>
      <c r="J21" s="746"/>
      <c r="K21" s="746"/>
      <c r="L21" s="746"/>
      <c r="M21" s="746"/>
      <c r="N21" s="746"/>
      <c r="O21" s="746"/>
      <c r="P21" s="746"/>
      <c r="Q21" s="746"/>
      <c r="R21" s="746"/>
      <c r="S21" s="746"/>
      <c r="T21" s="746"/>
      <c r="AD21" s="90"/>
    </row>
    <row r="22" spans="2:36" s="89" customFormat="1" ht="20.100000000000001" customHeight="1" x14ac:dyDescent="0.25">
      <c r="B22" s="31"/>
      <c r="C22" s="31"/>
      <c r="D22" s="31"/>
      <c r="E22" s="31"/>
      <c r="F22" s="31"/>
      <c r="G22" s="31"/>
      <c r="H22" s="31"/>
      <c r="I22" s="31"/>
      <c r="K22" s="200"/>
      <c r="L22" s="200"/>
      <c r="M22" s="31"/>
      <c r="N22" s="31"/>
      <c r="O22" s="31"/>
      <c r="P22" s="31"/>
      <c r="Q22" s="31"/>
      <c r="V22" s="194"/>
      <c r="W22" s="199"/>
      <c r="Y22" s="194"/>
      <c r="AC22" s="193"/>
      <c r="AF22" s="194"/>
      <c r="AI22" s="194"/>
      <c r="AJ22" s="199"/>
    </row>
    <row r="23" spans="2:36" s="7" customFormat="1" ht="20.100000000000001" customHeight="1" x14ac:dyDescent="0.25">
      <c r="B23" s="120"/>
      <c r="C23" s="120"/>
      <c r="D23" s="120"/>
      <c r="E23" s="120"/>
      <c r="F23" s="120"/>
      <c r="G23" s="120"/>
      <c r="H23" s="120"/>
      <c r="I23" s="120"/>
      <c r="J23" s="120"/>
      <c r="K23" s="120"/>
      <c r="L23" s="120"/>
      <c r="M23" s="120"/>
      <c r="N23" s="65"/>
      <c r="O23" s="65"/>
      <c r="P23" s="65"/>
      <c r="Q23" s="65"/>
      <c r="R23" s="65"/>
      <c r="S23" s="65"/>
      <c r="T23" s="65"/>
      <c r="U23" s="65"/>
      <c r="V23" s="65"/>
      <c r="W23" s="65"/>
      <c r="X23" s="158"/>
    </row>
    <row r="24" spans="2:36" s="7" customFormat="1" ht="20.100000000000001" customHeight="1" x14ac:dyDescent="0.25">
      <c r="B24" s="120"/>
      <c r="C24" s="120"/>
      <c r="D24" s="120"/>
      <c r="E24" s="120"/>
      <c r="F24" s="120"/>
      <c r="G24" s="120"/>
      <c r="H24" s="120"/>
      <c r="I24" s="120"/>
      <c r="J24" s="120"/>
      <c r="K24" s="120"/>
      <c r="L24" s="120"/>
      <c r="M24" s="120"/>
      <c r="N24" s="65"/>
      <c r="O24" s="65"/>
      <c r="P24" s="65"/>
      <c r="Q24" s="65"/>
      <c r="R24" s="65"/>
      <c r="S24" s="65"/>
      <c r="T24" s="65"/>
      <c r="U24" s="65"/>
      <c r="V24" s="65"/>
      <c r="W24" s="65"/>
      <c r="X24" s="158"/>
    </row>
    <row r="25" spans="2:36" s="7" customFormat="1" ht="20.100000000000001" customHeight="1" x14ac:dyDescent="0.25">
      <c r="B25" s="120"/>
      <c r="C25" s="120"/>
      <c r="D25" s="120"/>
      <c r="E25" s="120"/>
      <c r="F25" s="120"/>
      <c r="G25" s="120"/>
      <c r="H25" s="120"/>
      <c r="I25" s="120"/>
      <c r="J25" s="120"/>
      <c r="K25" s="120"/>
      <c r="L25" s="120"/>
      <c r="M25" s="120"/>
      <c r="N25" s="65"/>
      <c r="O25" s="65"/>
      <c r="P25" s="65"/>
      <c r="Q25" s="65"/>
      <c r="R25" s="65"/>
      <c r="S25" s="65"/>
      <c r="T25" s="65"/>
      <c r="U25" s="65"/>
      <c r="V25" s="65"/>
      <c r="W25" s="65"/>
      <c r="X25" s="158"/>
    </row>
    <row r="26" spans="2:36" s="7" customFormat="1" ht="20.100000000000001" customHeight="1" x14ac:dyDescent="0.25">
      <c r="B26" s="120"/>
      <c r="C26" s="120"/>
      <c r="D26" s="120"/>
      <c r="E26" s="120"/>
      <c r="F26" s="120"/>
      <c r="G26" s="120"/>
      <c r="H26" s="120"/>
      <c r="I26" s="120"/>
      <c r="J26" s="120"/>
      <c r="K26" s="120"/>
      <c r="L26" s="120"/>
      <c r="M26" s="120"/>
      <c r="N26" s="65"/>
      <c r="O26" s="65"/>
      <c r="P26" s="65"/>
      <c r="Q26" s="65"/>
      <c r="R26" s="65"/>
      <c r="S26" s="65"/>
      <c r="T26" s="65"/>
      <c r="U26" s="65"/>
      <c r="V26" s="65"/>
      <c r="W26" s="65"/>
      <c r="X26" s="158"/>
    </row>
  </sheetData>
  <mergeCells count="14">
    <mergeCell ref="B21:T21"/>
    <mergeCell ref="B14:M14"/>
    <mergeCell ref="B15:M15"/>
    <mergeCell ref="D17:M17"/>
    <mergeCell ref="D18:M18"/>
    <mergeCell ref="B19:M19"/>
    <mergeCell ref="B20:J20"/>
    <mergeCell ref="B13:M13"/>
    <mergeCell ref="B1:X2"/>
    <mergeCell ref="B9:M9"/>
    <mergeCell ref="B10:M10"/>
    <mergeCell ref="B11:M11"/>
    <mergeCell ref="B12:M12"/>
    <mergeCell ref="C4:U4"/>
  </mergeCells>
  <printOptions horizontalCentered="1"/>
  <pageMargins left="0.51181102362204722" right="0.51181102362204722" top="0.78740157480314965" bottom="0.78740157480314965" header="0.31496062992125984" footer="0.31496062992125984"/>
  <pageSetup paperSize="9" scale="74"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954D-33AE-4BFB-A5E1-0C7DDFD2F277}">
  <dimension ref="A1:AF42"/>
  <sheetViews>
    <sheetView showGridLines="0" view="pageBreakPreview" topLeftCell="A15" zoomScale="85" zoomScaleNormal="70" zoomScaleSheetLayoutView="85" workbookViewId="0">
      <selection activeCell="Q14" sqref="Q14:Q15"/>
    </sheetView>
  </sheetViews>
  <sheetFormatPr defaultRowHeight="15" x14ac:dyDescent="0.25"/>
  <cols>
    <col min="1" max="2" width="1.7109375" style="222" customWidth="1"/>
    <col min="3" max="3" width="3.5703125" style="222" customWidth="1"/>
    <col min="4" max="4" width="4.42578125" style="222" customWidth="1"/>
    <col min="5" max="5" width="13.140625" style="222" customWidth="1"/>
    <col min="6" max="6" width="15.7109375" style="224" customWidth="1"/>
    <col min="7" max="7" width="9.28515625" style="224" customWidth="1"/>
    <col min="8" max="8" width="29.42578125" style="222" bestFit="1" customWidth="1"/>
    <col min="9" max="9" width="12.7109375" style="224" customWidth="1"/>
    <col min="10" max="12" width="9.7109375" style="225" customWidth="1"/>
    <col min="13" max="13" width="38" style="222" customWidth="1"/>
    <col min="14" max="14" width="12.7109375" style="224" customWidth="1"/>
    <col min="15" max="16" width="9.7109375" style="225" customWidth="1"/>
    <col min="17" max="17" width="1.7109375" style="222" customWidth="1"/>
    <col min="18" max="18" width="9.140625" style="222"/>
    <col min="19" max="22" width="9.140625" style="222" hidden="1" customWidth="1"/>
    <col min="23" max="23" width="9.140625" style="222" customWidth="1"/>
    <col min="24" max="16384" width="9.140625" style="222"/>
  </cols>
  <sheetData>
    <row r="1" spans="1:32" s="11" customFormat="1" ht="20.100000000000001" customHeight="1" x14ac:dyDescent="0.25">
      <c r="A1" s="69"/>
      <c r="B1" s="569" t="s">
        <v>133</v>
      </c>
      <c r="C1" s="569"/>
      <c r="D1" s="569"/>
      <c r="E1" s="569"/>
      <c r="F1" s="569"/>
      <c r="G1" s="569"/>
      <c r="H1" s="569"/>
      <c r="I1" s="569"/>
      <c r="J1" s="569"/>
      <c r="K1" s="569"/>
      <c r="L1" s="569"/>
      <c r="M1" s="569"/>
      <c r="N1" s="569"/>
      <c r="O1" s="569"/>
      <c r="P1" s="569"/>
      <c r="Q1" s="226"/>
      <c r="R1" s="226"/>
      <c r="S1" s="226"/>
      <c r="T1" s="226"/>
      <c r="U1" s="226"/>
      <c r="V1" s="226"/>
      <c r="W1" s="226"/>
      <c r="X1" s="226"/>
      <c r="Y1" s="226"/>
      <c r="Z1" s="226"/>
      <c r="AA1" s="226"/>
      <c r="AB1" s="69"/>
      <c r="AC1" s="69"/>
      <c r="AD1" s="69"/>
      <c r="AE1" s="69"/>
      <c r="AF1" s="69"/>
    </row>
    <row r="2" spans="1:32" s="11" customFormat="1" ht="20.100000000000001" customHeight="1" x14ac:dyDescent="0.25">
      <c r="A2" s="69"/>
      <c r="B2" s="569"/>
      <c r="C2" s="569"/>
      <c r="D2" s="569"/>
      <c r="E2" s="569"/>
      <c r="F2" s="569"/>
      <c r="G2" s="569"/>
      <c r="H2" s="569"/>
      <c r="I2" s="569"/>
      <c r="J2" s="569"/>
      <c r="K2" s="569"/>
      <c r="L2" s="569"/>
      <c r="M2" s="569"/>
      <c r="N2" s="569"/>
      <c r="O2" s="569"/>
      <c r="P2" s="569"/>
      <c r="Q2" s="226"/>
      <c r="R2" s="226"/>
      <c r="S2" s="226"/>
      <c r="T2" s="226"/>
      <c r="U2" s="226"/>
      <c r="V2" s="226"/>
      <c r="W2" s="226"/>
      <c r="X2" s="226"/>
      <c r="Y2" s="226"/>
      <c r="Z2" s="226"/>
      <c r="AA2" s="226"/>
      <c r="AB2" s="69"/>
      <c r="AC2" s="69"/>
      <c r="AD2" s="69"/>
      <c r="AE2" s="69"/>
      <c r="AF2" s="69"/>
    </row>
    <row r="3" spans="1:32" s="11" customFormat="1" ht="15" customHeight="1" x14ac:dyDescent="0.25">
      <c r="A3" s="69"/>
      <c r="B3" s="69"/>
      <c r="C3" s="69"/>
      <c r="D3" s="69"/>
      <c r="E3" s="69"/>
      <c r="F3" s="69"/>
      <c r="G3" s="69"/>
      <c r="H3" s="69"/>
      <c r="I3" s="69"/>
      <c r="J3" s="69"/>
      <c r="K3" s="69"/>
      <c r="L3" s="69"/>
      <c r="M3" s="69"/>
      <c r="N3" s="69"/>
      <c r="Q3" s="69"/>
      <c r="R3" s="69"/>
      <c r="S3" s="69"/>
      <c r="T3" s="69"/>
      <c r="U3" s="69"/>
      <c r="V3" s="69"/>
      <c r="W3" s="69"/>
      <c r="X3" s="69"/>
      <c r="Y3" s="69"/>
      <c r="Z3" s="69"/>
      <c r="AA3" s="181"/>
      <c r="AB3" s="69"/>
      <c r="AC3" s="69"/>
      <c r="AD3" s="69"/>
      <c r="AE3" s="69"/>
      <c r="AF3" s="69"/>
    </row>
    <row r="4" spans="1:32" s="5" customFormat="1" ht="24.95" customHeight="1" x14ac:dyDescent="0.25">
      <c r="B4" s="1" t="s">
        <v>16</v>
      </c>
      <c r="D4" s="1"/>
      <c r="E4" s="674" t="str">
        <f>'DADOS DA OBRA'!$B$13</f>
        <v>DEMOLIÇÃO DO RESERVATÓRIO EXISTENTE, EXECUÇÃO DE RESERVATÓRIO METÁLICO ELEVADO E REESTRUTURAÇÃO (COM AMPLIAÇÃO) DA REDE DE DISTRIBUIÇÃO DE ÁGUA TRATADA EXISTENTE NO MUNICÍPIO DE MATRINCHÃ</v>
      </c>
      <c r="F4" s="674"/>
      <c r="G4" s="674"/>
      <c r="H4" s="674"/>
      <c r="I4" s="674"/>
      <c r="J4" s="674"/>
      <c r="K4" s="674"/>
      <c r="L4" s="674"/>
      <c r="M4" s="674"/>
      <c r="N4" s="3" t="s">
        <v>96</v>
      </c>
      <c r="O4" s="4" t="str">
        <f>+'DADOS DA OBRA'!$N$22</f>
        <v>04/11/2024</v>
      </c>
      <c r="Q4" s="2"/>
      <c r="R4" s="2"/>
      <c r="S4" s="2"/>
      <c r="T4" s="2"/>
      <c r="U4" s="2"/>
      <c r="V4" s="2"/>
      <c r="W4" s="2"/>
      <c r="AA4" s="50"/>
      <c r="AC4" s="32"/>
      <c r="AD4" s="32"/>
      <c r="AE4" s="33"/>
      <c r="AF4" s="33"/>
    </row>
    <row r="5" spans="1:32" s="5" customFormat="1" ht="20.100000000000001" customHeight="1" x14ac:dyDescent="0.25">
      <c r="B5" s="1" t="s">
        <v>18</v>
      </c>
      <c r="D5" s="1"/>
      <c r="E5" s="2" t="str">
        <f>+""&amp;'DADOS DA OBRA'!$B$16&amp;", "&amp;'DADOS DA OBRA'!$B$19&amp;", "&amp;'DADOS DA OBRA'!$J$19&amp;", "&amp;'DADOS DA OBRA'!$P$19</f>
        <v>RUAS DIVERSAS, DIVERSOS, MATRINCHÃ, GO</v>
      </c>
      <c r="F5" s="1"/>
      <c r="G5" s="1"/>
      <c r="H5" s="1"/>
      <c r="I5" s="1"/>
      <c r="N5" s="3" t="s">
        <v>17</v>
      </c>
      <c r="O5" s="4" t="str">
        <f>'DADOS DA OBRA'!$N$25</f>
        <v>00</v>
      </c>
      <c r="AA5" s="50"/>
    </row>
    <row r="6" spans="1:32" s="5" customFormat="1" ht="20.100000000000001" customHeight="1" x14ac:dyDescent="0.25">
      <c r="AA6" s="50"/>
    </row>
    <row r="7" spans="1:32" s="5" customFormat="1" ht="20.100000000000001" customHeight="1" x14ac:dyDescent="0.25">
      <c r="B7" s="1" t="s">
        <v>97</v>
      </c>
      <c r="D7" s="1"/>
      <c r="E7" s="39" t="s">
        <v>345</v>
      </c>
      <c r="F7" s="1"/>
      <c r="G7" s="1"/>
      <c r="H7" s="1"/>
      <c r="I7" s="1"/>
      <c r="N7" s="3" t="s">
        <v>18</v>
      </c>
      <c r="O7" s="64" t="s">
        <v>239</v>
      </c>
      <c r="AA7" s="50"/>
    </row>
    <row r="8" spans="1:32" s="8" customFormat="1" ht="20.100000000000001" customHeight="1" thickBot="1" x14ac:dyDescent="0.3">
      <c r="A8" s="67"/>
      <c r="B8" s="52"/>
      <c r="C8" s="52"/>
      <c r="D8" s="52"/>
      <c r="E8" s="52"/>
      <c r="F8" s="52"/>
      <c r="G8" s="52"/>
      <c r="H8" s="52"/>
      <c r="I8" s="52"/>
      <c r="J8" s="53"/>
      <c r="K8" s="9"/>
      <c r="L8" s="9"/>
      <c r="M8" s="9"/>
      <c r="N8" s="10"/>
      <c r="O8" s="10"/>
      <c r="P8" s="9"/>
      <c r="Q8" s="67"/>
      <c r="R8" s="67"/>
      <c r="S8" s="67"/>
      <c r="T8" s="67"/>
      <c r="U8" s="67"/>
      <c r="V8" s="67"/>
      <c r="W8" s="67"/>
      <c r="X8" s="67"/>
      <c r="Y8" s="67"/>
      <c r="Z8" s="67"/>
      <c r="AA8" s="164"/>
      <c r="AB8" s="67"/>
      <c r="AC8" s="67"/>
      <c r="AD8" s="67"/>
      <c r="AE8" s="67"/>
      <c r="AF8" s="67"/>
    </row>
    <row r="9" spans="1:32" s="223" customFormat="1" ht="24.95" customHeight="1" x14ac:dyDescent="0.25">
      <c r="B9" s="895" t="s">
        <v>430</v>
      </c>
      <c r="C9" s="896"/>
      <c r="D9" s="896"/>
      <c r="E9" s="896"/>
      <c r="F9" s="896" t="s">
        <v>431</v>
      </c>
      <c r="G9" s="899" t="s">
        <v>432</v>
      </c>
      <c r="H9" s="895" t="s">
        <v>433</v>
      </c>
      <c r="I9" s="896"/>
      <c r="J9" s="896"/>
      <c r="K9" s="896"/>
      <c r="L9" s="899"/>
      <c r="M9" s="895" t="s">
        <v>436</v>
      </c>
      <c r="N9" s="896"/>
      <c r="O9" s="238" t="s">
        <v>344</v>
      </c>
      <c r="P9" s="239">
        <v>0.1</v>
      </c>
    </row>
    <row r="10" spans="1:32" s="223" customFormat="1" ht="24.95" customHeight="1" thickBot="1" x14ac:dyDescent="0.3">
      <c r="B10" s="897"/>
      <c r="C10" s="898"/>
      <c r="D10" s="898"/>
      <c r="E10" s="898"/>
      <c r="F10" s="898"/>
      <c r="G10" s="900"/>
      <c r="H10" s="245" t="s">
        <v>191</v>
      </c>
      <c r="I10" s="246" t="s">
        <v>434</v>
      </c>
      <c r="J10" s="247" t="s">
        <v>435</v>
      </c>
      <c r="K10" s="247" t="s">
        <v>143</v>
      </c>
      <c r="L10" s="248" t="s">
        <v>104</v>
      </c>
      <c r="M10" s="245" t="s">
        <v>191</v>
      </c>
      <c r="N10" s="246" t="s">
        <v>434</v>
      </c>
      <c r="O10" s="247" t="s">
        <v>147</v>
      </c>
      <c r="P10" s="248" t="s">
        <v>104</v>
      </c>
      <c r="T10" s="223" t="s">
        <v>358</v>
      </c>
    </row>
    <row r="11" spans="1:32" ht="15" customHeight="1" x14ac:dyDescent="0.25">
      <c r="B11" s="893"/>
      <c r="C11" s="894"/>
      <c r="D11" s="894"/>
      <c r="E11" s="894"/>
      <c r="F11" s="240"/>
      <c r="G11" s="241">
        <v>1</v>
      </c>
      <c r="H11" s="242" t="s">
        <v>357</v>
      </c>
      <c r="I11" s="240" t="s">
        <v>337</v>
      </c>
      <c r="J11" s="284">
        <v>1</v>
      </c>
      <c r="K11" s="284">
        <v>5.8</v>
      </c>
      <c r="L11" s="285">
        <f t="shared" ref="L11:L13" si="0">+J11*K11</f>
        <v>5.8</v>
      </c>
      <c r="M11" s="242" t="s">
        <v>338</v>
      </c>
      <c r="N11" s="240" t="s">
        <v>339</v>
      </c>
      <c r="O11" s="243">
        <v>3</v>
      </c>
      <c r="P11" s="244">
        <f>+O11*K11*J11*(1+$P$9)</f>
        <v>19.14</v>
      </c>
      <c r="S11" s="264">
        <f>+(K11/3)*J11</f>
        <v>1.9333333333333333</v>
      </c>
      <c r="T11" s="264">
        <f>+ROUNDDOWN(S11,0)</f>
        <v>1</v>
      </c>
    </row>
    <row r="12" spans="1:32" ht="15" customHeight="1" x14ac:dyDescent="0.25">
      <c r="B12" s="889"/>
      <c r="C12" s="890"/>
      <c r="D12" s="890"/>
      <c r="E12" s="890"/>
      <c r="F12" s="228"/>
      <c r="G12" s="229">
        <v>2</v>
      </c>
      <c r="H12" s="233" t="s">
        <v>340</v>
      </c>
      <c r="I12" s="228" t="s">
        <v>341</v>
      </c>
      <c r="J12" s="286">
        <v>1</v>
      </c>
      <c r="K12" s="286">
        <v>0.73</v>
      </c>
      <c r="L12" s="287">
        <f t="shared" si="0"/>
        <v>0.73</v>
      </c>
      <c r="M12" s="233" t="s">
        <v>338</v>
      </c>
      <c r="N12" s="228" t="s">
        <v>339</v>
      </c>
      <c r="O12" s="234">
        <v>3</v>
      </c>
      <c r="P12" s="235">
        <f t="shared" ref="P12:P31" si="1">+O12*K12*J12*(1+$P$9)</f>
        <v>2.4090000000000003</v>
      </c>
      <c r="S12" s="264">
        <f t="shared" ref="S12:S31" si="2">+(K12/3)*J12</f>
        <v>0.24333333333333332</v>
      </c>
      <c r="T12" s="264">
        <f t="shared" ref="T12:T31" si="3">+ROUNDDOWN(S12,0)</f>
        <v>0</v>
      </c>
      <c r="U12" s="222">
        <f>+SUMIFS($T$11:$T$31,$H$11:$H$31,"Galvanizado",$I$11:$I$31,"1""")</f>
        <v>14</v>
      </c>
      <c r="V12" s="222" t="s">
        <v>359</v>
      </c>
    </row>
    <row r="13" spans="1:32" ht="15" customHeight="1" x14ac:dyDescent="0.25">
      <c r="B13" s="889"/>
      <c r="C13" s="890"/>
      <c r="D13" s="890"/>
      <c r="E13" s="890"/>
      <c r="F13" s="228"/>
      <c r="G13" s="229">
        <v>3</v>
      </c>
      <c r="H13" s="233" t="s">
        <v>340</v>
      </c>
      <c r="I13" s="228" t="s">
        <v>341</v>
      </c>
      <c r="J13" s="286">
        <v>1</v>
      </c>
      <c r="K13" s="286">
        <v>16.57</v>
      </c>
      <c r="L13" s="287">
        <f t="shared" si="0"/>
        <v>16.57</v>
      </c>
      <c r="M13" s="233" t="s">
        <v>338</v>
      </c>
      <c r="N13" s="228" t="s">
        <v>339</v>
      </c>
      <c r="O13" s="234">
        <v>3</v>
      </c>
      <c r="P13" s="235">
        <f t="shared" si="1"/>
        <v>54.681000000000004</v>
      </c>
      <c r="S13" s="264">
        <f t="shared" si="2"/>
        <v>5.5233333333333334</v>
      </c>
      <c r="T13" s="264">
        <f t="shared" si="3"/>
        <v>5</v>
      </c>
      <c r="U13" s="222">
        <f>+SUMIFS($T$11:$T$31,$H$11:$H$31,"PVC rígido",$I$11:$I$31,"3/4""")</f>
        <v>16</v>
      </c>
      <c r="V13" s="222" t="s">
        <v>360</v>
      </c>
    </row>
    <row r="14" spans="1:32" ht="15" customHeight="1" x14ac:dyDescent="0.25">
      <c r="B14" s="889"/>
      <c r="C14" s="890"/>
      <c r="D14" s="890"/>
      <c r="E14" s="890"/>
      <c r="F14" s="228"/>
      <c r="G14" s="229">
        <v>4</v>
      </c>
      <c r="H14" s="233" t="s">
        <v>357</v>
      </c>
      <c r="I14" s="228" t="s">
        <v>337</v>
      </c>
      <c r="J14" s="286">
        <v>1</v>
      </c>
      <c r="K14" s="286">
        <v>5.8</v>
      </c>
      <c r="L14" s="287">
        <f t="shared" ref="L14:L16" si="4">+J14*K14</f>
        <v>5.8</v>
      </c>
      <c r="M14" s="233" t="s">
        <v>338</v>
      </c>
      <c r="N14" s="228" t="s">
        <v>339</v>
      </c>
      <c r="O14" s="234">
        <v>3</v>
      </c>
      <c r="P14" s="235">
        <f t="shared" si="1"/>
        <v>19.14</v>
      </c>
      <c r="S14" s="264">
        <f t="shared" si="2"/>
        <v>1.9333333333333333</v>
      </c>
      <c r="T14" s="264">
        <f t="shared" si="3"/>
        <v>1</v>
      </c>
    </row>
    <row r="15" spans="1:32" ht="15" customHeight="1" x14ac:dyDescent="0.25">
      <c r="B15" s="889"/>
      <c r="C15" s="890"/>
      <c r="D15" s="890"/>
      <c r="E15" s="890"/>
      <c r="F15" s="228"/>
      <c r="G15" s="229">
        <v>5</v>
      </c>
      <c r="H15" s="233" t="s">
        <v>340</v>
      </c>
      <c r="I15" s="228" t="s">
        <v>341</v>
      </c>
      <c r="J15" s="286">
        <v>1</v>
      </c>
      <c r="K15" s="286">
        <v>0.71</v>
      </c>
      <c r="L15" s="287">
        <f t="shared" si="4"/>
        <v>0.71</v>
      </c>
      <c r="M15" s="233" t="s">
        <v>338</v>
      </c>
      <c r="N15" s="228" t="s">
        <v>339</v>
      </c>
      <c r="O15" s="234">
        <v>3</v>
      </c>
      <c r="P15" s="235">
        <f t="shared" si="1"/>
        <v>2.343</v>
      </c>
      <c r="S15" s="264">
        <f t="shared" si="2"/>
        <v>0.23666666666666666</v>
      </c>
      <c r="T15" s="264">
        <f t="shared" si="3"/>
        <v>0</v>
      </c>
    </row>
    <row r="16" spans="1:32" ht="15" customHeight="1" x14ac:dyDescent="0.25">
      <c r="B16" s="889"/>
      <c r="C16" s="890"/>
      <c r="D16" s="890"/>
      <c r="E16" s="890"/>
      <c r="F16" s="228"/>
      <c r="G16" s="229">
        <v>6</v>
      </c>
      <c r="H16" s="233" t="s">
        <v>340</v>
      </c>
      <c r="I16" s="228" t="s">
        <v>341</v>
      </c>
      <c r="J16" s="286">
        <v>1</v>
      </c>
      <c r="K16" s="286">
        <v>11.03</v>
      </c>
      <c r="L16" s="287">
        <f t="shared" si="4"/>
        <v>11.03</v>
      </c>
      <c r="M16" s="233" t="s">
        <v>338</v>
      </c>
      <c r="N16" s="228" t="s">
        <v>339</v>
      </c>
      <c r="O16" s="234">
        <v>3</v>
      </c>
      <c r="P16" s="235">
        <f t="shared" si="1"/>
        <v>36.399000000000001</v>
      </c>
      <c r="S16" s="264">
        <f t="shared" si="2"/>
        <v>3.6766666666666663</v>
      </c>
      <c r="T16" s="264">
        <f t="shared" si="3"/>
        <v>3</v>
      </c>
    </row>
    <row r="17" spans="2:20" ht="15" customHeight="1" x14ac:dyDescent="0.25">
      <c r="B17" s="889"/>
      <c r="C17" s="890"/>
      <c r="D17" s="890"/>
      <c r="E17" s="890"/>
      <c r="F17" s="228"/>
      <c r="G17" s="229">
        <v>7</v>
      </c>
      <c r="H17" s="233" t="s">
        <v>357</v>
      </c>
      <c r="I17" s="228" t="s">
        <v>337</v>
      </c>
      <c r="J17" s="286">
        <v>1</v>
      </c>
      <c r="K17" s="286">
        <v>5.8</v>
      </c>
      <c r="L17" s="287">
        <f t="shared" ref="L17:L18" si="5">+J17*K17</f>
        <v>5.8</v>
      </c>
      <c r="M17" s="233" t="s">
        <v>338</v>
      </c>
      <c r="N17" s="228" t="s">
        <v>339</v>
      </c>
      <c r="O17" s="234">
        <v>3</v>
      </c>
      <c r="P17" s="235">
        <f t="shared" si="1"/>
        <v>19.14</v>
      </c>
      <c r="S17" s="264">
        <f t="shared" si="2"/>
        <v>1.9333333333333333</v>
      </c>
      <c r="T17" s="264">
        <f t="shared" si="3"/>
        <v>1</v>
      </c>
    </row>
    <row r="18" spans="2:20" ht="15" customHeight="1" x14ac:dyDescent="0.25">
      <c r="B18" s="889"/>
      <c r="C18" s="890"/>
      <c r="D18" s="890"/>
      <c r="E18" s="890"/>
      <c r="F18" s="228"/>
      <c r="G18" s="229">
        <v>8</v>
      </c>
      <c r="H18" s="233" t="s">
        <v>340</v>
      </c>
      <c r="I18" s="228" t="s">
        <v>341</v>
      </c>
      <c r="J18" s="286">
        <v>1</v>
      </c>
      <c r="K18" s="286">
        <v>0.71</v>
      </c>
      <c r="L18" s="287">
        <f t="shared" si="5"/>
        <v>0.71</v>
      </c>
      <c r="M18" s="233" t="s">
        <v>338</v>
      </c>
      <c r="N18" s="228" t="s">
        <v>339</v>
      </c>
      <c r="O18" s="234">
        <v>3</v>
      </c>
      <c r="P18" s="235">
        <f t="shared" si="1"/>
        <v>2.343</v>
      </c>
      <c r="S18" s="264">
        <f t="shared" si="2"/>
        <v>0.23666666666666666</v>
      </c>
      <c r="T18" s="264">
        <f t="shared" si="3"/>
        <v>0</v>
      </c>
    </row>
    <row r="19" spans="2:20" ht="15" customHeight="1" x14ac:dyDescent="0.25">
      <c r="B19" s="889"/>
      <c r="C19" s="890"/>
      <c r="D19" s="890"/>
      <c r="E19" s="890"/>
      <c r="F19" s="228"/>
      <c r="G19" s="229">
        <v>9</v>
      </c>
      <c r="H19" s="233" t="s">
        <v>340</v>
      </c>
      <c r="I19" s="228" t="s">
        <v>341</v>
      </c>
      <c r="J19" s="286">
        <v>1</v>
      </c>
      <c r="K19" s="286">
        <v>13.46</v>
      </c>
      <c r="L19" s="287">
        <f t="shared" ref="L19:L20" si="6">+J19*K19</f>
        <v>13.46</v>
      </c>
      <c r="M19" s="233" t="s">
        <v>338</v>
      </c>
      <c r="N19" s="228" t="s">
        <v>339</v>
      </c>
      <c r="O19" s="234">
        <v>3</v>
      </c>
      <c r="P19" s="235">
        <f t="shared" si="1"/>
        <v>44.418000000000006</v>
      </c>
      <c r="S19" s="264">
        <f t="shared" si="2"/>
        <v>4.4866666666666672</v>
      </c>
      <c r="T19" s="264">
        <f t="shared" si="3"/>
        <v>4</v>
      </c>
    </row>
    <row r="20" spans="2:20" ht="15" customHeight="1" x14ac:dyDescent="0.25">
      <c r="B20" s="889"/>
      <c r="C20" s="890"/>
      <c r="D20" s="890"/>
      <c r="E20" s="890"/>
      <c r="F20" s="228"/>
      <c r="G20" s="229">
        <v>10</v>
      </c>
      <c r="H20" s="233" t="s">
        <v>357</v>
      </c>
      <c r="I20" s="228" t="s">
        <v>337</v>
      </c>
      <c r="J20" s="286">
        <v>1</v>
      </c>
      <c r="K20" s="286">
        <v>5.8</v>
      </c>
      <c r="L20" s="287">
        <f t="shared" si="6"/>
        <v>5.8</v>
      </c>
      <c r="M20" s="233" t="s">
        <v>338</v>
      </c>
      <c r="N20" s="228" t="s">
        <v>339</v>
      </c>
      <c r="O20" s="234">
        <v>3</v>
      </c>
      <c r="P20" s="235">
        <f t="shared" si="1"/>
        <v>19.14</v>
      </c>
      <c r="S20" s="264">
        <f t="shared" si="2"/>
        <v>1.9333333333333333</v>
      </c>
      <c r="T20" s="264">
        <f t="shared" si="3"/>
        <v>1</v>
      </c>
    </row>
    <row r="21" spans="2:20" ht="15" customHeight="1" x14ac:dyDescent="0.25">
      <c r="B21" s="889"/>
      <c r="C21" s="890"/>
      <c r="D21" s="890"/>
      <c r="E21" s="890"/>
      <c r="F21" s="228"/>
      <c r="G21" s="229">
        <v>11</v>
      </c>
      <c r="H21" s="233" t="s">
        <v>340</v>
      </c>
      <c r="I21" s="228" t="s">
        <v>341</v>
      </c>
      <c r="J21" s="286">
        <v>1</v>
      </c>
      <c r="K21" s="286">
        <v>1.08</v>
      </c>
      <c r="L21" s="287">
        <f t="shared" ref="L21" si="7">+J21*K21</f>
        <v>1.08</v>
      </c>
      <c r="M21" s="233" t="s">
        <v>338</v>
      </c>
      <c r="N21" s="228" t="s">
        <v>339</v>
      </c>
      <c r="O21" s="234">
        <v>3</v>
      </c>
      <c r="P21" s="235">
        <f t="shared" si="1"/>
        <v>3.5640000000000005</v>
      </c>
      <c r="S21" s="264">
        <f t="shared" si="2"/>
        <v>0.36000000000000004</v>
      </c>
      <c r="T21" s="264">
        <f t="shared" si="3"/>
        <v>0</v>
      </c>
    </row>
    <row r="22" spans="2:20" ht="15" customHeight="1" x14ac:dyDescent="0.25">
      <c r="B22" s="889"/>
      <c r="C22" s="890"/>
      <c r="D22" s="890"/>
      <c r="E22" s="890"/>
      <c r="F22" s="228"/>
      <c r="G22" s="229">
        <v>12</v>
      </c>
      <c r="H22" s="233" t="s">
        <v>340</v>
      </c>
      <c r="I22" s="228" t="s">
        <v>341</v>
      </c>
      <c r="J22" s="286">
        <v>1</v>
      </c>
      <c r="K22" s="286">
        <v>3.56</v>
      </c>
      <c r="L22" s="287">
        <f t="shared" ref="L22:L23" si="8">+J22*K22</f>
        <v>3.56</v>
      </c>
      <c r="M22" s="233" t="s">
        <v>338</v>
      </c>
      <c r="N22" s="228" t="s">
        <v>339</v>
      </c>
      <c r="O22" s="234">
        <v>3</v>
      </c>
      <c r="P22" s="235">
        <f t="shared" si="1"/>
        <v>11.748000000000001</v>
      </c>
      <c r="S22" s="264">
        <f t="shared" si="2"/>
        <v>1.1866666666666668</v>
      </c>
      <c r="T22" s="264">
        <f t="shared" si="3"/>
        <v>1</v>
      </c>
    </row>
    <row r="23" spans="2:20" ht="15" customHeight="1" x14ac:dyDescent="0.25">
      <c r="B23" s="889"/>
      <c r="C23" s="890"/>
      <c r="D23" s="890"/>
      <c r="E23" s="890"/>
      <c r="F23" s="228"/>
      <c r="G23" s="229">
        <v>13</v>
      </c>
      <c r="H23" s="233" t="s">
        <v>357</v>
      </c>
      <c r="I23" s="228" t="s">
        <v>337</v>
      </c>
      <c r="J23" s="286">
        <v>1</v>
      </c>
      <c r="K23" s="286">
        <f>26.2+2.5+0.5</f>
        <v>29.2</v>
      </c>
      <c r="L23" s="287">
        <f t="shared" si="8"/>
        <v>29.2</v>
      </c>
      <c r="M23" s="233" t="s">
        <v>338</v>
      </c>
      <c r="N23" s="228" t="s">
        <v>339</v>
      </c>
      <c r="O23" s="234">
        <v>3</v>
      </c>
      <c r="P23" s="235">
        <f t="shared" si="1"/>
        <v>96.36</v>
      </c>
      <c r="S23" s="264">
        <f t="shared" si="2"/>
        <v>9.7333333333333325</v>
      </c>
      <c r="T23" s="264">
        <f t="shared" si="3"/>
        <v>9</v>
      </c>
    </row>
    <row r="24" spans="2:20" ht="15" customHeight="1" x14ac:dyDescent="0.25">
      <c r="B24" s="889"/>
      <c r="C24" s="890"/>
      <c r="D24" s="890"/>
      <c r="E24" s="890"/>
      <c r="F24" s="228"/>
      <c r="G24" s="229">
        <v>14</v>
      </c>
      <c r="H24" s="233" t="s">
        <v>340</v>
      </c>
      <c r="I24" s="228" t="s">
        <v>341</v>
      </c>
      <c r="J24" s="286">
        <v>1</v>
      </c>
      <c r="K24" s="286">
        <v>4</v>
      </c>
      <c r="L24" s="287">
        <f t="shared" ref="L24" si="9">+J24*K24</f>
        <v>4</v>
      </c>
      <c r="M24" s="233" t="s">
        <v>338</v>
      </c>
      <c r="N24" s="228" t="s">
        <v>339</v>
      </c>
      <c r="O24" s="234">
        <v>3</v>
      </c>
      <c r="P24" s="235">
        <f t="shared" si="1"/>
        <v>13.200000000000001</v>
      </c>
      <c r="S24" s="264">
        <f t="shared" si="2"/>
        <v>1.3333333333333333</v>
      </c>
      <c r="T24" s="264">
        <f t="shared" si="3"/>
        <v>1</v>
      </c>
    </row>
    <row r="25" spans="2:20" ht="15" customHeight="1" x14ac:dyDescent="0.25">
      <c r="B25" s="889"/>
      <c r="C25" s="890"/>
      <c r="D25" s="890"/>
      <c r="E25" s="890"/>
      <c r="F25" s="228"/>
      <c r="G25" s="229">
        <v>15</v>
      </c>
      <c r="H25" s="233" t="s">
        <v>340</v>
      </c>
      <c r="I25" s="228" t="s">
        <v>341</v>
      </c>
      <c r="J25" s="286">
        <v>1</v>
      </c>
      <c r="K25" s="286">
        <v>7.83</v>
      </c>
      <c r="L25" s="287">
        <f t="shared" ref="L25" si="10">+J25*K25</f>
        <v>7.83</v>
      </c>
      <c r="M25" s="233" t="s">
        <v>338</v>
      </c>
      <c r="N25" s="228" t="s">
        <v>339</v>
      </c>
      <c r="O25" s="234">
        <v>3</v>
      </c>
      <c r="P25" s="235">
        <f t="shared" si="1"/>
        <v>25.839000000000006</v>
      </c>
      <c r="S25" s="264">
        <f t="shared" si="2"/>
        <v>2.61</v>
      </c>
      <c r="T25" s="264">
        <f t="shared" si="3"/>
        <v>2</v>
      </c>
    </row>
    <row r="26" spans="2:20" ht="15" customHeight="1" x14ac:dyDescent="0.25">
      <c r="B26" s="889"/>
      <c r="C26" s="890"/>
      <c r="D26" s="890"/>
      <c r="E26" s="890"/>
      <c r="F26" s="228"/>
      <c r="G26" s="229">
        <v>16</v>
      </c>
      <c r="H26" s="233" t="s">
        <v>340</v>
      </c>
      <c r="I26" s="228" t="s">
        <v>341</v>
      </c>
      <c r="J26" s="286">
        <v>1</v>
      </c>
      <c r="K26" s="286">
        <v>0.5</v>
      </c>
      <c r="L26" s="287">
        <f t="shared" ref="L26" si="11">+J26*K26</f>
        <v>0.5</v>
      </c>
      <c r="M26" s="233" t="s">
        <v>338</v>
      </c>
      <c r="N26" s="228" t="s">
        <v>342</v>
      </c>
      <c r="O26" s="234">
        <v>2</v>
      </c>
      <c r="P26" s="235">
        <f t="shared" si="1"/>
        <v>1.1000000000000001</v>
      </c>
      <c r="S26" s="264">
        <f t="shared" si="2"/>
        <v>0.16666666666666666</v>
      </c>
      <c r="T26" s="264">
        <f t="shared" si="3"/>
        <v>0</v>
      </c>
    </row>
    <row r="27" spans="2:20" ht="15" customHeight="1" x14ac:dyDescent="0.25">
      <c r="B27" s="889"/>
      <c r="C27" s="890"/>
      <c r="D27" s="890"/>
      <c r="E27" s="890"/>
      <c r="F27" s="228"/>
      <c r="G27" s="229">
        <v>17</v>
      </c>
      <c r="H27" s="233" t="s">
        <v>340</v>
      </c>
      <c r="I27" s="228" t="s">
        <v>341</v>
      </c>
      <c r="J27" s="286">
        <v>1</v>
      </c>
      <c r="K27" s="286">
        <v>2.1</v>
      </c>
      <c r="L27" s="287">
        <f t="shared" ref="L27" si="12">+J27*K27</f>
        <v>2.1</v>
      </c>
      <c r="M27" s="233" t="s">
        <v>338</v>
      </c>
      <c r="N27" s="228" t="s">
        <v>342</v>
      </c>
      <c r="O27" s="234">
        <v>2</v>
      </c>
      <c r="P27" s="235">
        <f t="shared" si="1"/>
        <v>4.620000000000001</v>
      </c>
      <c r="S27" s="264">
        <f t="shared" si="2"/>
        <v>0.70000000000000007</v>
      </c>
      <c r="T27" s="264">
        <f t="shared" si="3"/>
        <v>0</v>
      </c>
    </row>
    <row r="28" spans="2:20" ht="15" customHeight="1" x14ac:dyDescent="0.25">
      <c r="B28" s="889"/>
      <c r="C28" s="890"/>
      <c r="D28" s="890"/>
      <c r="E28" s="890"/>
      <c r="F28" s="228"/>
      <c r="G28" s="229" t="s">
        <v>343</v>
      </c>
      <c r="H28" s="233" t="s">
        <v>357</v>
      </c>
      <c r="I28" s="228" t="s">
        <v>337</v>
      </c>
      <c r="J28" s="286">
        <v>1</v>
      </c>
      <c r="K28" s="286">
        <v>4</v>
      </c>
      <c r="L28" s="287">
        <f t="shared" ref="L28:L29" si="13">+J28*K28</f>
        <v>4</v>
      </c>
      <c r="M28" s="233" t="s">
        <v>338</v>
      </c>
      <c r="N28" s="228" t="s">
        <v>342</v>
      </c>
      <c r="O28" s="234">
        <v>2</v>
      </c>
      <c r="P28" s="235">
        <f t="shared" si="1"/>
        <v>8.8000000000000007</v>
      </c>
      <c r="S28" s="264">
        <f t="shared" si="2"/>
        <v>1.3333333333333333</v>
      </c>
      <c r="T28" s="264">
        <f t="shared" si="3"/>
        <v>1</v>
      </c>
    </row>
    <row r="29" spans="2:20" ht="15" customHeight="1" x14ac:dyDescent="0.25">
      <c r="B29" s="889"/>
      <c r="C29" s="890"/>
      <c r="D29" s="890"/>
      <c r="E29" s="890"/>
      <c r="F29" s="228"/>
      <c r="G29" s="229">
        <v>18</v>
      </c>
      <c r="H29" s="233" t="s">
        <v>340</v>
      </c>
      <c r="I29" s="228" t="s">
        <v>341</v>
      </c>
      <c r="J29" s="286">
        <v>1</v>
      </c>
      <c r="K29" s="286">
        <v>0.61</v>
      </c>
      <c r="L29" s="287">
        <f t="shared" si="13"/>
        <v>0.61</v>
      </c>
      <c r="M29" s="233" t="s">
        <v>338</v>
      </c>
      <c r="N29" s="228" t="s">
        <v>342</v>
      </c>
      <c r="O29" s="234">
        <v>2</v>
      </c>
      <c r="P29" s="235">
        <f t="shared" si="1"/>
        <v>1.3420000000000001</v>
      </c>
      <c r="S29" s="264">
        <f t="shared" si="2"/>
        <v>0.20333333333333334</v>
      </c>
      <c r="T29" s="264">
        <f t="shared" si="3"/>
        <v>0</v>
      </c>
    </row>
    <row r="30" spans="2:20" ht="15" customHeight="1" x14ac:dyDescent="0.25">
      <c r="B30" s="889"/>
      <c r="C30" s="890"/>
      <c r="D30" s="890"/>
      <c r="E30" s="890"/>
      <c r="F30" s="228"/>
      <c r="G30" s="229">
        <v>19</v>
      </c>
      <c r="H30" s="233" t="s">
        <v>340</v>
      </c>
      <c r="I30" s="228" t="s">
        <v>341</v>
      </c>
      <c r="J30" s="286">
        <v>1</v>
      </c>
      <c r="K30" s="286">
        <v>1.5</v>
      </c>
      <c r="L30" s="287">
        <f t="shared" ref="L30" si="14">+J30*K30</f>
        <v>1.5</v>
      </c>
      <c r="M30" s="233" t="s">
        <v>338</v>
      </c>
      <c r="N30" s="228" t="s">
        <v>342</v>
      </c>
      <c r="O30" s="234">
        <v>2</v>
      </c>
      <c r="P30" s="235">
        <f t="shared" si="1"/>
        <v>3.3000000000000003</v>
      </c>
      <c r="S30" s="264">
        <f t="shared" si="2"/>
        <v>0.5</v>
      </c>
      <c r="T30" s="264">
        <f t="shared" si="3"/>
        <v>0</v>
      </c>
    </row>
    <row r="31" spans="2:20" ht="15" customHeight="1" x14ac:dyDescent="0.25">
      <c r="B31" s="889"/>
      <c r="C31" s="890"/>
      <c r="D31" s="890"/>
      <c r="E31" s="890"/>
      <c r="F31" s="228"/>
      <c r="G31" s="229">
        <v>20</v>
      </c>
      <c r="H31" s="233" t="s">
        <v>340</v>
      </c>
      <c r="I31" s="228" t="s">
        <v>341</v>
      </c>
      <c r="J31" s="286">
        <v>1</v>
      </c>
      <c r="K31" s="286">
        <v>0.25</v>
      </c>
      <c r="L31" s="287">
        <f t="shared" ref="L31:L32" si="15">+J31*K31</f>
        <v>0.25</v>
      </c>
      <c r="M31" s="233" t="s">
        <v>338</v>
      </c>
      <c r="N31" s="228" t="s">
        <v>339</v>
      </c>
      <c r="O31" s="234">
        <v>3</v>
      </c>
      <c r="P31" s="235">
        <f t="shared" si="1"/>
        <v>0.82500000000000007</v>
      </c>
      <c r="S31" s="264">
        <f t="shared" si="2"/>
        <v>8.3333333333333329E-2</v>
      </c>
      <c r="T31" s="264">
        <f t="shared" si="3"/>
        <v>0</v>
      </c>
    </row>
    <row r="32" spans="2:20" ht="15" customHeight="1" x14ac:dyDescent="0.25">
      <c r="B32" s="889"/>
      <c r="C32" s="890"/>
      <c r="D32" s="890"/>
      <c r="E32" s="890"/>
      <c r="F32" s="228"/>
      <c r="G32" s="229">
        <v>21</v>
      </c>
      <c r="H32" s="233" t="s">
        <v>340</v>
      </c>
      <c r="I32" s="228" t="s">
        <v>341</v>
      </c>
      <c r="J32" s="286">
        <v>2</v>
      </c>
      <c r="K32" s="286">
        <v>29.2</v>
      </c>
      <c r="L32" s="287">
        <f t="shared" si="15"/>
        <v>58.4</v>
      </c>
      <c r="M32" s="233"/>
      <c r="N32" s="228"/>
      <c r="O32" s="234"/>
      <c r="P32" s="235">
        <f t="shared" ref="P32:P33" si="16">+O32*K32*J32*(1+$P$9)</f>
        <v>0</v>
      </c>
      <c r="S32" s="264">
        <f t="shared" ref="S32:S33" si="17">+(K32/3)*J32</f>
        <v>19.466666666666665</v>
      </c>
      <c r="T32" s="264">
        <f t="shared" ref="T32:T33" si="18">+ROUNDDOWN(S32,0)</f>
        <v>19</v>
      </c>
    </row>
    <row r="33" spans="2:22" ht="15" customHeight="1" x14ac:dyDescent="0.25">
      <c r="B33" s="889"/>
      <c r="C33" s="890"/>
      <c r="D33" s="890"/>
      <c r="E33" s="890"/>
      <c r="F33" s="228"/>
      <c r="G33" s="229">
        <v>22</v>
      </c>
      <c r="H33" s="233" t="s">
        <v>340</v>
      </c>
      <c r="I33" s="228" t="s">
        <v>341</v>
      </c>
      <c r="J33" s="286">
        <v>2</v>
      </c>
      <c r="K33" s="286">
        <v>4</v>
      </c>
      <c r="L33" s="287">
        <f t="shared" ref="L33:L34" si="19">+J33*K33</f>
        <v>8</v>
      </c>
      <c r="M33" s="233"/>
      <c r="N33" s="228"/>
      <c r="O33" s="234"/>
      <c r="P33" s="235">
        <f t="shared" si="16"/>
        <v>0</v>
      </c>
      <c r="S33" s="264">
        <f t="shared" si="17"/>
        <v>2.6666666666666665</v>
      </c>
      <c r="T33" s="264">
        <f t="shared" si="18"/>
        <v>2</v>
      </c>
    </row>
    <row r="34" spans="2:22" ht="15" customHeight="1" x14ac:dyDescent="0.25">
      <c r="B34" s="889"/>
      <c r="C34" s="890"/>
      <c r="D34" s="890"/>
      <c r="E34" s="890"/>
      <c r="F34" s="228"/>
      <c r="G34" s="229">
        <v>23</v>
      </c>
      <c r="H34" s="233" t="s">
        <v>340</v>
      </c>
      <c r="I34" s="228" t="s">
        <v>341</v>
      </c>
      <c r="J34" s="286">
        <v>2</v>
      </c>
      <c r="K34" s="286">
        <v>7.83</v>
      </c>
      <c r="L34" s="287">
        <f t="shared" si="19"/>
        <v>15.66</v>
      </c>
      <c r="M34" s="233"/>
      <c r="N34" s="228"/>
      <c r="O34" s="234"/>
      <c r="P34" s="235">
        <f t="shared" ref="P34:P35" si="20">+O34*K34*J34*(1+$P$9)</f>
        <v>0</v>
      </c>
      <c r="S34" s="264">
        <f t="shared" ref="S34:S35" si="21">+(K34/3)*J34</f>
        <v>5.22</v>
      </c>
      <c r="T34" s="264">
        <f t="shared" ref="T34:T35" si="22">+ROUNDDOWN(S34,0)</f>
        <v>5</v>
      </c>
    </row>
    <row r="35" spans="2:22" ht="15" customHeight="1" x14ac:dyDescent="0.25">
      <c r="B35" s="889"/>
      <c r="C35" s="890"/>
      <c r="D35" s="890"/>
      <c r="E35" s="890"/>
      <c r="F35" s="228"/>
      <c r="G35" s="229">
        <v>24</v>
      </c>
      <c r="H35" s="233" t="s">
        <v>340</v>
      </c>
      <c r="I35" s="228" t="s">
        <v>341</v>
      </c>
      <c r="J35" s="286">
        <v>1</v>
      </c>
      <c r="K35" s="286">
        <v>0.61</v>
      </c>
      <c r="L35" s="287">
        <f t="shared" ref="L35" si="23">+J35*K35</f>
        <v>0.61</v>
      </c>
      <c r="M35" s="233"/>
      <c r="N35" s="228"/>
      <c r="O35" s="234"/>
      <c r="P35" s="235">
        <f t="shared" si="20"/>
        <v>0</v>
      </c>
      <c r="S35" s="264">
        <f t="shared" si="21"/>
        <v>0.20333333333333334</v>
      </c>
      <c r="T35" s="264">
        <f t="shared" si="22"/>
        <v>0</v>
      </c>
    </row>
    <row r="36" spans="2:22" ht="15.75" thickBot="1" x14ac:dyDescent="0.3">
      <c r="B36" s="891"/>
      <c r="C36" s="892"/>
      <c r="D36" s="892"/>
      <c r="E36" s="892"/>
      <c r="F36" s="231"/>
      <c r="G36" s="232"/>
      <c r="H36" s="236"/>
      <c r="I36" s="231"/>
      <c r="J36" s="237"/>
      <c r="K36" s="237"/>
      <c r="L36" s="232"/>
      <c r="M36" s="236"/>
      <c r="N36" s="231"/>
      <c r="O36" s="237"/>
      <c r="P36" s="232"/>
    </row>
    <row r="37" spans="2:22" s="88" customFormat="1" ht="30" customHeight="1" x14ac:dyDescent="0.25">
      <c r="B37" s="793"/>
      <c r="C37" s="793"/>
      <c r="D37" s="9"/>
      <c r="E37" s="9"/>
      <c r="F37" s="9"/>
      <c r="G37" s="9"/>
      <c r="H37" s="9"/>
      <c r="I37" s="9"/>
      <c r="J37" s="9"/>
      <c r="K37" s="9"/>
      <c r="L37" s="9"/>
      <c r="M37" s="9"/>
      <c r="N37" s="9"/>
      <c r="O37" s="9"/>
      <c r="T37" s="9"/>
      <c r="U37" s="9"/>
    </row>
    <row r="38" spans="2:22" s="89" customFormat="1" ht="20.100000000000001" customHeight="1" x14ac:dyDescent="0.25">
      <c r="B38" s="746" t="s">
        <v>255</v>
      </c>
      <c r="C38" s="746"/>
      <c r="D38" s="746"/>
      <c r="E38" s="746"/>
      <c r="F38" s="746"/>
      <c r="G38" s="746"/>
      <c r="H38" s="746"/>
      <c r="I38" s="746"/>
      <c r="J38" s="746"/>
      <c r="K38" s="746"/>
      <c r="L38" s="746"/>
      <c r="V38" s="90"/>
    </row>
    <row r="39" spans="2:22" s="89" customFormat="1" ht="20.100000000000001" customHeight="1" x14ac:dyDescent="0.25">
      <c r="B39" s="31" t="s">
        <v>218</v>
      </c>
      <c r="D39" s="200"/>
      <c r="E39" s="200" t="s">
        <v>420</v>
      </c>
      <c r="F39" s="31" t="s">
        <v>419</v>
      </c>
      <c r="G39" s="31"/>
      <c r="H39" s="31"/>
      <c r="I39" s="31"/>
      <c r="J39" s="31"/>
      <c r="O39" s="194" t="s">
        <v>130</v>
      </c>
      <c r="P39" s="199">
        <f>SUMIFS(L11:L31,H11:H31,"PVC rígido",I11:I31,"3/4""")</f>
        <v>64.64</v>
      </c>
      <c r="Q39" s="194"/>
      <c r="R39" s="195"/>
      <c r="U39" s="193"/>
    </row>
    <row r="40" spans="2:22" s="89" customFormat="1" ht="20.100000000000001" customHeight="1" x14ac:dyDescent="0.25">
      <c r="B40" s="31" t="s">
        <v>218</v>
      </c>
      <c r="D40" s="200"/>
      <c r="E40" s="200" t="s">
        <v>422</v>
      </c>
      <c r="F40" s="31" t="s">
        <v>421</v>
      </c>
      <c r="G40" s="31"/>
      <c r="H40" s="31"/>
      <c r="I40" s="31"/>
      <c r="J40" s="31"/>
      <c r="O40" s="194" t="s">
        <v>130</v>
      </c>
      <c r="P40" s="199">
        <f>SUMIFS(L11:L31,H11:H31,"Galvanizado",I11:I31,"1""")</f>
        <v>56.4</v>
      </c>
      <c r="Q40" s="194"/>
      <c r="R40" s="195"/>
      <c r="U40" s="193"/>
    </row>
    <row r="41" spans="2:22" s="89" customFormat="1" ht="20.100000000000001" customHeight="1" x14ac:dyDescent="0.25">
      <c r="B41" s="31" t="s">
        <v>218</v>
      </c>
      <c r="D41" s="200"/>
      <c r="E41" s="200" t="s">
        <v>424</v>
      </c>
      <c r="F41" s="31" t="s">
        <v>423</v>
      </c>
      <c r="G41" s="31"/>
      <c r="H41" s="31"/>
      <c r="I41" s="31"/>
      <c r="J41" s="31"/>
      <c r="O41" s="194" t="s">
        <v>130</v>
      </c>
      <c r="P41" s="199">
        <f>+SUMIFS($P$11:$P$36,$M$11:$M$36,"Cabo flexível 0,6/1 kV",$N$11:$N$36,"2,5 mm²")</f>
        <v>370.68899999999996</v>
      </c>
      <c r="Q41" s="194"/>
      <c r="R41" s="195"/>
      <c r="U41" s="193"/>
    </row>
    <row r="42" spans="2:22" s="89" customFormat="1" ht="20.100000000000001" customHeight="1" x14ac:dyDescent="0.25">
      <c r="B42" s="31" t="s">
        <v>218</v>
      </c>
      <c r="D42" s="200"/>
      <c r="E42" s="200" t="s">
        <v>426</v>
      </c>
      <c r="F42" s="31" t="s">
        <v>425</v>
      </c>
      <c r="G42" s="31"/>
      <c r="H42" s="31"/>
      <c r="I42" s="31"/>
      <c r="J42" s="31"/>
      <c r="O42" s="194" t="s">
        <v>130</v>
      </c>
      <c r="P42" s="199">
        <f>+SUMIFS($P$11:$P$36,$M$11:$M$36,"Cabo flexível 0,6/1 kV",$N$11:$N$36,"10 mm²")</f>
        <v>19.162000000000003</v>
      </c>
      <c r="Q42" s="193"/>
      <c r="R42" s="195"/>
      <c r="U42" s="193"/>
    </row>
  </sheetData>
  <mergeCells count="35">
    <mergeCell ref="B1:P2"/>
    <mergeCell ref="M9:N9"/>
    <mergeCell ref="B9:E10"/>
    <mergeCell ref="F9:F10"/>
    <mergeCell ref="G9:G10"/>
    <mergeCell ref="H9:L9"/>
    <mergeCell ref="E4:M4"/>
    <mergeCell ref="B33:E33"/>
    <mergeCell ref="B34:E34"/>
    <mergeCell ref="B20:E20"/>
    <mergeCell ref="B11:E11"/>
    <mergeCell ref="B12:E12"/>
    <mergeCell ref="B13:E13"/>
    <mergeCell ref="B14:E14"/>
    <mergeCell ref="B15:E15"/>
    <mergeCell ref="B16:E16"/>
    <mergeCell ref="B17:E17"/>
    <mergeCell ref="B18:E18"/>
    <mergeCell ref="B19:E19"/>
    <mergeCell ref="B35:E35"/>
    <mergeCell ref="B37:C37"/>
    <mergeCell ref="B38:L38"/>
    <mergeCell ref="B32:E32"/>
    <mergeCell ref="B21:E21"/>
    <mergeCell ref="B22:E22"/>
    <mergeCell ref="B23:E23"/>
    <mergeCell ref="B24:E24"/>
    <mergeCell ref="B25:E25"/>
    <mergeCell ref="B26:E26"/>
    <mergeCell ref="B27:E27"/>
    <mergeCell ref="B28:E28"/>
    <mergeCell ref="B29:E29"/>
    <mergeCell ref="B30:E30"/>
    <mergeCell ref="B31:E31"/>
    <mergeCell ref="B36:E36"/>
  </mergeCells>
  <conditionalFormatting sqref="B11:B37">
    <cfRule type="expression" dxfId="32" priority="14">
      <formula>MOD(ROW(),2)=0</formula>
    </cfRule>
  </conditionalFormatting>
  <conditionalFormatting sqref="F11:P15 F16:F22 G17:G22 F23:G35">
    <cfRule type="expression" dxfId="31" priority="15">
      <formula>MOD(ROW(),2)=0</formula>
    </cfRule>
  </conditionalFormatting>
  <conditionalFormatting sqref="F36:P37">
    <cfRule type="expression" dxfId="30" priority="18">
      <formula>MOD(ROW(),2)=0</formula>
    </cfRule>
  </conditionalFormatting>
  <conditionalFormatting sqref="G16:P16">
    <cfRule type="expression" dxfId="29" priority="17">
      <formula>MOD(ROW(),2)=0</formula>
    </cfRule>
  </conditionalFormatting>
  <conditionalFormatting sqref="H17:P35">
    <cfRule type="expression" dxfId="28" priority="1">
      <formula>MOD(ROW(),2)=0</formula>
    </cfRule>
  </conditionalFormatting>
  <printOptions horizontalCentered="1"/>
  <pageMargins left="0.51181102362204722" right="0.51181102362204722" top="0.78740157480314965" bottom="0.78740157480314965" header="0.31496062992125984" footer="0.31496062992125984"/>
  <pageSetup paperSize="9" scale="68" orientation="landscape" horizontalDpi="1200" verticalDpi="1200" r:id="rId1"/>
  <headerFooter>
    <oddHeader>&amp;L&amp;G</oddHeader>
    <oddFooter>&amp;L&amp;"Arial Narrow,Normal"&amp;10&amp;A
&amp;F&amp;R&amp;"Arial Narrow,Normal"&amp;10Página &amp;P de &amp;N</oddFooter>
  </headerFooter>
  <legacyDrawing r:id="rId2"/>
  <legacyDrawingHF r:id="rId3"/>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F5C67-75A2-4C2B-B8CF-3E9634ED3BE2}">
  <dimension ref="A1:AB192"/>
  <sheetViews>
    <sheetView showGridLines="0" view="pageBreakPreview" topLeftCell="A38" zoomScale="85" zoomScaleNormal="70" zoomScaleSheetLayoutView="85" workbookViewId="0">
      <selection activeCell="Q14" sqref="Q14:Q15"/>
    </sheetView>
  </sheetViews>
  <sheetFormatPr defaultRowHeight="15" x14ac:dyDescent="0.25"/>
  <cols>
    <col min="1" max="1" width="1.7109375" customWidth="1"/>
    <col min="2" max="2" width="9.5703125" customWidth="1"/>
    <col min="3" max="3" width="13" customWidth="1"/>
    <col min="4" max="4" width="63" customWidth="1"/>
    <col min="5" max="5" width="5.28515625" customWidth="1"/>
    <col min="6" max="13" width="11.7109375" customWidth="1"/>
    <col min="14" max="14" width="11" customWidth="1"/>
    <col min="15" max="15" width="1.7109375" customWidth="1"/>
  </cols>
  <sheetData>
    <row r="1" spans="1:26" s="11" customFormat="1" ht="20.100000000000001" customHeight="1" x14ac:dyDescent="0.25">
      <c r="A1" s="69"/>
      <c r="B1" s="569" t="s">
        <v>133</v>
      </c>
      <c r="C1" s="569"/>
      <c r="D1" s="569"/>
      <c r="E1" s="569"/>
      <c r="F1" s="569"/>
      <c r="G1" s="569"/>
      <c r="H1" s="569"/>
      <c r="I1" s="569"/>
      <c r="J1" s="569"/>
      <c r="K1" s="569"/>
      <c r="L1" s="569"/>
      <c r="M1" s="569"/>
      <c r="N1" s="569"/>
      <c r="O1" s="226"/>
      <c r="P1" s="226"/>
      <c r="Q1" s="226"/>
      <c r="R1" s="226"/>
      <c r="S1" s="226"/>
      <c r="T1" s="226"/>
      <c r="U1" s="226"/>
      <c r="V1" s="69"/>
      <c r="W1" s="69"/>
      <c r="X1" s="69"/>
      <c r="Y1" s="69"/>
      <c r="Z1" s="69"/>
    </row>
    <row r="2" spans="1:26" s="11" customFormat="1" ht="20.100000000000001" customHeight="1" x14ac:dyDescent="0.25">
      <c r="A2" s="69"/>
      <c r="B2" s="569"/>
      <c r="C2" s="569"/>
      <c r="D2" s="569"/>
      <c r="E2" s="569"/>
      <c r="F2" s="569"/>
      <c r="G2" s="569"/>
      <c r="H2" s="569"/>
      <c r="I2" s="569"/>
      <c r="J2" s="569"/>
      <c r="K2" s="569"/>
      <c r="L2" s="569"/>
      <c r="M2" s="569"/>
      <c r="N2" s="569"/>
      <c r="O2" s="226"/>
      <c r="P2" s="226"/>
      <c r="Q2" s="226"/>
      <c r="R2" s="226"/>
      <c r="S2" s="226"/>
      <c r="T2" s="226"/>
      <c r="U2" s="226"/>
      <c r="V2" s="69"/>
      <c r="W2" s="69"/>
      <c r="X2" s="69"/>
      <c r="Y2" s="69"/>
      <c r="Z2" s="69"/>
    </row>
    <row r="3" spans="1:26" s="11" customFormat="1" ht="15" customHeight="1" x14ac:dyDescent="0.25">
      <c r="A3" s="69"/>
      <c r="B3" s="69"/>
      <c r="C3" s="69"/>
      <c r="D3" s="69"/>
      <c r="E3" s="69"/>
      <c r="F3" s="69"/>
      <c r="G3" s="69"/>
      <c r="H3" s="69"/>
      <c r="I3" s="69"/>
      <c r="J3" s="69"/>
      <c r="K3" s="69"/>
      <c r="L3" s="69"/>
      <c r="O3" s="69"/>
      <c r="P3" s="69"/>
      <c r="Q3" s="69"/>
      <c r="R3" s="69"/>
      <c r="S3" s="69"/>
      <c r="T3" s="69"/>
      <c r="U3" s="181"/>
      <c r="V3" s="69"/>
      <c r="W3" s="69"/>
      <c r="X3" s="69"/>
      <c r="Y3" s="69"/>
      <c r="Z3" s="69"/>
    </row>
    <row r="4" spans="1:26"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3" t="s">
        <v>96</v>
      </c>
      <c r="M4" s="4" t="str">
        <f>+'DADOS DA OBRA'!$N$22</f>
        <v>04/11/2024</v>
      </c>
      <c r="O4" s="2"/>
      <c r="P4" s="2"/>
      <c r="Q4" s="2"/>
      <c r="U4" s="50"/>
      <c r="W4" s="32"/>
      <c r="X4" s="32"/>
      <c r="Y4" s="33"/>
      <c r="Z4" s="33"/>
    </row>
    <row r="5" spans="1:26" s="5" customFormat="1" ht="20.100000000000001" customHeight="1" x14ac:dyDescent="0.25">
      <c r="B5" s="1" t="s">
        <v>18</v>
      </c>
      <c r="C5" s="2" t="str">
        <f>+""&amp;'DADOS DA OBRA'!$B$16&amp;", "&amp;'DADOS DA OBRA'!$B$19&amp;", "&amp;'DADOS DA OBRA'!$J$19&amp;", "&amp;'DADOS DA OBRA'!$P$19</f>
        <v>RUAS DIVERSAS, DIVERSOS, MATRINCHÃ, GO</v>
      </c>
      <c r="E5" s="1"/>
      <c r="G5" s="1"/>
      <c r="H5" s="1"/>
      <c r="L5" s="3" t="s">
        <v>17</v>
      </c>
      <c r="M5" s="4" t="str">
        <f>'DADOS DA OBRA'!$N$25</f>
        <v>00</v>
      </c>
      <c r="U5" s="50"/>
    </row>
    <row r="6" spans="1:26" s="5" customFormat="1" ht="15" customHeight="1" x14ac:dyDescent="0.25">
      <c r="U6" s="50"/>
    </row>
    <row r="7" spans="1:26" s="5" customFormat="1" ht="20.100000000000001" customHeight="1" x14ac:dyDescent="0.25">
      <c r="B7" s="1" t="s">
        <v>97</v>
      </c>
      <c r="C7" s="39" t="s">
        <v>346</v>
      </c>
      <c r="E7" s="1"/>
      <c r="G7" s="1"/>
      <c r="H7" s="1"/>
      <c r="L7" s="3" t="s">
        <v>18</v>
      </c>
      <c r="M7" s="64" t="s">
        <v>239</v>
      </c>
      <c r="U7" s="50"/>
    </row>
    <row r="8" spans="1:26" s="8" customFormat="1" ht="15" customHeight="1" thickBot="1" x14ac:dyDescent="0.3">
      <c r="A8" s="67"/>
      <c r="B8" s="52"/>
      <c r="C8" s="52"/>
      <c r="D8" s="52"/>
      <c r="E8" s="52"/>
      <c r="F8" s="52"/>
      <c r="G8" s="52"/>
      <c r="H8" s="52"/>
      <c r="I8" s="53"/>
      <c r="J8" s="9"/>
      <c r="K8" s="9"/>
      <c r="L8" s="10"/>
      <c r="M8" s="10"/>
      <c r="N8" s="9"/>
      <c r="O8" s="67"/>
      <c r="P8" s="67"/>
      <c r="Q8" s="67"/>
      <c r="R8" s="67"/>
      <c r="S8" s="67"/>
      <c r="T8" s="67"/>
      <c r="U8" s="164"/>
      <c r="V8" s="67"/>
      <c r="W8" s="67"/>
      <c r="X8" s="67"/>
      <c r="Y8" s="67"/>
      <c r="Z8" s="67"/>
    </row>
    <row r="9" spans="1:26" s="223" customFormat="1" ht="20.100000000000001" customHeight="1" x14ac:dyDescent="0.25">
      <c r="B9" s="902" t="s">
        <v>102</v>
      </c>
      <c r="C9" s="903"/>
      <c r="D9" s="903"/>
      <c r="E9" s="903" t="s">
        <v>103</v>
      </c>
      <c r="F9" s="903" t="s">
        <v>211</v>
      </c>
      <c r="G9" s="903"/>
      <c r="H9" s="903"/>
      <c r="I9" s="903"/>
      <c r="J9" s="903"/>
      <c r="K9" s="903"/>
      <c r="L9" s="903"/>
      <c r="M9" s="903"/>
      <c r="N9" s="908" t="s">
        <v>104</v>
      </c>
    </row>
    <row r="10" spans="1:26" s="223" customFormat="1" ht="20.100000000000001" customHeight="1" x14ac:dyDescent="0.25">
      <c r="B10" s="904"/>
      <c r="C10" s="905"/>
      <c r="D10" s="905"/>
      <c r="E10" s="905"/>
      <c r="F10" s="911" t="s">
        <v>202</v>
      </c>
      <c r="G10" s="911"/>
      <c r="H10" s="911"/>
      <c r="I10" s="911"/>
      <c r="J10" s="911"/>
      <c r="K10" s="911"/>
      <c r="L10" s="911"/>
      <c r="M10" s="905"/>
      <c r="N10" s="909"/>
    </row>
    <row r="11" spans="1:26" s="223" customFormat="1" ht="20.100000000000001" customHeight="1" thickBot="1" x14ac:dyDescent="0.3">
      <c r="B11" s="906"/>
      <c r="C11" s="907"/>
      <c r="D11" s="907"/>
      <c r="E11" s="907"/>
      <c r="F11" s="912"/>
      <c r="G11" s="912"/>
      <c r="H11" s="912"/>
      <c r="I11" s="912"/>
      <c r="J11" s="912"/>
      <c r="K11" s="912"/>
      <c r="L11" s="913"/>
      <c r="M11" s="907"/>
      <c r="N11" s="910"/>
    </row>
    <row r="12" spans="1:26" s="222" customFormat="1" x14ac:dyDescent="0.25">
      <c r="B12" s="260" t="s">
        <v>218</v>
      </c>
      <c r="C12" s="261" t="s">
        <v>348</v>
      </c>
      <c r="D12" s="266" t="s">
        <v>347</v>
      </c>
      <c r="E12" s="249" t="s">
        <v>38</v>
      </c>
      <c r="F12" s="250">
        <v>5</v>
      </c>
      <c r="G12" s="250"/>
      <c r="H12" s="250"/>
      <c r="I12" s="250"/>
      <c r="J12" s="250"/>
      <c r="K12" s="250"/>
      <c r="L12" s="250"/>
      <c r="M12" s="251"/>
      <c r="N12" s="257">
        <f t="shared" ref="N12:N33" si="0">+SUM(F12:M12)</f>
        <v>5</v>
      </c>
    </row>
    <row r="13" spans="1:26" s="222" customFormat="1" x14ac:dyDescent="0.25">
      <c r="B13" s="262" t="s">
        <v>218</v>
      </c>
      <c r="C13" s="263" t="s">
        <v>350</v>
      </c>
      <c r="D13" s="267" t="s">
        <v>349</v>
      </c>
      <c r="E13" s="228" t="s">
        <v>38</v>
      </c>
      <c r="F13" s="252">
        <f>+'RESER-ELE-ELETRODUTO E CABOS'!U12</f>
        <v>14</v>
      </c>
      <c r="G13" s="252"/>
      <c r="H13" s="252"/>
      <c r="I13" s="252"/>
      <c r="J13" s="252"/>
      <c r="K13" s="252"/>
      <c r="L13" s="252"/>
      <c r="M13" s="253"/>
      <c r="N13" s="258">
        <f t="shared" si="0"/>
        <v>14</v>
      </c>
    </row>
    <row r="14" spans="1:26" s="222" customFormat="1" x14ac:dyDescent="0.25">
      <c r="B14" s="262" t="s">
        <v>218</v>
      </c>
      <c r="C14" s="263" t="s">
        <v>352</v>
      </c>
      <c r="D14" s="267" t="s">
        <v>351</v>
      </c>
      <c r="E14" s="228" t="s">
        <v>38</v>
      </c>
      <c r="F14" s="252">
        <v>5</v>
      </c>
      <c r="G14" s="252"/>
      <c r="H14" s="252"/>
      <c r="I14" s="252"/>
      <c r="J14" s="252"/>
      <c r="K14" s="252"/>
      <c r="L14" s="252"/>
      <c r="M14" s="253"/>
      <c r="N14" s="258">
        <f t="shared" si="0"/>
        <v>5</v>
      </c>
    </row>
    <row r="15" spans="1:26" s="222" customFormat="1" x14ac:dyDescent="0.25">
      <c r="B15" s="262" t="s">
        <v>218</v>
      </c>
      <c r="C15" s="263" t="s">
        <v>354</v>
      </c>
      <c r="D15" s="267" t="s">
        <v>353</v>
      </c>
      <c r="E15" s="228" t="s">
        <v>38</v>
      </c>
      <c r="F15" s="252">
        <v>5</v>
      </c>
      <c r="G15" s="252"/>
      <c r="H15" s="252"/>
      <c r="I15" s="252"/>
      <c r="J15" s="252"/>
      <c r="K15" s="252"/>
      <c r="L15" s="252"/>
      <c r="M15" s="254"/>
      <c r="N15" s="258">
        <f t="shared" si="0"/>
        <v>5</v>
      </c>
    </row>
    <row r="16" spans="1:26" s="222" customFormat="1" x14ac:dyDescent="0.25">
      <c r="B16" s="262" t="s">
        <v>218</v>
      </c>
      <c r="C16" s="263" t="s">
        <v>356</v>
      </c>
      <c r="D16" s="267" t="s">
        <v>355</v>
      </c>
      <c r="E16" s="228" t="s">
        <v>264</v>
      </c>
      <c r="F16" s="252">
        <v>1</v>
      </c>
      <c r="G16" s="252"/>
      <c r="H16" s="252"/>
      <c r="I16" s="252"/>
      <c r="J16" s="252"/>
      <c r="K16" s="252"/>
      <c r="L16" s="252"/>
      <c r="M16" s="254"/>
      <c r="N16" s="258">
        <f t="shared" si="0"/>
        <v>1</v>
      </c>
    </row>
    <row r="17" spans="2:14" s="222" customFormat="1" x14ac:dyDescent="0.25">
      <c r="B17" s="262" t="s">
        <v>218</v>
      </c>
      <c r="C17" s="263" t="s">
        <v>362</v>
      </c>
      <c r="D17" s="267" t="s">
        <v>361</v>
      </c>
      <c r="E17" s="228" t="s">
        <v>38</v>
      </c>
      <c r="F17" s="252">
        <f>+'RESER-ELE-ELETRODUTO E CABOS'!U13</f>
        <v>16</v>
      </c>
      <c r="G17" s="252"/>
      <c r="H17" s="252"/>
      <c r="I17" s="252"/>
      <c r="J17" s="252"/>
      <c r="K17" s="252"/>
      <c r="L17" s="252"/>
      <c r="M17" s="254"/>
      <c r="N17" s="258">
        <f t="shared" si="0"/>
        <v>16</v>
      </c>
    </row>
    <row r="18" spans="2:14" s="222" customFormat="1" ht="38.25" x14ac:dyDescent="0.25">
      <c r="B18" s="262" t="s">
        <v>247</v>
      </c>
      <c r="C18" s="263" t="s">
        <v>364</v>
      </c>
      <c r="D18" s="265" t="s">
        <v>363</v>
      </c>
      <c r="E18" s="228" t="s">
        <v>38</v>
      </c>
      <c r="F18" s="252">
        <v>2</v>
      </c>
      <c r="G18" s="252"/>
      <c r="H18" s="252"/>
      <c r="I18" s="252"/>
      <c r="J18" s="252"/>
      <c r="K18" s="252"/>
      <c r="L18" s="252"/>
      <c r="M18" s="253"/>
      <c r="N18" s="258">
        <f t="shared" si="0"/>
        <v>2</v>
      </c>
    </row>
    <row r="19" spans="2:14" s="222" customFormat="1" ht="38.25" x14ac:dyDescent="0.25">
      <c r="B19" s="262" t="s">
        <v>247</v>
      </c>
      <c r="C19" s="263" t="s">
        <v>366</v>
      </c>
      <c r="D19" s="265" t="s">
        <v>365</v>
      </c>
      <c r="E19" s="228" t="s">
        <v>38</v>
      </c>
      <c r="F19" s="252">
        <v>1</v>
      </c>
      <c r="G19" s="252"/>
      <c r="H19" s="252"/>
      <c r="I19" s="252"/>
      <c r="J19" s="252"/>
      <c r="K19" s="252"/>
      <c r="L19" s="252"/>
      <c r="M19" s="253"/>
      <c r="N19" s="258">
        <f t="shared" si="0"/>
        <v>1</v>
      </c>
    </row>
    <row r="20" spans="2:14" s="222" customFormat="1" x14ac:dyDescent="0.25">
      <c r="B20" s="262" t="s">
        <v>218</v>
      </c>
      <c r="C20" s="263" t="s">
        <v>368</v>
      </c>
      <c r="D20" s="267" t="s">
        <v>367</v>
      </c>
      <c r="E20" s="228" t="s">
        <v>38</v>
      </c>
      <c r="F20" s="252">
        <v>11</v>
      </c>
      <c r="G20" s="252"/>
      <c r="H20" s="252"/>
      <c r="I20" s="252"/>
      <c r="J20" s="252"/>
      <c r="K20" s="252"/>
      <c r="L20" s="252"/>
      <c r="M20" s="253"/>
      <c r="N20" s="258">
        <f t="shared" si="0"/>
        <v>11</v>
      </c>
    </row>
    <row r="21" spans="2:14" s="222" customFormat="1" x14ac:dyDescent="0.25">
      <c r="B21" s="262" t="s">
        <v>218</v>
      </c>
      <c r="C21" s="263" t="s">
        <v>390</v>
      </c>
      <c r="D21" s="267" t="s">
        <v>389</v>
      </c>
      <c r="E21" s="228" t="s">
        <v>38</v>
      </c>
      <c r="F21" s="252">
        <v>1</v>
      </c>
      <c r="G21" s="252"/>
      <c r="H21" s="252"/>
      <c r="I21" s="252"/>
      <c r="J21" s="252"/>
      <c r="K21" s="252"/>
      <c r="L21" s="252"/>
      <c r="M21" s="253"/>
      <c r="N21" s="258">
        <f t="shared" si="0"/>
        <v>1</v>
      </c>
    </row>
    <row r="22" spans="2:14" s="222" customFormat="1" x14ac:dyDescent="0.25">
      <c r="B22" s="262" t="s">
        <v>218</v>
      </c>
      <c r="C22" s="263" t="s">
        <v>396</v>
      </c>
      <c r="D22" s="267" t="s">
        <v>395</v>
      </c>
      <c r="E22" s="228" t="s">
        <v>38</v>
      </c>
      <c r="F22" s="252">
        <v>1</v>
      </c>
      <c r="G22" s="252"/>
      <c r="H22" s="252"/>
      <c r="I22" s="252"/>
      <c r="J22" s="252"/>
      <c r="K22" s="252"/>
      <c r="L22" s="252"/>
      <c r="M22" s="253"/>
      <c r="N22" s="258">
        <f t="shared" si="0"/>
        <v>1</v>
      </c>
    </row>
    <row r="23" spans="2:14" s="222" customFormat="1" x14ac:dyDescent="0.25">
      <c r="B23" s="262" t="s">
        <v>218</v>
      </c>
      <c r="C23" s="263" t="s">
        <v>398</v>
      </c>
      <c r="D23" s="267" t="s">
        <v>397</v>
      </c>
      <c r="E23" s="228" t="s">
        <v>38</v>
      </c>
      <c r="F23" s="252">
        <v>1</v>
      </c>
      <c r="G23" s="252"/>
      <c r="H23" s="252"/>
      <c r="I23" s="252"/>
      <c r="J23" s="252"/>
      <c r="K23" s="252"/>
      <c r="L23" s="252"/>
      <c r="M23" s="253"/>
      <c r="N23" s="258">
        <f t="shared" ref="N23:N28" si="1">+SUM(F23:M23)</f>
        <v>1</v>
      </c>
    </row>
    <row r="24" spans="2:14" s="222" customFormat="1" x14ac:dyDescent="0.25">
      <c r="B24" s="262" t="s">
        <v>218</v>
      </c>
      <c r="C24" s="263" t="s">
        <v>400</v>
      </c>
      <c r="D24" s="267" t="s">
        <v>399</v>
      </c>
      <c r="E24" s="228" t="s">
        <v>38</v>
      </c>
      <c r="F24" s="252">
        <v>1</v>
      </c>
      <c r="G24" s="252"/>
      <c r="H24" s="252"/>
      <c r="I24" s="252"/>
      <c r="J24" s="252"/>
      <c r="K24" s="252"/>
      <c r="L24" s="252"/>
      <c r="M24" s="254"/>
      <c r="N24" s="258">
        <f t="shared" si="1"/>
        <v>1</v>
      </c>
    </row>
    <row r="25" spans="2:14" s="222" customFormat="1" x14ac:dyDescent="0.25">
      <c r="B25" s="262" t="s">
        <v>218</v>
      </c>
      <c r="C25" s="263" t="s">
        <v>402</v>
      </c>
      <c r="D25" s="267" t="s">
        <v>401</v>
      </c>
      <c r="E25" s="228" t="s">
        <v>38</v>
      </c>
      <c r="F25" s="252">
        <v>3</v>
      </c>
      <c r="G25" s="252"/>
      <c r="H25" s="252"/>
      <c r="I25" s="252"/>
      <c r="J25" s="252"/>
      <c r="K25" s="252"/>
      <c r="L25" s="252"/>
      <c r="M25" s="253"/>
      <c r="N25" s="258">
        <f t="shared" si="1"/>
        <v>3</v>
      </c>
    </row>
    <row r="26" spans="2:14" s="222" customFormat="1" x14ac:dyDescent="0.25">
      <c r="B26" s="262" t="s">
        <v>218</v>
      </c>
      <c r="C26" s="263" t="s">
        <v>404</v>
      </c>
      <c r="D26" s="267" t="s">
        <v>403</v>
      </c>
      <c r="E26" s="228" t="s">
        <v>38</v>
      </c>
      <c r="F26" s="252">
        <v>1</v>
      </c>
      <c r="G26" s="252"/>
      <c r="H26" s="252"/>
      <c r="I26" s="252"/>
      <c r="J26" s="252"/>
      <c r="K26" s="252"/>
      <c r="L26" s="252"/>
      <c r="M26" s="254"/>
      <c r="N26" s="258">
        <f t="shared" si="1"/>
        <v>1</v>
      </c>
    </row>
    <row r="27" spans="2:14" s="222" customFormat="1" x14ac:dyDescent="0.25">
      <c r="B27" s="262" t="s">
        <v>218</v>
      </c>
      <c r="C27" s="263" t="s">
        <v>406</v>
      </c>
      <c r="D27" s="267" t="s">
        <v>405</v>
      </c>
      <c r="E27" s="228" t="s">
        <v>38</v>
      </c>
      <c r="F27" s="252">
        <f>(F18+F19)*2</f>
        <v>6</v>
      </c>
      <c r="G27" s="252"/>
      <c r="H27" s="252"/>
      <c r="I27" s="252"/>
      <c r="J27" s="252"/>
      <c r="K27" s="252"/>
      <c r="L27" s="252"/>
      <c r="M27" s="253"/>
      <c r="N27" s="258">
        <f t="shared" si="1"/>
        <v>6</v>
      </c>
    </row>
    <row r="28" spans="2:14" s="222" customFormat="1" x14ac:dyDescent="0.25">
      <c r="B28" s="262" t="s">
        <v>218</v>
      </c>
      <c r="C28" s="263" t="s">
        <v>408</v>
      </c>
      <c r="D28" s="267" t="s">
        <v>407</v>
      </c>
      <c r="E28" s="228" t="s">
        <v>38</v>
      </c>
      <c r="F28" s="252">
        <v>1</v>
      </c>
      <c r="G28" s="252"/>
      <c r="H28" s="252"/>
      <c r="I28" s="252"/>
      <c r="J28" s="252"/>
      <c r="K28" s="252"/>
      <c r="L28" s="252"/>
      <c r="M28" s="254"/>
      <c r="N28" s="258">
        <f t="shared" si="1"/>
        <v>1</v>
      </c>
    </row>
    <row r="29" spans="2:14" s="222" customFormat="1" x14ac:dyDescent="0.25">
      <c r="B29" s="262" t="s">
        <v>218</v>
      </c>
      <c r="C29" s="263" t="s">
        <v>410</v>
      </c>
      <c r="D29" s="267" t="s">
        <v>409</v>
      </c>
      <c r="E29" s="228" t="s">
        <v>38</v>
      </c>
      <c r="F29" s="252">
        <v>1</v>
      </c>
      <c r="G29" s="252"/>
      <c r="H29" s="252"/>
      <c r="I29" s="252"/>
      <c r="J29" s="252"/>
      <c r="K29" s="252"/>
      <c r="L29" s="252"/>
      <c r="M29" s="253"/>
      <c r="N29" s="258">
        <f t="shared" si="0"/>
        <v>1</v>
      </c>
    </row>
    <row r="30" spans="2:14" s="222" customFormat="1" ht="38.25" x14ac:dyDescent="0.25">
      <c r="B30" s="262" t="s">
        <v>247</v>
      </c>
      <c r="C30" s="228" t="s">
        <v>415</v>
      </c>
      <c r="D30" s="267" t="s">
        <v>414</v>
      </c>
      <c r="E30" s="228" t="s">
        <v>38</v>
      </c>
      <c r="F30" s="252">
        <v>1</v>
      </c>
      <c r="G30" s="252"/>
      <c r="H30" s="252"/>
      <c r="I30" s="252"/>
      <c r="J30" s="252"/>
      <c r="K30" s="252"/>
      <c r="L30" s="252"/>
      <c r="M30" s="254"/>
      <c r="N30" s="258">
        <f t="shared" si="0"/>
        <v>1</v>
      </c>
    </row>
    <row r="31" spans="2:14" s="222" customFormat="1" x14ac:dyDescent="0.25">
      <c r="B31" s="262" t="s">
        <v>218</v>
      </c>
      <c r="C31" s="263" t="s">
        <v>847</v>
      </c>
      <c r="D31" s="267" t="s">
        <v>413</v>
      </c>
      <c r="E31" s="228" t="s">
        <v>38</v>
      </c>
      <c r="F31" s="252">
        <v>4</v>
      </c>
      <c r="G31" s="252"/>
      <c r="H31" s="252"/>
      <c r="I31" s="252"/>
      <c r="J31" s="252"/>
      <c r="K31" s="252"/>
      <c r="L31" s="252"/>
      <c r="M31" s="253"/>
      <c r="N31" s="258">
        <f t="shared" si="0"/>
        <v>4</v>
      </c>
    </row>
    <row r="32" spans="2:14" s="222" customFormat="1" x14ac:dyDescent="0.25">
      <c r="B32" s="262" t="s">
        <v>218</v>
      </c>
      <c r="C32" s="263" t="s">
        <v>412</v>
      </c>
      <c r="D32" s="267" t="s">
        <v>411</v>
      </c>
      <c r="E32" s="228" t="s">
        <v>38</v>
      </c>
      <c r="F32" s="252">
        <v>2</v>
      </c>
      <c r="G32" s="252"/>
      <c r="H32" s="252"/>
      <c r="I32" s="252"/>
      <c r="J32" s="252"/>
      <c r="K32" s="252"/>
      <c r="L32" s="252"/>
      <c r="M32" s="254"/>
      <c r="N32" s="258">
        <f t="shared" si="0"/>
        <v>2</v>
      </c>
    </row>
    <row r="33" spans="2:28" s="222" customFormat="1" x14ac:dyDescent="0.25">
      <c r="B33" s="262" t="s">
        <v>218</v>
      </c>
      <c r="C33" s="263" t="s">
        <v>417</v>
      </c>
      <c r="D33" s="267" t="s">
        <v>416</v>
      </c>
      <c r="E33" s="228" t="s">
        <v>38</v>
      </c>
      <c r="F33" s="252">
        <v>1</v>
      </c>
      <c r="G33" s="252"/>
      <c r="H33" s="252"/>
      <c r="I33" s="252"/>
      <c r="J33" s="252"/>
      <c r="K33" s="252"/>
      <c r="L33" s="252"/>
      <c r="M33" s="253"/>
      <c r="N33" s="258">
        <f t="shared" si="0"/>
        <v>1</v>
      </c>
    </row>
    <row r="34" spans="2:28" s="222" customFormat="1" x14ac:dyDescent="0.25">
      <c r="B34" s="262" t="s">
        <v>218</v>
      </c>
      <c r="C34" s="263" t="s">
        <v>370</v>
      </c>
      <c r="D34" s="267" t="s">
        <v>369</v>
      </c>
      <c r="E34" s="228" t="s">
        <v>38</v>
      </c>
      <c r="F34" s="252">
        <v>1</v>
      </c>
      <c r="G34" s="252"/>
      <c r="H34" s="252"/>
      <c r="I34" s="252"/>
      <c r="J34" s="252"/>
      <c r="K34" s="252"/>
      <c r="L34" s="252"/>
      <c r="M34" s="254"/>
      <c r="N34" s="258">
        <f t="shared" ref="N34:N42" si="2">+SUM(F34:M34)</f>
        <v>1</v>
      </c>
    </row>
    <row r="35" spans="2:28" s="222" customFormat="1" x14ac:dyDescent="0.25">
      <c r="B35" s="262" t="s">
        <v>218</v>
      </c>
      <c r="C35" s="263" t="s">
        <v>372</v>
      </c>
      <c r="D35" s="267" t="s">
        <v>371</v>
      </c>
      <c r="E35" s="228" t="s">
        <v>38</v>
      </c>
      <c r="F35" s="252">
        <v>8</v>
      </c>
      <c r="G35" s="252"/>
      <c r="H35" s="252"/>
      <c r="I35" s="252"/>
      <c r="J35" s="252"/>
      <c r="K35" s="252"/>
      <c r="L35" s="252"/>
      <c r="M35" s="254"/>
      <c r="N35" s="258">
        <f t="shared" si="2"/>
        <v>8</v>
      </c>
    </row>
    <row r="36" spans="2:28" s="222" customFormat="1" ht="25.5" x14ac:dyDescent="0.25">
      <c r="B36" s="262" t="s">
        <v>218</v>
      </c>
      <c r="C36" s="263" t="s">
        <v>376</v>
      </c>
      <c r="D36" s="265" t="s">
        <v>375</v>
      </c>
      <c r="E36" s="228" t="s">
        <v>219</v>
      </c>
      <c r="F36" s="252">
        <f>+$K$47</f>
        <v>1.08</v>
      </c>
      <c r="G36" s="252"/>
      <c r="H36" s="252"/>
      <c r="I36" s="252"/>
      <c r="J36" s="252"/>
      <c r="K36" s="252"/>
      <c r="L36" s="252"/>
      <c r="M36" s="253"/>
      <c r="N36" s="258">
        <f t="shared" si="2"/>
        <v>1.08</v>
      </c>
    </row>
    <row r="37" spans="2:28" s="222" customFormat="1" x14ac:dyDescent="0.25">
      <c r="B37" s="262" t="s">
        <v>218</v>
      </c>
      <c r="C37" s="263" t="s">
        <v>374</v>
      </c>
      <c r="D37" s="265" t="s">
        <v>373</v>
      </c>
      <c r="E37" s="228" t="s">
        <v>222</v>
      </c>
      <c r="F37" s="252">
        <f>+$K$48</f>
        <v>2.16</v>
      </c>
      <c r="G37" s="252"/>
      <c r="H37" s="252"/>
      <c r="I37" s="252"/>
      <c r="J37" s="252"/>
      <c r="K37" s="252"/>
      <c r="L37" s="252"/>
      <c r="M37" s="253"/>
      <c r="N37" s="258">
        <f t="shared" si="2"/>
        <v>2.16</v>
      </c>
    </row>
    <row r="38" spans="2:28" s="222" customFormat="1" ht="25.5" x14ac:dyDescent="0.25">
      <c r="B38" s="262" t="s">
        <v>218</v>
      </c>
      <c r="C38" s="263" t="s">
        <v>378</v>
      </c>
      <c r="D38" s="267" t="s">
        <v>377</v>
      </c>
      <c r="E38" s="228" t="s">
        <v>222</v>
      </c>
      <c r="F38" s="252">
        <f>+$K$49</f>
        <v>7.1999999999999993</v>
      </c>
      <c r="G38" s="252"/>
      <c r="H38" s="252"/>
      <c r="I38" s="252"/>
      <c r="J38" s="252"/>
      <c r="K38" s="252"/>
      <c r="L38" s="252"/>
      <c r="M38" s="253"/>
      <c r="N38" s="258">
        <f t="shared" si="2"/>
        <v>7.1999999999999993</v>
      </c>
    </row>
    <row r="39" spans="2:28" s="222" customFormat="1" x14ac:dyDescent="0.25">
      <c r="B39" s="262" t="s">
        <v>218</v>
      </c>
      <c r="C39" s="263" t="s">
        <v>380</v>
      </c>
      <c r="D39" s="267" t="s">
        <v>379</v>
      </c>
      <c r="E39" s="228" t="s">
        <v>219</v>
      </c>
      <c r="F39" s="252">
        <f>+$K$50</f>
        <v>0.12150000000000002</v>
      </c>
      <c r="G39" s="252"/>
      <c r="H39" s="252"/>
      <c r="I39" s="252"/>
      <c r="J39" s="252"/>
      <c r="K39" s="252"/>
      <c r="L39" s="252"/>
      <c r="M39" s="253"/>
      <c r="N39" s="258">
        <f t="shared" si="2"/>
        <v>0.12150000000000002</v>
      </c>
    </row>
    <row r="40" spans="2:28" s="222" customFormat="1" ht="25.5" x14ac:dyDescent="0.25">
      <c r="B40" s="262" t="s">
        <v>247</v>
      </c>
      <c r="C40" s="228" t="s">
        <v>382</v>
      </c>
      <c r="D40" s="267" t="s">
        <v>2723</v>
      </c>
      <c r="E40" s="228" t="s">
        <v>38</v>
      </c>
      <c r="F40" s="252">
        <v>4</v>
      </c>
      <c r="G40" s="252"/>
      <c r="H40" s="252"/>
      <c r="I40" s="252"/>
      <c r="J40" s="252"/>
      <c r="K40" s="252"/>
      <c r="L40" s="252"/>
      <c r="M40" s="253"/>
      <c r="N40" s="258">
        <f t="shared" si="2"/>
        <v>4</v>
      </c>
    </row>
    <row r="41" spans="2:28" s="222" customFormat="1" ht="25.5" x14ac:dyDescent="0.25">
      <c r="B41" s="262" t="s">
        <v>218</v>
      </c>
      <c r="C41" s="263" t="s">
        <v>384</v>
      </c>
      <c r="D41" s="267" t="s">
        <v>383</v>
      </c>
      <c r="E41" s="228" t="s">
        <v>219</v>
      </c>
      <c r="F41" s="252">
        <f>+K65</f>
        <v>5.2</v>
      </c>
      <c r="G41" s="252"/>
      <c r="H41" s="252"/>
      <c r="I41" s="252"/>
      <c r="J41" s="252"/>
      <c r="K41" s="252"/>
      <c r="L41" s="252"/>
      <c r="M41" s="253"/>
      <c r="N41" s="258">
        <f t="shared" si="2"/>
        <v>5.2</v>
      </c>
    </row>
    <row r="42" spans="2:28" s="222" customFormat="1" x14ac:dyDescent="0.25">
      <c r="B42" s="262" t="s">
        <v>218</v>
      </c>
      <c r="C42" s="263" t="s">
        <v>394</v>
      </c>
      <c r="D42" s="267" t="s">
        <v>385</v>
      </c>
      <c r="E42" s="228" t="s">
        <v>38</v>
      </c>
      <c r="F42" s="252">
        <f>+$K$68</f>
        <v>16</v>
      </c>
      <c r="G42" s="252"/>
      <c r="H42" s="252"/>
      <c r="I42" s="252"/>
      <c r="J42" s="252"/>
      <c r="K42" s="252"/>
      <c r="L42" s="252"/>
      <c r="M42" s="253"/>
      <c r="N42" s="258">
        <f t="shared" si="2"/>
        <v>16</v>
      </c>
    </row>
    <row r="43" spans="2:28" s="222" customFormat="1" ht="38.25" x14ac:dyDescent="0.25">
      <c r="B43" s="262" t="s">
        <v>218</v>
      </c>
      <c r="C43" s="263" t="s">
        <v>482</v>
      </c>
      <c r="D43" s="267" t="s">
        <v>481</v>
      </c>
      <c r="E43" s="228" t="s">
        <v>222</v>
      </c>
      <c r="F43" s="252">
        <f>1.9*2.4</f>
        <v>4.5599999999999996</v>
      </c>
      <c r="G43" s="252"/>
      <c r="H43" s="252"/>
      <c r="I43" s="252"/>
      <c r="J43" s="252"/>
      <c r="K43" s="252"/>
      <c r="L43" s="252"/>
      <c r="M43" s="253"/>
      <c r="N43" s="258">
        <f t="shared" ref="N43" si="3">+SUM(F43:M43)</f>
        <v>4.5599999999999996</v>
      </c>
    </row>
    <row r="44" spans="2:28" s="222" customFormat="1" ht="15.75" thickBot="1" x14ac:dyDescent="0.3">
      <c r="B44" s="230"/>
      <c r="C44" s="231"/>
      <c r="D44" s="231"/>
      <c r="E44" s="231"/>
      <c r="F44" s="255"/>
      <c r="G44" s="255"/>
      <c r="H44" s="255"/>
      <c r="I44" s="255"/>
      <c r="J44" s="255"/>
      <c r="K44" s="255"/>
      <c r="L44" s="255"/>
      <c r="M44" s="256"/>
      <c r="N44" s="259"/>
    </row>
    <row r="45" spans="2:28" x14ac:dyDescent="0.25">
      <c r="D45" s="227"/>
      <c r="E45" s="227"/>
      <c r="F45" s="227"/>
      <c r="G45" s="227"/>
      <c r="H45" s="227"/>
      <c r="I45" s="227"/>
      <c r="J45" s="227"/>
      <c r="K45" s="227"/>
      <c r="L45" s="227"/>
      <c r="M45" s="227"/>
    </row>
    <row r="46" spans="2:28" s="89" customFormat="1" ht="20.100000000000001" customHeight="1" x14ac:dyDescent="0.25">
      <c r="C46" s="277"/>
      <c r="D46" s="278"/>
      <c r="E46" s="276"/>
      <c r="F46" s="278"/>
      <c r="G46" s="282" t="s">
        <v>386</v>
      </c>
      <c r="H46" s="282" t="s">
        <v>387</v>
      </c>
      <c r="I46" s="282" t="s">
        <v>388</v>
      </c>
      <c r="J46" s="282" t="s">
        <v>184</v>
      </c>
      <c r="K46" s="282" t="s">
        <v>104</v>
      </c>
      <c r="Q46" s="193"/>
      <c r="R46" s="195"/>
      <c r="U46" s="193"/>
      <c r="X46" s="194"/>
      <c r="Y46" s="221"/>
      <c r="AA46" s="194"/>
      <c r="AB46" s="199"/>
    </row>
    <row r="47" spans="2:28" s="276" customFormat="1" ht="20.100000000000001" customHeight="1" x14ac:dyDescent="0.25">
      <c r="C47" s="277" t="str">
        <f>+$D$36</f>
        <v>CAIXA DE INSPEÇÃO - ESCAVAÇÃO MANUAL / REATERRO/ APILOAMENTO DO FUNDO</v>
      </c>
      <c r="D47" s="278"/>
      <c r="F47" s="278"/>
      <c r="G47" s="273">
        <v>0.6</v>
      </c>
      <c r="H47" s="273">
        <v>0.6</v>
      </c>
      <c r="I47" s="273">
        <v>0.5</v>
      </c>
      <c r="J47" s="273">
        <v>6</v>
      </c>
      <c r="K47" s="274">
        <f>+G47*H47*I47*J47</f>
        <v>1.08</v>
      </c>
      <c r="L47" s="269" t="s">
        <v>219</v>
      </c>
      <c r="Q47" s="271"/>
      <c r="R47" s="279"/>
      <c r="U47" s="271"/>
      <c r="X47" s="272"/>
      <c r="Y47" s="280"/>
      <c r="AA47" s="272"/>
      <c r="AB47" s="275"/>
    </row>
    <row r="48" spans="2:28" s="276" customFormat="1" ht="20.100000000000001" customHeight="1" x14ac:dyDescent="0.25">
      <c r="C48" s="277" t="str">
        <f>+$D$37</f>
        <v>CAIXA DE PASSAGEM - TAMPA EM CONCRETO ARMADO 25 MPA E=5CM</v>
      </c>
      <c r="D48" s="278"/>
      <c r="F48" s="278"/>
      <c r="G48" s="273">
        <f>+G47</f>
        <v>0.6</v>
      </c>
      <c r="H48" s="273">
        <f>+H47</f>
        <v>0.6</v>
      </c>
      <c r="I48" s="273"/>
      <c r="J48" s="273">
        <f>+J47</f>
        <v>6</v>
      </c>
      <c r="K48" s="274">
        <f>+G48*H48*J48</f>
        <v>2.16</v>
      </c>
      <c r="L48" s="269" t="s">
        <v>222</v>
      </c>
      <c r="Q48" s="271"/>
      <c r="R48" s="279"/>
      <c r="U48" s="271"/>
      <c r="X48" s="272"/>
      <c r="Y48" s="280"/>
      <c r="AA48" s="272"/>
      <c r="AB48" s="275"/>
    </row>
    <row r="49" spans="3:28" s="276" customFormat="1" ht="20.100000000000001" customHeight="1" x14ac:dyDescent="0.25">
      <c r="C49" s="277" t="str">
        <f>+$D$38</f>
        <v>CAIXA DE PASSAGEM - ALVENARIA DE 1/2 VEZ COM REVESTIMENTO INTERNO EM REBOCO PAULISTA A-14</v>
      </c>
      <c r="D49" s="278"/>
      <c r="F49" s="278"/>
      <c r="G49" s="273">
        <f>+G47</f>
        <v>0.6</v>
      </c>
      <c r="H49" s="273">
        <f>+H47</f>
        <v>0.6</v>
      </c>
      <c r="I49" s="273">
        <f>+I47</f>
        <v>0.5</v>
      </c>
      <c r="J49" s="273">
        <f>+J48</f>
        <v>6</v>
      </c>
      <c r="K49" s="274">
        <f>+SUM(G49:H49)*2*I49*J49</f>
        <v>7.1999999999999993</v>
      </c>
      <c r="L49" s="269" t="s">
        <v>222</v>
      </c>
      <c r="Q49" s="271"/>
      <c r="R49" s="279"/>
      <c r="U49" s="271"/>
      <c r="X49" s="272"/>
      <c r="Y49" s="280"/>
      <c r="AA49" s="272"/>
      <c r="AB49" s="275"/>
    </row>
    <row r="50" spans="3:28" s="276" customFormat="1" ht="20.100000000000001" customHeight="1" x14ac:dyDescent="0.25">
      <c r="C50" s="277" t="str">
        <f>+$D$39</f>
        <v>CAIXA DE PASSAGEM - LASTRO DE BRITA PARA O FUNDO</v>
      </c>
      <c r="D50" s="278"/>
      <c r="F50" s="278"/>
      <c r="G50" s="273">
        <v>0.45</v>
      </c>
      <c r="H50" s="273">
        <v>0.45</v>
      </c>
      <c r="I50" s="273">
        <v>0.1</v>
      </c>
      <c r="J50" s="273">
        <f>+J49</f>
        <v>6</v>
      </c>
      <c r="K50" s="274">
        <f>+G50*H50*I50*J50</f>
        <v>0.12150000000000002</v>
      </c>
      <c r="L50" s="269" t="s">
        <v>219</v>
      </c>
      <c r="Q50" s="271"/>
      <c r="R50" s="279"/>
      <c r="U50" s="271"/>
      <c r="X50" s="272"/>
      <c r="Y50" s="280"/>
      <c r="AA50" s="272"/>
      <c r="AB50" s="275"/>
    </row>
    <row r="51" spans="3:28" x14ac:dyDescent="0.25">
      <c r="D51" s="227"/>
      <c r="E51" s="227"/>
      <c r="F51" s="227"/>
      <c r="G51" s="227"/>
      <c r="H51" s="227"/>
      <c r="I51" s="227"/>
      <c r="J51" s="227"/>
      <c r="K51" s="227"/>
      <c r="L51" s="269"/>
      <c r="M51" s="227"/>
    </row>
    <row r="52" spans="3:28" x14ac:dyDescent="0.25">
      <c r="D52" s="227"/>
      <c r="E52" s="227"/>
      <c r="F52" s="227"/>
      <c r="G52" s="227"/>
      <c r="H52" s="227"/>
      <c r="I52" s="227"/>
      <c r="J52" s="227"/>
      <c r="K52" s="227"/>
      <c r="L52" s="269"/>
      <c r="M52" s="227"/>
    </row>
    <row r="53" spans="3:28" x14ac:dyDescent="0.25">
      <c r="D53" s="227"/>
      <c r="E53" s="227"/>
      <c r="F53" s="227"/>
      <c r="G53" s="227"/>
      <c r="H53" s="227"/>
      <c r="I53" s="227"/>
      <c r="J53" s="227"/>
      <c r="K53" s="227"/>
      <c r="L53" s="281"/>
      <c r="M53" s="227"/>
    </row>
    <row r="54" spans="3:28" x14ac:dyDescent="0.25">
      <c r="D54" s="227"/>
      <c r="E54" s="227"/>
      <c r="F54" s="227"/>
      <c r="G54" s="227"/>
      <c r="H54" s="227"/>
      <c r="I54" s="227"/>
      <c r="J54" s="227"/>
      <c r="K54" s="227"/>
      <c r="L54" s="281"/>
      <c r="M54" s="227"/>
    </row>
    <row r="55" spans="3:28" x14ac:dyDescent="0.25">
      <c r="D55" s="227"/>
      <c r="E55" s="227"/>
      <c r="F55" s="227"/>
      <c r="G55" s="227"/>
      <c r="H55" s="227"/>
      <c r="I55" s="227"/>
      <c r="J55" s="227"/>
      <c r="K55" s="227"/>
      <c r="L55" s="281"/>
      <c r="M55" s="227"/>
    </row>
    <row r="56" spans="3:28" x14ac:dyDescent="0.25">
      <c r="D56" s="227"/>
      <c r="E56" s="227"/>
      <c r="F56" s="227"/>
      <c r="G56" s="227"/>
      <c r="H56" s="227"/>
      <c r="I56" s="227"/>
      <c r="J56" s="227"/>
      <c r="K56" s="227"/>
      <c r="L56" s="281"/>
      <c r="M56" s="227"/>
    </row>
    <row r="57" spans="3:28" x14ac:dyDescent="0.25">
      <c r="D57" s="227"/>
      <c r="E57" s="227"/>
      <c r="F57" s="227"/>
      <c r="G57" s="227"/>
      <c r="H57" s="227"/>
      <c r="I57" s="227"/>
      <c r="J57" s="227"/>
      <c r="K57" s="227"/>
      <c r="L57" s="281"/>
      <c r="M57" s="227"/>
    </row>
    <row r="58" spans="3:28" x14ac:dyDescent="0.25">
      <c r="D58" s="227"/>
      <c r="E58" s="227"/>
      <c r="F58" s="227"/>
      <c r="G58" s="227"/>
      <c r="H58" s="227"/>
      <c r="I58" s="227"/>
      <c r="J58" s="227"/>
      <c r="K58" s="227"/>
      <c r="L58" s="281"/>
      <c r="M58" s="227"/>
    </row>
    <row r="59" spans="3:28" x14ac:dyDescent="0.25">
      <c r="D59" s="227"/>
      <c r="E59" s="227"/>
      <c r="F59" s="227"/>
      <c r="G59" s="227"/>
      <c r="H59" s="227"/>
      <c r="I59" s="227"/>
      <c r="J59" s="227"/>
      <c r="K59" s="227"/>
      <c r="L59" s="281"/>
      <c r="M59" s="227"/>
    </row>
    <row r="60" spans="3:28" x14ac:dyDescent="0.25">
      <c r="D60" s="227"/>
      <c r="E60" s="227"/>
      <c r="F60" s="227"/>
      <c r="G60" s="227"/>
      <c r="H60" s="227"/>
      <c r="I60" s="227"/>
      <c r="J60" s="227"/>
      <c r="K60" s="227"/>
      <c r="L60" s="281"/>
      <c r="M60" s="227"/>
    </row>
    <row r="61" spans="3:28" x14ac:dyDescent="0.25">
      <c r="D61" s="227"/>
      <c r="E61" s="227"/>
      <c r="F61" s="227"/>
      <c r="G61" s="227"/>
      <c r="H61" s="227"/>
      <c r="I61" s="227"/>
      <c r="J61" s="227"/>
      <c r="K61" s="227"/>
      <c r="L61" s="281"/>
      <c r="M61" s="227"/>
    </row>
    <row r="62" spans="3:28" x14ac:dyDescent="0.25">
      <c r="D62" s="227"/>
      <c r="E62" s="227"/>
      <c r="F62" s="227"/>
      <c r="G62" s="227"/>
      <c r="H62" s="227"/>
      <c r="I62" s="227"/>
      <c r="J62" s="227"/>
      <c r="K62" s="227"/>
      <c r="L62" s="281"/>
      <c r="M62" s="227"/>
    </row>
    <row r="63" spans="3:28" x14ac:dyDescent="0.25">
      <c r="D63" s="227"/>
      <c r="E63" s="227"/>
      <c r="F63" s="227"/>
      <c r="G63" s="227"/>
      <c r="H63" s="227"/>
      <c r="I63" s="227"/>
      <c r="J63" s="227"/>
      <c r="K63" s="227"/>
      <c r="L63" s="281"/>
      <c r="M63" s="227"/>
    </row>
    <row r="64" spans="3:28" x14ac:dyDescent="0.25">
      <c r="C64" t="str">
        <f>+$D$41</f>
        <v xml:space="preserve">POSTE - ENGASTAMENTO SIMPLES PARA POSTE DE CONCRETO SEÇÃO DUPLO "T"	</v>
      </c>
      <c r="D64" s="227"/>
      <c r="E64" s="227"/>
      <c r="F64" s="227"/>
      <c r="G64" s="282" t="s">
        <v>386</v>
      </c>
      <c r="H64" s="282" t="s">
        <v>387</v>
      </c>
      <c r="I64" s="282" t="s">
        <v>388</v>
      </c>
      <c r="J64" s="282" t="s">
        <v>393</v>
      </c>
      <c r="K64" s="282" t="s">
        <v>104</v>
      </c>
      <c r="L64" s="281"/>
      <c r="M64" s="227"/>
    </row>
    <row r="65" spans="3:13" s="222" customFormat="1" ht="32.1" customHeight="1" x14ac:dyDescent="0.25">
      <c r="C65"/>
      <c r="D65" s="901" t="s">
        <v>418</v>
      </c>
      <c r="E65" s="901"/>
      <c r="F65" s="901"/>
      <c r="G65" s="268">
        <v>0.25</v>
      </c>
      <c r="H65" s="268">
        <v>0.25</v>
      </c>
      <c r="I65" s="268">
        <v>1.3</v>
      </c>
      <c r="J65" s="268">
        <v>4</v>
      </c>
      <c r="K65" s="270">
        <f>+I65*J65</f>
        <v>5.2</v>
      </c>
      <c r="L65" s="269" t="s">
        <v>219</v>
      </c>
      <c r="M65" s="281"/>
    </row>
    <row r="66" spans="3:13" x14ac:dyDescent="0.25">
      <c r="D66" s="227"/>
      <c r="E66" s="227"/>
      <c r="F66" s="227"/>
      <c r="G66" s="227"/>
      <c r="H66" s="227"/>
      <c r="I66" s="227"/>
      <c r="J66" s="227"/>
      <c r="K66" s="227"/>
      <c r="L66" s="281"/>
      <c r="M66" s="227"/>
    </row>
    <row r="67" spans="3:13" x14ac:dyDescent="0.25">
      <c r="C67" t="str">
        <f>+$D$42</f>
        <v xml:space="preserve">POSTE/TRAFO - CAMINHÃO MUNCK 12 TON. (MÍNIMO 4H/DIA)	</v>
      </c>
      <c r="D67" s="227"/>
      <c r="E67" s="227"/>
      <c r="F67" s="227"/>
      <c r="G67" s="227"/>
      <c r="H67" s="227"/>
      <c r="I67" s="282" t="s">
        <v>392</v>
      </c>
      <c r="J67" s="282" t="s">
        <v>393</v>
      </c>
      <c r="K67" s="282" t="s">
        <v>104</v>
      </c>
      <c r="L67" s="281"/>
      <c r="M67" s="227"/>
    </row>
    <row r="68" spans="3:13" s="222" customFormat="1" ht="32.1" customHeight="1" x14ac:dyDescent="0.25">
      <c r="C68"/>
      <c r="D68" s="901" t="s">
        <v>391</v>
      </c>
      <c r="E68" s="901"/>
      <c r="F68" s="901"/>
      <c r="G68" s="227"/>
      <c r="H68" s="227"/>
      <c r="I68" s="268">
        <v>4</v>
      </c>
      <c r="J68" s="268">
        <v>4</v>
      </c>
      <c r="K68" s="270">
        <f>+I68*J68</f>
        <v>16</v>
      </c>
      <c r="L68" s="269" t="s">
        <v>81</v>
      </c>
      <c r="M68" s="281"/>
    </row>
    <row r="69" spans="3:13" x14ac:dyDescent="0.25">
      <c r="D69" s="227"/>
      <c r="E69" s="227"/>
      <c r="F69" s="227"/>
      <c r="G69" s="227"/>
      <c r="H69" s="227"/>
      <c r="I69" s="227"/>
      <c r="J69" s="227"/>
      <c r="K69" s="227"/>
      <c r="L69" s="227"/>
      <c r="M69" s="227"/>
    </row>
    <row r="70" spans="3:13" x14ac:dyDescent="0.25">
      <c r="D70" s="227"/>
      <c r="E70" s="227"/>
      <c r="F70" s="227"/>
      <c r="G70" s="227"/>
      <c r="H70" s="227"/>
      <c r="I70" s="227"/>
      <c r="J70" s="227"/>
      <c r="K70" s="227"/>
      <c r="L70" s="227"/>
      <c r="M70" s="227"/>
    </row>
    <row r="71" spans="3:13" x14ac:dyDescent="0.25">
      <c r="D71" s="227"/>
      <c r="E71" s="227"/>
      <c r="F71" s="227"/>
      <c r="G71" s="227"/>
      <c r="H71" s="227"/>
      <c r="I71" s="227"/>
      <c r="J71" s="227"/>
      <c r="K71" s="227"/>
      <c r="L71" s="227"/>
      <c r="M71" s="227"/>
    </row>
    <row r="72" spans="3:13" x14ac:dyDescent="0.25">
      <c r="D72" s="227"/>
      <c r="E72" s="227"/>
      <c r="F72" s="227"/>
      <c r="G72" s="227"/>
      <c r="H72" s="227"/>
      <c r="I72" s="227"/>
      <c r="J72" s="227"/>
      <c r="K72" s="227"/>
      <c r="L72" s="227"/>
      <c r="M72" s="227"/>
    </row>
    <row r="73" spans="3:13" x14ac:dyDescent="0.25">
      <c r="D73" s="227"/>
      <c r="E73" s="227"/>
      <c r="F73" s="227"/>
      <c r="G73" s="227"/>
      <c r="H73" s="227"/>
      <c r="I73" s="227"/>
      <c r="J73" s="227"/>
      <c r="K73" s="227"/>
      <c r="L73" s="227"/>
      <c r="M73" s="227"/>
    </row>
    <row r="74" spans="3:13" x14ac:dyDescent="0.25">
      <c r="D74" s="227"/>
      <c r="E74" s="227"/>
      <c r="F74" s="227"/>
      <c r="G74" s="227"/>
      <c r="H74" s="227"/>
      <c r="I74" s="227"/>
      <c r="J74" s="227"/>
      <c r="K74" s="227"/>
      <c r="L74" s="227"/>
      <c r="M74" s="227"/>
    </row>
    <row r="75" spans="3:13" x14ac:dyDescent="0.25">
      <c r="D75" s="227"/>
      <c r="E75" s="227"/>
      <c r="F75" s="227"/>
      <c r="G75" s="227"/>
      <c r="H75" s="227"/>
      <c r="I75" s="227"/>
      <c r="J75" s="227"/>
      <c r="K75" s="227"/>
      <c r="L75" s="227"/>
      <c r="M75" s="227"/>
    </row>
    <row r="76" spans="3:13" x14ac:dyDescent="0.25">
      <c r="D76" s="227"/>
      <c r="E76" s="227"/>
      <c r="F76" s="227"/>
      <c r="G76" s="227"/>
      <c r="H76" s="227"/>
      <c r="I76" s="227"/>
      <c r="J76" s="227"/>
      <c r="K76" s="227"/>
      <c r="L76" s="227"/>
      <c r="M76" s="227"/>
    </row>
    <row r="77" spans="3:13" x14ac:dyDescent="0.25">
      <c r="D77" s="227"/>
      <c r="E77" s="227"/>
      <c r="F77" s="227"/>
      <c r="G77" s="227"/>
      <c r="H77" s="227"/>
      <c r="I77" s="227"/>
      <c r="J77" s="227"/>
      <c r="K77" s="227"/>
      <c r="L77" s="227"/>
      <c r="M77" s="227"/>
    </row>
    <row r="78" spans="3:13" x14ac:dyDescent="0.25">
      <c r="D78" s="227"/>
      <c r="E78" s="227"/>
      <c r="F78" s="227"/>
      <c r="G78" s="227"/>
      <c r="H78" s="227"/>
      <c r="I78" s="227"/>
      <c r="J78" s="227"/>
      <c r="K78" s="227"/>
      <c r="L78" s="227"/>
      <c r="M78" s="227"/>
    </row>
    <row r="79" spans="3:13" x14ac:dyDescent="0.25">
      <c r="D79" s="227"/>
      <c r="E79" s="227"/>
      <c r="F79" s="227"/>
      <c r="G79" s="227"/>
      <c r="H79" s="227"/>
      <c r="I79" s="227"/>
      <c r="J79" s="227"/>
      <c r="K79" s="227"/>
      <c r="L79" s="227"/>
      <c r="M79" s="227"/>
    </row>
    <row r="80" spans="3:13" x14ac:dyDescent="0.25">
      <c r="D80" s="227"/>
      <c r="E80" s="227"/>
      <c r="F80" s="227"/>
      <c r="G80" s="227"/>
      <c r="H80" s="227"/>
      <c r="I80" s="227"/>
      <c r="J80" s="227"/>
      <c r="K80" s="227"/>
      <c r="L80" s="227"/>
      <c r="M80" s="227"/>
    </row>
    <row r="81" spans="4:13" x14ac:dyDescent="0.25">
      <c r="D81" s="227"/>
      <c r="E81" s="227"/>
      <c r="F81" s="227"/>
      <c r="G81" s="227"/>
      <c r="H81" s="227"/>
      <c r="I81" s="227"/>
      <c r="J81" s="227"/>
      <c r="K81" s="227"/>
      <c r="L81" s="227"/>
      <c r="M81" s="227"/>
    </row>
    <row r="82" spans="4:13" x14ac:dyDescent="0.25">
      <c r="D82" s="227"/>
      <c r="E82" s="227"/>
      <c r="F82" s="227"/>
      <c r="G82" s="227"/>
      <c r="H82" s="227"/>
      <c r="I82" s="227"/>
      <c r="J82" s="227"/>
      <c r="K82" s="227"/>
      <c r="L82" s="227"/>
      <c r="M82" s="227"/>
    </row>
    <row r="83" spans="4:13" x14ac:dyDescent="0.25">
      <c r="D83" s="227"/>
      <c r="E83" s="227"/>
      <c r="F83" s="227"/>
      <c r="G83" s="227"/>
      <c r="H83" s="227"/>
      <c r="I83" s="227"/>
      <c r="J83" s="227"/>
      <c r="K83" s="227"/>
      <c r="L83" s="227"/>
      <c r="M83" s="227"/>
    </row>
    <row r="84" spans="4:13" x14ac:dyDescent="0.25">
      <c r="D84" s="227"/>
      <c r="E84" s="227"/>
      <c r="F84" s="227"/>
      <c r="G84" s="227"/>
      <c r="H84" s="227"/>
      <c r="I84" s="227"/>
      <c r="J84" s="227"/>
      <c r="K84" s="227"/>
      <c r="L84" s="227"/>
      <c r="M84" s="227"/>
    </row>
    <row r="85" spans="4:13" x14ac:dyDescent="0.25">
      <c r="D85" s="227"/>
      <c r="E85" s="227"/>
      <c r="F85" s="227"/>
      <c r="G85" s="227"/>
      <c r="H85" s="227"/>
      <c r="I85" s="227"/>
      <c r="J85" s="227"/>
      <c r="K85" s="227"/>
      <c r="L85" s="227"/>
      <c r="M85" s="227"/>
    </row>
    <row r="86" spans="4:13" x14ac:dyDescent="0.25">
      <c r="D86" s="227"/>
      <c r="E86" s="227"/>
      <c r="F86" s="227"/>
      <c r="G86" s="227"/>
      <c r="H86" s="227"/>
      <c r="I86" s="227"/>
      <c r="J86" s="227"/>
      <c r="K86" s="227"/>
      <c r="L86" s="227"/>
      <c r="M86" s="227"/>
    </row>
    <row r="87" spans="4:13" x14ac:dyDescent="0.25">
      <c r="D87" s="227"/>
      <c r="E87" s="227"/>
      <c r="F87" s="227"/>
      <c r="G87" s="227"/>
      <c r="H87" s="227"/>
      <c r="I87" s="227"/>
      <c r="J87" s="227"/>
      <c r="K87" s="227"/>
      <c r="L87" s="227"/>
      <c r="M87" s="227"/>
    </row>
    <row r="88" spans="4:13" x14ac:dyDescent="0.25">
      <c r="D88" s="227"/>
      <c r="E88" s="227"/>
      <c r="F88" s="227"/>
      <c r="G88" s="227"/>
      <c r="H88" s="227"/>
      <c r="I88" s="227"/>
      <c r="J88" s="227"/>
      <c r="K88" s="227"/>
      <c r="L88" s="227"/>
      <c r="M88" s="227"/>
    </row>
    <row r="89" spans="4:13" x14ac:dyDescent="0.25">
      <c r="D89" s="227"/>
      <c r="E89" s="227"/>
      <c r="F89" s="227"/>
      <c r="G89" s="227"/>
      <c r="H89" s="227"/>
      <c r="I89" s="227"/>
      <c r="J89" s="227"/>
      <c r="K89" s="227"/>
      <c r="L89" s="227"/>
      <c r="M89" s="227"/>
    </row>
    <row r="90" spans="4:13" x14ac:dyDescent="0.25">
      <c r="D90" s="227"/>
      <c r="E90" s="227"/>
      <c r="F90" s="227"/>
      <c r="G90" s="227"/>
      <c r="H90" s="227"/>
      <c r="I90" s="227"/>
      <c r="J90" s="227"/>
      <c r="K90" s="227"/>
      <c r="L90" s="227"/>
      <c r="M90" s="227"/>
    </row>
    <row r="91" spans="4:13" x14ac:dyDescent="0.25">
      <c r="D91" s="227"/>
      <c r="E91" s="227"/>
      <c r="F91" s="227"/>
      <c r="G91" s="227"/>
      <c r="H91" s="227"/>
      <c r="I91" s="227"/>
      <c r="J91" s="227"/>
      <c r="K91" s="227"/>
      <c r="L91" s="227"/>
      <c r="M91" s="227"/>
    </row>
    <row r="92" spans="4:13" x14ac:dyDescent="0.25">
      <c r="D92" s="227"/>
      <c r="E92" s="227"/>
      <c r="F92" s="227"/>
      <c r="G92" s="227"/>
      <c r="H92" s="227"/>
      <c r="I92" s="227"/>
      <c r="J92" s="227"/>
      <c r="K92" s="227"/>
      <c r="L92" s="227"/>
      <c r="M92" s="227"/>
    </row>
    <row r="93" spans="4:13" x14ac:dyDescent="0.25">
      <c r="D93" s="227"/>
      <c r="E93" s="227"/>
      <c r="F93" s="227"/>
      <c r="G93" s="227"/>
      <c r="H93" s="227"/>
      <c r="I93" s="227"/>
      <c r="J93" s="227"/>
      <c r="K93" s="227"/>
      <c r="L93" s="227"/>
      <c r="M93" s="227"/>
    </row>
    <row r="94" spans="4:13" x14ac:dyDescent="0.25">
      <c r="D94" s="227"/>
      <c r="E94" s="227"/>
      <c r="F94" s="227"/>
      <c r="G94" s="227"/>
      <c r="H94" s="227"/>
      <c r="I94" s="227"/>
      <c r="J94" s="227"/>
      <c r="K94" s="227"/>
      <c r="L94" s="227"/>
      <c r="M94" s="227"/>
    </row>
    <row r="95" spans="4:13" x14ac:dyDescent="0.25">
      <c r="D95" s="227"/>
      <c r="E95" s="227"/>
      <c r="F95" s="227"/>
      <c r="G95" s="227"/>
      <c r="H95" s="227"/>
      <c r="I95" s="227"/>
      <c r="J95" s="227"/>
      <c r="K95" s="227"/>
      <c r="L95" s="227"/>
      <c r="M95" s="227"/>
    </row>
    <row r="96" spans="4:13" x14ac:dyDescent="0.25">
      <c r="D96" s="227"/>
      <c r="E96" s="227"/>
      <c r="F96" s="227"/>
      <c r="G96" s="227"/>
      <c r="H96" s="227"/>
      <c r="I96" s="227"/>
      <c r="J96" s="227"/>
      <c r="K96" s="227"/>
      <c r="L96" s="227"/>
      <c r="M96" s="227"/>
    </row>
    <row r="97" spans="4:13" x14ac:dyDescent="0.25">
      <c r="D97" s="227"/>
      <c r="E97" s="227"/>
      <c r="F97" s="227"/>
      <c r="G97" s="227"/>
      <c r="H97" s="227"/>
      <c r="I97" s="227"/>
      <c r="J97" s="227"/>
      <c r="K97" s="227"/>
      <c r="L97" s="227"/>
      <c r="M97" s="227"/>
    </row>
    <row r="98" spans="4:13" x14ac:dyDescent="0.25">
      <c r="D98" s="227"/>
      <c r="E98" s="227"/>
      <c r="F98" s="227"/>
      <c r="G98" s="227"/>
      <c r="H98" s="227"/>
      <c r="I98" s="227"/>
      <c r="J98" s="227"/>
      <c r="K98" s="227"/>
      <c r="L98" s="227"/>
      <c r="M98" s="227"/>
    </row>
    <row r="99" spans="4:13" x14ac:dyDescent="0.25">
      <c r="D99" s="227"/>
      <c r="E99" s="227"/>
      <c r="F99" s="227"/>
      <c r="G99" s="227"/>
      <c r="H99" s="227"/>
      <c r="I99" s="227"/>
      <c r="J99" s="227"/>
      <c r="K99" s="227"/>
      <c r="L99" s="227"/>
      <c r="M99" s="227"/>
    </row>
    <row r="100" spans="4:13" x14ac:dyDescent="0.25">
      <c r="D100" s="227"/>
      <c r="E100" s="227"/>
      <c r="F100" s="227"/>
      <c r="G100" s="227"/>
      <c r="H100" s="227"/>
      <c r="I100" s="227"/>
      <c r="J100" s="227"/>
      <c r="K100" s="227"/>
      <c r="L100" s="227"/>
      <c r="M100" s="227"/>
    </row>
    <row r="101" spans="4:13" x14ac:dyDescent="0.25">
      <c r="D101" s="227"/>
      <c r="E101" s="227"/>
      <c r="F101" s="227"/>
      <c r="G101" s="227"/>
      <c r="H101" s="227"/>
      <c r="I101" s="227"/>
      <c r="J101" s="227"/>
      <c r="K101" s="227"/>
      <c r="L101" s="227"/>
      <c r="M101" s="227"/>
    </row>
    <row r="102" spans="4:13" x14ac:dyDescent="0.25">
      <c r="D102" s="227"/>
      <c r="E102" s="227"/>
      <c r="F102" s="227"/>
      <c r="G102" s="227"/>
      <c r="H102" s="227"/>
      <c r="I102" s="227"/>
      <c r="J102" s="227"/>
      <c r="K102" s="227"/>
      <c r="L102" s="227"/>
      <c r="M102" s="227"/>
    </row>
    <row r="103" spans="4:13" x14ac:dyDescent="0.25">
      <c r="D103" s="227"/>
      <c r="E103" s="227"/>
      <c r="F103" s="227"/>
      <c r="G103" s="227"/>
      <c r="H103" s="227"/>
      <c r="I103" s="227"/>
      <c r="J103" s="227"/>
      <c r="K103" s="227"/>
      <c r="L103" s="227"/>
      <c r="M103" s="227"/>
    </row>
    <row r="104" spans="4:13" x14ac:dyDescent="0.25">
      <c r="D104" s="227"/>
      <c r="E104" s="227"/>
      <c r="F104" s="227"/>
      <c r="G104" s="227"/>
      <c r="H104" s="227"/>
      <c r="I104" s="227"/>
      <c r="J104" s="227"/>
      <c r="K104" s="227"/>
      <c r="L104" s="227"/>
      <c r="M104" s="227"/>
    </row>
    <row r="105" spans="4:13" x14ac:dyDescent="0.25">
      <c r="D105" s="227"/>
      <c r="E105" s="227"/>
      <c r="F105" s="227"/>
      <c r="G105" s="227"/>
      <c r="H105" s="227"/>
      <c r="I105" s="227"/>
      <c r="J105" s="227"/>
      <c r="K105" s="227"/>
      <c r="L105" s="227"/>
      <c r="M105" s="227"/>
    </row>
    <row r="106" spans="4:13" x14ac:dyDescent="0.25">
      <c r="D106" s="227"/>
      <c r="E106" s="227"/>
      <c r="F106" s="227"/>
      <c r="G106" s="227"/>
      <c r="H106" s="227"/>
      <c r="I106" s="227"/>
      <c r="J106" s="227"/>
      <c r="K106" s="227"/>
      <c r="L106" s="227"/>
      <c r="M106" s="227"/>
    </row>
    <row r="107" spans="4:13" x14ac:dyDescent="0.25">
      <c r="D107" s="227"/>
      <c r="E107" s="227"/>
      <c r="F107" s="227"/>
      <c r="G107" s="227"/>
      <c r="H107" s="227"/>
      <c r="I107" s="227"/>
      <c r="J107" s="227"/>
      <c r="K107" s="227"/>
      <c r="L107" s="227"/>
      <c r="M107" s="227"/>
    </row>
    <row r="108" spans="4:13" x14ac:dyDescent="0.25">
      <c r="D108" s="227"/>
      <c r="E108" s="227"/>
      <c r="F108" s="227"/>
      <c r="G108" s="227"/>
      <c r="H108" s="227"/>
      <c r="I108" s="227"/>
      <c r="J108" s="227"/>
      <c r="K108" s="227"/>
      <c r="L108" s="227"/>
      <c r="M108" s="227"/>
    </row>
    <row r="109" spans="4:13" x14ac:dyDescent="0.25">
      <c r="D109" s="227"/>
      <c r="E109" s="227"/>
      <c r="F109" s="227"/>
      <c r="G109" s="227"/>
      <c r="H109" s="227"/>
      <c r="I109" s="227"/>
      <c r="J109" s="227"/>
      <c r="K109" s="227"/>
      <c r="L109" s="227"/>
      <c r="M109" s="227"/>
    </row>
    <row r="110" spans="4:13" x14ac:dyDescent="0.25">
      <c r="D110" s="227"/>
      <c r="E110" s="227"/>
      <c r="F110" s="227"/>
      <c r="G110" s="227"/>
      <c r="H110" s="227"/>
      <c r="I110" s="227"/>
      <c r="J110" s="227"/>
      <c r="K110" s="227"/>
      <c r="L110" s="227"/>
      <c r="M110" s="227"/>
    </row>
    <row r="111" spans="4:13" x14ac:dyDescent="0.25">
      <c r="D111" s="227"/>
      <c r="E111" s="227"/>
      <c r="F111" s="227"/>
      <c r="G111" s="227"/>
      <c r="H111" s="227"/>
      <c r="I111" s="227"/>
      <c r="J111" s="227"/>
      <c r="K111" s="227"/>
      <c r="L111" s="227"/>
      <c r="M111" s="227"/>
    </row>
    <row r="112" spans="4:13" x14ac:dyDescent="0.25">
      <c r="D112" s="227"/>
      <c r="E112" s="227"/>
      <c r="F112" s="227"/>
      <c r="G112" s="227"/>
      <c r="H112" s="227"/>
      <c r="I112" s="227"/>
      <c r="J112" s="227"/>
      <c r="K112" s="227"/>
      <c r="L112" s="227"/>
      <c r="M112" s="227"/>
    </row>
    <row r="113" spans="4:13" x14ac:dyDescent="0.25">
      <c r="D113" s="227"/>
      <c r="E113" s="227"/>
      <c r="F113" s="227"/>
      <c r="G113" s="227"/>
      <c r="H113" s="227"/>
      <c r="I113" s="227"/>
      <c r="J113" s="227"/>
      <c r="K113" s="227"/>
      <c r="L113" s="227"/>
      <c r="M113" s="227"/>
    </row>
    <row r="114" spans="4:13" x14ac:dyDescent="0.25">
      <c r="D114" s="227"/>
      <c r="E114" s="227"/>
      <c r="F114" s="227"/>
      <c r="G114" s="227"/>
      <c r="H114" s="227"/>
      <c r="I114" s="227"/>
      <c r="J114" s="227"/>
      <c r="K114" s="227"/>
      <c r="L114" s="227"/>
      <c r="M114" s="227"/>
    </row>
    <row r="115" spans="4:13" x14ac:dyDescent="0.25">
      <c r="D115" s="227"/>
      <c r="E115" s="227"/>
      <c r="F115" s="227"/>
      <c r="G115" s="227"/>
      <c r="H115" s="227"/>
      <c r="I115" s="227"/>
      <c r="J115" s="227"/>
      <c r="K115" s="227"/>
      <c r="L115" s="227"/>
      <c r="M115" s="227"/>
    </row>
    <row r="116" spans="4:13" x14ac:dyDescent="0.25">
      <c r="D116" s="227"/>
      <c r="E116" s="227"/>
      <c r="F116" s="227"/>
      <c r="G116" s="227"/>
      <c r="H116" s="227"/>
      <c r="I116" s="227"/>
      <c r="J116" s="227"/>
      <c r="K116" s="227"/>
      <c r="L116" s="227"/>
      <c r="M116" s="227"/>
    </row>
    <row r="117" spans="4:13" x14ac:dyDescent="0.25">
      <c r="D117" s="227"/>
      <c r="E117" s="227"/>
      <c r="F117" s="227"/>
      <c r="G117" s="227"/>
      <c r="H117" s="227"/>
      <c r="I117" s="227"/>
      <c r="J117" s="227"/>
      <c r="K117" s="227"/>
      <c r="L117" s="227"/>
      <c r="M117" s="227"/>
    </row>
    <row r="118" spans="4:13" x14ac:dyDescent="0.25">
      <c r="D118" s="227"/>
      <c r="E118" s="227"/>
      <c r="F118" s="227"/>
      <c r="G118" s="227"/>
      <c r="H118" s="227"/>
      <c r="I118" s="227"/>
      <c r="J118" s="227"/>
      <c r="K118" s="227"/>
      <c r="L118" s="227"/>
      <c r="M118" s="227"/>
    </row>
    <row r="119" spans="4:13" x14ac:dyDescent="0.25">
      <c r="D119" s="227"/>
      <c r="E119" s="227"/>
      <c r="F119" s="227"/>
      <c r="G119" s="227"/>
      <c r="H119" s="227"/>
      <c r="I119" s="227"/>
      <c r="J119" s="227"/>
      <c r="K119" s="227"/>
      <c r="L119" s="227"/>
      <c r="M119" s="227"/>
    </row>
    <row r="120" spans="4:13" x14ac:dyDescent="0.25">
      <c r="D120" s="227"/>
      <c r="E120" s="227"/>
      <c r="F120" s="227"/>
      <c r="G120" s="227"/>
      <c r="H120" s="227"/>
      <c r="I120" s="227"/>
      <c r="J120" s="227"/>
      <c r="K120" s="227"/>
      <c r="L120" s="227"/>
      <c r="M120" s="227"/>
    </row>
    <row r="121" spans="4:13" x14ac:dyDescent="0.25">
      <c r="D121" s="227"/>
      <c r="E121" s="227"/>
      <c r="F121" s="227"/>
      <c r="G121" s="227"/>
      <c r="H121" s="227"/>
      <c r="I121" s="227"/>
      <c r="J121" s="227"/>
      <c r="K121" s="227"/>
      <c r="L121" s="227"/>
      <c r="M121" s="227"/>
    </row>
    <row r="122" spans="4:13" x14ac:dyDescent="0.25">
      <c r="D122" s="227"/>
      <c r="E122" s="227"/>
      <c r="F122" s="227"/>
      <c r="G122" s="227"/>
      <c r="H122" s="227"/>
      <c r="I122" s="227"/>
      <c r="J122" s="227"/>
      <c r="K122" s="227"/>
      <c r="L122" s="227"/>
      <c r="M122" s="227"/>
    </row>
    <row r="123" spans="4:13" x14ac:dyDescent="0.25">
      <c r="D123" s="227"/>
      <c r="E123" s="227"/>
      <c r="F123" s="227"/>
      <c r="G123" s="227"/>
      <c r="H123" s="227"/>
      <c r="I123" s="227"/>
      <c r="J123" s="227"/>
      <c r="K123" s="227"/>
      <c r="L123" s="227"/>
      <c r="M123" s="227"/>
    </row>
    <row r="124" spans="4:13" x14ac:dyDescent="0.25">
      <c r="D124" s="227"/>
      <c r="E124" s="227"/>
      <c r="F124" s="227"/>
      <c r="G124" s="227"/>
      <c r="H124" s="227"/>
      <c r="I124" s="227"/>
      <c r="J124" s="227"/>
      <c r="K124" s="227"/>
      <c r="L124" s="227"/>
      <c r="M124" s="227"/>
    </row>
    <row r="125" spans="4:13" x14ac:dyDescent="0.25">
      <c r="D125" s="227"/>
      <c r="E125" s="227"/>
      <c r="F125" s="227"/>
      <c r="G125" s="227"/>
      <c r="H125" s="227"/>
      <c r="I125" s="227"/>
      <c r="J125" s="227"/>
      <c r="K125" s="227"/>
      <c r="L125" s="227"/>
      <c r="M125" s="227"/>
    </row>
    <row r="126" spans="4:13" x14ac:dyDescent="0.25">
      <c r="D126" s="227"/>
      <c r="E126" s="227"/>
      <c r="F126" s="227"/>
      <c r="G126" s="227"/>
      <c r="H126" s="227"/>
      <c r="I126" s="227"/>
      <c r="J126" s="227"/>
      <c r="K126" s="227"/>
      <c r="L126" s="227"/>
      <c r="M126" s="227"/>
    </row>
    <row r="127" spans="4:13" x14ac:dyDescent="0.25">
      <c r="D127" s="227"/>
      <c r="E127" s="227"/>
      <c r="F127" s="227"/>
      <c r="G127" s="227"/>
      <c r="H127" s="227"/>
      <c r="I127" s="227"/>
      <c r="J127" s="227"/>
      <c r="K127" s="227"/>
      <c r="L127" s="227"/>
      <c r="M127" s="227"/>
    </row>
    <row r="128" spans="4:13" x14ac:dyDescent="0.25">
      <c r="D128" s="227"/>
      <c r="E128" s="227"/>
      <c r="F128" s="227"/>
      <c r="G128" s="227"/>
      <c r="H128" s="227"/>
      <c r="I128" s="227"/>
      <c r="J128" s="227"/>
      <c r="K128" s="227"/>
      <c r="L128" s="227"/>
      <c r="M128" s="227"/>
    </row>
    <row r="129" spans="4:13" x14ac:dyDescent="0.25">
      <c r="D129" s="227"/>
      <c r="E129" s="227"/>
      <c r="F129" s="227"/>
      <c r="G129" s="227"/>
      <c r="H129" s="227"/>
      <c r="I129" s="227"/>
      <c r="J129" s="227"/>
      <c r="K129" s="227"/>
      <c r="L129" s="227"/>
      <c r="M129" s="227"/>
    </row>
    <row r="130" spans="4:13" x14ac:dyDescent="0.25">
      <c r="D130" s="227"/>
      <c r="E130" s="227"/>
      <c r="F130" s="227"/>
      <c r="G130" s="227"/>
      <c r="H130" s="227"/>
      <c r="I130" s="227"/>
      <c r="J130" s="227"/>
      <c r="K130" s="227"/>
      <c r="L130" s="227"/>
      <c r="M130" s="227"/>
    </row>
    <row r="131" spans="4:13" x14ac:dyDescent="0.25">
      <c r="D131" s="227"/>
      <c r="E131" s="227"/>
      <c r="F131" s="227"/>
      <c r="G131" s="227"/>
      <c r="H131" s="227"/>
      <c r="I131" s="227"/>
      <c r="J131" s="227"/>
      <c r="K131" s="227"/>
      <c r="L131" s="227"/>
      <c r="M131" s="227"/>
    </row>
    <row r="132" spans="4:13" x14ac:dyDescent="0.25">
      <c r="D132" s="227"/>
      <c r="E132" s="227"/>
      <c r="F132" s="227"/>
      <c r="G132" s="227"/>
      <c r="H132" s="227"/>
      <c r="I132" s="227"/>
      <c r="J132" s="227"/>
      <c r="K132" s="227"/>
      <c r="L132" s="227"/>
      <c r="M132" s="227"/>
    </row>
    <row r="133" spans="4:13" x14ac:dyDescent="0.25">
      <c r="D133" s="227"/>
      <c r="E133" s="227"/>
      <c r="F133" s="227"/>
      <c r="G133" s="227"/>
      <c r="H133" s="227"/>
      <c r="I133" s="227"/>
      <c r="J133" s="227"/>
      <c r="K133" s="227"/>
      <c r="L133" s="227"/>
      <c r="M133" s="227"/>
    </row>
    <row r="134" spans="4:13" x14ac:dyDescent="0.25">
      <c r="D134" s="227"/>
      <c r="E134" s="227"/>
      <c r="F134" s="227"/>
      <c r="G134" s="227"/>
      <c r="H134" s="227"/>
      <c r="I134" s="227"/>
      <c r="J134" s="227"/>
      <c r="K134" s="227"/>
      <c r="L134" s="227"/>
      <c r="M134" s="227"/>
    </row>
    <row r="135" spans="4:13" x14ac:dyDescent="0.25">
      <c r="D135" s="227"/>
      <c r="E135" s="227"/>
      <c r="F135" s="227"/>
      <c r="G135" s="227"/>
      <c r="H135" s="227"/>
      <c r="I135" s="227"/>
      <c r="J135" s="227"/>
      <c r="K135" s="227"/>
      <c r="L135" s="227"/>
      <c r="M135" s="227"/>
    </row>
    <row r="136" spans="4:13" x14ac:dyDescent="0.25">
      <c r="D136" s="227"/>
      <c r="E136" s="227"/>
      <c r="F136" s="227"/>
      <c r="G136" s="227"/>
      <c r="H136" s="227"/>
      <c r="I136" s="227"/>
      <c r="J136" s="227"/>
      <c r="K136" s="227"/>
      <c r="L136" s="227"/>
      <c r="M136" s="227"/>
    </row>
    <row r="137" spans="4:13" x14ac:dyDescent="0.25">
      <c r="D137" s="227"/>
      <c r="E137" s="227"/>
      <c r="F137" s="227"/>
      <c r="G137" s="227"/>
      <c r="H137" s="227"/>
      <c r="I137" s="227"/>
      <c r="J137" s="227"/>
      <c r="K137" s="227"/>
      <c r="L137" s="227"/>
      <c r="M137" s="227"/>
    </row>
    <row r="138" spans="4:13" x14ac:dyDescent="0.25">
      <c r="D138" s="227"/>
      <c r="E138" s="227"/>
      <c r="F138" s="227"/>
      <c r="G138" s="227"/>
      <c r="H138" s="227"/>
      <c r="I138" s="227"/>
      <c r="J138" s="227"/>
      <c r="K138" s="227"/>
      <c r="L138" s="227"/>
      <c r="M138" s="227"/>
    </row>
    <row r="139" spans="4:13" x14ac:dyDescent="0.25">
      <c r="D139" s="227"/>
      <c r="E139" s="227"/>
      <c r="F139" s="227"/>
      <c r="G139" s="227"/>
      <c r="H139" s="227"/>
      <c r="I139" s="227"/>
      <c r="J139" s="227"/>
      <c r="K139" s="227"/>
      <c r="L139" s="227"/>
      <c r="M139" s="227"/>
    </row>
    <row r="140" spans="4:13" x14ac:dyDescent="0.25">
      <c r="D140" s="227"/>
      <c r="E140" s="227"/>
      <c r="F140" s="227"/>
      <c r="G140" s="227"/>
      <c r="H140" s="227"/>
      <c r="I140" s="227"/>
      <c r="J140" s="227"/>
      <c r="K140" s="227"/>
      <c r="L140" s="227"/>
      <c r="M140" s="227"/>
    </row>
    <row r="141" spans="4:13" x14ac:dyDescent="0.25">
      <c r="D141" s="227"/>
      <c r="E141" s="227"/>
      <c r="F141" s="227"/>
      <c r="G141" s="227"/>
      <c r="H141" s="227"/>
      <c r="I141" s="227"/>
      <c r="J141" s="227"/>
      <c r="K141" s="227"/>
      <c r="L141" s="227"/>
      <c r="M141" s="227"/>
    </row>
    <row r="142" spans="4:13" x14ac:dyDescent="0.25">
      <c r="D142" s="227"/>
      <c r="E142" s="227"/>
      <c r="F142" s="227"/>
      <c r="G142" s="227"/>
      <c r="H142" s="227"/>
      <c r="I142" s="227"/>
      <c r="J142" s="227"/>
      <c r="K142" s="227"/>
      <c r="L142" s="227"/>
      <c r="M142" s="227"/>
    </row>
    <row r="143" spans="4:13" x14ac:dyDescent="0.25">
      <c r="D143" s="227"/>
      <c r="E143" s="227"/>
      <c r="F143" s="227"/>
      <c r="G143" s="227"/>
      <c r="H143" s="227"/>
      <c r="I143" s="227"/>
      <c r="J143" s="227"/>
      <c r="K143" s="227"/>
      <c r="L143" s="227"/>
      <c r="M143" s="227"/>
    </row>
    <row r="144" spans="4:13" x14ac:dyDescent="0.25">
      <c r="D144" s="227"/>
      <c r="E144" s="227"/>
      <c r="F144" s="227"/>
      <c r="G144" s="227"/>
      <c r="H144" s="227"/>
      <c r="I144" s="227"/>
      <c r="J144" s="227"/>
      <c r="K144" s="227"/>
      <c r="L144" s="227"/>
      <c r="M144" s="227"/>
    </row>
    <row r="145" spans="4:13" x14ac:dyDescent="0.25">
      <c r="D145" s="227"/>
      <c r="E145" s="227"/>
      <c r="F145" s="227"/>
      <c r="G145" s="227"/>
      <c r="H145" s="227"/>
      <c r="I145" s="227"/>
      <c r="J145" s="227"/>
      <c r="K145" s="227"/>
      <c r="L145" s="227"/>
      <c r="M145" s="227"/>
    </row>
    <row r="146" spans="4:13" x14ac:dyDescent="0.25">
      <c r="D146" s="227"/>
      <c r="E146" s="227"/>
      <c r="F146" s="227"/>
      <c r="G146" s="227"/>
      <c r="H146" s="227"/>
      <c r="I146" s="227"/>
      <c r="J146" s="227"/>
      <c r="K146" s="227"/>
      <c r="L146" s="227"/>
      <c r="M146" s="227"/>
    </row>
    <row r="147" spans="4:13" x14ac:dyDescent="0.25">
      <c r="D147" s="227"/>
      <c r="E147" s="227"/>
      <c r="F147" s="227"/>
      <c r="G147" s="227"/>
      <c r="H147" s="227"/>
      <c r="I147" s="227"/>
      <c r="J147" s="227"/>
      <c r="K147" s="227"/>
      <c r="L147" s="227"/>
      <c r="M147" s="227"/>
    </row>
    <row r="148" spans="4:13" x14ac:dyDescent="0.25">
      <c r="D148" s="227"/>
      <c r="E148" s="227"/>
      <c r="F148" s="227"/>
      <c r="G148" s="227"/>
      <c r="H148" s="227"/>
      <c r="I148" s="227"/>
      <c r="J148" s="227"/>
      <c r="K148" s="227"/>
      <c r="L148" s="227"/>
      <c r="M148" s="227"/>
    </row>
    <row r="149" spans="4:13" x14ac:dyDescent="0.25">
      <c r="D149" s="227"/>
      <c r="E149" s="227"/>
      <c r="F149" s="227"/>
      <c r="G149" s="227"/>
      <c r="H149" s="227"/>
      <c r="I149" s="227"/>
      <c r="J149" s="227"/>
      <c r="K149" s="227"/>
      <c r="L149" s="227"/>
      <c r="M149" s="227"/>
    </row>
    <row r="150" spans="4:13" x14ac:dyDescent="0.25">
      <c r="D150" s="227"/>
      <c r="E150" s="227"/>
      <c r="F150" s="227"/>
      <c r="G150" s="227"/>
      <c r="H150" s="227"/>
      <c r="I150" s="227"/>
      <c r="J150" s="227"/>
      <c r="K150" s="227"/>
      <c r="L150" s="227"/>
      <c r="M150" s="227"/>
    </row>
    <row r="151" spans="4:13" x14ac:dyDescent="0.25">
      <c r="D151" s="227"/>
      <c r="E151" s="227"/>
      <c r="F151" s="227"/>
      <c r="G151" s="227"/>
      <c r="H151" s="227"/>
      <c r="I151" s="227"/>
      <c r="J151" s="227"/>
      <c r="K151" s="227"/>
      <c r="L151" s="227"/>
      <c r="M151" s="227"/>
    </row>
    <row r="152" spans="4:13" x14ac:dyDescent="0.25">
      <c r="D152" s="227"/>
      <c r="E152" s="227"/>
      <c r="F152" s="227"/>
      <c r="G152" s="227"/>
      <c r="H152" s="227"/>
      <c r="I152" s="227"/>
      <c r="J152" s="227"/>
      <c r="K152" s="227"/>
      <c r="L152" s="227"/>
      <c r="M152" s="227"/>
    </row>
    <row r="153" spans="4:13" x14ac:dyDescent="0.25">
      <c r="D153" s="227"/>
      <c r="E153" s="227"/>
      <c r="F153" s="227"/>
      <c r="G153" s="227"/>
      <c r="H153" s="227"/>
      <c r="I153" s="227"/>
      <c r="J153" s="227"/>
      <c r="K153" s="227"/>
      <c r="L153" s="227"/>
      <c r="M153" s="227"/>
    </row>
    <row r="154" spans="4:13" x14ac:dyDescent="0.25">
      <c r="D154" s="227"/>
      <c r="E154" s="227"/>
      <c r="F154" s="227"/>
      <c r="G154" s="227"/>
      <c r="H154" s="227"/>
      <c r="I154" s="227"/>
      <c r="J154" s="227"/>
      <c r="K154" s="227"/>
      <c r="L154" s="227"/>
      <c r="M154" s="227"/>
    </row>
    <row r="155" spans="4:13" x14ac:dyDescent="0.25">
      <c r="D155" s="227"/>
      <c r="E155" s="227"/>
      <c r="F155" s="227"/>
      <c r="G155" s="227"/>
      <c r="H155" s="227"/>
      <c r="I155" s="227"/>
      <c r="J155" s="227"/>
      <c r="K155" s="227"/>
      <c r="L155" s="227"/>
      <c r="M155" s="227"/>
    </row>
    <row r="156" spans="4:13" x14ac:dyDescent="0.25">
      <c r="D156" s="227"/>
      <c r="E156" s="227"/>
      <c r="F156" s="227"/>
      <c r="G156" s="227"/>
      <c r="H156" s="227"/>
      <c r="I156" s="227"/>
      <c r="J156" s="227"/>
      <c r="K156" s="227"/>
      <c r="L156" s="227"/>
      <c r="M156" s="227"/>
    </row>
    <row r="157" spans="4:13" x14ac:dyDescent="0.25">
      <c r="D157" s="227"/>
      <c r="E157" s="227"/>
      <c r="F157" s="227"/>
      <c r="G157" s="227"/>
      <c r="H157" s="227"/>
      <c r="I157" s="227"/>
      <c r="J157" s="227"/>
      <c r="K157" s="227"/>
      <c r="L157" s="227"/>
      <c r="M157" s="227"/>
    </row>
    <row r="158" spans="4:13" x14ac:dyDescent="0.25">
      <c r="D158" s="227"/>
      <c r="E158" s="227"/>
      <c r="F158" s="227"/>
      <c r="G158" s="227"/>
      <c r="H158" s="227"/>
      <c r="I158" s="227"/>
      <c r="J158" s="227"/>
      <c r="K158" s="227"/>
      <c r="L158" s="227"/>
      <c r="M158" s="227"/>
    </row>
    <row r="159" spans="4:13" x14ac:dyDescent="0.25">
      <c r="D159" s="227"/>
      <c r="E159" s="227"/>
      <c r="F159" s="227"/>
      <c r="G159" s="227"/>
      <c r="H159" s="227"/>
      <c r="I159" s="227"/>
      <c r="J159" s="227"/>
      <c r="K159" s="227"/>
      <c r="L159" s="227"/>
      <c r="M159" s="227"/>
    </row>
    <row r="160" spans="4:13" x14ac:dyDescent="0.25">
      <c r="D160" s="227"/>
      <c r="E160" s="227"/>
      <c r="F160" s="227"/>
      <c r="G160" s="227"/>
      <c r="H160" s="227"/>
      <c r="I160" s="227"/>
      <c r="J160" s="227"/>
      <c r="K160" s="227"/>
      <c r="L160" s="227"/>
      <c r="M160" s="227"/>
    </row>
    <row r="161" spans="4:13" x14ac:dyDescent="0.25">
      <c r="D161" s="227"/>
      <c r="E161" s="227"/>
      <c r="F161" s="227"/>
      <c r="G161" s="227"/>
      <c r="H161" s="227"/>
      <c r="I161" s="227"/>
      <c r="J161" s="227"/>
      <c r="K161" s="227"/>
      <c r="L161" s="227"/>
      <c r="M161" s="227"/>
    </row>
    <row r="162" spans="4:13" x14ac:dyDescent="0.25">
      <c r="D162" s="227"/>
      <c r="E162" s="227"/>
      <c r="F162" s="227"/>
      <c r="G162" s="227"/>
      <c r="H162" s="227"/>
      <c r="I162" s="227"/>
      <c r="J162" s="227"/>
      <c r="K162" s="227"/>
      <c r="L162" s="227"/>
      <c r="M162" s="227"/>
    </row>
    <row r="163" spans="4:13" x14ac:dyDescent="0.25">
      <c r="D163" s="227"/>
      <c r="E163" s="227"/>
      <c r="F163" s="227"/>
      <c r="G163" s="227"/>
      <c r="H163" s="227"/>
      <c r="I163" s="227"/>
      <c r="J163" s="227"/>
      <c r="K163" s="227"/>
      <c r="L163" s="227"/>
      <c r="M163" s="227"/>
    </row>
    <row r="164" spans="4:13" x14ac:dyDescent="0.25">
      <c r="D164" s="227"/>
      <c r="E164" s="227"/>
      <c r="F164" s="227"/>
      <c r="G164" s="227"/>
      <c r="H164" s="227"/>
      <c r="I164" s="227"/>
      <c r="J164" s="227"/>
      <c r="K164" s="227"/>
      <c r="L164" s="227"/>
      <c r="M164" s="227"/>
    </row>
    <row r="165" spans="4:13" x14ac:dyDescent="0.25">
      <c r="D165" s="227"/>
      <c r="E165" s="227"/>
      <c r="F165" s="227"/>
      <c r="G165" s="227"/>
      <c r="H165" s="227"/>
      <c r="I165" s="227"/>
      <c r="J165" s="227"/>
      <c r="K165" s="227"/>
      <c r="L165" s="227"/>
      <c r="M165" s="227"/>
    </row>
    <row r="166" spans="4:13" x14ac:dyDescent="0.25">
      <c r="D166" s="227"/>
      <c r="E166" s="227"/>
      <c r="F166" s="227"/>
      <c r="G166" s="227"/>
      <c r="H166" s="227"/>
      <c r="I166" s="227"/>
      <c r="J166" s="227"/>
      <c r="K166" s="227"/>
      <c r="L166" s="227"/>
      <c r="M166" s="227"/>
    </row>
    <row r="167" spans="4:13" x14ac:dyDescent="0.25">
      <c r="D167" s="227"/>
      <c r="E167" s="227"/>
      <c r="F167" s="227"/>
      <c r="G167" s="227"/>
      <c r="H167" s="227"/>
      <c r="I167" s="227"/>
      <c r="J167" s="227"/>
      <c r="K167" s="227"/>
      <c r="L167" s="227"/>
      <c r="M167" s="227"/>
    </row>
    <row r="168" spans="4:13" x14ac:dyDescent="0.25">
      <c r="D168" s="227"/>
      <c r="E168" s="227"/>
      <c r="F168" s="227"/>
      <c r="G168" s="227"/>
      <c r="H168" s="227"/>
      <c r="I168" s="227"/>
      <c r="J168" s="227"/>
      <c r="K168" s="227"/>
      <c r="L168" s="227"/>
      <c r="M168" s="227"/>
    </row>
    <row r="169" spans="4:13" x14ac:dyDescent="0.25">
      <c r="D169" s="227"/>
      <c r="E169" s="227"/>
      <c r="F169" s="227"/>
      <c r="G169" s="227"/>
      <c r="H169" s="227"/>
      <c r="I169" s="227"/>
      <c r="J169" s="227"/>
      <c r="K169" s="227"/>
      <c r="L169" s="227"/>
      <c r="M169" s="227"/>
    </row>
    <row r="170" spans="4:13" x14ac:dyDescent="0.25">
      <c r="D170" s="227"/>
      <c r="E170" s="227"/>
      <c r="F170" s="227"/>
      <c r="G170" s="227"/>
      <c r="H170" s="227"/>
      <c r="I170" s="227"/>
      <c r="J170" s="227"/>
      <c r="K170" s="227"/>
      <c r="L170" s="227"/>
      <c r="M170" s="227"/>
    </row>
    <row r="171" spans="4:13" x14ac:dyDescent="0.25">
      <c r="D171" s="227"/>
      <c r="E171" s="227"/>
      <c r="F171" s="227"/>
      <c r="G171" s="227"/>
      <c r="H171" s="227"/>
      <c r="I171" s="227"/>
      <c r="J171" s="227"/>
      <c r="K171" s="227"/>
      <c r="L171" s="227"/>
      <c r="M171" s="227"/>
    </row>
    <row r="172" spans="4:13" x14ac:dyDescent="0.25">
      <c r="D172" s="227"/>
      <c r="E172" s="227"/>
      <c r="F172" s="227"/>
      <c r="G172" s="227"/>
      <c r="H172" s="227"/>
      <c r="I172" s="227"/>
      <c r="J172" s="227"/>
      <c r="K172" s="227"/>
      <c r="L172" s="227"/>
      <c r="M172" s="227"/>
    </row>
    <row r="173" spans="4:13" x14ac:dyDescent="0.25">
      <c r="D173" s="227"/>
      <c r="E173" s="227"/>
      <c r="F173" s="227"/>
      <c r="G173" s="227"/>
      <c r="H173" s="227"/>
      <c r="I173" s="227"/>
      <c r="J173" s="227"/>
      <c r="K173" s="227"/>
      <c r="L173" s="227"/>
      <c r="M173" s="227"/>
    </row>
    <row r="174" spans="4:13" x14ac:dyDescent="0.25">
      <c r="D174" s="227"/>
      <c r="E174" s="227"/>
      <c r="F174" s="227"/>
      <c r="G174" s="227"/>
      <c r="H174" s="227"/>
      <c r="I174" s="227"/>
      <c r="J174" s="227"/>
      <c r="K174" s="227"/>
      <c r="L174" s="227"/>
      <c r="M174" s="227"/>
    </row>
    <row r="175" spans="4:13" x14ac:dyDescent="0.25">
      <c r="D175" s="227"/>
      <c r="E175" s="227"/>
      <c r="F175" s="227"/>
      <c r="G175" s="227"/>
      <c r="H175" s="227"/>
      <c r="I175" s="227"/>
      <c r="J175" s="227"/>
      <c r="K175" s="227"/>
      <c r="L175" s="227"/>
      <c r="M175" s="227"/>
    </row>
    <row r="176" spans="4:13" x14ac:dyDescent="0.25">
      <c r="D176" s="227"/>
      <c r="E176" s="227"/>
      <c r="F176" s="227"/>
      <c r="G176" s="227"/>
      <c r="H176" s="227"/>
      <c r="I176" s="227"/>
      <c r="J176" s="227"/>
      <c r="K176" s="227"/>
      <c r="L176" s="227"/>
      <c r="M176" s="227"/>
    </row>
    <row r="177" spans="4:13" x14ac:dyDescent="0.25">
      <c r="D177" s="227"/>
      <c r="E177" s="227"/>
      <c r="F177" s="227"/>
      <c r="G177" s="227"/>
      <c r="H177" s="227"/>
      <c r="I177" s="227"/>
      <c r="J177" s="227"/>
      <c r="K177" s="227"/>
      <c r="L177" s="227"/>
      <c r="M177" s="227"/>
    </row>
    <row r="178" spans="4:13" x14ac:dyDescent="0.25">
      <c r="D178" s="227"/>
      <c r="E178" s="227"/>
      <c r="F178" s="227"/>
      <c r="G178" s="227"/>
      <c r="H178" s="227"/>
      <c r="I178" s="227"/>
      <c r="J178" s="227"/>
      <c r="K178" s="227"/>
      <c r="L178" s="227"/>
      <c r="M178" s="227"/>
    </row>
    <row r="179" spans="4:13" x14ac:dyDescent="0.25">
      <c r="D179" s="227"/>
      <c r="E179" s="227"/>
      <c r="F179" s="227"/>
      <c r="G179" s="227"/>
      <c r="H179" s="227"/>
      <c r="I179" s="227"/>
      <c r="J179" s="227"/>
      <c r="K179" s="227"/>
      <c r="L179" s="227"/>
      <c r="M179" s="227"/>
    </row>
    <row r="180" spans="4:13" x14ac:dyDescent="0.25">
      <c r="D180" s="227"/>
      <c r="E180" s="227"/>
      <c r="F180" s="227"/>
      <c r="G180" s="227"/>
      <c r="H180" s="227"/>
      <c r="I180" s="227"/>
      <c r="J180" s="227"/>
      <c r="K180" s="227"/>
      <c r="L180" s="227"/>
      <c r="M180" s="227"/>
    </row>
    <row r="181" spans="4:13" x14ac:dyDescent="0.25">
      <c r="D181" s="227"/>
      <c r="E181" s="227"/>
      <c r="F181" s="227"/>
      <c r="G181" s="227"/>
      <c r="H181" s="227"/>
      <c r="I181" s="227"/>
      <c r="J181" s="227"/>
      <c r="K181" s="227"/>
      <c r="L181" s="227"/>
      <c r="M181" s="227"/>
    </row>
    <row r="182" spans="4:13" x14ac:dyDescent="0.25">
      <c r="D182" s="227"/>
      <c r="E182" s="227"/>
      <c r="F182" s="227"/>
      <c r="G182" s="227"/>
      <c r="H182" s="227"/>
      <c r="I182" s="227"/>
      <c r="J182" s="227"/>
      <c r="K182" s="227"/>
      <c r="L182" s="227"/>
      <c r="M182" s="227"/>
    </row>
    <row r="183" spans="4:13" x14ac:dyDescent="0.25">
      <c r="D183" s="227"/>
      <c r="E183" s="227"/>
      <c r="F183" s="227"/>
      <c r="G183" s="227"/>
      <c r="H183" s="227"/>
      <c r="I183" s="227"/>
      <c r="J183" s="227"/>
      <c r="K183" s="227"/>
      <c r="L183" s="227"/>
      <c r="M183" s="227"/>
    </row>
    <row r="184" spans="4:13" x14ac:dyDescent="0.25">
      <c r="D184" s="227"/>
      <c r="E184" s="227"/>
      <c r="F184" s="227"/>
      <c r="G184" s="227"/>
      <c r="H184" s="227"/>
      <c r="I184" s="227"/>
      <c r="J184" s="227"/>
      <c r="K184" s="227"/>
      <c r="L184" s="227"/>
      <c r="M184" s="227"/>
    </row>
    <row r="185" spans="4:13" x14ac:dyDescent="0.25">
      <c r="D185" s="227"/>
      <c r="E185" s="227"/>
      <c r="F185" s="227"/>
      <c r="G185" s="227"/>
      <c r="H185" s="227"/>
      <c r="I185" s="227"/>
      <c r="J185" s="227"/>
      <c r="K185" s="227"/>
      <c r="L185" s="227"/>
      <c r="M185" s="227"/>
    </row>
    <row r="186" spans="4:13" x14ac:dyDescent="0.25">
      <c r="D186" s="227"/>
      <c r="E186" s="227"/>
      <c r="F186" s="227"/>
      <c r="G186" s="227"/>
      <c r="H186" s="227"/>
      <c r="I186" s="227"/>
      <c r="J186" s="227"/>
      <c r="K186" s="227"/>
      <c r="L186" s="227"/>
      <c r="M186" s="227"/>
    </row>
    <row r="187" spans="4:13" x14ac:dyDescent="0.25">
      <c r="D187" s="227"/>
      <c r="E187" s="227"/>
      <c r="F187" s="227"/>
      <c r="G187" s="227"/>
      <c r="H187" s="227"/>
      <c r="I187" s="227"/>
      <c r="J187" s="227"/>
      <c r="K187" s="227"/>
      <c r="L187" s="227"/>
      <c r="M187" s="227"/>
    </row>
    <row r="188" spans="4:13" x14ac:dyDescent="0.25">
      <c r="D188" s="227"/>
      <c r="E188" s="227"/>
      <c r="F188" s="227"/>
      <c r="G188" s="227"/>
      <c r="H188" s="227"/>
      <c r="I188" s="227"/>
      <c r="J188" s="227"/>
      <c r="K188" s="227"/>
      <c r="L188" s="227"/>
      <c r="M188" s="227"/>
    </row>
    <row r="189" spans="4:13" x14ac:dyDescent="0.25">
      <c r="D189" s="227"/>
      <c r="E189" s="227"/>
      <c r="F189" s="227"/>
      <c r="G189" s="227"/>
      <c r="H189" s="227"/>
      <c r="I189" s="227"/>
      <c r="J189" s="227"/>
      <c r="K189" s="227"/>
      <c r="L189" s="227"/>
      <c r="M189" s="227"/>
    </row>
    <row r="190" spans="4:13" x14ac:dyDescent="0.25">
      <c r="D190" s="227"/>
      <c r="E190" s="227"/>
      <c r="F190" s="227"/>
      <c r="G190" s="227"/>
      <c r="H190" s="227"/>
      <c r="I190" s="227"/>
      <c r="J190" s="227"/>
      <c r="K190" s="227"/>
      <c r="L190" s="227"/>
      <c r="M190" s="227"/>
    </row>
    <row r="191" spans="4:13" x14ac:dyDescent="0.25">
      <c r="D191" s="227"/>
      <c r="E191" s="227"/>
      <c r="F191" s="227"/>
      <c r="G191" s="227"/>
      <c r="H191" s="227"/>
      <c r="I191" s="227"/>
      <c r="J191" s="227"/>
      <c r="K191" s="227"/>
      <c r="L191" s="227"/>
      <c r="M191" s="227"/>
    </row>
    <row r="192" spans="4:13" x14ac:dyDescent="0.25">
      <c r="D192" s="227"/>
      <c r="E192" s="227"/>
      <c r="F192" s="227"/>
      <c r="G192" s="227"/>
      <c r="H192" s="227"/>
      <c r="I192" s="227"/>
      <c r="J192" s="227"/>
      <c r="K192" s="227"/>
      <c r="L192" s="227"/>
      <c r="M192" s="227"/>
    </row>
  </sheetData>
  <mergeCells count="16">
    <mergeCell ref="B1:N2"/>
    <mergeCell ref="D68:F68"/>
    <mergeCell ref="B9:D11"/>
    <mergeCell ref="E9:E11"/>
    <mergeCell ref="F9:M9"/>
    <mergeCell ref="N9:N11"/>
    <mergeCell ref="F10:F11"/>
    <mergeCell ref="K10:K11"/>
    <mergeCell ref="L10:L11"/>
    <mergeCell ref="M10:M11"/>
    <mergeCell ref="G10:G11"/>
    <mergeCell ref="H10:H11"/>
    <mergeCell ref="I10:I11"/>
    <mergeCell ref="J10:J11"/>
    <mergeCell ref="D65:F65"/>
    <mergeCell ref="C4:K4"/>
  </mergeCells>
  <conditionalFormatting sqref="D12 E12:J21 K12:N22 B12:C44 D22:J22 E23:N28 F29:J36 K29:N37 E29:E40 F36:H38 F37:N39 E40:N44">
    <cfRule type="expression" dxfId="27" priority="6">
      <formula>MOD(ROW(),2)=0</formula>
    </cfRule>
  </conditionalFormatting>
  <conditionalFormatting sqref="D14">
    <cfRule type="expression" dxfId="26" priority="5">
      <formula>MOD(ROW(),2)=0</formula>
    </cfRule>
  </conditionalFormatting>
  <conditionalFormatting sqref="D16 D18:D20 D30 D32">
    <cfRule type="expression" dxfId="25" priority="4">
      <formula>MOD(ROW(),2)=0</formula>
    </cfRule>
  </conditionalFormatting>
  <conditionalFormatting sqref="D24 D26 D28">
    <cfRule type="expression" dxfId="24" priority="2">
      <formula>MOD(ROW(),2)=0</formula>
    </cfRule>
  </conditionalFormatting>
  <conditionalFormatting sqref="D34:D44">
    <cfRule type="expression" dxfId="23" priority="1">
      <formula>MOD(ROW(),2)=0</formula>
    </cfRule>
  </conditionalFormatting>
  <conditionalFormatting sqref="F9:F10 G10:M10 F45:M63 F64 G64:M65 F66:M66 F67:H67 I67:M68 G68:H68 F69:M1048576">
    <cfRule type="expression" priority="24">
      <formula>MOD(COLUMN(),2)=0</formula>
    </cfRule>
  </conditionalFormatting>
  <conditionalFormatting sqref="I36:I37">
    <cfRule type="expression" dxfId="22" priority="23">
      <formula>MOD(ROW(),2)=0</formula>
    </cfRule>
  </conditionalFormatting>
  <conditionalFormatting sqref="J28">
    <cfRule type="expression" dxfId="21" priority="3">
      <formula>MOD(ROW(),2)=0</formula>
    </cfRule>
  </conditionalFormatting>
  <conditionalFormatting sqref="J34:J37">
    <cfRule type="expression" dxfId="20" priority="20">
      <formula>MOD(ROW(),2)=0</formula>
    </cfRule>
  </conditionalFormatting>
  <printOptions horizontalCentered="1"/>
  <pageMargins left="0.51181102362204722" right="0.51181102362204722" top="0.78740157480314965" bottom="0.78740157480314965" header="0.31496062992125984" footer="0.31496062992125984"/>
  <pageSetup paperSize="9" scale="66" orientation="landscape" horizontalDpi="1200" verticalDpi="1200" r:id="rId1"/>
  <headerFooter>
    <oddHeader>&amp;L&amp;G</oddHeader>
    <oddFooter>&amp;L&amp;"Arial Narrow,Normal"&amp;10&amp;A
&amp;F&amp;R&amp;"Arial Narrow,Normal"&amp;10Página &amp;P de &amp;N</oddFooter>
  </headerFooter>
  <drawing r:id="rId2"/>
  <legacyDrawing r:id="rId3"/>
  <legacyDrawingHF r:id="rId4"/>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DCE71-6271-4987-A0B4-0252AC85DD2A}">
  <dimension ref="A1:AG28"/>
  <sheetViews>
    <sheetView showGridLines="0" view="pageBreakPreview" zoomScale="85" zoomScaleNormal="70" zoomScaleSheetLayoutView="85" workbookViewId="0">
      <selection activeCell="Q14" sqref="Q14:Q15"/>
    </sheetView>
  </sheetViews>
  <sheetFormatPr defaultRowHeight="15" x14ac:dyDescent="0.25"/>
  <cols>
    <col min="1" max="2" width="1.7109375" style="222" customWidth="1"/>
    <col min="3" max="3" width="3.5703125" style="222" customWidth="1"/>
    <col min="4" max="4" width="4.42578125" style="222" customWidth="1"/>
    <col min="5" max="5" width="13.140625" style="222" customWidth="1"/>
    <col min="6" max="6" width="15.7109375" style="224" customWidth="1"/>
    <col min="7" max="7" width="9.28515625" style="224" customWidth="1"/>
    <col min="8" max="8" width="23" style="222" customWidth="1"/>
    <col min="9" max="9" width="12.7109375" style="224" customWidth="1"/>
    <col min="10" max="12" width="9.7109375" style="225" customWidth="1"/>
    <col min="13" max="14" width="12.7109375" style="222" customWidth="1"/>
    <col min="15" max="15" width="12.7109375" style="224" customWidth="1"/>
    <col min="16" max="16" width="10.85546875" style="225" customWidth="1"/>
    <col min="17" max="17" width="11.140625" style="225" customWidth="1"/>
    <col min="18" max="18" width="1.7109375" style="222" customWidth="1"/>
    <col min="19" max="19" width="9.140625" style="222"/>
    <col min="20" max="24" width="0" style="222" hidden="1" customWidth="1"/>
    <col min="25" max="16384" width="9.140625" style="222"/>
  </cols>
  <sheetData>
    <row r="1" spans="1:33" s="11" customFormat="1" ht="20.100000000000001" customHeight="1" x14ac:dyDescent="0.25">
      <c r="A1" s="69"/>
      <c r="B1" s="569" t="s">
        <v>133</v>
      </c>
      <c r="C1" s="569"/>
      <c r="D1" s="569"/>
      <c r="E1" s="569"/>
      <c r="F1" s="569"/>
      <c r="G1" s="569"/>
      <c r="H1" s="569"/>
      <c r="I1" s="569"/>
      <c r="J1" s="569"/>
      <c r="K1" s="569"/>
      <c r="L1" s="569"/>
      <c r="M1" s="569"/>
      <c r="N1" s="569"/>
      <c r="O1" s="569"/>
      <c r="P1" s="569"/>
      <c r="Q1" s="569"/>
      <c r="R1" s="226"/>
      <c r="S1" s="226"/>
      <c r="T1" s="226"/>
      <c r="U1" s="226"/>
      <c r="V1" s="226"/>
      <c r="W1" s="226"/>
      <c r="X1" s="226"/>
      <c r="Y1" s="226"/>
      <c r="Z1" s="226"/>
      <c r="AA1" s="226"/>
      <c r="AB1" s="226"/>
      <c r="AC1" s="69"/>
      <c r="AD1" s="69"/>
      <c r="AE1" s="69"/>
      <c r="AF1" s="69"/>
      <c r="AG1" s="69"/>
    </row>
    <row r="2" spans="1:33" s="11" customFormat="1" ht="20.100000000000001" customHeight="1" x14ac:dyDescent="0.25">
      <c r="A2" s="69"/>
      <c r="B2" s="569"/>
      <c r="C2" s="569"/>
      <c r="D2" s="569"/>
      <c r="E2" s="569"/>
      <c r="F2" s="569"/>
      <c r="G2" s="569"/>
      <c r="H2" s="569"/>
      <c r="I2" s="569"/>
      <c r="J2" s="569"/>
      <c r="K2" s="569"/>
      <c r="L2" s="569"/>
      <c r="M2" s="569"/>
      <c r="N2" s="569"/>
      <c r="O2" s="569"/>
      <c r="P2" s="569"/>
      <c r="Q2" s="569"/>
      <c r="R2" s="226"/>
      <c r="S2" s="226"/>
      <c r="T2" s="226"/>
      <c r="U2" s="226"/>
      <c r="V2" s="226"/>
      <c r="W2" s="226"/>
      <c r="X2" s="226"/>
      <c r="Y2" s="226"/>
      <c r="Z2" s="226"/>
      <c r="AA2" s="226"/>
      <c r="AB2" s="226"/>
      <c r="AC2" s="69"/>
      <c r="AD2" s="69"/>
      <c r="AE2" s="69"/>
      <c r="AF2" s="69"/>
      <c r="AG2" s="69"/>
    </row>
    <row r="3" spans="1:33" s="11" customFormat="1" ht="20.100000000000001" customHeight="1" x14ac:dyDescent="0.25">
      <c r="A3" s="69"/>
      <c r="B3" s="69"/>
      <c r="C3" s="69"/>
      <c r="D3" s="69"/>
      <c r="E3" s="69"/>
      <c r="F3" s="69"/>
      <c r="G3" s="69"/>
      <c r="H3" s="69"/>
      <c r="I3" s="69"/>
      <c r="J3" s="69"/>
      <c r="K3" s="69"/>
      <c r="L3" s="69"/>
      <c r="M3" s="69"/>
      <c r="N3" s="69"/>
      <c r="O3" s="69"/>
      <c r="R3" s="69"/>
      <c r="S3" s="69"/>
      <c r="T3" s="69"/>
      <c r="U3" s="69"/>
      <c r="V3" s="69"/>
      <c r="W3" s="69"/>
      <c r="X3" s="69"/>
      <c r="Y3" s="69"/>
      <c r="Z3" s="69"/>
      <c r="AA3" s="69"/>
      <c r="AB3" s="181"/>
      <c r="AC3" s="69"/>
      <c r="AD3" s="69"/>
      <c r="AE3" s="69"/>
      <c r="AF3" s="69"/>
      <c r="AG3" s="69"/>
    </row>
    <row r="4" spans="1:33" s="5" customFormat="1" ht="24.95" customHeight="1" x14ac:dyDescent="0.25">
      <c r="B4" s="1" t="s">
        <v>16</v>
      </c>
      <c r="D4" s="1"/>
      <c r="E4" s="674" t="str">
        <f>'DADOS DA OBRA'!$B$13</f>
        <v>DEMOLIÇÃO DO RESERVATÓRIO EXISTENTE, EXECUÇÃO DE RESERVATÓRIO METÁLICO ELEVADO E REESTRUTURAÇÃO (COM AMPLIAÇÃO) DA REDE DE DISTRIBUIÇÃO DE ÁGUA TRATADA EXISTENTE NO MUNICÍPIO DE MATRINCHÃ</v>
      </c>
      <c r="F4" s="674"/>
      <c r="G4" s="674"/>
      <c r="H4" s="674"/>
      <c r="I4" s="674"/>
      <c r="J4" s="674"/>
      <c r="K4" s="674"/>
      <c r="L4" s="674"/>
      <c r="M4" s="674"/>
      <c r="N4" s="674"/>
      <c r="O4" s="674"/>
      <c r="P4" s="3" t="s">
        <v>96</v>
      </c>
      <c r="Q4" s="4" t="str">
        <f>+'DADOS DA OBRA'!$N$22</f>
        <v>04/11/2024</v>
      </c>
      <c r="R4" s="2"/>
      <c r="S4" s="2"/>
      <c r="T4" s="2"/>
      <c r="U4" s="2"/>
      <c r="V4" s="2"/>
      <c r="W4" s="2"/>
      <c r="X4" s="2"/>
      <c r="AB4" s="50"/>
      <c r="AD4" s="32"/>
      <c r="AE4" s="32"/>
      <c r="AF4" s="33"/>
      <c r="AG4" s="33"/>
    </row>
    <row r="5" spans="1:33" s="5" customFormat="1" ht="20.100000000000001" customHeight="1" x14ac:dyDescent="0.25">
      <c r="B5" s="1" t="s">
        <v>18</v>
      </c>
      <c r="D5" s="1"/>
      <c r="E5" s="2" t="str">
        <f>+""&amp;'DADOS DA OBRA'!$B$16&amp;", "&amp;'DADOS DA OBRA'!$B$19&amp;", "&amp;'DADOS DA OBRA'!$J$19&amp;", "&amp;'DADOS DA OBRA'!$P$19</f>
        <v>RUAS DIVERSAS, DIVERSOS, MATRINCHÃ, GO</v>
      </c>
      <c r="F5" s="1"/>
      <c r="G5" s="1"/>
      <c r="H5" s="1"/>
      <c r="I5" s="1"/>
      <c r="P5" s="3" t="s">
        <v>17</v>
      </c>
      <c r="Q5" s="4" t="str">
        <f>'DADOS DA OBRA'!$N$25</f>
        <v>00</v>
      </c>
      <c r="AB5" s="50"/>
    </row>
    <row r="6" spans="1:33" s="5" customFormat="1" ht="20.100000000000001" customHeight="1" x14ac:dyDescent="0.25">
      <c r="AB6" s="50"/>
    </row>
    <row r="7" spans="1:33" s="5" customFormat="1" ht="20.100000000000001" customHeight="1" x14ac:dyDescent="0.25">
      <c r="B7" s="1" t="s">
        <v>97</v>
      </c>
      <c r="D7" s="1"/>
      <c r="E7" s="39" t="s">
        <v>429</v>
      </c>
      <c r="F7" s="1"/>
      <c r="G7" s="1"/>
      <c r="H7" s="1"/>
      <c r="I7" s="1"/>
      <c r="P7" s="3" t="s">
        <v>18</v>
      </c>
      <c r="Q7" s="64" t="s">
        <v>239</v>
      </c>
      <c r="AB7" s="50"/>
    </row>
    <row r="8" spans="1:33" s="8" customFormat="1" ht="20.100000000000001" customHeight="1" thickBot="1" x14ac:dyDescent="0.3">
      <c r="A8" s="67"/>
      <c r="B8" s="52"/>
      <c r="C8" s="52"/>
      <c r="D8" s="52"/>
      <c r="E8" s="52"/>
      <c r="F8" s="52"/>
      <c r="G8" s="52"/>
      <c r="H8" s="52"/>
      <c r="I8" s="52"/>
      <c r="J8" s="53"/>
      <c r="K8" s="9"/>
      <c r="L8" s="9"/>
      <c r="M8" s="9"/>
      <c r="N8" s="9"/>
      <c r="O8" s="10"/>
      <c r="P8" s="10"/>
      <c r="Q8" s="9"/>
      <c r="R8" s="67"/>
      <c r="S8" s="67"/>
      <c r="T8" s="67"/>
      <c r="U8" s="67"/>
      <c r="V8" s="67"/>
      <c r="W8" s="67"/>
      <c r="X8" s="67"/>
      <c r="Y8" s="67"/>
      <c r="Z8" s="67"/>
      <c r="AA8" s="67"/>
      <c r="AB8" s="164"/>
      <c r="AC8" s="67"/>
      <c r="AD8" s="67"/>
      <c r="AE8" s="67"/>
      <c r="AF8" s="67"/>
      <c r="AG8" s="67"/>
    </row>
    <row r="9" spans="1:33" s="223" customFormat="1" ht="24.95" customHeight="1" x14ac:dyDescent="0.25">
      <c r="B9" s="895" t="s">
        <v>430</v>
      </c>
      <c r="C9" s="896"/>
      <c r="D9" s="896"/>
      <c r="E9" s="896"/>
      <c r="F9" s="896" t="s">
        <v>431</v>
      </c>
      <c r="G9" s="899" t="s">
        <v>432</v>
      </c>
      <c r="H9" s="895" t="s">
        <v>433</v>
      </c>
      <c r="I9" s="896"/>
      <c r="J9" s="896"/>
      <c r="K9" s="896"/>
      <c r="L9" s="899"/>
      <c r="M9" s="895" t="s">
        <v>437</v>
      </c>
      <c r="N9" s="914"/>
      <c r="O9" s="896"/>
      <c r="P9" s="238" t="s">
        <v>440</v>
      </c>
      <c r="Q9" s="239" t="s">
        <v>441</v>
      </c>
    </row>
    <row r="10" spans="1:33" s="223" customFormat="1" ht="24.95" customHeight="1" thickBot="1" x14ac:dyDescent="0.3">
      <c r="B10" s="897"/>
      <c r="C10" s="898"/>
      <c r="D10" s="898"/>
      <c r="E10" s="898"/>
      <c r="F10" s="898"/>
      <c r="G10" s="900"/>
      <c r="H10" s="245" t="s">
        <v>191</v>
      </c>
      <c r="I10" s="246" t="s">
        <v>434</v>
      </c>
      <c r="J10" s="247" t="s">
        <v>147</v>
      </c>
      <c r="K10" s="247" t="s">
        <v>143</v>
      </c>
      <c r="L10" s="248" t="s">
        <v>104</v>
      </c>
      <c r="M10" s="245" t="s">
        <v>205</v>
      </c>
      <c r="N10" s="283" t="s">
        <v>438</v>
      </c>
      <c r="O10" s="246" t="s">
        <v>439</v>
      </c>
      <c r="P10" s="247" t="s">
        <v>160</v>
      </c>
      <c r="Q10" s="248" t="s">
        <v>139</v>
      </c>
      <c r="U10" s="223" t="s">
        <v>358</v>
      </c>
    </row>
    <row r="11" spans="1:33" ht="15" customHeight="1" x14ac:dyDescent="0.25">
      <c r="B11" s="889"/>
      <c r="C11" s="890"/>
      <c r="D11" s="890"/>
      <c r="E11" s="890"/>
      <c r="F11" s="228"/>
      <c r="G11" s="229">
        <v>2</v>
      </c>
      <c r="H11" s="233" t="s">
        <v>340</v>
      </c>
      <c r="I11" s="228" t="s">
        <v>341</v>
      </c>
      <c r="J11" s="234">
        <v>1</v>
      </c>
      <c r="K11" s="234">
        <v>0.73</v>
      </c>
      <c r="L11" s="235">
        <f t="shared" ref="L11:L22" si="0">+J11*K11</f>
        <v>0.73</v>
      </c>
      <c r="M11" s="288">
        <v>0.3</v>
      </c>
      <c r="N11" s="289">
        <v>0.4</v>
      </c>
      <c r="O11" s="290">
        <f>+J11*L11*M11*N11</f>
        <v>8.7600000000000011E-2</v>
      </c>
      <c r="P11" s="234">
        <f>+J11*L11*M11</f>
        <v>0.219</v>
      </c>
      <c r="Q11" s="235">
        <f>+O11</f>
        <v>8.7600000000000011E-2</v>
      </c>
      <c r="T11" s="264">
        <f t="shared" ref="T11:T18" si="1">+(K11/3)*J11</f>
        <v>0.24333333333333332</v>
      </c>
      <c r="U11" s="264">
        <f t="shared" ref="U11:U18" si="2">+ROUNDDOWN(T11,0)</f>
        <v>0</v>
      </c>
      <c r="V11" s="222">
        <f>+SUMIFS($U$11:$U$22,$H$11:$H$22,"Galvanizado",$I$11:$I$22,"1""")</f>
        <v>0</v>
      </c>
      <c r="W11" s="222" t="s">
        <v>359</v>
      </c>
    </row>
    <row r="12" spans="1:33" ht="15" customHeight="1" x14ac:dyDescent="0.25">
      <c r="B12" s="889"/>
      <c r="C12" s="890"/>
      <c r="D12" s="890"/>
      <c r="E12" s="890"/>
      <c r="F12" s="228"/>
      <c r="G12" s="229">
        <v>3</v>
      </c>
      <c r="H12" s="233" t="s">
        <v>340</v>
      </c>
      <c r="I12" s="228" t="s">
        <v>341</v>
      </c>
      <c r="J12" s="234">
        <v>1</v>
      </c>
      <c r="K12" s="234">
        <v>16.57</v>
      </c>
      <c r="L12" s="235">
        <f t="shared" si="0"/>
        <v>16.57</v>
      </c>
      <c r="M12" s="288">
        <f>+M11</f>
        <v>0.3</v>
      </c>
      <c r="N12" s="289">
        <f>+N11</f>
        <v>0.4</v>
      </c>
      <c r="O12" s="286">
        <f t="shared" ref="O12:O22" si="3">+J12*L12*M12*N12</f>
        <v>1.9884000000000002</v>
      </c>
      <c r="P12" s="234">
        <f t="shared" ref="P12:P22" si="4">+J12*L12*M12</f>
        <v>4.9710000000000001</v>
      </c>
      <c r="Q12" s="235">
        <f t="shared" ref="Q12:Q22" si="5">+O12</f>
        <v>1.9884000000000002</v>
      </c>
      <c r="T12" s="264">
        <f t="shared" si="1"/>
        <v>5.5233333333333334</v>
      </c>
      <c r="U12" s="264">
        <f t="shared" si="2"/>
        <v>5</v>
      </c>
      <c r="V12" s="222">
        <f>+SUMIFS($U$11:$U$22,$H$11:$H$22,"PVC rígido",$I$11:$I$22,"3/4""")</f>
        <v>16</v>
      </c>
      <c r="W12" s="222" t="s">
        <v>360</v>
      </c>
    </row>
    <row r="13" spans="1:33" ht="15" customHeight="1" x14ac:dyDescent="0.25">
      <c r="B13" s="889"/>
      <c r="C13" s="890"/>
      <c r="D13" s="890"/>
      <c r="E13" s="890"/>
      <c r="F13" s="228"/>
      <c r="G13" s="229">
        <v>5</v>
      </c>
      <c r="H13" s="233" t="s">
        <v>340</v>
      </c>
      <c r="I13" s="228" t="s">
        <v>341</v>
      </c>
      <c r="J13" s="234">
        <v>1</v>
      </c>
      <c r="K13" s="234">
        <v>0.71</v>
      </c>
      <c r="L13" s="235">
        <f t="shared" si="0"/>
        <v>0.71</v>
      </c>
      <c r="M13" s="288">
        <f t="shared" ref="M13:M22" si="6">+M12</f>
        <v>0.3</v>
      </c>
      <c r="N13" s="289">
        <f t="shared" ref="N13:N22" si="7">+N12</f>
        <v>0.4</v>
      </c>
      <c r="O13" s="286">
        <f t="shared" si="3"/>
        <v>8.5199999999999998E-2</v>
      </c>
      <c r="P13" s="234">
        <f t="shared" si="4"/>
        <v>0.21299999999999999</v>
      </c>
      <c r="Q13" s="235">
        <f t="shared" si="5"/>
        <v>8.5199999999999998E-2</v>
      </c>
      <c r="T13" s="264">
        <f t="shared" si="1"/>
        <v>0.23666666666666666</v>
      </c>
      <c r="U13" s="264">
        <f t="shared" si="2"/>
        <v>0</v>
      </c>
    </row>
    <row r="14" spans="1:33" ht="15" customHeight="1" x14ac:dyDescent="0.25">
      <c r="B14" s="889"/>
      <c r="C14" s="890"/>
      <c r="D14" s="890"/>
      <c r="E14" s="890"/>
      <c r="F14" s="228"/>
      <c r="G14" s="229">
        <v>6</v>
      </c>
      <c r="H14" s="233" t="s">
        <v>340</v>
      </c>
      <c r="I14" s="228" t="s">
        <v>341</v>
      </c>
      <c r="J14" s="234">
        <v>1</v>
      </c>
      <c r="K14" s="234">
        <v>11.03</v>
      </c>
      <c r="L14" s="235">
        <f t="shared" si="0"/>
        <v>11.03</v>
      </c>
      <c r="M14" s="288">
        <f t="shared" si="6"/>
        <v>0.3</v>
      </c>
      <c r="N14" s="289">
        <f t="shared" si="7"/>
        <v>0.4</v>
      </c>
      <c r="O14" s="286">
        <f t="shared" si="3"/>
        <v>1.3235999999999999</v>
      </c>
      <c r="P14" s="234">
        <f t="shared" si="4"/>
        <v>3.3089999999999997</v>
      </c>
      <c r="Q14" s="235">
        <f t="shared" si="5"/>
        <v>1.3235999999999999</v>
      </c>
      <c r="T14" s="264">
        <f t="shared" si="1"/>
        <v>3.6766666666666663</v>
      </c>
      <c r="U14" s="264">
        <f t="shared" si="2"/>
        <v>3</v>
      </c>
    </row>
    <row r="15" spans="1:33" ht="15" customHeight="1" x14ac:dyDescent="0.25">
      <c r="B15" s="889"/>
      <c r="C15" s="890"/>
      <c r="D15" s="890"/>
      <c r="E15" s="890"/>
      <c r="F15" s="228"/>
      <c r="G15" s="229">
        <v>8</v>
      </c>
      <c r="H15" s="233" t="s">
        <v>340</v>
      </c>
      <c r="I15" s="228" t="s">
        <v>341</v>
      </c>
      <c r="J15" s="234">
        <v>1</v>
      </c>
      <c r="K15" s="234">
        <v>0.71</v>
      </c>
      <c r="L15" s="235">
        <f t="shared" si="0"/>
        <v>0.71</v>
      </c>
      <c r="M15" s="288">
        <f t="shared" si="6"/>
        <v>0.3</v>
      </c>
      <c r="N15" s="289">
        <f t="shared" si="7"/>
        <v>0.4</v>
      </c>
      <c r="O15" s="286">
        <f t="shared" si="3"/>
        <v>8.5199999999999998E-2</v>
      </c>
      <c r="P15" s="234">
        <f t="shared" si="4"/>
        <v>0.21299999999999999</v>
      </c>
      <c r="Q15" s="235">
        <f t="shared" si="5"/>
        <v>8.5199999999999998E-2</v>
      </c>
      <c r="T15" s="264">
        <f t="shared" si="1"/>
        <v>0.23666666666666666</v>
      </c>
      <c r="U15" s="264">
        <f t="shared" si="2"/>
        <v>0</v>
      </c>
    </row>
    <row r="16" spans="1:33" ht="15" customHeight="1" x14ac:dyDescent="0.25">
      <c r="B16" s="889"/>
      <c r="C16" s="890"/>
      <c r="D16" s="890"/>
      <c r="E16" s="890"/>
      <c r="F16" s="228"/>
      <c r="G16" s="229">
        <v>9</v>
      </c>
      <c r="H16" s="233" t="s">
        <v>340</v>
      </c>
      <c r="I16" s="228" t="s">
        <v>341</v>
      </c>
      <c r="J16" s="234">
        <v>1</v>
      </c>
      <c r="K16" s="234">
        <v>13.46</v>
      </c>
      <c r="L16" s="235">
        <f t="shared" si="0"/>
        <v>13.46</v>
      </c>
      <c r="M16" s="288">
        <f t="shared" si="6"/>
        <v>0.3</v>
      </c>
      <c r="N16" s="289">
        <f t="shared" si="7"/>
        <v>0.4</v>
      </c>
      <c r="O16" s="286">
        <f t="shared" si="3"/>
        <v>1.6152000000000002</v>
      </c>
      <c r="P16" s="234">
        <f t="shared" si="4"/>
        <v>4.0380000000000003</v>
      </c>
      <c r="Q16" s="235">
        <f t="shared" si="5"/>
        <v>1.6152000000000002</v>
      </c>
      <c r="T16" s="264">
        <f t="shared" si="1"/>
        <v>4.4866666666666672</v>
      </c>
      <c r="U16" s="264">
        <f t="shared" si="2"/>
        <v>4</v>
      </c>
    </row>
    <row r="17" spans="2:26" ht="15" customHeight="1" x14ac:dyDescent="0.25">
      <c r="B17" s="889"/>
      <c r="C17" s="890"/>
      <c r="D17" s="890"/>
      <c r="E17" s="890"/>
      <c r="F17" s="228"/>
      <c r="G17" s="229">
        <v>11</v>
      </c>
      <c r="H17" s="233" t="s">
        <v>340</v>
      </c>
      <c r="I17" s="228" t="s">
        <v>341</v>
      </c>
      <c r="J17" s="234">
        <v>1</v>
      </c>
      <c r="K17" s="234">
        <v>1.08</v>
      </c>
      <c r="L17" s="235">
        <f t="shared" si="0"/>
        <v>1.08</v>
      </c>
      <c r="M17" s="288">
        <f t="shared" si="6"/>
        <v>0.3</v>
      </c>
      <c r="N17" s="289">
        <f t="shared" si="7"/>
        <v>0.4</v>
      </c>
      <c r="O17" s="286">
        <f t="shared" si="3"/>
        <v>0.12960000000000002</v>
      </c>
      <c r="P17" s="234">
        <f t="shared" si="4"/>
        <v>0.32400000000000001</v>
      </c>
      <c r="Q17" s="235">
        <f t="shared" si="5"/>
        <v>0.12960000000000002</v>
      </c>
      <c r="T17" s="264">
        <f t="shared" si="1"/>
        <v>0.36000000000000004</v>
      </c>
      <c r="U17" s="264">
        <f t="shared" si="2"/>
        <v>0</v>
      </c>
    </row>
    <row r="18" spans="2:26" ht="15" customHeight="1" x14ac:dyDescent="0.25">
      <c r="B18" s="889"/>
      <c r="C18" s="890"/>
      <c r="D18" s="890"/>
      <c r="E18" s="890"/>
      <c r="F18" s="228"/>
      <c r="G18" s="229">
        <v>12</v>
      </c>
      <c r="H18" s="233" t="s">
        <v>340</v>
      </c>
      <c r="I18" s="228" t="s">
        <v>341</v>
      </c>
      <c r="J18" s="234">
        <v>1</v>
      </c>
      <c r="K18" s="234">
        <v>3.56</v>
      </c>
      <c r="L18" s="235">
        <f t="shared" si="0"/>
        <v>3.56</v>
      </c>
      <c r="M18" s="288">
        <f t="shared" si="6"/>
        <v>0.3</v>
      </c>
      <c r="N18" s="289">
        <f t="shared" si="7"/>
        <v>0.4</v>
      </c>
      <c r="O18" s="286">
        <f t="shared" si="3"/>
        <v>0.42720000000000002</v>
      </c>
      <c r="P18" s="234">
        <f t="shared" si="4"/>
        <v>1.0680000000000001</v>
      </c>
      <c r="Q18" s="235">
        <f t="shared" si="5"/>
        <v>0.42720000000000002</v>
      </c>
      <c r="T18" s="264">
        <f t="shared" si="1"/>
        <v>1.1866666666666668</v>
      </c>
      <c r="U18" s="264">
        <f t="shared" si="2"/>
        <v>1</v>
      </c>
    </row>
    <row r="19" spans="2:26" ht="15" customHeight="1" x14ac:dyDescent="0.25">
      <c r="B19" s="889"/>
      <c r="C19" s="890"/>
      <c r="D19" s="890"/>
      <c r="E19" s="890"/>
      <c r="F19" s="228"/>
      <c r="G19" s="229">
        <v>14</v>
      </c>
      <c r="H19" s="233" t="s">
        <v>340</v>
      </c>
      <c r="I19" s="228" t="s">
        <v>341</v>
      </c>
      <c r="J19" s="234">
        <v>1</v>
      </c>
      <c r="K19" s="234">
        <v>4</v>
      </c>
      <c r="L19" s="235">
        <f t="shared" si="0"/>
        <v>4</v>
      </c>
      <c r="M19" s="288">
        <f t="shared" si="6"/>
        <v>0.3</v>
      </c>
      <c r="N19" s="289">
        <f t="shared" si="7"/>
        <v>0.4</v>
      </c>
      <c r="O19" s="286">
        <f t="shared" si="3"/>
        <v>0.48</v>
      </c>
      <c r="P19" s="234">
        <f t="shared" si="4"/>
        <v>1.2</v>
      </c>
      <c r="Q19" s="235">
        <f t="shared" si="5"/>
        <v>0.48</v>
      </c>
      <c r="T19" s="264">
        <f t="shared" ref="T19:T24" si="8">+(K19/3)*J19</f>
        <v>1.3333333333333333</v>
      </c>
      <c r="U19" s="264">
        <f t="shared" ref="U19:U24" si="9">+ROUNDDOWN(T19,0)</f>
        <v>1</v>
      </c>
    </row>
    <row r="20" spans="2:26" ht="15" customHeight="1" x14ac:dyDescent="0.25">
      <c r="B20" s="889"/>
      <c r="C20" s="890"/>
      <c r="D20" s="890"/>
      <c r="E20" s="890"/>
      <c r="F20" s="228"/>
      <c r="G20" s="229">
        <v>15</v>
      </c>
      <c r="H20" s="233" t="s">
        <v>340</v>
      </c>
      <c r="I20" s="228" t="s">
        <v>341</v>
      </c>
      <c r="J20" s="234">
        <v>1</v>
      </c>
      <c r="K20" s="234">
        <v>7.83</v>
      </c>
      <c r="L20" s="235">
        <f t="shared" si="0"/>
        <v>7.83</v>
      </c>
      <c r="M20" s="288">
        <f t="shared" si="6"/>
        <v>0.3</v>
      </c>
      <c r="N20" s="289">
        <f t="shared" si="7"/>
        <v>0.4</v>
      </c>
      <c r="O20" s="286">
        <f t="shared" si="3"/>
        <v>0.93959999999999999</v>
      </c>
      <c r="P20" s="234">
        <f t="shared" si="4"/>
        <v>2.3489999999999998</v>
      </c>
      <c r="Q20" s="235">
        <f t="shared" si="5"/>
        <v>0.93959999999999999</v>
      </c>
      <c r="T20" s="264">
        <f t="shared" si="8"/>
        <v>2.61</v>
      </c>
      <c r="U20" s="264">
        <f t="shared" si="9"/>
        <v>2</v>
      </c>
    </row>
    <row r="21" spans="2:26" ht="15" customHeight="1" x14ac:dyDescent="0.25">
      <c r="B21" s="889"/>
      <c r="C21" s="890"/>
      <c r="D21" s="890"/>
      <c r="E21" s="890"/>
      <c r="F21" s="228"/>
      <c r="G21" s="229">
        <v>16</v>
      </c>
      <c r="H21" s="233" t="s">
        <v>340</v>
      </c>
      <c r="I21" s="228" t="s">
        <v>341</v>
      </c>
      <c r="J21" s="234">
        <v>1</v>
      </c>
      <c r="K21" s="234">
        <v>0.5</v>
      </c>
      <c r="L21" s="235">
        <f t="shared" si="0"/>
        <v>0.5</v>
      </c>
      <c r="M21" s="288">
        <f t="shared" si="6"/>
        <v>0.3</v>
      </c>
      <c r="N21" s="289">
        <f t="shared" si="7"/>
        <v>0.4</v>
      </c>
      <c r="O21" s="286">
        <f t="shared" si="3"/>
        <v>0.06</v>
      </c>
      <c r="P21" s="234">
        <f t="shared" si="4"/>
        <v>0.15</v>
      </c>
      <c r="Q21" s="235">
        <f t="shared" si="5"/>
        <v>0.06</v>
      </c>
      <c r="T21" s="264">
        <f t="shared" si="8"/>
        <v>0.16666666666666666</v>
      </c>
      <c r="U21" s="264">
        <f t="shared" si="9"/>
        <v>0</v>
      </c>
    </row>
    <row r="22" spans="2:26" ht="15" customHeight="1" thickBot="1" x14ac:dyDescent="0.3">
      <c r="B22" s="889"/>
      <c r="C22" s="890"/>
      <c r="D22" s="890"/>
      <c r="E22" s="890"/>
      <c r="F22" s="228"/>
      <c r="G22" s="229">
        <v>18</v>
      </c>
      <c r="H22" s="233" t="s">
        <v>340</v>
      </c>
      <c r="I22" s="228" t="s">
        <v>341</v>
      </c>
      <c r="J22" s="234">
        <v>1</v>
      </c>
      <c r="K22" s="234">
        <v>0.61</v>
      </c>
      <c r="L22" s="235">
        <f t="shared" si="0"/>
        <v>0.61</v>
      </c>
      <c r="M22" s="288">
        <f t="shared" si="6"/>
        <v>0.3</v>
      </c>
      <c r="N22" s="289">
        <f t="shared" si="7"/>
        <v>0.4</v>
      </c>
      <c r="O22" s="286">
        <f t="shared" si="3"/>
        <v>7.3200000000000001E-2</v>
      </c>
      <c r="P22" s="234">
        <f t="shared" si="4"/>
        <v>0.183</v>
      </c>
      <c r="Q22" s="235">
        <f t="shared" si="5"/>
        <v>7.3200000000000001E-2</v>
      </c>
      <c r="T22" s="264">
        <f t="shared" si="8"/>
        <v>0.20333333333333334</v>
      </c>
      <c r="U22" s="264">
        <f t="shared" si="9"/>
        <v>0</v>
      </c>
    </row>
    <row r="23" spans="2:26" s="88" customFormat="1" ht="30" customHeight="1" thickBot="1" x14ac:dyDescent="0.3">
      <c r="B23" s="794" t="s">
        <v>146</v>
      </c>
      <c r="C23" s="795"/>
      <c r="D23" s="795"/>
      <c r="E23" s="795"/>
      <c r="F23" s="795"/>
      <c r="G23" s="795"/>
      <c r="H23" s="795"/>
      <c r="I23" s="795"/>
      <c r="J23" s="795"/>
      <c r="K23" s="795"/>
      <c r="L23" s="796"/>
      <c r="M23" s="106"/>
      <c r="N23" s="106"/>
      <c r="O23" s="106">
        <f>SUM(O11:O22)</f>
        <v>7.2947999999999995</v>
      </c>
      <c r="P23" s="106">
        <f>SUM(P11:P22)</f>
        <v>18.236999999999995</v>
      </c>
      <c r="Q23" s="291">
        <f>SUM(Q11:Q22)</f>
        <v>7.2947999999999995</v>
      </c>
      <c r="R23" s="222"/>
      <c r="S23" s="222"/>
      <c r="T23" s="264">
        <f t="shared" si="8"/>
        <v>0</v>
      </c>
      <c r="U23" s="264">
        <f t="shared" si="9"/>
        <v>0</v>
      </c>
      <c r="V23" s="222"/>
      <c r="W23" s="222"/>
      <c r="X23" s="222"/>
      <c r="Y23" s="222"/>
      <c r="Z23" s="222"/>
    </row>
    <row r="24" spans="2:26" s="89" customFormat="1" ht="20.100000000000001" customHeight="1" x14ac:dyDescent="0.25">
      <c r="B24" s="31"/>
      <c r="D24" s="200"/>
      <c r="E24" s="200"/>
      <c r="F24" s="31"/>
      <c r="G24" s="31"/>
      <c r="H24" s="31"/>
      <c r="I24" s="31"/>
      <c r="J24" s="31"/>
      <c r="P24" s="194"/>
      <c r="Q24" s="199"/>
      <c r="R24" s="194"/>
      <c r="S24" s="195"/>
      <c r="T24" s="89">
        <f t="shared" si="8"/>
        <v>0</v>
      </c>
      <c r="U24" s="89">
        <f t="shared" si="9"/>
        <v>0</v>
      </c>
      <c r="V24" s="193"/>
    </row>
    <row r="25" spans="2:26" s="89" customFormat="1" ht="20.100000000000001" customHeight="1" x14ac:dyDescent="0.25">
      <c r="B25" s="746" t="s">
        <v>255</v>
      </c>
      <c r="C25" s="746"/>
      <c r="D25" s="746"/>
      <c r="E25" s="746"/>
      <c r="F25" s="746"/>
      <c r="G25" s="746"/>
      <c r="H25" s="746"/>
      <c r="I25" s="746"/>
      <c r="J25" s="746"/>
      <c r="K25" s="746"/>
      <c r="L25" s="746"/>
      <c r="W25" s="90"/>
    </row>
    <row r="26" spans="2:26" s="89" customFormat="1" ht="20.100000000000001" customHeight="1" x14ac:dyDescent="0.25">
      <c r="B26" s="31" t="s">
        <v>218</v>
      </c>
      <c r="D26" s="200"/>
      <c r="E26" s="200" t="s">
        <v>672</v>
      </c>
      <c r="F26" s="31" t="s">
        <v>671</v>
      </c>
      <c r="G26" s="31"/>
      <c r="H26" s="31"/>
      <c r="I26" s="31"/>
      <c r="J26" s="31"/>
      <c r="P26" s="194" t="s">
        <v>219</v>
      </c>
      <c r="Q26" s="199">
        <f>+O23</f>
        <v>7.2947999999999995</v>
      </c>
      <c r="R26" s="194"/>
      <c r="S26" s="195"/>
      <c r="V26" s="193"/>
    </row>
    <row r="27" spans="2:26" s="89" customFormat="1" ht="20.100000000000001" customHeight="1" x14ac:dyDescent="0.25">
      <c r="B27" s="31" t="s">
        <v>218</v>
      </c>
      <c r="D27" s="200"/>
      <c r="E27" s="200" t="s">
        <v>220</v>
      </c>
      <c r="F27" s="31" t="s">
        <v>221</v>
      </c>
      <c r="G27" s="31"/>
      <c r="H27" s="31"/>
      <c r="I27" s="31"/>
      <c r="J27" s="31"/>
      <c r="P27" s="194" t="s">
        <v>222</v>
      </c>
      <c r="Q27" s="199">
        <f>+P23</f>
        <v>18.236999999999995</v>
      </c>
      <c r="R27" s="194"/>
      <c r="S27" s="195"/>
      <c r="V27" s="193"/>
    </row>
    <row r="28" spans="2:26" s="89" customFormat="1" ht="20.100000000000001" customHeight="1" x14ac:dyDescent="0.25">
      <c r="B28" s="31" t="s">
        <v>218</v>
      </c>
      <c r="D28" s="200"/>
      <c r="E28" s="200" t="s">
        <v>278</v>
      </c>
      <c r="F28" s="31" t="s">
        <v>279</v>
      </c>
      <c r="G28" s="31"/>
      <c r="H28" s="31"/>
      <c r="I28" s="31"/>
      <c r="J28" s="31"/>
      <c r="P28" s="194" t="s">
        <v>219</v>
      </c>
      <c r="Q28" s="199">
        <f>+Q23</f>
        <v>7.2947999999999995</v>
      </c>
      <c r="R28" s="194"/>
      <c r="S28" s="195"/>
      <c r="V28" s="193"/>
    </row>
  </sheetData>
  <mergeCells count="21">
    <mergeCell ref="B1:Q2"/>
    <mergeCell ref="B9:E10"/>
    <mergeCell ref="F9:F10"/>
    <mergeCell ref="G9:G10"/>
    <mergeCell ref="H9:L9"/>
    <mergeCell ref="M9:O9"/>
    <mergeCell ref="E4:O4"/>
    <mergeCell ref="B15:E15"/>
    <mergeCell ref="B16:E16"/>
    <mergeCell ref="B17:E17"/>
    <mergeCell ref="B18:E18"/>
    <mergeCell ref="B11:E11"/>
    <mergeCell ref="B12:E12"/>
    <mergeCell ref="B13:E13"/>
    <mergeCell ref="B14:E14"/>
    <mergeCell ref="B22:E22"/>
    <mergeCell ref="B25:L25"/>
    <mergeCell ref="B23:L23"/>
    <mergeCell ref="B19:E19"/>
    <mergeCell ref="B20:E20"/>
    <mergeCell ref="B21:E21"/>
  </mergeCells>
  <conditionalFormatting sqref="F11:Q22 B11:B23">
    <cfRule type="expression" dxfId="19" priority="2">
      <formula>MOD(ROW(),2)=0</formula>
    </cfRule>
  </conditionalFormatting>
  <conditionalFormatting sqref="M23:Q23">
    <cfRule type="expression" dxfId="18" priority="5">
      <formula>MOD(ROW(),2)=0</formula>
    </cfRule>
  </conditionalFormatting>
  <printOptions horizontalCentered="1"/>
  <pageMargins left="0.51181102362204722" right="0.51181102362204722" top="0.78740157480314965" bottom="0.78740157480314965" header="0.31496062992125984" footer="0.31496062992125984"/>
  <pageSetup paperSize="9" scale="75"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D2B70-86B3-456B-94F8-1B3C9E11382B}">
  <dimension ref="A1:AG37"/>
  <sheetViews>
    <sheetView showGridLines="0" view="pageBreakPreview" zoomScale="85" zoomScaleNormal="70" zoomScaleSheetLayoutView="85" workbookViewId="0">
      <selection activeCell="Q14" sqref="Q14:Q15"/>
    </sheetView>
  </sheetViews>
  <sheetFormatPr defaultRowHeight="15" x14ac:dyDescent="0.25"/>
  <cols>
    <col min="1" max="2" width="1.7109375" style="222" customWidth="1"/>
    <col min="3" max="3" width="3.5703125" style="222" customWidth="1"/>
    <col min="4" max="4" width="4.42578125" style="222" customWidth="1"/>
    <col min="5" max="5" width="13.140625" style="222" customWidth="1"/>
    <col min="6" max="6" width="15.7109375" style="224" customWidth="1"/>
    <col min="7" max="7" width="9.28515625" style="224" customWidth="1"/>
    <col min="8" max="8" width="29.42578125" style="222" bestFit="1" customWidth="1"/>
    <col min="9" max="9" width="12.7109375" style="224" customWidth="1"/>
    <col min="10" max="12" width="9.7109375" style="225" customWidth="1"/>
    <col min="13" max="13" width="38" style="222" customWidth="1"/>
    <col min="14" max="14" width="12.7109375" style="224" customWidth="1"/>
    <col min="15" max="15" width="9.7109375" style="225" customWidth="1"/>
    <col min="16" max="16" width="9.7109375" style="225" hidden="1" customWidth="1"/>
    <col min="17" max="17" width="9.7109375" style="225" customWidth="1"/>
    <col min="18" max="18" width="1.7109375" style="222" customWidth="1"/>
    <col min="19" max="19" width="9.140625" style="222"/>
    <col min="20" max="24" width="0" style="222" hidden="1" customWidth="1"/>
    <col min="25" max="16384" width="9.140625" style="222"/>
  </cols>
  <sheetData>
    <row r="1" spans="1:33" s="11" customFormat="1" ht="20.100000000000001" customHeight="1" x14ac:dyDescent="0.25">
      <c r="A1" s="69"/>
      <c r="B1" s="569" t="s">
        <v>133</v>
      </c>
      <c r="C1" s="569"/>
      <c r="D1" s="569"/>
      <c r="E1" s="569"/>
      <c r="F1" s="569"/>
      <c r="G1" s="569"/>
      <c r="H1" s="569"/>
      <c r="I1" s="569"/>
      <c r="J1" s="569"/>
      <c r="K1" s="569"/>
      <c r="L1" s="569"/>
      <c r="M1" s="569"/>
      <c r="N1" s="569"/>
      <c r="O1" s="569"/>
      <c r="P1" s="569"/>
      <c r="Q1" s="569"/>
      <c r="R1" s="226"/>
      <c r="S1" s="226"/>
      <c r="T1" s="226"/>
      <c r="U1" s="226"/>
      <c r="V1" s="226"/>
      <c r="W1" s="226"/>
      <c r="X1" s="226"/>
      <c r="Y1" s="226"/>
      <c r="Z1" s="226"/>
      <c r="AA1" s="226"/>
      <c r="AB1" s="226"/>
      <c r="AC1" s="69"/>
      <c r="AD1" s="69"/>
      <c r="AE1" s="69"/>
      <c r="AF1" s="69"/>
      <c r="AG1" s="69"/>
    </row>
    <row r="2" spans="1:33" s="11" customFormat="1" ht="20.100000000000001" customHeight="1" x14ac:dyDescent="0.25">
      <c r="A2" s="69"/>
      <c r="B2" s="569"/>
      <c r="C2" s="569"/>
      <c r="D2" s="569"/>
      <c r="E2" s="569"/>
      <c r="F2" s="569"/>
      <c r="G2" s="569"/>
      <c r="H2" s="569"/>
      <c r="I2" s="569"/>
      <c r="J2" s="569"/>
      <c r="K2" s="569"/>
      <c r="L2" s="569"/>
      <c r="M2" s="569"/>
      <c r="N2" s="569"/>
      <c r="O2" s="569"/>
      <c r="P2" s="569"/>
      <c r="Q2" s="569"/>
      <c r="R2" s="226"/>
      <c r="S2" s="226"/>
      <c r="T2" s="226"/>
      <c r="U2" s="226"/>
      <c r="V2" s="226"/>
      <c r="W2" s="226"/>
      <c r="X2" s="226"/>
      <c r="Y2" s="226"/>
      <c r="Z2" s="226"/>
      <c r="AA2" s="226"/>
      <c r="AB2" s="226"/>
      <c r="AC2" s="69"/>
      <c r="AD2" s="69"/>
      <c r="AE2" s="69"/>
      <c r="AF2" s="69"/>
      <c r="AG2" s="69"/>
    </row>
    <row r="3" spans="1:33" s="11" customFormat="1" ht="20.100000000000001" customHeight="1" x14ac:dyDescent="0.25">
      <c r="A3" s="69"/>
      <c r="B3" s="69"/>
      <c r="C3" s="69"/>
      <c r="D3" s="69"/>
      <c r="E3" s="69"/>
      <c r="F3" s="69"/>
      <c r="G3" s="69"/>
      <c r="H3" s="69"/>
      <c r="I3" s="69"/>
      <c r="J3" s="69"/>
      <c r="K3" s="69"/>
      <c r="L3" s="69"/>
      <c r="M3" s="69"/>
      <c r="N3" s="69"/>
      <c r="R3" s="69"/>
      <c r="S3" s="69"/>
      <c r="T3" s="69"/>
      <c r="U3" s="69"/>
      <c r="V3" s="69"/>
      <c r="W3" s="69"/>
      <c r="X3" s="69"/>
      <c r="Y3" s="69"/>
      <c r="Z3" s="69"/>
      <c r="AA3" s="69"/>
      <c r="AB3" s="181"/>
      <c r="AC3" s="69"/>
      <c r="AD3" s="69"/>
      <c r="AE3" s="69"/>
      <c r="AF3" s="69"/>
      <c r="AG3" s="69"/>
    </row>
    <row r="4" spans="1:33" s="5" customFormat="1" ht="24.95" customHeight="1" x14ac:dyDescent="0.25">
      <c r="B4" s="1" t="s">
        <v>16</v>
      </c>
      <c r="D4" s="1"/>
      <c r="E4" s="674" t="str">
        <f>'DADOS DA OBRA'!$B$13</f>
        <v>DEMOLIÇÃO DO RESERVATÓRIO EXISTENTE, EXECUÇÃO DE RESERVATÓRIO METÁLICO ELEVADO E REESTRUTURAÇÃO (COM AMPLIAÇÃO) DA REDE DE DISTRIBUIÇÃO DE ÁGUA TRATADA EXISTENTE NO MUNICÍPIO DE MATRINCHÃ</v>
      </c>
      <c r="F4" s="674"/>
      <c r="G4" s="674"/>
      <c r="H4" s="674"/>
      <c r="I4" s="674"/>
      <c r="J4" s="674"/>
      <c r="K4" s="674"/>
      <c r="L4" s="674"/>
      <c r="M4" s="674"/>
      <c r="N4" s="3" t="s">
        <v>96</v>
      </c>
      <c r="O4" s="4" t="str">
        <f>+'DADOS DA OBRA'!$N$22</f>
        <v>04/11/2024</v>
      </c>
      <c r="P4" s="4"/>
      <c r="R4" s="2"/>
      <c r="S4" s="2"/>
      <c r="T4" s="2"/>
      <c r="U4" s="2"/>
      <c r="V4" s="2"/>
      <c r="W4" s="2"/>
      <c r="X4" s="2"/>
      <c r="AB4" s="50"/>
      <c r="AD4" s="32"/>
      <c r="AE4" s="32"/>
      <c r="AF4" s="33"/>
      <c r="AG4" s="33"/>
    </row>
    <row r="5" spans="1:33" s="5" customFormat="1" ht="20.100000000000001" customHeight="1" x14ac:dyDescent="0.25">
      <c r="B5" s="1" t="s">
        <v>18</v>
      </c>
      <c r="D5" s="1"/>
      <c r="E5" s="2" t="str">
        <f>+""&amp;'DADOS DA OBRA'!$B$16&amp;", "&amp;'DADOS DA OBRA'!$B$19&amp;", "&amp;'DADOS DA OBRA'!$J$19&amp;", "&amp;'DADOS DA OBRA'!$P$19</f>
        <v>RUAS DIVERSAS, DIVERSOS, MATRINCHÃ, GO</v>
      </c>
      <c r="F5" s="1"/>
      <c r="G5" s="1"/>
      <c r="H5" s="1"/>
      <c r="I5" s="1"/>
      <c r="N5" s="3" t="s">
        <v>17</v>
      </c>
      <c r="O5" s="4" t="str">
        <f>'DADOS DA OBRA'!$N$25</f>
        <v>00</v>
      </c>
      <c r="P5" s="4"/>
      <c r="AB5" s="50"/>
    </row>
    <row r="6" spans="1:33" s="5" customFormat="1" ht="20.100000000000001" customHeight="1" x14ac:dyDescent="0.25">
      <c r="AB6" s="50"/>
    </row>
    <row r="7" spans="1:33" s="5" customFormat="1" ht="20.100000000000001" customHeight="1" x14ac:dyDescent="0.25">
      <c r="B7" s="1" t="s">
        <v>97</v>
      </c>
      <c r="D7" s="1"/>
      <c r="E7" s="39" t="s">
        <v>444</v>
      </c>
      <c r="F7" s="1"/>
      <c r="G7" s="1"/>
      <c r="H7" s="1"/>
      <c r="I7" s="1"/>
      <c r="N7" s="3" t="s">
        <v>18</v>
      </c>
      <c r="O7" s="64" t="s">
        <v>239</v>
      </c>
      <c r="P7" s="64"/>
      <c r="AB7" s="50"/>
    </row>
    <row r="8" spans="1:33" s="8" customFormat="1" ht="20.100000000000001" customHeight="1" thickBot="1" x14ac:dyDescent="0.3">
      <c r="A8" s="67"/>
      <c r="B8" s="52"/>
      <c r="C8" s="52"/>
      <c r="D8" s="52"/>
      <c r="E8" s="52"/>
      <c r="F8" s="52"/>
      <c r="G8" s="52"/>
      <c r="H8" s="52"/>
      <c r="I8" s="52"/>
      <c r="J8" s="53"/>
      <c r="K8" s="9"/>
      <c r="L8" s="9"/>
      <c r="M8" s="9"/>
      <c r="N8" s="10"/>
      <c r="O8" s="10"/>
      <c r="P8" s="10"/>
      <c r="Q8" s="9"/>
      <c r="R8" s="67"/>
      <c r="S8" s="67"/>
      <c r="T8" s="67"/>
      <c r="U8" s="67"/>
      <c r="V8" s="67"/>
      <c r="W8" s="67"/>
      <c r="X8" s="67"/>
      <c r="Y8" s="67"/>
      <c r="Z8" s="67"/>
      <c r="AA8" s="67"/>
      <c r="AB8" s="164"/>
      <c r="AC8" s="67"/>
      <c r="AD8" s="67"/>
      <c r="AE8" s="67"/>
      <c r="AF8" s="67"/>
      <c r="AG8" s="67"/>
    </row>
    <row r="9" spans="1:33" s="223" customFormat="1" ht="24.95" customHeight="1" x14ac:dyDescent="0.25">
      <c r="B9" s="895" t="s">
        <v>430</v>
      </c>
      <c r="C9" s="896"/>
      <c r="D9" s="896"/>
      <c r="E9" s="896"/>
      <c r="F9" s="896" t="s">
        <v>431</v>
      </c>
      <c r="G9" s="899" t="s">
        <v>432</v>
      </c>
      <c r="H9" s="895" t="s">
        <v>433</v>
      </c>
      <c r="I9" s="896"/>
      <c r="J9" s="896"/>
      <c r="K9" s="896"/>
      <c r="L9" s="899"/>
      <c r="M9" s="895" t="s">
        <v>436</v>
      </c>
      <c r="N9" s="896"/>
      <c r="O9" s="238" t="s">
        <v>344</v>
      </c>
      <c r="P9" s="239">
        <v>0.1</v>
      </c>
      <c r="Q9" s="239">
        <v>0.1</v>
      </c>
    </row>
    <row r="10" spans="1:33" s="223" customFormat="1" ht="24.95" customHeight="1" thickBot="1" x14ac:dyDescent="0.3">
      <c r="B10" s="897"/>
      <c r="C10" s="898"/>
      <c r="D10" s="898"/>
      <c r="E10" s="898"/>
      <c r="F10" s="898"/>
      <c r="G10" s="900"/>
      <c r="H10" s="245" t="s">
        <v>191</v>
      </c>
      <c r="I10" s="246" t="s">
        <v>434</v>
      </c>
      <c r="J10" s="247" t="s">
        <v>435</v>
      </c>
      <c r="K10" s="247" t="s">
        <v>143</v>
      </c>
      <c r="L10" s="248" t="s">
        <v>104</v>
      </c>
      <c r="M10" s="245" t="s">
        <v>191</v>
      </c>
      <c r="N10" s="246" t="s">
        <v>434</v>
      </c>
      <c r="O10" s="247" t="s">
        <v>147</v>
      </c>
      <c r="P10" s="248" t="s">
        <v>104</v>
      </c>
      <c r="Q10" s="248" t="s">
        <v>104</v>
      </c>
      <c r="U10" s="223" t="s">
        <v>358</v>
      </c>
    </row>
    <row r="11" spans="1:33" ht="15" customHeight="1" x14ac:dyDescent="0.25">
      <c r="B11" s="893"/>
      <c r="C11" s="894"/>
      <c r="D11" s="894"/>
      <c r="E11" s="894"/>
      <c r="F11" s="240"/>
      <c r="G11" s="241">
        <v>1</v>
      </c>
      <c r="H11" s="242" t="s">
        <v>340</v>
      </c>
      <c r="I11" s="240" t="s">
        <v>337</v>
      </c>
      <c r="J11" s="284">
        <v>1</v>
      </c>
      <c r="K11" s="284">
        <v>3</v>
      </c>
      <c r="L11" s="285">
        <f t="shared" ref="L11:L28" si="0">+J11*K11</f>
        <v>3</v>
      </c>
      <c r="M11" s="242" t="s">
        <v>445</v>
      </c>
      <c r="N11" s="240" t="s">
        <v>446</v>
      </c>
      <c r="O11" s="243">
        <v>1</v>
      </c>
      <c r="P11" s="244">
        <v>29.2</v>
      </c>
      <c r="Q11" s="244">
        <f>+P11*(1+$P$9)</f>
        <v>32.120000000000005</v>
      </c>
      <c r="T11" s="264">
        <f>+(K11/3)*J11</f>
        <v>1</v>
      </c>
      <c r="U11" s="264">
        <f>+ROUNDDOWN(T11,0)</f>
        <v>1</v>
      </c>
    </row>
    <row r="12" spans="1:33" ht="15" customHeight="1" x14ac:dyDescent="0.25">
      <c r="B12" s="889"/>
      <c r="C12" s="890"/>
      <c r="D12" s="890"/>
      <c r="E12" s="890"/>
      <c r="F12" s="228"/>
      <c r="G12" s="229">
        <v>2</v>
      </c>
      <c r="H12" s="233"/>
      <c r="I12" s="228"/>
      <c r="J12" s="286"/>
      <c r="K12" s="286"/>
      <c r="L12" s="287">
        <f t="shared" si="0"/>
        <v>0</v>
      </c>
      <c r="M12" s="233" t="s">
        <v>445</v>
      </c>
      <c r="N12" s="228" t="s">
        <v>447</v>
      </c>
      <c r="O12" s="234">
        <v>1</v>
      </c>
      <c r="P12" s="235">
        <v>3.84</v>
      </c>
      <c r="Q12" s="235">
        <f t="shared" ref="Q12:Q28" si="1">+P12*(1+$P$9)</f>
        <v>4.2240000000000002</v>
      </c>
      <c r="T12" s="264">
        <f t="shared" ref="T12:T28" si="2">+(K12/3)*J12</f>
        <v>0</v>
      </c>
      <c r="U12" s="264">
        <f t="shared" ref="U12:U28" si="3">+ROUNDDOWN(T12,0)</f>
        <v>0</v>
      </c>
      <c r="V12" s="222">
        <f>+SUMIFS($U$11:$U$28,$H$11:$H$28,"Galvanizado",$I$11:$I$28,"1""")</f>
        <v>0</v>
      </c>
      <c r="W12" s="222" t="s">
        <v>359</v>
      </c>
    </row>
    <row r="13" spans="1:33" ht="15" customHeight="1" x14ac:dyDescent="0.25">
      <c r="B13" s="889"/>
      <c r="C13" s="890"/>
      <c r="D13" s="890"/>
      <c r="E13" s="890"/>
      <c r="F13" s="228"/>
      <c r="G13" s="229">
        <v>3</v>
      </c>
      <c r="H13" s="233"/>
      <c r="I13" s="228"/>
      <c r="J13" s="286"/>
      <c r="K13" s="286"/>
      <c r="L13" s="287">
        <f t="shared" si="0"/>
        <v>0</v>
      </c>
      <c r="M13" s="233" t="s">
        <v>445</v>
      </c>
      <c r="N13" s="228" t="s">
        <v>447</v>
      </c>
      <c r="O13" s="234">
        <v>1</v>
      </c>
      <c r="P13" s="235">
        <v>8.98</v>
      </c>
      <c r="Q13" s="235">
        <f t="shared" si="1"/>
        <v>9.8780000000000019</v>
      </c>
      <c r="T13" s="264">
        <f t="shared" si="2"/>
        <v>0</v>
      </c>
      <c r="U13" s="264">
        <f t="shared" si="3"/>
        <v>0</v>
      </c>
      <c r="V13" s="222">
        <f>+SUMIFS($U$11:$U$28,$H$11:$H$28,"PVC rígido",$I$11:$I$28,"3/4""")</f>
        <v>0</v>
      </c>
      <c r="W13" s="222" t="s">
        <v>360</v>
      </c>
    </row>
    <row r="14" spans="1:33" ht="15" customHeight="1" x14ac:dyDescent="0.25">
      <c r="B14" s="889"/>
      <c r="C14" s="890"/>
      <c r="D14" s="890"/>
      <c r="E14" s="890"/>
      <c r="F14" s="228"/>
      <c r="G14" s="229">
        <v>4</v>
      </c>
      <c r="H14" s="233"/>
      <c r="I14" s="228"/>
      <c r="J14" s="286"/>
      <c r="K14" s="286"/>
      <c r="L14" s="287">
        <f t="shared" si="0"/>
        <v>0</v>
      </c>
      <c r="M14" s="233" t="s">
        <v>445</v>
      </c>
      <c r="N14" s="228" t="s">
        <v>448</v>
      </c>
      <c r="O14" s="234">
        <v>1</v>
      </c>
      <c r="P14" s="235">
        <v>2</v>
      </c>
      <c r="Q14" s="235">
        <f t="shared" si="1"/>
        <v>2.2000000000000002</v>
      </c>
      <c r="T14" s="264">
        <f t="shared" si="2"/>
        <v>0</v>
      </c>
      <c r="U14" s="264">
        <f t="shared" si="3"/>
        <v>0</v>
      </c>
    </row>
    <row r="15" spans="1:33" ht="15" customHeight="1" x14ac:dyDescent="0.25">
      <c r="B15" s="889"/>
      <c r="C15" s="890"/>
      <c r="D15" s="890"/>
      <c r="E15" s="890"/>
      <c r="F15" s="228"/>
      <c r="G15" s="229">
        <v>5</v>
      </c>
      <c r="H15" s="233"/>
      <c r="I15" s="228"/>
      <c r="J15" s="286"/>
      <c r="K15" s="286"/>
      <c r="L15" s="287">
        <f t="shared" si="0"/>
        <v>0</v>
      </c>
      <c r="M15" s="233" t="s">
        <v>445</v>
      </c>
      <c r="N15" s="228" t="s">
        <v>448</v>
      </c>
      <c r="O15" s="234">
        <v>1</v>
      </c>
      <c r="P15" s="235">
        <v>0.6</v>
      </c>
      <c r="Q15" s="235">
        <f t="shared" si="1"/>
        <v>0.66</v>
      </c>
      <c r="T15" s="264">
        <f t="shared" si="2"/>
        <v>0</v>
      </c>
      <c r="U15" s="264">
        <f t="shared" si="3"/>
        <v>0</v>
      </c>
    </row>
    <row r="16" spans="1:33" ht="15" customHeight="1" x14ac:dyDescent="0.25">
      <c r="B16" s="889"/>
      <c r="C16" s="890"/>
      <c r="D16" s="890"/>
      <c r="E16" s="890"/>
      <c r="F16" s="228"/>
      <c r="G16" s="229">
        <v>6</v>
      </c>
      <c r="H16" s="233" t="s">
        <v>340</v>
      </c>
      <c r="I16" s="228" t="s">
        <v>337</v>
      </c>
      <c r="J16" s="286">
        <v>1</v>
      </c>
      <c r="K16" s="286">
        <v>2</v>
      </c>
      <c r="L16" s="287">
        <f t="shared" si="0"/>
        <v>2</v>
      </c>
      <c r="M16" s="233" t="s">
        <v>445</v>
      </c>
      <c r="N16" s="228" t="s">
        <v>447</v>
      </c>
      <c r="O16" s="234">
        <v>1</v>
      </c>
      <c r="P16" s="235">
        <v>2</v>
      </c>
      <c r="Q16" s="235">
        <f t="shared" si="1"/>
        <v>2.2000000000000002</v>
      </c>
      <c r="T16" s="264">
        <f t="shared" si="2"/>
        <v>0.66666666666666663</v>
      </c>
      <c r="U16" s="264">
        <f t="shared" si="3"/>
        <v>0</v>
      </c>
    </row>
    <row r="17" spans="2:23" ht="15" customHeight="1" x14ac:dyDescent="0.25">
      <c r="B17" s="889"/>
      <c r="C17" s="890"/>
      <c r="D17" s="890"/>
      <c r="E17" s="890"/>
      <c r="F17" s="228"/>
      <c r="G17" s="229">
        <v>7</v>
      </c>
      <c r="H17" s="233"/>
      <c r="I17" s="228"/>
      <c r="J17" s="286"/>
      <c r="K17" s="286"/>
      <c r="L17" s="287">
        <f t="shared" si="0"/>
        <v>0</v>
      </c>
      <c r="M17" s="233" t="s">
        <v>445</v>
      </c>
      <c r="N17" s="228" t="s">
        <v>447</v>
      </c>
      <c r="O17" s="234">
        <v>1</v>
      </c>
      <c r="P17" s="235">
        <v>0.91</v>
      </c>
      <c r="Q17" s="235">
        <f t="shared" si="1"/>
        <v>1.0010000000000001</v>
      </c>
      <c r="T17" s="264">
        <f t="shared" si="2"/>
        <v>0</v>
      </c>
      <c r="U17" s="264">
        <f t="shared" si="3"/>
        <v>0</v>
      </c>
    </row>
    <row r="18" spans="2:23" ht="15" customHeight="1" x14ac:dyDescent="0.25">
      <c r="B18" s="889"/>
      <c r="C18" s="890"/>
      <c r="D18" s="890"/>
      <c r="E18" s="890"/>
      <c r="F18" s="228"/>
      <c r="G18" s="229">
        <v>8</v>
      </c>
      <c r="H18" s="233"/>
      <c r="I18" s="228"/>
      <c r="J18" s="286"/>
      <c r="K18" s="286"/>
      <c r="L18" s="287">
        <f t="shared" si="0"/>
        <v>0</v>
      </c>
      <c r="M18" s="233" t="s">
        <v>445</v>
      </c>
      <c r="N18" s="228" t="s">
        <v>447</v>
      </c>
      <c r="O18" s="234">
        <v>1</v>
      </c>
      <c r="P18" s="235">
        <v>17.14</v>
      </c>
      <c r="Q18" s="235">
        <f t="shared" si="1"/>
        <v>18.854000000000003</v>
      </c>
      <c r="T18" s="264">
        <f t="shared" si="2"/>
        <v>0</v>
      </c>
      <c r="U18" s="264">
        <f t="shared" si="3"/>
        <v>0</v>
      </c>
    </row>
    <row r="19" spans="2:23" ht="15" customHeight="1" x14ac:dyDescent="0.25">
      <c r="B19" s="889"/>
      <c r="C19" s="890"/>
      <c r="D19" s="890"/>
      <c r="E19" s="890"/>
      <c r="F19" s="228"/>
      <c r="G19" s="229">
        <v>9</v>
      </c>
      <c r="H19" s="233"/>
      <c r="I19" s="228"/>
      <c r="J19" s="286"/>
      <c r="K19" s="286"/>
      <c r="L19" s="287">
        <f t="shared" si="0"/>
        <v>0</v>
      </c>
      <c r="M19" s="233" t="s">
        <v>445</v>
      </c>
      <c r="N19" s="228" t="s">
        <v>448</v>
      </c>
      <c r="O19" s="234">
        <v>1</v>
      </c>
      <c r="P19" s="235">
        <v>1.8</v>
      </c>
      <c r="Q19" s="235">
        <f t="shared" si="1"/>
        <v>1.9800000000000002</v>
      </c>
      <c r="T19" s="264">
        <f t="shared" si="2"/>
        <v>0</v>
      </c>
      <c r="U19" s="264">
        <f t="shared" si="3"/>
        <v>0</v>
      </c>
    </row>
    <row r="20" spans="2:23" ht="15" customHeight="1" x14ac:dyDescent="0.25">
      <c r="B20" s="889"/>
      <c r="C20" s="890"/>
      <c r="D20" s="890"/>
      <c r="E20" s="890"/>
      <c r="F20" s="228"/>
      <c r="G20" s="229">
        <v>10</v>
      </c>
      <c r="H20" s="233"/>
      <c r="I20" s="228"/>
      <c r="J20" s="286"/>
      <c r="K20" s="286"/>
      <c r="L20" s="287">
        <f t="shared" si="0"/>
        <v>0</v>
      </c>
      <c r="M20" s="233" t="s">
        <v>445</v>
      </c>
      <c r="N20" s="228" t="s">
        <v>448</v>
      </c>
      <c r="O20" s="234">
        <v>1</v>
      </c>
      <c r="P20" s="235">
        <v>0.56999999999999995</v>
      </c>
      <c r="Q20" s="235">
        <f t="shared" si="1"/>
        <v>0.627</v>
      </c>
      <c r="T20" s="264">
        <f t="shared" si="2"/>
        <v>0</v>
      </c>
      <c r="U20" s="264">
        <f t="shared" si="3"/>
        <v>0</v>
      </c>
    </row>
    <row r="21" spans="2:23" ht="15" customHeight="1" x14ac:dyDescent="0.25">
      <c r="B21" s="889"/>
      <c r="C21" s="890"/>
      <c r="D21" s="890"/>
      <c r="E21" s="890"/>
      <c r="F21" s="228"/>
      <c r="G21" s="229">
        <v>11</v>
      </c>
      <c r="H21" s="233"/>
      <c r="I21" s="228"/>
      <c r="J21" s="286"/>
      <c r="K21" s="286"/>
      <c r="L21" s="287">
        <f t="shared" si="0"/>
        <v>0</v>
      </c>
      <c r="M21" s="233" t="s">
        <v>445</v>
      </c>
      <c r="N21" s="228" t="s">
        <v>448</v>
      </c>
      <c r="O21" s="234">
        <v>1</v>
      </c>
      <c r="P21" s="235">
        <v>1</v>
      </c>
      <c r="Q21" s="235">
        <f t="shared" si="1"/>
        <v>1.1000000000000001</v>
      </c>
      <c r="T21" s="264">
        <f t="shared" si="2"/>
        <v>0</v>
      </c>
      <c r="U21" s="264">
        <f t="shared" si="3"/>
        <v>0</v>
      </c>
    </row>
    <row r="22" spans="2:23" ht="15" customHeight="1" x14ac:dyDescent="0.25">
      <c r="B22" s="889"/>
      <c r="C22" s="890"/>
      <c r="D22" s="890"/>
      <c r="E22" s="890"/>
      <c r="F22" s="228"/>
      <c r="G22" s="229">
        <v>12</v>
      </c>
      <c r="H22" s="233"/>
      <c r="I22" s="228"/>
      <c r="J22" s="286"/>
      <c r="K22" s="286"/>
      <c r="L22" s="287">
        <f t="shared" si="0"/>
        <v>0</v>
      </c>
      <c r="M22" s="233" t="s">
        <v>445</v>
      </c>
      <c r="N22" s="228" t="s">
        <v>448</v>
      </c>
      <c r="O22" s="234">
        <v>1</v>
      </c>
      <c r="P22" s="235">
        <v>1</v>
      </c>
      <c r="Q22" s="235">
        <f t="shared" si="1"/>
        <v>1.1000000000000001</v>
      </c>
      <c r="T22" s="264">
        <f t="shared" si="2"/>
        <v>0</v>
      </c>
      <c r="U22" s="264">
        <f t="shared" si="3"/>
        <v>0</v>
      </c>
    </row>
    <row r="23" spans="2:23" ht="15" customHeight="1" x14ac:dyDescent="0.25">
      <c r="B23" s="889"/>
      <c r="C23" s="890"/>
      <c r="D23" s="890"/>
      <c r="E23" s="890"/>
      <c r="F23" s="228"/>
      <c r="G23" s="229">
        <v>13</v>
      </c>
      <c r="H23" s="233"/>
      <c r="I23" s="228"/>
      <c r="J23" s="286"/>
      <c r="K23" s="286"/>
      <c r="L23" s="287">
        <f t="shared" si="0"/>
        <v>0</v>
      </c>
      <c r="M23" s="233" t="s">
        <v>445</v>
      </c>
      <c r="N23" s="228" t="s">
        <v>448</v>
      </c>
      <c r="O23" s="234">
        <v>1</v>
      </c>
      <c r="P23" s="235">
        <v>1</v>
      </c>
      <c r="Q23" s="235">
        <f t="shared" si="1"/>
        <v>1.1000000000000001</v>
      </c>
      <c r="T23" s="264">
        <f t="shared" si="2"/>
        <v>0</v>
      </c>
      <c r="U23" s="264">
        <f t="shared" si="3"/>
        <v>0</v>
      </c>
    </row>
    <row r="24" spans="2:23" ht="15" customHeight="1" x14ac:dyDescent="0.25">
      <c r="B24" s="889"/>
      <c r="C24" s="890"/>
      <c r="D24" s="890"/>
      <c r="E24" s="890"/>
      <c r="F24" s="228"/>
      <c r="G24" s="229">
        <v>14</v>
      </c>
      <c r="H24" s="233"/>
      <c r="I24" s="228"/>
      <c r="J24" s="286"/>
      <c r="K24" s="286"/>
      <c r="L24" s="287">
        <f t="shared" si="0"/>
        <v>0</v>
      </c>
      <c r="M24" s="233" t="s">
        <v>445</v>
      </c>
      <c r="N24" s="228" t="s">
        <v>448</v>
      </c>
      <c r="O24" s="234">
        <v>1</v>
      </c>
      <c r="P24" s="235">
        <v>0.49</v>
      </c>
      <c r="Q24" s="235">
        <f t="shared" si="1"/>
        <v>0.53900000000000003</v>
      </c>
      <c r="T24" s="264">
        <f t="shared" si="2"/>
        <v>0</v>
      </c>
      <c r="U24" s="264">
        <f t="shared" si="3"/>
        <v>0</v>
      </c>
    </row>
    <row r="25" spans="2:23" ht="15" customHeight="1" x14ac:dyDescent="0.25">
      <c r="B25" s="889"/>
      <c r="C25" s="890"/>
      <c r="D25" s="890"/>
      <c r="E25" s="890"/>
      <c r="F25" s="228"/>
      <c r="G25" s="229">
        <v>15</v>
      </c>
      <c r="H25" s="233"/>
      <c r="I25" s="228"/>
      <c r="J25" s="286"/>
      <c r="K25" s="286"/>
      <c r="L25" s="287">
        <f t="shared" si="0"/>
        <v>0</v>
      </c>
      <c r="M25" s="233" t="s">
        <v>445</v>
      </c>
      <c r="N25" s="228" t="s">
        <v>447</v>
      </c>
      <c r="O25" s="234">
        <v>1</v>
      </c>
      <c r="P25" s="235">
        <v>2.79</v>
      </c>
      <c r="Q25" s="235">
        <f t="shared" si="1"/>
        <v>3.0690000000000004</v>
      </c>
      <c r="T25" s="264">
        <f t="shared" si="2"/>
        <v>0</v>
      </c>
      <c r="U25" s="264">
        <f t="shared" si="3"/>
        <v>0</v>
      </c>
    </row>
    <row r="26" spans="2:23" ht="15" customHeight="1" x14ac:dyDescent="0.25">
      <c r="B26" s="889"/>
      <c r="C26" s="890"/>
      <c r="D26" s="890"/>
      <c r="E26" s="890"/>
      <c r="F26" s="228"/>
      <c r="G26" s="229">
        <v>16</v>
      </c>
      <c r="H26" s="233"/>
      <c r="I26" s="228"/>
      <c r="J26" s="286"/>
      <c r="K26" s="286"/>
      <c r="L26" s="287">
        <f t="shared" si="0"/>
        <v>0</v>
      </c>
      <c r="M26" s="233" t="s">
        <v>445</v>
      </c>
      <c r="N26" s="228" t="s">
        <v>448</v>
      </c>
      <c r="O26" s="234">
        <v>1</v>
      </c>
      <c r="P26" s="235">
        <v>1</v>
      </c>
      <c r="Q26" s="235">
        <f t="shared" si="1"/>
        <v>1.1000000000000001</v>
      </c>
      <c r="T26" s="264">
        <f t="shared" si="2"/>
        <v>0</v>
      </c>
      <c r="U26" s="264">
        <f t="shared" si="3"/>
        <v>0</v>
      </c>
    </row>
    <row r="27" spans="2:23" ht="15" customHeight="1" x14ac:dyDescent="0.25">
      <c r="B27" s="889"/>
      <c r="C27" s="890"/>
      <c r="D27" s="890"/>
      <c r="E27" s="890"/>
      <c r="F27" s="228"/>
      <c r="G27" s="229">
        <v>17</v>
      </c>
      <c r="H27" s="233"/>
      <c r="I27" s="228"/>
      <c r="J27" s="286"/>
      <c r="K27" s="286"/>
      <c r="L27" s="287">
        <f t="shared" si="0"/>
        <v>0</v>
      </c>
      <c r="M27" s="233" t="s">
        <v>445</v>
      </c>
      <c r="N27" s="228" t="s">
        <v>447</v>
      </c>
      <c r="O27" s="234">
        <v>1</v>
      </c>
      <c r="P27" s="235">
        <v>4.5599999999999996</v>
      </c>
      <c r="Q27" s="235">
        <f t="shared" si="1"/>
        <v>5.016</v>
      </c>
      <c r="T27" s="264">
        <f t="shared" si="2"/>
        <v>0</v>
      </c>
      <c r="U27" s="264">
        <f t="shared" si="3"/>
        <v>0</v>
      </c>
    </row>
    <row r="28" spans="2:23" ht="15" customHeight="1" x14ac:dyDescent="0.25">
      <c r="B28" s="889"/>
      <c r="C28" s="890"/>
      <c r="D28" s="890"/>
      <c r="E28" s="890"/>
      <c r="F28" s="228"/>
      <c r="G28" s="229">
        <v>18</v>
      </c>
      <c r="H28" s="233"/>
      <c r="I28" s="228"/>
      <c r="J28" s="286"/>
      <c r="K28" s="286"/>
      <c r="L28" s="287">
        <f t="shared" si="0"/>
        <v>0</v>
      </c>
      <c r="M28" s="233" t="s">
        <v>445</v>
      </c>
      <c r="N28" s="228" t="s">
        <v>448</v>
      </c>
      <c r="O28" s="234">
        <v>1</v>
      </c>
      <c r="P28" s="235">
        <v>1</v>
      </c>
      <c r="Q28" s="235">
        <f t="shared" si="1"/>
        <v>1.1000000000000001</v>
      </c>
      <c r="T28" s="264">
        <f t="shared" si="2"/>
        <v>0</v>
      </c>
      <c r="U28" s="264">
        <f t="shared" si="3"/>
        <v>0</v>
      </c>
    </row>
    <row r="29" spans="2:23" ht="15.75" thickBot="1" x14ac:dyDescent="0.3">
      <c r="B29" s="891"/>
      <c r="C29" s="892"/>
      <c r="D29" s="892"/>
      <c r="E29" s="892"/>
      <c r="F29" s="231"/>
      <c r="G29" s="232"/>
      <c r="H29" s="236"/>
      <c r="I29" s="231"/>
      <c r="J29" s="237"/>
      <c r="K29" s="237"/>
      <c r="L29" s="232"/>
      <c r="M29" s="236"/>
      <c r="N29" s="231"/>
      <c r="O29" s="237"/>
      <c r="P29" s="232"/>
      <c r="Q29" s="232"/>
    </row>
    <row r="30" spans="2:23" s="89" customFormat="1" ht="20.100000000000001" customHeight="1" x14ac:dyDescent="0.25">
      <c r="B30" s="31"/>
      <c r="D30" s="200"/>
      <c r="E30" s="200"/>
      <c r="F30" s="31"/>
      <c r="G30" s="31"/>
      <c r="H30" s="31"/>
      <c r="I30" s="31"/>
      <c r="J30" s="31"/>
      <c r="O30" s="194"/>
      <c r="P30" s="194"/>
      <c r="Q30" s="199"/>
      <c r="R30" s="194"/>
      <c r="S30" s="195"/>
      <c r="V30" s="193"/>
    </row>
    <row r="31" spans="2:23" s="89" customFormat="1" ht="20.100000000000001" customHeight="1" x14ac:dyDescent="0.25">
      <c r="B31" s="746" t="s">
        <v>255</v>
      </c>
      <c r="C31" s="746"/>
      <c r="D31" s="746"/>
      <c r="E31" s="746"/>
      <c r="F31" s="746"/>
      <c r="G31" s="746"/>
      <c r="H31" s="746"/>
      <c r="I31" s="746"/>
      <c r="J31" s="746"/>
      <c r="K31" s="746"/>
      <c r="L31" s="746"/>
      <c r="W31" s="90"/>
    </row>
    <row r="32" spans="2:23" s="89" customFormat="1" ht="20.100000000000001" customHeight="1" x14ac:dyDescent="0.25">
      <c r="B32" s="31" t="s">
        <v>218</v>
      </c>
      <c r="D32" s="200"/>
      <c r="E32" s="200" t="s">
        <v>456</v>
      </c>
      <c r="F32" s="31" t="s">
        <v>455</v>
      </c>
      <c r="G32" s="31"/>
      <c r="H32" s="31"/>
      <c r="I32" s="31"/>
      <c r="J32" s="31"/>
      <c r="O32" s="194" t="s">
        <v>130</v>
      </c>
      <c r="P32" s="194"/>
      <c r="Q32" s="199">
        <f>SUMIFS(L11:L28,H11:H28,"PVC rígido",I11:I28,"1""")</f>
        <v>5</v>
      </c>
      <c r="R32" s="194"/>
      <c r="S32" s="195"/>
      <c r="V32" s="193"/>
    </row>
    <row r="33" spans="2:22" s="89" customFormat="1" ht="20.100000000000001" customHeight="1" x14ac:dyDescent="0.25">
      <c r="B33" s="31" t="s">
        <v>218</v>
      </c>
      <c r="D33" s="200"/>
      <c r="E33" s="200" t="s">
        <v>450</v>
      </c>
      <c r="F33" s="31" t="s">
        <v>449</v>
      </c>
      <c r="G33" s="31"/>
      <c r="H33" s="31"/>
      <c r="I33" s="31"/>
      <c r="J33" s="31"/>
      <c r="O33" s="194" t="s">
        <v>130</v>
      </c>
      <c r="P33" s="194"/>
      <c r="Q33" s="199">
        <f>+SUMIFS($Q$11:$Q$29,$M$11:$M$29,"Cabo de cobre nú",$N$11:$N$29,"16 mm²")</f>
        <v>11.505999999999998</v>
      </c>
      <c r="R33" s="194"/>
      <c r="S33" s="195"/>
      <c r="V33" s="193"/>
    </row>
    <row r="34" spans="2:22" s="89" customFormat="1" ht="20.100000000000001" customHeight="1" x14ac:dyDescent="0.25">
      <c r="B34" s="31" t="s">
        <v>218</v>
      </c>
      <c r="D34" s="200"/>
      <c r="E34" s="200" t="s">
        <v>452</v>
      </c>
      <c r="F34" s="31" t="s">
        <v>451</v>
      </c>
      <c r="G34" s="31"/>
      <c r="H34" s="31"/>
      <c r="I34" s="31"/>
      <c r="J34" s="31"/>
      <c r="O34" s="194" t="s">
        <v>130</v>
      </c>
      <c r="P34" s="194"/>
      <c r="Q34" s="199">
        <f>+SUMIFS($Q$11:$Q$29,$M$11:$M$29,"Cabo de cobre nú",$N$11:$N$29,"35 mm²")</f>
        <v>32.120000000000005</v>
      </c>
      <c r="R34" s="193"/>
      <c r="S34" s="195"/>
      <c r="V34" s="193"/>
    </row>
    <row r="35" spans="2:22" s="89" customFormat="1" ht="20.100000000000001" customHeight="1" x14ac:dyDescent="0.25">
      <c r="B35" s="31" t="s">
        <v>218</v>
      </c>
      <c r="D35" s="200"/>
      <c r="E35" s="200" t="s">
        <v>453</v>
      </c>
      <c r="F35" s="31" t="s">
        <v>454</v>
      </c>
      <c r="G35" s="31"/>
      <c r="H35" s="31"/>
      <c r="I35" s="31"/>
      <c r="J35" s="31"/>
      <c r="O35" s="194" t="s">
        <v>130</v>
      </c>
      <c r="P35" s="194"/>
      <c r="Q35" s="199">
        <f>+SUMIFS($Q$11:$Q$29,$M$11:$M$29,"Cabo de cobre nú",$N$11:$N$29,"50 mm²")</f>
        <v>44.242000000000012</v>
      </c>
      <c r="R35" s="193"/>
      <c r="S35" s="195"/>
      <c r="V35" s="193"/>
    </row>
    <row r="36" spans="2:22" x14ac:dyDescent="0.25">
      <c r="B36" s="69"/>
      <c r="C36" s="69"/>
      <c r="D36" s="69"/>
      <c r="E36" s="69"/>
      <c r="F36" s="181"/>
      <c r="G36" s="181"/>
      <c r="H36" s="69"/>
      <c r="I36" s="181"/>
      <c r="J36" s="182"/>
      <c r="K36" s="182"/>
      <c r="L36" s="182"/>
      <c r="M36" s="69"/>
      <c r="N36" s="181"/>
      <c r="O36" s="182"/>
      <c r="P36" s="182"/>
      <c r="Q36" s="182"/>
    </row>
    <row r="37" spans="2:22" x14ac:dyDescent="0.25">
      <c r="B37" s="69"/>
      <c r="C37" s="69"/>
      <c r="D37" s="69"/>
      <c r="E37" s="69"/>
      <c r="F37" s="181"/>
      <c r="G37" s="181"/>
      <c r="H37" s="69"/>
      <c r="I37" s="181"/>
      <c r="J37" s="182"/>
      <c r="K37" s="182"/>
      <c r="L37" s="182"/>
      <c r="M37" s="69"/>
      <c r="N37" s="181"/>
      <c r="O37" s="182"/>
      <c r="P37" s="182"/>
      <c r="Q37" s="182"/>
    </row>
  </sheetData>
  <mergeCells count="27">
    <mergeCell ref="B1:Q2"/>
    <mergeCell ref="B9:E10"/>
    <mergeCell ref="F9:F10"/>
    <mergeCell ref="G9:G10"/>
    <mergeCell ref="H9:L9"/>
    <mergeCell ref="M9:N9"/>
    <mergeCell ref="E4:M4"/>
    <mergeCell ref="B22:E22"/>
    <mergeCell ref="B11:E11"/>
    <mergeCell ref="B12:E12"/>
    <mergeCell ref="B13:E13"/>
    <mergeCell ref="B14:E14"/>
    <mergeCell ref="B15:E15"/>
    <mergeCell ref="B16:E16"/>
    <mergeCell ref="B17:E17"/>
    <mergeCell ref="B18:E18"/>
    <mergeCell ref="B19:E19"/>
    <mergeCell ref="B20:E20"/>
    <mergeCell ref="B21:E21"/>
    <mergeCell ref="B29:E29"/>
    <mergeCell ref="B31:L31"/>
    <mergeCell ref="B23:E23"/>
    <mergeCell ref="B24:E24"/>
    <mergeCell ref="B25:E25"/>
    <mergeCell ref="B26:E26"/>
    <mergeCell ref="B27:E27"/>
    <mergeCell ref="B28:E28"/>
  </mergeCells>
  <conditionalFormatting sqref="B11:B29">
    <cfRule type="expression" dxfId="17" priority="2">
      <formula>MOD(ROW(),2)=0</formula>
    </cfRule>
  </conditionalFormatting>
  <conditionalFormatting sqref="F11:Q15 F16:F22 G17:G22 F23:G28">
    <cfRule type="expression" dxfId="16" priority="3">
      <formula>MOD(ROW(),2)=0</formula>
    </cfRule>
  </conditionalFormatting>
  <conditionalFormatting sqref="F29:Q29">
    <cfRule type="expression" dxfId="15" priority="5">
      <formula>MOD(ROW(),2)=0</formula>
    </cfRule>
  </conditionalFormatting>
  <conditionalFormatting sqref="G16:Q16">
    <cfRule type="expression" dxfId="14" priority="4">
      <formula>MOD(ROW(),2)=0</formula>
    </cfRule>
  </conditionalFormatting>
  <conditionalFormatting sqref="H17:Q28">
    <cfRule type="expression" dxfId="13" priority="1">
      <formula>MOD(ROW(),2)=0</formula>
    </cfRule>
  </conditionalFormatting>
  <printOptions horizontalCentered="1"/>
  <pageMargins left="0.51181102362204722" right="0.51181102362204722" top="0.78740157480314965" bottom="0.78740157480314965" header="0.31496062992125984" footer="0.31496062992125984"/>
  <pageSetup paperSize="9" scale="70" orientation="landscape" horizontalDpi="1200" verticalDpi="1200" r:id="rId1"/>
  <headerFooter>
    <oddHeader>&amp;L&amp;G</oddHeader>
    <oddFooter>&amp;L&amp;"Arial Narrow,Normal"&amp;10&amp;A
&amp;F&amp;R&amp;"Arial Narrow,Normal"&amp;10Página &amp;P de &amp;N</oddFooter>
  </headerFooter>
  <legacyDrawing r:id="rId2"/>
  <legacyDrawingHF r:id="rId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32CDD-AFE0-49C0-AD96-A0E8417AB023}">
  <dimension ref="A1:Z137"/>
  <sheetViews>
    <sheetView showGridLines="0" view="pageBreakPreview" zoomScale="85" zoomScaleNormal="70" zoomScaleSheetLayoutView="85" workbookViewId="0">
      <selection activeCell="Q14" sqref="Q14:Q15"/>
    </sheetView>
  </sheetViews>
  <sheetFormatPr defaultRowHeight="15" x14ac:dyDescent="0.25"/>
  <cols>
    <col min="1" max="1" width="1.7109375" customWidth="1"/>
    <col min="2" max="2" width="9.5703125" customWidth="1"/>
    <col min="3" max="3" width="13" customWidth="1"/>
    <col min="4" max="4" width="63" customWidth="1"/>
    <col min="5" max="5" width="5.28515625" customWidth="1"/>
    <col min="6" max="13" width="11.7109375" customWidth="1"/>
    <col min="14" max="14" width="11" customWidth="1"/>
    <col min="15" max="15" width="1.7109375" customWidth="1"/>
  </cols>
  <sheetData>
    <row r="1" spans="1:26" s="11" customFormat="1" ht="20.100000000000001" customHeight="1" x14ac:dyDescent="0.25">
      <c r="A1" s="69"/>
      <c r="B1" s="569" t="s">
        <v>133</v>
      </c>
      <c r="C1" s="569"/>
      <c r="D1" s="569"/>
      <c r="E1" s="569"/>
      <c r="F1" s="569"/>
      <c r="G1" s="569"/>
      <c r="H1" s="569"/>
      <c r="I1" s="569"/>
      <c r="J1" s="569"/>
      <c r="K1" s="569"/>
      <c r="L1" s="569"/>
      <c r="M1" s="569"/>
      <c r="N1" s="569"/>
      <c r="O1" s="226"/>
      <c r="P1" s="226"/>
      <c r="Q1" s="226"/>
      <c r="R1" s="226"/>
      <c r="S1" s="226"/>
      <c r="T1" s="226"/>
      <c r="U1" s="226"/>
      <c r="V1" s="69"/>
      <c r="W1" s="69"/>
      <c r="X1" s="69"/>
      <c r="Y1" s="69"/>
      <c r="Z1" s="69"/>
    </row>
    <row r="2" spans="1:26" s="11" customFormat="1" ht="20.100000000000001" customHeight="1" x14ac:dyDescent="0.25">
      <c r="A2" s="69"/>
      <c r="B2" s="569"/>
      <c r="C2" s="569"/>
      <c r="D2" s="569"/>
      <c r="E2" s="569"/>
      <c r="F2" s="569"/>
      <c r="G2" s="569"/>
      <c r="H2" s="569"/>
      <c r="I2" s="569"/>
      <c r="J2" s="569"/>
      <c r="K2" s="569"/>
      <c r="L2" s="569"/>
      <c r="M2" s="569"/>
      <c r="N2" s="569"/>
      <c r="O2" s="226"/>
      <c r="P2" s="226"/>
      <c r="Q2" s="226"/>
      <c r="R2" s="226"/>
      <c r="S2" s="226"/>
      <c r="T2" s="226"/>
      <c r="U2" s="226"/>
      <c r="V2" s="69"/>
      <c r="W2" s="69"/>
      <c r="X2" s="69"/>
      <c r="Y2" s="69"/>
      <c r="Z2" s="69"/>
    </row>
    <row r="3" spans="1:26" s="11" customFormat="1" ht="20.100000000000001" customHeight="1" x14ac:dyDescent="0.25">
      <c r="A3" s="69"/>
      <c r="B3" s="69"/>
      <c r="C3" s="69"/>
      <c r="D3" s="69"/>
      <c r="E3" s="69"/>
      <c r="F3" s="69"/>
      <c r="G3" s="69"/>
      <c r="H3" s="69"/>
      <c r="I3" s="69"/>
      <c r="J3" s="69"/>
      <c r="K3" s="69"/>
      <c r="L3" s="69"/>
      <c r="O3" s="69"/>
      <c r="P3" s="69"/>
      <c r="Q3" s="69"/>
      <c r="R3" s="69"/>
      <c r="S3" s="69"/>
      <c r="T3" s="69"/>
      <c r="U3" s="181"/>
      <c r="V3" s="69"/>
      <c r="W3" s="69"/>
      <c r="X3" s="69"/>
      <c r="Y3" s="69"/>
      <c r="Z3" s="69"/>
    </row>
    <row r="4" spans="1:26"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3" t="s">
        <v>96</v>
      </c>
      <c r="M4" s="4" t="str">
        <f>+'DADOS DA OBRA'!$N$22</f>
        <v>04/11/2024</v>
      </c>
      <c r="O4" s="2"/>
      <c r="P4" s="2"/>
      <c r="Q4" s="2"/>
      <c r="U4" s="50"/>
      <c r="W4" s="32"/>
      <c r="X4" s="32"/>
      <c r="Y4" s="33"/>
      <c r="Z4" s="33"/>
    </row>
    <row r="5" spans="1:26" s="5" customFormat="1" ht="20.100000000000001" customHeight="1" x14ac:dyDescent="0.25">
      <c r="B5" s="1" t="s">
        <v>18</v>
      </c>
      <c r="C5" s="2" t="str">
        <f>+""&amp;'DADOS DA OBRA'!$B$16&amp;", "&amp;'DADOS DA OBRA'!$B$19&amp;", "&amp;'DADOS DA OBRA'!$J$19&amp;", "&amp;'DADOS DA OBRA'!$P$19</f>
        <v>RUAS DIVERSAS, DIVERSOS, MATRINCHÃ, GO</v>
      </c>
      <c r="E5" s="1"/>
      <c r="G5" s="1"/>
      <c r="H5" s="1"/>
      <c r="L5" s="3" t="s">
        <v>17</v>
      </c>
      <c r="M5" s="4" t="str">
        <f>'DADOS DA OBRA'!$N$25</f>
        <v>00</v>
      </c>
      <c r="U5" s="50"/>
    </row>
    <row r="6" spans="1:26" s="5" customFormat="1" ht="20.100000000000001" customHeight="1" x14ac:dyDescent="0.25">
      <c r="U6" s="50"/>
    </row>
    <row r="7" spans="1:26" s="5" customFormat="1" ht="20.100000000000001" customHeight="1" x14ac:dyDescent="0.25">
      <c r="B7" s="1" t="s">
        <v>97</v>
      </c>
      <c r="C7" s="39" t="s">
        <v>457</v>
      </c>
      <c r="E7" s="1"/>
      <c r="G7" s="1"/>
      <c r="H7" s="1"/>
      <c r="L7" s="3" t="s">
        <v>18</v>
      </c>
      <c r="M7" s="64" t="s">
        <v>239</v>
      </c>
      <c r="U7" s="50"/>
    </row>
    <row r="8" spans="1:26" s="8" customFormat="1" ht="20.100000000000001" customHeight="1" thickBot="1" x14ac:dyDescent="0.3">
      <c r="A8" s="67"/>
      <c r="B8" s="52"/>
      <c r="C8" s="52"/>
      <c r="D8" s="52"/>
      <c r="E8" s="52"/>
      <c r="F8" s="52"/>
      <c r="G8" s="52"/>
      <c r="H8" s="52"/>
      <c r="I8" s="53"/>
      <c r="J8" s="9"/>
      <c r="K8" s="9"/>
      <c r="L8" s="10"/>
      <c r="M8" s="10"/>
      <c r="N8" s="9"/>
      <c r="O8" s="67"/>
      <c r="P8" s="67"/>
      <c r="Q8" s="67"/>
      <c r="R8" s="67"/>
      <c r="S8" s="67"/>
      <c r="T8" s="67"/>
      <c r="U8" s="164"/>
      <c r="V8" s="67"/>
      <c r="W8" s="67"/>
      <c r="X8" s="67"/>
      <c r="Y8" s="67"/>
      <c r="Z8" s="67"/>
    </row>
    <row r="9" spans="1:26" s="223" customFormat="1" ht="20.100000000000001" customHeight="1" x14ac:dyDescent="0.25">
      <c r="B9" s="902" t="s">
        <v>102</v>
      </c>
      <c r="C9" s="903"/>
      <c r="D9" s="903"/>
      <c r="E9" s="903" t="s">
        <v>103</v>
      </c>
      <c r="F9" s="903" t="s">
        <v>211</v>
      </c>
      <c r="G9" s="903"/>
      <c r="H9" s="903"/>
      <c r="I9" s="903"/>
      <c r="J9" s="903"/>
      <c r="K9" s="903"/>
      <c r="L9" s="903"/>
      <c r="M9" s="903"/>
      <c r="N9" s="908" t="s">
        <v>104</v>
      </c>
    </row>
    <row r="10" spans="1:26" s="223" customFormat="1" ht="20.100000000000001" customHeight="1" x14ac:dyDescent="0.25">
      <c r="B10" s="904"/>
      <c r="C10" s="905"/>
      <c r="D10" s="905"/>
      <c r="E10" s="905"/>
      <c r="F10" s="911" t="s">
        <v>202</v>
      </c>
      <c r="G10" s="911"/>
      <c r="H10" s="911"/>
      <c r="I10" s="911"/>
      <c r="J10" s="911"/>
      <c r="K10" s="911"/>
      <c r="L10" s="911"/>
      <c r="M10" s="905"/>
      <c r="N10" s="909"/>
    </row>
    <row r="11" spans="1:26" s="223" customFormat="1" ht="20.100000000000001" customHeight="1" thickBot="1" x14ac:dyDescent="0.3">
      <c r="B11" s="906"/>
      <c r="C11" s="907"/>
      <c r="D11" s="907"/>
      <c r="E11" s="907"/>
      <c r="F11" s="912"/>
      <c r="G11" s="912"/>
      <c r="H11" s="912"/>
      <c r="I11" s="912"/>
      <c r="J11" s="912"/>
      <c r="K11" s="912"/>
      <c r="L11" s="913"/>
      <c r="M11" s="907"/>
      <c r="N11" s="910"/>
    </row>
    <row r="12" spans="1:26" s="222" customFormat="1" x14ac:dyDescent="0.25">
      <c r="B12" s="260" t="s">
        <v>218</v>
      </c>
      <c r="C12" s="261" t="s">
        <v>459</v>
      </c>
      <c r="D12" s="266" t="s">
        <v>458</v>
      </c>
      <c r="E12" s="249" t="s">
        <v>38</v>
      </c>
      <c r="F12" s="250">
        <v>1</v>
      </c>
      <c r="G12" s="250"/>
      <c r="H12" s="250"/>
      <c r="I12" s="250"/>
      <c r="J12" s="250"/>
      <c r="K12" s="250"/>
      <c r="L12" s="250"/>
      <c r="M12" s="251"/>
      <c r="N12" s="257">
        <f t="shared" ref="N12:N22" si="0">+SUM(F12:M12)</f>
        <v>1</v>
      </c>
    </row>
    <row r="13" spans="1:26" s="222" customFormat="1" x14ac:dyDescent="0.25">
      <c r="B13" s="262" t="s">
        <v>218</v>
      </c>
      <c r="C13" s="263" t="s">
        <v>350</v>
      </c>
      <c r="D13" s="267" t="s">
        <v>349</v>
      </c>
      <c r="E13" s="228" t="s">
        <v>38</v>
      </c>
      <c r="F13" s="252">
        <v>1</v>
      </c>
      <c r="G13" s="252"/>
      <c r="H13" s="252"/>
      <c r="I13" s="252"/>
      <c r="J13" s="252"/>
      <c r="K13" s="252"/>
      <c r="L13" s="252"/>
      <c r="M13" s="253"/>
      <c r="N13" s="258">
        <f t="shared" si="0"/>
        <v>1</v>
      </c>
    </row>
    <row r="14" spans="1:26" s="222" customFormat="1" x14ac:dyDescent="0.25">
      <c r="B14" s="262" t="s">
        <v>218</v>
      </c>
      <c r="C14" s="263" t="s">
        <v>461</v>
      </c>
      <c r="D14" s="267" t="s">
        <v>460</v>
      </c>
      <c r="E14" s="228" t="s">
        <v>130</v>
      </c>
      <c r="F14" s="252">
        <v>3</v>
      </c>
      <c r="G14" s="252"/>
      <c r="H14" s="252"/>
      <c r="I14" s="252"/>
      <c r="J14" s="252"/>
      <c r="K14" s="252"/>
      <c r="L14" s="252"/>
      <c r="M14" s="253"/>
      <c r="N14" s="258">
        <f t="shared" si="0"/>
        <v>3</v>
      </c>
    </row>
    <row r="15" spans="1:26" s="222" customFormat="1" x14ac:dyDescent="0.25">
      <c r="B15" s="262" t="s">
        <v>218</v>
      </c>
      <c r="C15" s="263" t="s">
        <v>463</v>
      </c>
      <c r="D15" s="267" t="s">
        <v>462</v>
      </c>
      <c r="E15" s="228" t="s">
        <v>38</v>
      </c>
      <c r="F15" s="252">
        <v>5</v>
      </c>
      <c r="G15" s="252"/>
      <c r="H15" s="252"/>
      <c r="I15" s="252"/>
      <c r="J15" s="252"/>
      <c r="K15" s="252"/>
      <c r="L15" s="252"/>
      <c r="M15" s="254"/>
      <c r="N15" s="258">
        <f t="shared" si="0"/>
        <v>5</v>
      </c>
    </row>
    <row r="16" spans="1:26" s="222" customFormat="1" ht="25.5" x14ac:dyDescent="0.25">
      <c r="B16" s="262" t="s">
        <v>218</v>
      </c>
      <c r="C16" s="263" t="s">
        <v>465</v>
      </c>
      <c r="D16" s="267" t="s">
        <v>464</v>
      </c>
      <c r="E16" s="228" t="s">
        <v>38</v>
      </c>
      <c r="F16" s="252">
        <v>10</v>
      </c>
      <c r="G16" s="252"/>
      <c r="H16" s="252"/>
      <c r="I16" s="252"/>
      <c r="J16" s="252"/>
      <c r="K16" s="252"/>
      <c r="L16" s="252"/>
      <c r="M16" s="254"/>
      <c r="N16" s="258">
        <f t="shared" si="0"/>
        <v>10</v>
      </c>
    </row>
    <row r="17" spans="2:14" s="222" customFormat="1" x14ac:dyDescent="0.25">
      <c r="B17" s="262" t="s">
        <v>218</v>
      </c>
      <c r="C17" s="263" t="s">
        <v>467</v>
      </c>
      <c r="D17" s="267" t="s">
        <v>466</v>
      </c>
      <c r="E17" s="228" t="s">
        <v>38</v>
      </c>
      <c r="F17" s="252">
        <v>2</v>
      </c>
      <c r="G17" s="252"/>
      <c r="H17" s="252"/>
      <c r="I17" s="252"/>
      <c r="J17" s="252"/>
      <c r="K17" s="252"/>
      <c r="L17" s="252"/>
      <c r="M17" s="254"/>
      <c r="N17" s="258">
        <f t="shared" si="0"/>
        <v>2</v>
      </c>
    </row>
    <row r="18" spans="2:14" s="222" customFormat="1" x14ac:dyDescent="0.25">
      <c r="B18" s="262" t="s">
        <v>218</v>
      </c>
      <c r="C18" s="263" t="s">
        <v>469</v>
      </c>
      <c r="D18" s="265" t="s">
        <v>468</v>
      </c>
      <c r="E18" s="228" t="s">
        <v>38</v>
      </c>
      <c r="F18" s="252">
        <v>15</v>
      </c>
      <c r="G18" s="252"/>
      <c r="H18" s="252"/>
      <c r="I18" s="252"/>
      <c r="J18" s="252"/>
      <c r="K18" s="252"/>
      <c r="L18" s="252"/>
      <c r="M18" s="253"/>
      <c r="N18" s="258">
        <f t="shared" si="0"/>
        <v>15</v>
      </c>
    </row>
    <row r="19" spans="2:14" s="222" customFormat="1" ht="25.5" x14ac:dyDescent="0.25">
      <c r="B19" s="262" t="s">
        <v>247</v>
      </c>
      <c r="C19" s="263" t="s">
        <v>471</v>
      </c>
      <c r="D19" s="265" t="s">
        <v>470</v>
      </c>
      <c r="E19" s="228" t="s">
        <v>38</v>
      </c>
      <c r="F19" s="252">
        <v>3</v>
      </c>
      <c r="G19" s="252"/>
      <c r="H19" s="252"/>
      <c r="I19" s="252"/>
      <c r="J19" s="252"/>
      <c r="K19" s="252"/>
      <c r="L19" s="252"/>
      <c r="M19" s="253"/>
      <c r="N19" s="258">
        <f t="shared" si="0"/>
        <v>3</v>
      </c>
    </row>
    <row r="20" spans="2:14" s="222" customFormat="1" x14ac:dyDescent="0.25">
      <c r="B20" s="262" t="s">
        <v>218</v>
      </c>
      <c r="C20" s="263" t="s">
        <v>473</v>
      </c>
      <c r="D20" s="267" t="s">
        <v>472</v>
      </c>
      <c r="E20" s="228" t="s">
        <v>38</v>
      </c>
      <c r="F20" s="252">
        <v>5</v>
      </c>
      <c r="G20" s="252"/>
      <c r="H20" s="252"/>
      <c r="I20" s="252"/>
      <c r="J20" s="252"/>
      <c r="K20" s="252"/>
      <c r="L20" s="252"/>
      <c r="M20" s="253"/>
      <c r="N20" s="258">
        <f t="shared" si="0"/>
        <v>5</v>
      </c>
    </row>
    <row r="21" spans="2:14" s="222" customFormat="1" x14ac:dyDescent="0.25">
      <c r="B21" s="262" t="s">
        <v>218</v>
      </c>
      <c r="C21" s="263" t="s">
        <v>475</v>
      </c>
      <c r="D21" s="267" t="s">
        <v>474</v>
      </c>
      <c r="E21" s="228" t="s">
        <v>38</v>
      </c>
      <c r="F21" s="252">
        <v>6</v>
      </c>
      <c r="G21" s="252"/>
      <c r="H21" s="252"/>
      <c r="I21" s="252"/>
      <c r="J21" s="252"/>
      <c r="K21" s="252"/>
      <c r="L21" s="252"/>
      <c r="M21" s="253"/>
      <c r="N21" s="258">
        <f t="shared" si="0"/>
        <v>6</v>
      </c>
    </row>
    <row r="22" spans="2:14" s="222" customFormat="1" x14ac:dyDescent="0.25">
      <c r="B22" s="262" t="s">
        <v>218</v>
      </c>
      <c r="C22" s="263" t="s">
        <v>477</v>
      </c>
      <c r="D22" s="267" t="s">
        <v>476</v>
      </c>
      <c r="E22" s="228" t="s">
        <v>38</v>
      </c>
      <c r="F22" s="252">
        <v>1</v>
      </c>
      <c r="G22" s="252"/>
      <c r="H22" s="252"/>
      <c r="I22" s="252"/>
      <c r="J22" s="252"/>
      <c r="K22" s="252"/>
      <c r="L22" s="252"/>
      <c r="M22" s="253"/>
      <c r="N22" s="258">
        <f t="shared" si="0"/>
        <v>1</v>
      </c>
    </row>
    <row r="23" spans="2:14" s="222" customFormat="1" x14ac:dyDescent="0.25">
      <c r="B23" s="262" t="s">
        <v>218</v>
      </c>
      <c r="C23" s="263" t="s">
        <v>479</v>
      </c>
      <c r="D23" s="267" t="s">
        <v>478</v>
      </c>
      <c r="E23" s="228" t="s">
        <v>38</v>
      </c>
      <c r="F23" s="252">
        <v>14</v>
      </c>
      <c r="G23" s="252"/>
      <c r="H23" s="252"/>
      <c r="I23" s="252"/>
      <c r="J23" s="252"/>
      <c r="K23" s="252"/>
      <c r="L23" s="252"/>
      <c r="M23" s="253"/>
      <c r="N23" s="258">
        <f t="shared" ref="N23" si="1">+SUM(F23:M23)</f>
        <v>14</v>
      </c>
    </row>
    <row r="24" spans="2:14" s="222" customFormat="1" ht="15.75" thickBot="1" x14ac:dyDescent="0.3">
      <c r="B24" s="230"/>
      <c r="C24" s="231"/>
      <c r="D24" s="292"/>
      <c r="E24" s="231"/>
      <c r="F24" s="255"/>
      <c r="G24" s="255"/>
      <c r="H24" s="255"/>
      <c r="I24" s="255"/>
      <c r="J24" s="255"/>
      <c r="K24" s="255"/>
      <c r="L24" s="255"/>
      <c r="M24" s="256"/>
      <c r="N24" s="259"/>
    </row>
    <row r="25" spans="2:14" x14ac:dyDescent="0.25">
      <c r="D25" s="227"/>
      <c r="E25" s="227"/>
      <c r="F25" s="227"/>
      <c r="G25" s="227"/>
      <c r="H25" s="227"/>
      <c r="I25" s="227"/>
      <c r="J25" s="227"/>
      <c r="K25" s="227"/>
      <c r="L25" s="227"/>
      <c r="M25" s="227"/>
    </row>
    <row r="26" spans="2:14" x14ac:dyDescent="0.25">
      <c r="D26" s="227"/>
      <c r="E26" s="227"/>
      <c r="F26" s="227"/>
      <c r="G26" s="227"/>
      <c r="H26" s="227"/>
      <c r="I26" s="227"/>
      <c r="J26" s="227"/>
      <c r="K26" s="227"/>
      <c r="L26" s="227"/>
      <c r="M26" s="227"/>
    </row>
    <row r="27" spans="2:14" x14ac:dyDescent="0.25">
      <c r="D27" s="227"/>
      <c r="E27" s="227"/>
      <c r="F27" s="227"/>
      <c r="G27" s="227"/>
      <c r="H27" s="227"/>
      <c r="I27" s="227"/>
      <c r="J27" s="227"/>
      <c r="K27" s="227"/>
      <c r="L27" s="227"/>
      <c r="M27" s="227"/>
    </row>
    <row r="28" spans="2:14" x14ac:dyDescent="0.25">
      <c r="D28" s="227"/>
      <c r="E28" s="227"/>
      <c r="F28" s="227"/>
      <c r="G28" s="227"/>
      <c r="H28" s="227"/>
      <c r="I28" s="227"/>
      <c r="J28" s="227"/>
      <c r="K28" s="227"/>
      <c r="L28" s="227"/>
      <c r="M28" s="227"/>
    </row>
    <row r="29" spans="2:14" x14ac:dyDescent="0.25">
      <c r="D29" s="227"/>
      <c r="E29" s="227"/>
      <c r="F29" s="227"/>
      <c r="G29" s="227"/>
      <c r="H29" s="227"/>
      <c r="I29" s="227"/>
      <c r="J29" s="227"/>
      <c r="K29" s="227"/>
      <c r="L29" s="227"/>
      <c r="M29" s="227"/>
    </row>
    <row r="30" spans="2:14" x14ac:dyDescent="0.25">
      <c r="D30" s="227"/>
      <c r="E30" s="227"/>
      <c r="F30" s="227"/>
      <c r="G30" s="227"/>
      <c r="H30" s="227"/>
      <c r="I30" s="227"/>
      <c r="J30" s="227"/>
      <c r="K30" s="227"/>
      <c r="L30" s="227"/>
      <c r="M30" s="227"/>
    </row>
    <row r="31" spans="2:14" x14ac:dyDescent="0.25">
      <c r="D31" s="227"/>
      <c r="E31" s="227"/>
      <c r="F31" s="227"/>
      <c r="G31" s="227"/>
      <c r="H31" s="227"/>
      <c r="I31" s="227"/>
      <c r="J31" s="227"/>
      <c r="K31" s="227"/>
      <c r="L31" s="227"/>
      <c r="M31" s="227"/>
    </row>
    <row r="32" spans="2:14" x14ac:dyDescent="0.25">
      <c r="D32" s="227"/>
      <c r="E32" s="227"/>
      <c r="F32" s="227"/>
      <c r="G32" s="227"/>
      <c r="H32" s="227"/>
      <c r="I32" s="227"/>
      <c r="J32" s="227"/>
      <c r="K32" s="227"/>
      <c r="L32" s="227"/>
      <c r="M32" s="227"/>
    </row>
    <row r="33" spans="4:13" x14ac:dyDescent="0.25">
      <c r="D33" s="227"/>
      <c r="E33" s="227"/>
      <c r="F33" s="227"/>
      <c r="G33" s="227"/>
      <c r="H33" s="227"/>
      <c r="I33" s="227"/>
      <c r="J33" s="227"/>
      <c r="K33" s="227"/>
      <c r="L33" s="227"/>
      <c r="M33" s="227"/>
    </row>
    <row r="34" spans="4:13" x14ac:dyDescent="0.25">
      <c r="D34" s="227"/>
      <c r="E34" s="227"/>
      <c r="F34" s="227"/>
      <c r="G34" s="227"/>
      <c r="H34" s="227"/>
      <c r="I34" s="227"/>
      <c r="J34" s="227"/>
      <c r="K34" s="227"/>
      <c r="L34" s="227"/>
      <c r="M34" s="227"/>
    </row>
    <row r="35" spans="4:13" x14ac:dyDescent="0.25">
      <c r="D35" s="227"/>
      <c r="E35" s="227"/>
      <c r="F35" s="227"/>
      <c r="G35" s="227"/>
      <c r="H35" s="227"/>
      <c r="I35" s="227"/>
      <c r="J35" s="227"/>
      <c r="K35" s="227"/>
      <c r="L35" s="227"/>
      <c r="M35" s="227"/>
    </row>
    <row r="36" spans="4:13" x14ac:dyDescent="0.25">
      <c r="D36" s="227"/>
      <c r="E36" s="227"/>
      <c r="F36" s="227"/>
      <c r="G36" s="227"/>
      <c r="H36" s="227"/>
      <c r="I36" s="227"/>
      <c r="J36" s="227"/>
      <c r="K36" s="227"/>
      <c r="L36" s="227"/>
      <c r="M36" s="227"/>
    </row>
    <row r="37" spans="4:13" x14ac:dyDescent="0.25">
      <c r="D37" s="227"/>
      <c r="E37" s="227"/>
      <c r="F37" s="227"/>
      <c r="G37" s="227"/>
      <c r="H37" s="227"/>
      <c r="I37" s="227"/>
      <c r="J37" s="227"/>
      <c r="K37" s="227"/>
      <c r="L37" s="227"/>
      <c r="M37" s="227"/>
    </row>
    <row r="38" spans="4:13" x14ac:dyDescent="0.25">
      <c r="D38" s="227"/>
      <c r="E38" s="227"/>
      <c r="F38" s="227"/>
      <c r="G38" s="227"/>
      <c r="H38" s="227"/>
      <c r="I38" s="227"/>
      <c r="J38" s="227"/>
      <c r="K38" s="227"/>
      <c r="L38" s="227"/>
      <c r="M38" s="227"/>
    </row>
    <row r="39" spans="4:13" x14ac:dyDescent="0.25">
      <c r="D39" s="227"/>
      <c r="E39" s="227"/>
      <c r="F39" s="227"/>
      <c r="G39" s="227"/>
      <c r="H39" s="227"/>
      <c r="I39" s="227"/>
      <c r="J39" s="227"/>
      <c r="K39" s="227"/>
      <c r="L39" s="227"/>
      <c r="M39" s="227"/>
    </row>
    <row r="40" spans="4:13" x14ac:dyDescent="0.25">
      <c r="D40" s="227"/>
      <c r="E40" s="227"/>
      <c r="F40" s="227"/>
      <c r="G40" s="227"/>
      <c r="H40" s="227"/>
      <c r="I40" s="227"/>
      <c r="J40" s="227"/>
      <c r="K40" s="227"/>
      <c r="L40" s="227"/>
      <c r="M40" s="227"/>
    </row>
    <row r="41" spans="4:13" x14ac:dyDescent="0.25">
      <c r="D41" s="227"/>
      <c r="E41" s="227"/>
      <c r="F41" s="227"/>
      <c r="G41" s="227"/>
      <c r="H41" s="227"/>
      <c r="I41" s="227"/>
      <c r="J41" s="227"/>
      <c r="K41" s="227"/>
      <c r="L41" s="227"/>
      <c r="M41" s="227"/>
    </row>
    <row r="42" spans="4:13" x14ac:dyDescent="0.25">
      <c r="D42" s="227"/>
      <c r="E42" s="227"/>
      <c r="F42" s="227"/>
      <c r="G42" s="227"/>
      <c r="H42" s="227"/>
      <c r="I42" s="227"/>
      <c r="J42" s="227"/>
      <c r="K42" s="227"/>
      <c r="L42" s="227"/>
      <c r="M42" s="227"/>
    </row>
    <row r="43" spans="4:13" x14ac:dyDescent="0.25">
      <c r="D43" s="227"/>
      <c r="E43" s="227"/>
      <c r="F43" s="227"/>
      <c r="G43" s="227"/>
      <c r="H43" s="227"/>
      <c r="I43" s="227"/>
      <c r="J43" s="227"/>
      <c r="K43" s="227"/>
      <c r="L43" s="227"/>
      <c r="M43" s="227"/>
    </row>
    <row r="44" spans="4:13" x14ac:dyDescent="0.25">
      <c r="D44" s="227"/>
      <c r="E44" s="227"/>
      <c r="F44" s="227"/>
      <c r="G44" s="227"/>
      <c r="H44" s="227"/>
      <c r="I44" s="227"/>
      <c r="J44" s="227"/>
      <c r="K44" s="227"/>
      <c r="L44" s="227"/>
      <c r="M44" s="227"/>
    </row>
    <row r="45" spans="4:13" x14ac:dyDescent="0.25">
      <c r="D45" s="227"/>
      <c r="E45" s="227"/>
      <c r="F45" s="227"/>
      <c r="G45" s="227"/>
      <c r="H45" s="227"/>
      <c r="I45" s="227"/>
      <c r="J45" s="227"/>
      <c r="K45" s="227"/>
      <c r="L45" s="227"/>
      <c r="M45" s="227"/>
    </row>
    <row r="46" spans="4:13" x14ac:dyDescent="0.25">
      <c r="D46" s="227"/>
      <c r="E46" s="227"/>
      <c r="F46" s="227"/>
      <c r="G46" s="227"/>
      <c r="H46" s="227"/>
      <c r="I46" s="227"/>
      <c r="J46" s="227"/>
      <c r="K46" s="227"/>
      <c r="L46" s="227"/>
      <c r="M46" s="227"/>
    </row>
    <row r="47" spans="4:13" x14ac:dyDescent="0.25">
      <c r="D47" s="227"/>
      <c r="E47" s="227"/>
      <c r="F47" s="227"/>
      <c r="G47" s="227"/>
      <c r="H47" s="227"/>
      <c r="I47" s="227"/>
      <c r="J47" s="227"/>
      <c r="K47" s="227"/>
      <c r="L47" s="227"/>
      <c r="M47" s="227"/>
    </row>
    <row r="48" spans="4:13" x14ac:dyDescent="0.25">
      <c r="D48" s="227"/>
      <c r="E48" s="227"/>
      <c r="F48" s="227"/>
      <c r="G48" s="227"/>
      <c r="H48" s="227"/>
      <c r="I48" s="227"/>
      <c r="J48" s="227"/>
      <c r="K48" s="227"/>
      <c r="L48" s="227"/>
      <c r="M48" s="227"/>
    </row>
    <row r="49" spans="4:13" x14ac:dyDescent="0.25">
      <c r="D49" s="227"/>
      <c r="E49" s="227"/>
      <c r="F49" s="227"/>
      <c r="G49" s="227"/>
      <c r="H49" s="227"/>
      <c r="I49" s="227"/>
      <c r="J49" s="227"/>
      <c r="K49" s="227"/>
      <c r="L49" s="227"/>
      <c r="M49" s="227"/>
    </row>
    <row r="50" spans="4:13" x14ac:dyDescent="0.25">
      <c r="D50" s="227"/>
      <c r="E50" s="227"/>
      <c r="F50" s="227"/>
      <c r="G50" s="227"/>
      <c r="H50" s="227"/>
      <c r="I50" s="227"/>
      <c r="J50" s="227"/>
      <c r="K50" s="227"/>
      <c r="L50" s="227"/>
      <c r="M50" s="227"/>
    </row>
    <row r="51" spans="4:13" x14ac:dyDescent="0.25">
      <c r="D51" s="227"/>
      <c r="E51" s="227"/>
      <c r="F51" s="227"/>
      <c r="G51" s="227"/>
      <c r="H51" s="227"/>
      <c r="I51" s="227"/>
      <c r="J51" s="227"/>
      <c r="K51" s="227"/>
      <c r="L51" s="227"/>
      <c r="M51" s="227"/>
    </row>
    <row r="52" spans="4:13" x14ac:dyDescent="0.25">
      <c r="D52" s="227"/>
      <c r="E52" s="227"/>
      <c r="F52" s="227"/>
      <c r="G52" s="227"/>
      <c r="H52" s="227"/>
      <c r="I52" s="227"/>
      <c r="J52" s="227"/>
      <c r="K52" s="227"/>
      <c r="L52" s="227"/>
      <c r="M52" s="227"/>
    </row>
    <row r="53" spans="4:13" x14ac:dyDescent="0.25">
      <c r="D53" s="227"/>
      <c r="E53" s="227"/>
      <c r="F53" s="227"/>
      <c r="G53" s="227"/>
      <c r="H53" s="227"/>
      <c r="I53" s="227"/>
      <c r="J53" s="227"/>
      <c r="K53" s="227"/>
      <c r="L53" s="227"/>
      <c r="M53" s="227"/>
    </row>
    <row r="54" spans="4:13" x14ac:dyDescent="0.25">
      <c r="D54" s="227"/>
      <c r="E54" s="227"/>
      <c r="F54" s="227"/>
      <c r="G54" s="227"/>
      <c r="H54" s="227"/>
      <c r="I54" s="227"/>
      <c r="J54" s="227"/>
      <c r="K54" s="227"/>
      <c r="L54" s="227"/>
      <c r="M54" s="227"/>
    </row>
    <row r="55" spans="4:13" x14ac:dyDescent="0.25">
      <c r="D55" s="227"/>
      <c r="E55" s="227"/>
      <c r="F55" s="227"/>
      <c r="G55" s="227"/>
      <c r="H55" s="227"/>
      <c r="I55" s="227"/>
      <c r="J55" s="227"/>
      <c r="K55" s="227"/>
      <c r="L55" s="227"/>
      <c r="M55" s="227"/>
    </row>
    <row r="56" spans="4:13" x14ac:dyDescent="0.25">
      <c r="D56" s="227"/>
      <c r="E56" s="227"/>
      <c r="F56" s="227"/>
      <c r="G56" s="227"/>
      <c r="H56" s="227"/>
      <c r="I56" s="227"/>
      <c r="J56" s="227"/>
      <c r="K56" s="227"/>
      <c r="L56" s="227"/>
      <c r="M56" s="227"/>
    </row>
    <row r="57" spans="4:13" x14ac:dyDescent="0.25">
      <c r="D57" s="227"/>
      <c r="E57" s="227"/>
      <c r="F57" s="227"/>
      <c r="G57" s="227"/>
      <c r="H57" s="227"/>
      <c r="I57" s="227"/>
      <c r="J57" s="227"/>
      <c r="K57" s="227"/>
      <c r="L57" s="227"/>
      <c r="M57" s="227"/>
    </row>
    <row r="58" spans="4:13" x14ac:dyDescent="0.25">
      <c r="D58" s="227"/>
      <c r="E58" s="227"/>
      <c r="F58" s="227"/>
      <c r="G58" s="227"/>
      <c r="H58" s="227"/>
      <c r="I58" s="227"/>
      <c r="J58" s="227"/>
      <c r="K58" s="227"/>
      <c r="L58" s="227"/>
      <c r="M58" s="227"/>
    </row>
    <row r="59" spans="4:13" x14ac:dyDescent="0.25">
      <c r="D59" s="227"/>
      <c r="E59" s="227"/>
      <c r="F59" s="227"/>
      <c r="G59" s="227"/>
      <c r="H59" s="227"/>
      <c r="I59" s="227"/>
      <c r="J59" s="227"/>
      <c r="K59" s="227"/>
      <c r="L59" s="227"/>
      <c r="M59" s="227"/>
    </row>
    <row r="60" spans="4:13" x14ac:dyDescent="0.25">
      <c r="D60" s="227"/>
      <c r="E60" s="227"/>
      <c r="F60" s="227"/>
      <c r="G60" s="227"/>
      <c r="H60" s="227"/>
      <c r="I60" s="227"/>
      <c r="J60" s="227"/>
      <c r="K60" s="227"/>
      <c r="L60" s="227"/>
      <c r="M60" s="227"/>
    </row>
    <row r="61" spans="4:13" x14ac:dyDescent="0.25">
      <c r="D61" s="227"/>
      <c r="E61" s="227"/>
      <c r="F61" s="227"/>
      <c r="G61" s="227"/>
      <c r="H61" s="227"/>
      <c r="I61" s="227"/>
      <c r="J61" s="227"/>
      <c r="K61" s="227"/>
      <c r="L61" s="227"/>
      <c r="M61" s="227"/>
    </row>
    <row r="62" spans="4:13" x14ac:dyDescent="0.25">
      <c r="D62" s="227"/>
      <c r="E62" s="227"/>
      <c r="F62" s="227"/>
      <c r="G62" s="227"/>
      <c r="H62" s="227"/>
      <c r="I62" s="227"/>
      <c r="J62" s="227"/>
      <c r="K62" s="227"/>
      <c r="L62" s="227"/>
      <c r="M62" s="227"/>
    </row>
    <row r="63" spans="4:13" x14ac:dyDescent="0.25">
      <c r="D63" s="227"/>
      <c r="E63" s="227"/>
      <c r="F63" s="227"/>
      <c r="G63" s="227"/>
      <c r="H63" s="227"/>
      <c r="I63" s="227"/>
      <c r="J63" s="227"/>
      <c r="K63" s="227"/>
      <c r="L63" s="227"/>
      <c r="M63" s="227"/>
    </row>
    <row r="64" spans="4:13" x14ac:dyDescent="0.25">
      <c r="D64" s="227"/>
      <c r="E64" s="227"/>
      <c r="F64" s="227"/>
      <c r="G64" s="227"/>
      <c r="H64" s="227"/>
      <c r="I64" s="227"/>
      <c r="J64" s="227"/>
      <c r="K64" s="227"/>
      <c r="L64" s="227"/>
      <c r="M64" s="227"/>
    </row>
    <row r="65" spans="4:13" x14ac:dyDescent="0.25">
      <c r="D65" s="227"/>
      <c r="E65" s="227"/>
      <c r="F65" s="227"/>
      <c r="G65" s="227"/>
      <c r="H65" s="227"/>
      <c r="I65" s="227"/>
      <c r="J65" s="227"/>
      <c r="K65" s="227"/>
      <c r="L65" s="227"/>
      <c r="M65" s="227"/>
    </row>
    <row r="66" spans="4:13" x14ac:dyDescent="0.25">
      <c r="D66" s="227"/>
      <c r="E66" s="227"/>
      <c r="F66" s="227"/>
      <c r="G66" s="227"/>
      <c r="H66" s="227"/>
      <c r="I66" s="227"/>
      <c r="J66" s="227"/>
      <c r="K66" s="227"/>
      <c r="L66" s="227"/>
      <c r="M66" s="227"/>
    </row>
    <row r="67" spans="4:13" x14ac:dyDescent="0.25">
      <c r="D67" s="227"/>
      <c r="E67" s="227"/>
      <c r="F67" s="227"/>
      <c r="G67" s="227"/>
      <c r="H67" s="227"/>
      <c r="I67" s="227"/>
      <c r="J67" s="227"/>
      <c r="K67" s="227"/>
      <c r="L67" s="227"/>
      <c r="M67" s="227"/>
    </row>
    <row r="68" spans="4:13" x14ac:dyDescent="0.25">
      <c r="D68" s="227"/>
      <c r="E68" s="227"/>
      <c r="F68" s="227"/>
      <c r="G68" s="227"/>
      <c r="H68" s="227"/>
      <c r="I68" s="227"/>
      <c r="J68" s="227"/>
      <c r="K68" s="227"/>
      <c r="L68" s="227"/>
      <c r="M68" s="227"/>
    </row>
    <row r="69" spans="4:13" x14ac:dyDescent="0.25">
      <c r="D69" s="227"/>
      <c r="E69" s="227"/>
      <c r="F69" s="227"/>
      <c r="G69" s="227"/>
      <c r="H69" s="227"/>
      <c r="I69" s="227"/>
      <c r="J69" s="227"/>
      <c r="K69" s="227"/>
      <c r="L69" s="227"/>
      <c r="M69" s="227"/>
    </row>
    <row r="70" spans="4:13" x14ac:dyDescent="0.25">
      <c r="D70" s="227"/>
      <c r="E70" s="227"/>
      <c r="F70" s="227"/>
      <c r="G70" s="227"/>
      <c r="H70" s="227"/>
      <c r="I70" s="227"/>
      <c r="J70" s="227"/>
      <c r="K70" s="227"/>
      <c r="L70" s="227"/>
      <c r="M70" s="227"/>
    </row>
    <row r="71" spans="4:13" x14ac:dyDescent="0.25">
      <c r="D71" s="227"/>
      <c r="E71" s="227"/>
      <c r="F71" s="227"/>
      <c r="G71" s="227"/>
      <c r="H71" s="227"/>
      <c r="I71" s="227"/>
      <c r="J71" s="227"/>
      <c r="K71" s="227"/>
      <c r="L71" s="227"/>
      <c r="M71" s="227"/>
    </row>
    <row r="72" spans="4:13" x14ac:dyDescent="0.25">
      <c r="D72" s="227"/>
      <c r="E72" s="227"/>
      <c r="F72" s="227"/>
      <c r="G72" s="227"/>
      <c r="H72" s="227"/>
      <c r="I72" s="227"/>
      <c r="J72" s="227"/>
      <c r="K72" s="227"/>
      <c r="L72" s="227"/>
      <c r="M72" s="227"/>
    </row>
    <row r="73" spans="4:13" x14ac:dyDescent="0.25">
      <c r="D73" s="227"/>
      <c r="E73" s="227"/>
      <c r="F73" s="227"/>
      <c r="G73" s="227"/>
      <c r="H73" s="227"/>
      <c r="I73" s="227"/>
      <c r="J73" s="227"/>
      <c r="K73" s="227"/>
      <c r="L73" s="227"/>
      <c r="M73" s="227"/>
    </row>
    <row r="74" spans="4:13" x14ac:dyDescent="0.25">
      <c r="D74" s="227"/>
      <c r="E74" s="227"/>
      <c r="F74" s="227"/>
      <c r="G74" s="227"/>
      <c r="H74" s="227"/>
      <c r="I74" s="227"/>
      <c r="J74" s="227"/>
      <c r="K74" s="227"/>
      <c r="L74" s="227"/>
      <c r="M74" s="227"/>
    </row>
    <row r="75" spans="4:13" x14ac:dyDescent="0.25">
      <c r="D75" s="227"/>
      <c r="E75" s="227"/>
      <c r="F75" s="227"/>
      <c r="G75" s="227"/>
      <c r="H75" s="227"/>
      <c r="I75" s="227"/>
      <c r="J75" s="227"/>
      <c r="K75" s="227"/>
      <c r="L75" s="227"/>
      <c r="M75" s="227"/>
    </row>
    <row r="76" spans="4:13" x14ac:dyDescent="0.25">
      <c r="D76" s="227"/>
      <c r="E76" s="227"/>
      <c r="F76" s="227"/>
      <c r="G76" s="227"/>
      <c r="H76" s="227"/>
      <c r="I76" s="227"/>
      <c r="J76" s="227"/>
      <c r="K76" s="227"/>
      <c r="L76" s="227"/>
      <c r="M76" s="227"/>
    </row>
    <row r="77" spans="4:13" x14ac:dyDescent="0.25">
      <c r="D77" s="227"/>
      <c r="E77" s="227"/>
      <c r="F77" s="227"/>
      <c r="G77" s="227"/>
      <c r="H77" s="227"/>
      <c r="I77" s="227"/>
      <c r="J77" s="227"/>
      <c r="K77" s="227"/>
      <c r="L77" s="227"/>
      <c r="M77" s="227"/>
    </row>
    <row r="78" spans="4:13" x14ac:dyDescent="0.25">
      <c r="D78" s="227"/>
      <c r="E78" s="227"/>
      <c r="F78" s="227"/>
      <c r="G78" s="227"/>
      <c r="H78" s="227"/>
      <c r="I78" s="227"/>
      <c r="J78" s="227"/>
      <c r="K78" s="227"/>
      <c r="L78" s="227"/>
      <c r="M78" s="227"/>
    </row>
    <row r="79" spans="4:13" x14ac:dyDescent="0.25">
      <c r="D79" s="227"/>
      <c r="E79" s="227"/>
      <c r="F79" s="227"/>
      <c r="G79" s="227"/>
      <c r="H79" s="227"/>
      <c r="I79" s="227"/>
      <c r="J79" s="227"/>
      <c r="K79" s="227"/>
      <c r="L79" s="227"/>
      <c r="M79" s="227"/>
    </row>
    <row r="80" spans="4:13" x14ac:dyDescent="0.25">
      <c r="D80" s="227"/>
      <c r="E80" s="227"/>
      <c r="F80" s="227"/>
      <c r="G80" s="227"/>
      <c r="H80" s="227"/>
      <c r="I80" s="227"/>
      <c r="J80" s="227"/>
      <c r="K80" s="227"/>
      <c r="L80" s="227"/>
      <c r="M80" s="227"/>
    </row>
    <row r="81" spans="4:13" x14ac:dyDescent="0.25">
      <c r="D81" s="227"/>
      <c r="E81" s="227"/>
      <c r="F81" s="227"/>
      <c r="G81" s="227"/>
      <c r="H81" s="227"/>
      <c r="I81" s="227"/>
      <c r="J81" s="227"/>
      <c r="K81" s="227"/>
      <c r="L81" s="227"/>
      <c r="M81" s="227"/>
    </row>
    <row r="82" spans="4:13" x14ac:dyDescent="0.25">
      <c r="D82" s="227"/>
      <c r="E82" s="227"/>
      <c r="F82" s="227"/>
      <c r="G82" s="227"/>
      <c r="H82" s="227"/>
      <c r="I82" s="227"/>
      <c r="J82" s="227"/>
      <c r="K82" s="227"/>
      <c r="L82" s="227"/>
      <c r="M82" s="227"/>
    </row>
    <row r="83" spans="4:13" x14ac:dyDescent="0.25">
      <c r="D83" s="227"/>
      <c r="E83" s="227"/>
      <c r="F83" s="227"/>
      <c r="G83" s="227"/>
      <c r="H83" s="227"/>
      <c r="I83" s="227"/>
      <c r="J83" s="227"/>
      <c r="K83" s="227"/>
      <c r="L83" s="227"/>
      <c r="M83" s="227"/>
    </row>
    <row r="84" spans="4:13" x14ac:dyDescent="0.25">
      <c r="D84" s="227"/>
      <c r="E84" s="227"/>
      <c r="F84" s="227"/>
      <c r="G84" s="227"/>
      <c r="H84" s="227"/>
      <c r="I84" s="227"/>
      <c r="J84" s="227"/>
      <c r="K84" s="227"/>
      <c r="L84" s="227"/>
      <c r="M84" s="227"/>
    </row>
    <row r="85" spans="4:13" x14ac:dyDescent="0.25">
      <c r="D85" s="227"/>
      <c r="E85" s="227"/>
      <c r="F85" s="227"/>
      <c r="G85" s="227"/>
      <c r="H85" s="227"/>
      <c r="I85" s="227"/>
      <c r="J85" s="227"/>
      <c r="K85" s="227"/>
      <c r="L85" s="227"/>
      <c r="M85" s="227"/>
    </row>
    <row r="86" spans="4:13" x14ac:dyDescent="0.25">
      <c r="D86" s="227"/>
      <c r="E86" s="227"/>
      <c r="F86" s="227"/>
      <c r="G86" s="227"/>
      <c r="H86" s="227"/>
      <c r="I86" s="227"/>
      <c r="J86" s="227"/>
      <c r="K86" s="227"/>
      <c r="L86" s="227"/>
      <c r="M86" s="227"/>
    </row>
    <row r="87" spans="4:13" x14ac:dyDescent="0.25">
      <c r="D87" s="227"/>
      <c r="E87" s="227"/>
      <c r="F87" s="227"/>
      <c r="G87" s="227"/>
      <c r="H87" s="227"/>
      <c r="I87" s="227"/>
      <c r="J87" s="227"/>
      <c r="K87" s="227"/>
      <c r="L87" s="227"/>
      <c r="M87" s="227"/>
    </row>
    <row r="88" spans="4:13" x14ac:dyDescent="0.25">
      <c r="D88" s="227"/>
      <c r="E88" s="227"/>
      <c r="F88" s="227"/>
      <c r="G88" s="227"/>
      <c r="H88" s="227"/>
      <c r="I88" s="227"/>
      <c r="J88" s="227"/>
      <c r="K88" s="227"/>
      <c r="L88" s="227"/>
      <c r="M88" s="227"/>
    </row>
    <row r="89" spans="4:13" x14ac:dyDescent="0.25">
      <c r="D89" s="227"/>
      <c r="E89" s="227"/>
      <c r="F89" s="227"/>
      <c r="G89" s="227"/>
      <c r="H89" s="227"/>
      <c r="I89" s="227"/>
      <c r="J89" s="227"/>
      <c r="K89" s="227"/>
      <c r="L89" s="227"/>
      <c r="M89" s="227"/>
    </row>
    <row r="90" spans="4:13" x14ac:dyDescent="0.25">
      <c r="D90" s="227"/>
      <c r="E90" s="227"/>
      <c r="F90" s="227"/>
      <c r="G90" s="227"/>
      <c r="H90" s="227"/>
      <c r="I90" s="227"/>
      <c r="J90" s="227"/>
      <c r="K90" s="227"/>
      <c r="L90" s="227"/>
      <c r="M90" s="227"/>
    </row>
    <row r="91" spans="4:13" x14ac:dyDescent="0.25">
      <c r="D91" s="227"/>
      <c r="E91" s="227"/>
      <c r="F91" s="227"/>
      <c r="G91" s="227"/>
      <c r="H91" s="227"/>
      <c r="I91" s="227"/>
      <c r="J91" s="227"/>
      <c r="K91" s="227"/>
      <c r="L91" s="227"/>
      <c r="M91" s="227"/>
    </row>
    <row r="92" spans="4:13" x14ac:dyDescent="0.25">
      <c r="D92" s="227"/>
      <c r="E92" s="227"/>
      <c r="F92" s="227"/>
      <c r="G92" s="227"/>
      <c r="H92" s="227"/>
      <c r="I92" s="227"/>
      <c r="J92" s="227"/>
      <c r="K92" s="227"/>
      <c r="L92" s="227"/>
      <c r="M92" s="227"/>
    </row>
    <row r="93" spans="4:13" x14ac:dyDescent="0.25">
      <c r="D93" s="227"/>
      <c r="E93" s="227"/>
      <c r="F93" s="227"/>
      <c r="G93" s="227"/>
      <c r="H93" s="227"/>
      <c r="I93" s="227"/>
      <c r="J93" s="227"/>
      <c r="K93" s="227"/>
      <c r="L93" s="227"/>
      <c r="M93" s="227"/>
    </row>
    <row r="94" spans="4:13" x14ac:dyDescent="0.25">
      <c r="D94" s="227"/>
      <c r="E94" s="227"/>
      <c r="F94" s="227"/>
      <c r="G94" s="227"/>
      <c r="H94" s="227"/>
      <c r="I94" s="227"/>
      <c r="J94" s="227"/>
      <c r="K94" s="227"/>
      <c r="L94" s="227"/>
      <c r="M94" s="227"/>
    </row>
    <row r="95" spans="4:13" x14ac:dyDescent="0.25">
      <c r="D95" s="227"/>
      <c r="E95" s="227"/>
      <c r="F95" s="227"/>
      <c r="G95" s="227"/>
      <c r="H95" s="227"/>
      <c r="I95" s="227"/>
      <c r="J95" s="227"/>
      <c r="K95" s="227"/>
      <c r="L95" s="227"/>
      <c r="M95" s="227"/>
    </row>
    <row r="96" spans="4:13" x14ac:dyDescent="0.25">
      <c r="D96" s="227"/>
      <c r="E96" s="227"/>
      <c r="F96" s="227"/>
      <c r="G96" s="227"/>
      <c r="H96" s="227"/>
      <c r="I96" s="227"/>
      <c r="J96" s="227"/>
      <c r="K96" s="227"/>
      <c r="L96" s="227"/>
      <c r="M96" s="227"/>
    </row>
    <row r="97" spans="4:13" x14ac:dyDescent="0.25">
      <c r="D97" s="227"/>
      <c r="E97" s="227"/>
      <c r="F97" s="227"/>
      <c r="G97" s="227"/>
      <c r="H97" s="227"/>
      <c r="I97" s="227"/>
      <c r="J97" s="227"/>
      <c r="K97" s="227"/>
      <c r="L97" s="227"/>
      <c r="M97" s="227"/>
    </row>
    <row r="98" spans="4:13" x14ac:dyDescent="0.25">
      <c r="D98" s="227"/>
      <c r="E98" s="227"/>
      <c r="F98" s="227"/>
      <c r="G98" s="227"/>
      <c r="H98" s="227"/>
      <c r="I98" s="227"/>
      <c r="J98" s="227"/>
      <c r="K98" s="227"/>
      <c r="L98" s="227"/>
      <c r="M98" s="227"/>
    </row>
    <row r="99" spans="4:13" x14ac:dyDescent="0.25">
      <c r="D99" s="227"/>
      <c r="E99" s="227"/>
      <c r="F99" s="227"/>
      <c r="G99" s="227"/>
      <c r="H99" s="227"/>
      <c r="I99" s="227"/>
      <c r="J99" s="227"/>
      <c r="K99" s="227"/>
      <c r="L99" s="227"/>
      <c r="M99" s="227"/>
    </row>
    <row r="100" spans="4:13" x14ac:dyDescent="0.25">
      <c r="D100" s="227"/>
      <c r="E100" s="227"/>
      <c r="F100" s="227"/>
      <c r="G100" s="227"/>
      <c r="H100" s="227"/>
      <c r="I100" s="227"/>
      <c r="J100" s="227"/>
      <c r="K100" s="227"/>
      <c r="L100" s="227"/>
      <c r="M100" s="227"/>
    </row>
    <row r="101" spans="4:13" x14ac:dyDescent="0.25">
      <c r="D101" s="227"/>
      <c r="E101" s="227"/>
      <c r="F101" s="227"/>
      <c r="G101" s="227"/>
      <c r="H101" s="227"/>
      <c r="I101" s="227"/>
      <c r="J101" s="227"/>
      <c r="K101" s="227"/>
      <c r="L101" s="227"/>
      <c r="M101" s="227"/>
    </row>
    <row r="102" spans="4:13" x14ac:dyDescent="0.25">
      <c r="D102" s="227"/>
      <c r="E102" s="227"/>
      <c r="F102" s="227"/>
      <c r="G102" s="227"/>
      <c r="H102" s="227"/>
      <c r="I102" s="227"/>
      <c r="J102" s="227"/>
      <c r="K102" s="227"/>
      <c r="L102" s="227"/>
      <c r="M102" s="227"/>
    </row>
    <row r="103" spans="4:13" x14ac:dyDescent="0.25">
      <c r="D103" s="227"/>
      <c r="E103" s="227"/>
      <c r="F103" s="227"/>
      <c r="G103" s="227"/>
      <c r="H103" s="227"/>
      <c r="I103" s="227"/>
      <c r="J103" s="227"/>
      <c r="K103" s="227"/>
      <c r="L103" s="227"/>
      <c r="M103" s="227"/>
    </row>
    <row r="104" spans="4:13" x14ac:dyDescent="0.25">
      <c r="D104" s="227"/>
      <c r="E104" s="227"/>
      <c r="F104" s="227"/>
      <c r="G104" s="227"/>
      <c r="H104" s="227"/>
      <c r="I104" s="227"/>
      <c r="J104" s="227"/>
      <c r="K104" s="227"/>
      <c r="L104" s="227"/>
      <c r="M104" s="227"/>
    </row>
    <row r="105" spans="4:13" x14ac:dyDescent="0.25">
      <c r="D105" s="227"/>
      <c r="E105" s="227"/>
      <c r="F105" s="227"/>
      <c r="G105" s="227"/>
      <c r="H105" s="227"/>
      <c r="I105" s="227"/>
      <c r="J105" s="227"/>
      <c r="K105" s="227"/>
      <c r="L105" s="227"/>
      <c r="M105" s="227"/>
    </row>
    <row r="106" spans="4:13" x14ac:dyDescent="0.25">
      <c r="D106" s="227"/>
      <c r="E106" s="227"/>
      <c r="F106" s="227"/>
      <c r="G106" s="227"/>
      <c r="H106" s="227"/>
      <c r="I106" s="227"/>
      <c r="J106" s="227"/>
      <c r="K106" s="227"/>
      <c r="L106" s="227"/>
      <c r="M106" s="227"/>
    </row>
    <row r="107" spans="4:13" x14ac:dyDescent="0.25">
      <c r="D107" s="227"/>
      <c r="E107" s="227"/>
      <c r="F107" s="227"/>
      <c r="G107" s="227"/>
      <c r="H107" s="227"/>
      <c r="I107" s="227"/>
      <c r="J107" s="227"/>
      <c r="K107" s="227"/>
      <c r="L107" s="227"/>
      <c r="M107" s="227"/>
    </row>
    <row r="108" spans="4:13" x14ac:dyDescent="0.25">
      <c r="D108" s="227"/>
      <c r="E108" s="227"/>
      <c r="F108" s="227"/>
      <c r="G108" s="227"/>
      <c r="H108" s="227"/>
      <c r="I108" s="227"/>
      <c r="J108" s="227"/>
      <c r="K108" s="227"/>
      <c r="L108" s="227"/>
      <c r="M108" s="227"/>
    </row>
    <row r="109" spans="4:13" x14ac:dyDescent="0.25">
      <c r="D109" s="227"/>
      <c r="E109" s="227"/>
      <c r="F109" s="227"/>
      <c r="G109" s="227"/>
      <c r="H109" s="227"/>
      <c r="I109" s="227"/>
      <c r="J109" s="227"/>
      <c r="K109" s="227"/>
      <c r="L109" s="227"/>
      <c r="M109" s="227"/>
    </row>
    <row r="110" spans="4:13" x14ac:dyDescent="0.25">
      <c r="D110" s="227"/>
      <c r="E110" s="227"/>
      <c r="F110" s="227"/>
      <c r="G110" s="227"/>
      <c r="H110" s="227"/>
      <c r="I110" s="227"/>
      <c r="J110" s="227"/>
      <c r="K110" s="227"/>
      <c r="L110" s="227"/>
      <c r="M110" s="227"/>
    </row>
    <row r="111" spans="4:13" x14ac:dyDescent="0.25">
      <c r="D111" s="227"/>
      <c r="E111" s="227"/>
      <c r="F111" s="227"/>
      <c r="G111" s="227"/>
      <c r="H111" s="227"/>
      <c r="I111" s="227"/>
      <c r="J111" s="227"/>
      <c r="K111" s="227"/>
      <c r="L111" s="227"/>
      <c r="M111" s="227"/>
    </row>
    <row r="112" spans="4:13" x14ac:dyDescent="0.25">
      <c r="D112" s="227"/>
      <c r="E112" s="227"/>
      <c r="F112" s="227"/>
      <c r="G112" s="227"/>
      <c r="H112" s="227"/>
      <c r="I112" s="227"/>
      <c r="J112" s="227"/>
      <c r="K112" s="227"/>
      <c r="L112" s="227"/>
      <c r="M112" s="227"/>
    </row>
    <row r="113" spans="4:13" x14ac:dyDescent="0.25">
      <c r="D113" s="227"/>
      <c r="E113" s="227"/>
      <c r="F113" s="227"/>
      <c r="G113" s="227"/>
      <c r="H113" s="227"/>
      <c r="I113" s="227"/>
      <c r="J113" s="227"/>
      <c r="K113" s="227"/>
      <c r="L113" s="227"/>
      <c r="M113" s="227"/>
    </row>
    <row r="114" spans="4:13" x14ac:dyDescent="0.25">
      <c r="D114" s="227"/>
      <c r="E114" s="227"/>
      <c r="F114" s="227"/>
      <c r="G114" s="227"/>
      <c r="H114" s="227"/>
      <c r="I114" s="227"/>
      <c r="J114" s="227"/>
      <c r="K114" s="227"/>
      <c r="L114" s="227"/>
      <c r="M114" s="227"/>
    </row>
    <row r="115" spans="4:13" x14ac:dyDescent="0.25">
      <c r="D115" s="227"/>
      <c r="E115" s="227"/>
      <c r="F115" s="227"/>
      <c r="G115" s="227"/>
      <c r="H115" s="227"/>
      <c r="I115" s="227"/>
      <c r="J115" s="227"/>
      <c r="K115" s="227"/>
      <c r="L115" s="227"/>
      <c r="M115" s="227"/>
    </row>
    <row r="116" spans="4:13" x14ac:dyDescent="0.25">
      <c r="D116" s="227"/>
      <c r="E116" s="227"/>
      <c r="F116" s="227"/>
      <c r="G116" s="227"/>
      <c r="H116" s="227"/>
      <c r="I116" s="227"/>
      <c r="J116" s="227"/>
      <c r="K116" s="227"/>
      <c r="L116" s="227"/>
      <c r="M116" s="227"/>
    </row>
    <row r="117" spans="4:13" x14ac:dyDescent="0.25">
      <c r="D117" s="227"/>
      <c r="E117" s="227"/>
      <c r="F117" s="227"/>
      <c r="G117" s="227"/>
      <c r="H117" s="227"/>
      <c r="I117" s="227"/>
      <c r="J117" s="227"/>
      <c r="K117" s="227"/>
      <c r="L117" s="227"/>
      <c r="M117" s="227"/>
    </row>
    <row r="118" spans="4:13" x14ac:dyDescent="0.25">
      <c r="D118" s="227"/>
      <c r="E118" s="227"/>
      <c r="F118" s="227"/>
      <c r="G118" s="227"/>
      <c r="H118" s="227"/>
      <c r="I118" s="227"/>
      <c r="J118" s="227"/>
      <c r="K118" s="227"/>
      <c r="L118" s="227"/>
      <c r="M118" s="227"/>
    </row>
    <row r="119" spans="4:13" x14ac:dyDescent="0.25">
      <c r="D119" s="227"/>
      <c r="E119" s="227"/>
      <c r="F119" s="227"/>
      <c r="G119" s="227"/>
      <c r="H119" s="227"/>
      <c r="I119" s="227"/>
      <c r="J119" s="227"/>
      <c r="K119" s="227"/>
      <c r="L119" s="227"/>
      <c r="M119" s="227"/>
    </row>
    <row r="120" spans="4:13" x14ac:dyDescent="0.25">
      <c r="D120" s="227"/>
      <c r="E120" s="227"/>
      <c r="F120" s="227"/>
      <c r="G120" s="227"/>
      <c r="H120" s="227"/>
      <c r="I120" s="227"/>
      <c r="J120" s="227"/>
      <c r="K120" s="227"/>
      <c r="L120" s="227"/>
      <c r="M120" s="227"/>
    </row>
    <row r="121" spans="4:13" x14ac:dyDescent="0.25">
      <c r="D121" s="227"/>
      <c r="E121" s="227"/>
      <c r="F121" s="227"/>
      <c r="G121" s="227"/>
      <c r="H121" s="227"/>
      <c r="I121" s="227"/>
      <c r="J121" s="227"/>
      <c r="K121" s="227"/>
      <c r="L121" s="227"/>
      <c r="M121" s="227"/>
    </row>
    <row r="122" spans="4:13" x14ac:dyDescent="0.25">
      <c r="D122" s="227"/>
      <c r="E122" s="227"/>
      <c r="F122" s="227"/>
      <c r="G122" s="227"/>
      <c r="H122" s="227"/>
      <c r="I122" s="227"/>
      <c r="J122" s="227"/>
      <c r="K122" s="227"/>
      <c r="L122" s="227"/>
      <c r="M122" s="227"/>
    </row>
    <row r="123" spans="4:13" x14ac:dyDescent="0.25">
      <c r="D123" s="227"/>
      <c r="E123" s="227"/>
      <c r="F123" s="227"/>
      <c r="G123" s="227"/>
      <c r="H123" s="227"/>
      <c r="I123" s="227"/>
      <c r="J123" s="227"/>
      <c r="K123" s="227"/>
      <c r="L123" s="227"/>
      <c r="M123" s="227"/>
    </row>
    <row r="124" spans="4:13" x14ac:dyDescent="0.25">
      <c r="D124" s="227"/>
      <c r="E124" s="227"/>
      <c r="F124" s="227"/>
      <c r="G124" s="227"/>
      <c r="H124" s="227"/>
      <c r="I124" s="227"/>
      <c r="J124" s="227"/>
      <c r="K124" s="227"/>
      <c r="L124" s="227"/>
      <c r="M124" s="227"/>
    </row>
    <row r="125" spans="4:13" x14ac:dyDescent="0.25">
      <c r="D125" s="227"/>
      <c r="E125" s="227"/>
      <c r="F125" s="227"/>
      <c r="G125" s="227"/>
      <c r="H125" s="227"/>
      <c r="I125" s="227"/>
      <c r="J125" s="227"/>
      <c r="K125" s="227"/>
      <c r="L125" s="227"/>
      <c r="M125" s="227"/>
    </row>
    <row r="126" spans="4:13" x14ac:dyDescent="0.25">
      <c r="D126" s="227"/>
      <c r="E126" s="227"/>
      <c r="F126" s="227"/>
      <c r="G126" s="227"/>
      <c r="H126" s="227"/>
      <c r="I126" s="227"/>
      <c r="J126" s="227"/>
      <c r="K126" s="227"/>
      <c r="L126" s="227"/>
      <c r="M126" s="227"/>
    </row>
    <row r="127" spans="4:13" x14ac:dyDescent="0.25">
      <c r="D127" s="227"/>
      <c r="E127" s="227"/>
      <c r="F127" s="227"/>
      <c r="G127" s="227"/>
      <c r="H127" s="227"/>
      <c r="I127" s="227"/>
      <c r="J127" s="227"/>
      <c r="K127" s="227"/>
      <c r="L127" s="227"/>
      <c r="M127" s="227"/>
    </row>
    <row r="128" spans="4:13" x14ac:dyDescent="0.25">
      <c r="D128" s="227"/>
      <c r="E128" s="227"/>
      <c r="F128" s="227"/>
      <c r="G128" s="227"/>
      <c r="H128" s="227"/>
      <c r="I128" s="227"/>
      <c r="J128" s="227"/>
      <c r="K128" s="227"/>
      <c r="L128" s="227"/>
      <c r="M128" s="227"/>
    </row>
    <row r="129" spans="4:13" x14ac:dyDescent="0.25">
      <c r="D129" s="227"/>
      <c r="E129" s="227"/>
      <c r="F129" s="227"/>
      <c r="G129" s="227"/>
      <c r="H129" s="227"/>
      <c r="I129" s="227"/>
      <c r="J129" s="227"/>
      <c r="K129" s="227"/>
      <c r="L129" s="227"/>
      <c r="M129" s="227"/>
    </row>
    <row r="130" spans="4:13" x14ac:dyDescent="0.25">
      <c r="D130" s="227"/>
      <c r="E130" s="227"/>
      <c r="F130" s="227"/>
      <c r="G130" s="227"/>
      <c r="H130" s="227"/>
      <c r="I130" s="227"/>
      <c r="J130" s="227"/>
      <c r="K130" s="227"/>
      <c r="L130" s="227"/>
      <c r="M130" s="227"/>
    </row>
    <row r="131" spans="4:13" x14ac:dyDescent="0.25">
      <c r="D131" s="227"/>
      <c r="E131" s="227"/>
      <c r="F131" s="227"/>
      <c r="G131" s="227"/>
      <c r="H131" s="227"/>
      <c r="I131" s="227"/>
      <c r="J131" s="227"/>
      <c r="K131" s="227"/>
      <c r="L131" s="227"/>
      <c r="M131" s="227"/>
    </row>
    <row r="132" spans="4:13" x14ac:dyDescent="0.25">
      <c r="D132" s="227"/>
      <c r="E132" s="227"/>
      <c r="F132" s="227"/>
      <c r="G132" s="227"/>
      <c r="H132" s="227"/>
      <c r="I132" s="227"/>
      <c r="J132" s="227"/>
      <c r="K132" s="227"/>
      <c r="L132" s="227"/>
      <c r="M132" s="227"/>
    </row>
    <row r="133" spans="4:13" x14ac:dyDescent="0.25">
      <c r="D133" s="227"/>
      <c r="E133" s="227"/>
      <c r="F133" s="227"/>
      <c r="G133" s="227"/>
      <c r="H133" s="227"/>
      <c r="I133" s="227"/>
      <c r="J133" s="227"/>
      <c r="K133" s="227"/>
      <c r="L133" s="227"/>
      <c r="M133" s="227"/>
    </row>
    <row r="134" spans="4:13" x14ac:dyDescent="0.25">
      <c r="D134" s="227"/>
      <c r="E134" s="227"/>
      <c r="F134" s="227"/>
      <c r="G134" s="227"/>
      <c r="H134" s="227"/>
      <c r="I134" s="227"/>
      <c r="J134" s="227"/>
      <c r="K134" s="227"/>
      <c r="L134" s="227"/>
      <c r="M134" s="227"/>
    </row>
    <row r="135" spans="4:13" x14ac:dyDescent="0.25">
      <c r="D135" s="227"/>
      <c r="E135" s="227"/>
      <c r="F135" s="227"/>
      <c r="G135" s="227"/>
      <c r="H135" s="227"/>
      <c r="I135" s="227"/>
      <c r="J135" s="227"/>
      <c r="K135" s="227"/>
      <c r="L135" s="227"/>
      <c r="M135" s="227"/>
    </row>
    <row r="136" spans="4:13" x14ac:dyDescent="0.25">
      <c r="D136" s="227"/>
      <c r="E136" s="227"/>
      <c r="F136" s="227"/>
      <c r="G136" s="227"/>
      <c r="H136" s="227"/>
      <c r="I136" s="227"/>
      <c r="J136" s="227"/>
      <c r="K136" s="227"/>
      <c r="L136" s="227"/>
      <c r="M136" s="227"/>
    </row>
    <row r="137" spans="4:13" x14ac:dyDescent="0.25">
      <c r="D137" s="227"/>
      <c r="E137" s="227"/>
      <c r="F137" s="227"/>
      <c r="G137" s="227"/>
      <c r="H137" s="227"/>
      <c r="I137" s="227"/>
      <c r="J137" s="227"/>
      <c r="K137" s="227"/>
      <c r="L137" s="227"/>
      <c r="M137" s="227"/>
    </row>
  </sheetData>
  <mergeCells count="14">
    <mergeCell ref="K10:K11"/>
    <mergeCell ref="L10:L11"/>
    <mergeCell ref="M10:M11"/>
    <mergeCell ref="B1:N2"/>
    <mergeCell ref="B9:D11"/>
    <mergeCell ref="E9:E11"/>
    <mergeCell ref="F9:M9"/>
    <mergeCell ref="N9:N11"/>
    <mergeCell ref="F10:F11"/>
    <mergeCell ref="G10:G11"/>
    <mergeCell ref="H10:H11"/>
    <mergeCell ref="I10:I11"/>
    <mergeCell ref="J10:J11"/>
    <mergeCell ref="C4:K4"/>
  </mergeCells>
  <conditionalFormatting sqref="D12 E12:J21 K12:N22 B12:C24 E13:E23 D22:J22 E23:N24">
    <cfRule type="expression" dxfId="12" priority="5">
      <formula>MOD(ROW(),2)=0</formula>
    </cfRule>
  </conditionalFormatting>
  <conditionalFormatting sqref="D14">
    <cfRule type="expression" dxfId="11" priority="4">
      <formula>MOD(ROW(),2)=0</formula>
    </cfRule>
  </conditionalFormatting>
  <conditionalFormatting sqref="D16 D18:D20">
    <cfRule type="expression" dxfId="10" priority="3">
      <formula>MOD(ROW(),2)=0</formula>
    </cfRule>
  </conditionalFormatting>
  <conditionalFormatting sqref="F9:F10 G10:M10 F25:M1048576">
    <cfRule type="expression" priority="8">
      <formula>MOD(COLUMN(),2)=0</formula>
    </cfRule>
  </conditionalFormatting>
  <printOptions horizontalCentered="1"/>
  <pageMargins left="0.51181102362204722" right="0.51181102362204722" top="0.78740157480314965" bottom="0.78740157480314965" header="0.31496062992125984" footer="0.31496062992125984"/>
  <pageSetup paperSize="9" scale="66"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298D8-ED74-4BDE-870E-9114F455A57B}">
  <dimension ref="A1:AG35"/>
  <sheetViews>
    <sheetView showGridLines="0" view="pageBreakPreview" zoomScale="85" zoomScaleNormal="70" zoomScaleSheetLayoutView="85" workbookViewId="0">
      <selection activeCell="Q14" sqref="Q14:Q15"/>
    </sheetView>
  </sheetViews>
  <sheetFormatPr defaultRowHeight="15" x14ac:dyDescent="0.25"/>
  <cols>
    <col min="1" max="2" width="1.7109375" style="222" customWidth="1"/>
    <col min="3" max="3" width="3.5703125" style="222" customWidth="1"/>
    <col min="4" max="4" width="4.42578125" style="222" customWidth="1"/>
    <col min="5" max="5" width="13.140625" style="222" customWidth="1"/>
    <col min="6" max="6" width="15.7109375" style="224" customWidth="1"/>
    <col min="7" max="7" width="9.28515625" style="224" customWidth="1"/>
    <col min="8" max="8" width="23" style="222" customWidth="1"/>
    <col min="9" max="9" width="12.7109375" style="224" customWidth="1"/>
    <col min="10" max="12" width="9.7109375" style="225" customWidth="1"/>
    <col min="13" max="14" width="12.7109375" style="222" customWidth="1"/>
    <col min="15" max="15" width="12.7109375" style="224" customWidth="1"/>
    <col min="16" max="16" width="10.85546875" style="225" customWidth="1"/>
    <col min="17" max="17" width="11.140625" style="225" customWidth="1"/>
    <col min="18" max="18" width="1.7109375" style="222" customWidth="1"/>
    <col min="19" max="19" width="9.140625" style="222"/>
    <col min="20" max="24" width="0" style="222" hidden="1" customWidth="1"/>
    <col min="25" max="16384" width="9.140625" style="222"/>
  </cols>
  <sheetData>
    <row r="1" spans="1:33" s="11" customFormat="1" ht="20.100000000000001" customHeight="1" x14ac:dyDescent="0.25">
      <c r="A1" s="69"/>
      <c r="B1" s="569" t="s">
        <v>133</v>
      </c>
      <c r="C1" s="569"/>
      <c r="D1" s="569"/>
      <c r="E1" s="569"/>
      <c r="F1" s="569"/>
      <c r="G1" s="569"/>
      <c r="H1" s="569"/>
      <c r="I1" s="569"/>
      <c r="J1" s="569"/>
      <c r="K1" s="569"/>
      <c r="L1" s="569"/>
      <c r="M1" s="569"/>
      <c r="N1" s="569"/>
      <c r="O1" s="569"/>
      <c r="P1" s="569"/>
      <c r="Q1" s="569"/>
      <c r="R1" s="226"/>
      <c r="S1" s="226"/>
      <c r="T1" s="226"/>
      <c r="U1" s="226"/>
      <c r="V1" s="226"/>
      <c r="W1" s="226"/>
      <c r="X1" s="226"/>
      <c r="Y1" s="226"/>
      <c r="Z1" s="226"/>
      <c r="AA1" s="226"/>
      <c r="AB1" s="226"/>
      <c r="AC1" s="69"/>
      <c r="AD1" s="69"/>
      <c r="AE1" s="69"/>
      <c r="AF1" s="69"/>
      <c r="AG1" s="69"/>
    </row>
    <row r="2" spans="1:33" s="11" customFormat="1" ht="20.100000000000001" customHeight="1" x14ac:dyDescent="0.25">
      <c r="A2" s="69"/>
      <c r="B2" s="569"/>
      <c r="C2" s="569"/>
      <c r="D2" s="569"/>
      <c r="E2" s="569"/>
      <c r="F2" s="569"/>
      <c r="G2" s="569"/>
      <c r="H2" s="569"/>
      <c r="I2" s="569"/>
      <c r="J2" s="569"/>
      <c r="K2" s="569"/>
      <c r="L2" s="569"/>
      <c r="M2" s="569"/>
      <c r="N2" s="569"/>
      <c r="O2" s="569"/>
      <c r="P2" s="569"/>
      <c r="Q2" s="569"/>
      <c r="R2" s="226"/>
      <c r="S2" s="226"/>
      <c r="T2" s="226"/>
      <c r="U2" s="226"/>
      <c r="V2" s="226"/>
      <c r="W2" s="226"/>
      <c r="X2" s="226"/>
      <c r="Y2" s="226"/>
      <c r="Z2" s="226"/>
      <c r="AA2" s="226"/>
      <c r="AB2" s="226"/>
      <c r="AC2" s="69"/>
      <c r="AD2" s="69"/>
      <c r="AE2" s="69"/>
      <c r="AF2" s="69"/>
      <c r="AG2" s="69"/>
    </row>
    <row r="3" spans="1:33" s="11" customFormat="1" ht="20.100000000000001" customHeight="1" x14ac:dyDescent="0.25">
      <c r="A3" s="69"/>
      <c r="B3" s="69"/>
      <c r="C3" s="69"/>
      <c r="D3" s="69"/>
      <c r="E3" s="69"/>
      <c r="F3" s="69"/>
      <c r="G3" s="69"/>
      <c r="H3" s="69"/>
      <c r="I3" s="69"/>
      <c r="J3" s="69"/>
      <c r="K3" s="69"/>
      <c r="L3" s="69"/>
      <c r="M3" s="69"/>
      <c r="N3" s="69"/>
      <c r="O3" s="69"/>
      <c r="R3" s="69"/>
      <c r="S3" s="69"/>
      <c r="T3" s="69"/>
      <c r="U3" s="69"/>
      <c r="V3" s="69"/>
      <c r="W3" s="69"/>
      <c r="X3" s="69"/>
      <c r="Y3" s="69"/>
      <c r="Z3" s="69"/>
      <c r="AA3" s="69"/>
      <c r="AB3" s="181"/>
      <c r="AC3" s="69"/>
      <c r="AD3" s="69"/>
      <c r="AE3" s="69"/>
      <c r="AF3" s="69"/>
      <c r="AG3" s="69"/>
    </row>
    <row r="4" spans="1:33" s="5" customFormat="1" ht="24.95" customHeight="1" x14ac:dyDescent="0.25">
      <c r="B4" s="1" t="s">
        <v>16</v>
      </c>
      <c r="D4" s="1"/>
      <c r="E4" s="674" t="str">
        <f>'DADOS DA OBRA'!$B$13</f>
        <v>DEMOLIÇÃO DO RESERVATÓRIO EXISTENTE, EXECUÇÃO DE RESERVATÓRIO METÁLICO ELEVADO E REESTRUTURAÇÃO (COM AMPLIAÇÃO) DA REDE DE DISTRIBUIÇÃO DE ÁGUA TRATADA EXISTENTE NO MUNICÍPIO DE MATRINCHÃ</v>
      </c>
      <c r="F4" s="674"/>
      <c r="G4" s="674"/>
      <c r="H4" s="674"/>
      <c r="I4" s="674"/>
      <c r="J4" s="674"/>
      <c r="K4" s="674"/>
      <c r="L4" s="674"/>
      <c r="M4" s="674"/>
      <c r="N4" s="674"/>
      <c r="O4" s="674"/>
      <c r="P4" s="3" t="s">
        <v>96</v>
      </c>
      <c r="Q4" s="4" t="str">
        <f>+'DADOS DA OBRA'!$N$22</f>
        <v>04/11/2024</v>
      </c>
      <c r="R4" s="2"/>
      <c r="S4" s="2"/>
      <c r="T4" s="2"/>
      <c r="U4" s="2"/>
      <c r="V4" s="2"/>
      <c r="W4" s="2"/>
      <c r="X4" s="2"/>
      <c r="AB4" s="50"/>
      <c r="AD4" s="32"/>
      <c r="AE4" s="32"/>
      <c r="AF4" s="33"/>
      <c r="AG4" s="33"/>
    </row>
    <row r="5" spans="1:33" s="5" customFormat="1" ht="20.100000000000001" customHeight="1" x14ac:dyDescent="0.25">
      <c r="B5" s="1" t="s">
        <v>18</v>
      </c>
      <c r="D5" s="1"/>
      <c r="E5" s="2" t="str">
        <f>+""&amp;'DADOS DA OBRA'!$B$16&amp;", "&amp;'DADOS DA OBRA'!$B$19&amp;", "&amp;'DADOS DA OBRA'!$J$19&amp;", "&amp;'DADOS DA OBRA'!$P$19</f>
        <v>RUAS DIVERSAS, DIVERSOS, MATRINCHÃ, GO</v>
      </c>
      <c r="F5" s="1"/>
      <c r="G5" s="1"/>
      <c r="H5" s="1"/>
      <c r="I5" s="1"/>
      <c r="P5" s="3" t="s">
        <v>17</v>
      </c>
      <c r="Q5" s="4" t="str">
        <f>'DADOS DA OBRA'!$N$25</f>
        <v>00</v>
      </c>
      <c r="AB5" s="50"/>
    </row>
    <row r="6" spans="1:33" s="5" customFormat="1" ht="20.100000000000001" customHeight="1" x14ac:dyDescent="0.25">
      <c r="AB6" s="50"/>
    </row>
    <row r="7" spans="1:33" s="5" customFormat="1" ht="20.100000000000001" customHeight="1" x14ac:dyDescent="0.25">
      <c r="B7" s="1" t="s">
        <v>97</v>
      </c>
      <c r="D7" s="1"/>
      <c r="E7" s="39" t="s">
        <v>480</v>
      </c>
      <c r="F7" s="1"/>
      <c r="G7" s="1"/>
      <c r="H7" s="1"/>
      <c r="I7" s="1"/>
      <c r="P7" s="3" t="s">
        <v>18</v>
      </c>
      <c r="Q7" s="64" t="s">
        <v>239</v>
      </c>
      <c r="AB7" s="50"/>
    </row>
    <row r="8" spans="1:33" s="8" customFormat="1" ht="20.100000000000001" customHeight="1" thickBot="1" x14ac:dyDescent="0.3">
      <c r="A8" s="67"/>
      <c r="B8" s="52"/>
      <c r="C8" s="52"/>
      <c r="D8" s="52"/>
      <c r="E8" s="52"/>
      <c r="F8" s="52"/>
      <c r="G8" s="52"/>
      <c r="H8" s="52"/>
      <c r="I8" s="52"/>
      <c r="J8" s="53"/>
      <c r="K8" s="9"/>
      <c r="L8" s="9"/>
      <c r="M8" s="9"/>
      <c r="N8" s="9"/>
      <c r="O8" s="10"/>
      <c r="P8" s="10"/>
      <c r="Q8" s="9"/>
      <c r="R8" s="67"/>
      <c r="S8" s="67"/>
      <c r="T8" s="67"/>
      <c r="U8" s="67"/>
      <c r="V8" s="67"/>
      <c r="W8" s="67"/>
      <c r="X8" s="67"/>
      <c r="Y8" s="67"/>
      <c r="Z8" s="67"/>
      <c r="AA8" s="67"/>
      <c r="AB8" s="164"/>
      <c r="AC8" s="67"/>
      <c r="AD8" s="67"/>
      <c r="AE8" s="67"/>
      <c r="AF8" s="67"/>
      <c r="AG8" s="67"/>
    </row>
    <row r="9" spans="1:33" s="223" customFormat="1" ht="24.95" customHeight="1" x14ac:dyDescent="0.25">
      <c r="B9" s="895" t="s">
        <v>430</v>
      </c>
      <c r="C9" s="896"/>
      <c r="D9" s="896"/>
      <c r="E9" s="896"/>
      <c r="F9" s="896" t="s">
        <v>431</v>
      </c>
      <c r="G9" s="899" t="s">
        <v>432</v>
      </c>
      <c r="H9" s="895" t="s">
        <v>433</v>
      </c>
      <c r="I9" s="896"/>
      <c r="J9" s="896"/>
      <c r="K9" s="896"/>
      <c r="L9" s="899"/>
      <c r="M9" s="895" t="s">
        <v>437</v>
      </c>
      <c r="N9" s="914"/>
      <c r="O9" s="896"/>
      <c r="P9" s="238" t="s">
        <v>440</v>
      </c>
      <c r="Q9" s="239" t="s">
        <v>441</v>
      </c>
    </row>
    <row r="10" spans="1:33" s="223" customFormat="1" ht="24.95" customHeight="1" thickBot="1" x14ac:dyDescent="0.3">
      <c r="B10" s="897"/>
      <c r="C10" s="898"/>
      <c r="D10" s="898"/>
      <c r="E10" s="898"/>
      <c r="F10" s="898"/>
      <c r="G10" s="900"/>
      <c r="H10" s="245" t="s">
        <v>191</v>
      </c>
      <c r="I10" s="246" t="s">
        <v>434</v>
      </c>
      <c r="J10" s="247" t="s">
        <v>147</v>
      </c>
      <c r="K10" s="247" t="s">
        <v>143</v>
      </c>
      <c r="L10" s="248" t="s">
        <v>104</v>
      </c>
      <c r="M10" s="245" t="s">
        <v>205</v>
      </c>
      <c r="N10" s="283" t="s">
        <v>438</v>
      </c>
      <c r="O10" s="246" t="s">
        <v>439</v>
      </c>
      <c r="P10" s="247" t="s">
        <v>160</v>
      </c>
      <c r="Q10" s="248" t="s">
        <v>139</v>
      </c>
      <c r="U10" s="223" t="s">
        <v>358</v>
      </c>
    </row>
    <row r="11" spans="1:33" ht="15" customHeight="1" x14ac:dyDescent="0.25">
      <c r="B11" s="889"/>
      <c r="C11" s="890"/>
      <c r="D11" s="890"/>
      <c r="E11" s="890"/>
      <c r="F11" s="228"/>
      <c r="G11" s="229">
        <f>+'RESER-SPDA-ELETRODUTO E CABOS'!G11</f>
        <v>1</v>
      </c>
      <c r="H11" s="233"/>
      <c r="I11" s="228"/>
      <c r="J11" s="234"/>
      <c r="K11" s="234"/>
      <c r="L11" s="235">
        <f t="shared" ref="L11:L28" si="0">+J11*K11</f>
        <v>0</v>
      </c>
      <c r="M11" s="288"/>
      <c r="N11" s="289"/>
      <c r="O11" s="290">
        <f>+J11*L11*M11*N11</f>
        <v>0</v>
      </c>
      <c r="P11" s="234">
        <f>+J11*L11*M11</f>
        <v>0</v>
      </c>
      <c r="Q11" s="235">
        <f>+O11</f>
        <v>0</v>
      </c>
      <c r="T11" s="264">
        <f t="shared" ref="T11:T28" si="1">+(K11/3)*J11</f>
        <v>0</v>
      </c>
      <c r="U11" s="264">
        <f t="shared" ref="U11:U31" si="2">+ROUNDDOWN(T11,0)</f>
        <v>0</v>
      </c>
      <c r="V11" s="222">
        <f>+SUMIFS($U$11:$U$29,$H$11:$H$29,"Galvanizado",$I$11:$I$29,"1""")</f>
        <v>0</v>
      </c>
      <c r="W11" s="222" t="s">
        <v>359</v>
      </c>
    </row>
    <row r="12" spans="1:33" ht="15" customHeight="1" x14ac:dyDescent="0.25">
      <c r="B12" s="889"/>
      <c r="C12" s="890"/>
      <c r="D12" s="890"/>
      <c r="E12" s="890"/>
      <c r="F12" s="228"/>
      <c r="G12" s="229">
        <f>+'RESER-SPDA-ELETRODUTO E CABOS'!G12</f>
        <v>2</v>
      </c>
      <c r="H12" s="233"/>
      <c r="I12" s="228"/>
      <c r="J12" s="234">
        <f>+'RESER-SPDA-ELETRODUTO E CABOS'!O12</f>
        <v>1</v>
      </c>
      <c r="K12" s="234">
        <f>+'RESER-SPDA-ELETRODUTO E CABOS'!Q12/1.1</f>
        <v>3.84</v>
      </c>
      <c r="L12" s="235">
        <f t="shared" si="0"/>
        <v>3.84</v>
      </c>
      <c r="M12" s="288">
        <v>0.3</v>
      </c>
      <c r="N12" s="289">
        <v>0.6</v>
      </c>
      <c r="O12" s="286">
        <f t="shared" ref="O12:O14" si="3">+J12*L12*M12*N12</f>
        <v>0.69119999999999993</v>
      </c>
      <c r="P12" s="234">
        <f t="shared" ref="P12:P14" si="4">+J12*L12*M12</f>
        <v>1.1519999999999999</v>
      </c>
      <c r="Q12" s="235">
        <f t="shared" ref="Q12:Q14" si="5">+O12</f>
        <v>0.69119999999999993</v>
      </c>
      <c r="T12" s="264">
        <f t="shared" si="1"/>
        <v>1.28</v>
      </c>
      <c r="U12" s="264">
        <f t="shared" si="2"/>
        <v>1</v>
      </c>
      <c r="V12" s="222">
        <f>+SUMIFS($U$11:$U$29,$H$11:$H$29,"PVC rígido",$I$11:$I$29,"3/4""")</f>
        <v>0</v>
      </c>
      <c r="W12" s="222" t="s">
        <v>360</v>
      </c>
    </row>
    <row r="13" spans="1:33" ht="15" customHeight="1" x14ac:dyDescent="0.25">
      <c r="B13" s="889"/>
      <c r="C13" s="890"/>
      <c r="D13" s="890"/>
      <c r="E13" s="890"/>
      <c r="F13" s="228"/>
      <c r="G13" s="229">
        <f>+'RESER-SPDA-ELETRODUTO E CABOS'!G13</f>
        <v>3</v>
      </c>
      <c r="H13" s="233"/>
      <c r="I13" s="228"/>
      <c r="J13" s="234">
        <f>+'RESER-SPDA-ELETRODUTO E CABOS'!O13</f>
        <v>1</v>
      </c>
      <c r="K13" s="234">
        <f>+'RESER-SPDA-ELETRODUTO E CABOS'!Q13/1.1</f>
        <v>8.98</v>
      </c>
      <c r="L13" s="235">
        <f t="shared" si="0"/>
        <v>8.98</v>
      </c>
      <c r="M13" s="288">
        <f>+$M$12</f>
        <v>0.3</v>
      </c>
      <c r="N13" s="289">
        <f>+$N$12</f>
        <v>0.6</v>
      </c>
      <c r="O13" s="286">
        <f t="shared" si="3"/>
        <v>1.6163999999999998</v>
      </c>
      <c r="P13" s="234">
        <f t="shared" si="4"/>
        <v>2.694</v>
      </c>
      <c r="Q13" s="235">
        <f t="shared" si="5"/>
        <v>1.6163999999999998</v>
      </c>
      <c r="T13" s="264">
        <f t="shared" si="1"/>
        <v>2.9933333333333336</v>
      </c>
      <c r="U13" s="264">
        <f t="shared" si="2"/>
        <v>2</v>
      </c>
    </row>
    <row r="14" spans="1:33" ht="15" customHeight="1" x14ac:dyDescent="0.25">
      <c r="B14" s="889"/>
      <c r="C14" s="890"/>
      <c r="D14" s="890"/>
      <c r="E14" s="890"/>
      <c r="F14" s="228"/>
      <c r="G14" s="229">
        <f>+'RESER-SPDA-ELETRODUTO E CABOS'!G14</f>
        <v>4</v>
      </c>
      <c r="H14" s="233"/>
      <c r="I14" s="228"/>
      <c r="J14" s="234"/>
      <c r="K14" s="234"/>
      <c r="L14" s="235">
        <f t="shared" si="0"/>
        <v>0</v>
      </c>
      <c r="M14" s="288"/>
      <c r="N14" s="289"/>
      <c r="O14" s="286">
        <f t="shared" si="3"/>
        <v>0</v>
      </c>
      <c r="P14" s="234">
        <f t="shared" si="4"/>
        <v>0</v>
      </c>
      <c r="Q14" s="235">
        <f t="shared" si="5"/>
        <v>0</v>
      </c>
      <c r="T14" s="264">
        <f t="shared" si="1"/>
        <v>0</v>
      </c>
      <c r="U14" s="264">
        <f t="shared" si="2"/>
        <v>0</v>
      </c>
    </row>
    <row r="15" spans="1:33" ht="15" customHeight="1" x14ac:dyDescent="0.25">
      <c r="B15" s="889"/>
      <c r="C15" s="890"/>
      <c r="D15" s="890"/>
      <c r="E15" s="890"/>
      <c r="F15" s="228"/>
      <c r="G15" s="229">
        <f>+'RESER-SPDA-ELETRODUTO E CABOS'!G15</f>
        <v>5</v>
      </c>
      <c r="H15" s="233"/>
      <c r="I15" s="228"/>
      <c r="J15" s="234">
        <f>+'RESER-SPDA-ELETRODUTO E CABOS'!O15</f>
        <v>1</v>
      </c>
      <c r="K15" s="234">
        <f>+'RESER-SPDA-ELETRODUTO E CABOS'!Q15/1.1</f>
        <v>0.6</v>
      </c>
      <c r="L15" s="235">
        <f t="shared" ref="L15:L21" si="6">+J15*K15</f>
        <v>0.6</v>
      </c>
      <c r="M15" s="288">
        <f t="shared" ref="M15:M27" si="7">+$M$12</f>
        <v>0.3</v>
      </c>
      <c r="N15" s="289">
        <f t="shared" ref="N15:N27" si="8">+$N$12</f>
        <v>0.6</v>
      </c>
      <c r="O15" s="286">
        <f t="shared" ref="O15:O28" si="9">+J15*L15*M15*N15</f>
        <v>0.108</v>
      </c>
      <c r="P15" s="234">
        <f t="shared" ref="P15:P28" si="10">+J15*L15*M15</f>
        <v>0.18</v>
      </c>
      <c r="Q15" s="235">
        <f t="shared" ref="Q15:Q28" si="11">+O15</f>
        <v>0.108</v>
      </c>
      <c r="T15" s="264">
        <f t="shared" si="1"/>
        <v>0.19999999999999998</v>
      </c>
      <c r="U15" s="264">
        <f t="shared" ref="U15:U21" si="12">+ROUNDDOWN(T15,0)</f>
        <v>0</v>
      </c>
    </row>
    <row r="16" spans="1:33" ht="15" customHeight="1" x14ac:dyDescent="0.25">
      <c r="B16" s="889"/>
      <c r="C16" s="890"/>
      <c r="D16" s="890"/>
      <c r="E16" s="890"/>
      <c r="F16" s="228"/>
      <c r="G16" s="229">
        <f>+'RESER-SPDA-ELETRODUTO E CABOS'!G16</f>
        <v>6</v>
      </c>
      <c r="H16" s="233"/>
      <c r="I16" s="228"/>
      <c r="J16" s="234"/>
      <c r="K16" s="234"/>
      <c r="L16" s="235">
        <f t="shared" si="6"/>
        <v>0</v>
      </c>
      <c r="M16" s="288"/>
      <c r="N16" s="289"/>
      <c r="O16" s="286">
        <f t="shared" si="9"/>
        <v>0</v>
      </c>
      <c r="P16" s="234">
        <f t="shared" si="10"/>
        <v>0</v>
      </c>
      <c r="Q16" s="235">
        <f t="shared" si="11"/>
        <v>0</v>
      </c>
      <c r="T16" s="264">
        <f t="shared" si="1"/>
        <v>0</v>
      </c>
      <c r="U16" s="264">
        <f t="shared" si="12"/>
        <v>0</v>
      </c>
    </row>
    <row r="17" spans="2:26" ht="15" customHeight="1" x14ac:dyDescent="0.25">
      <c r="B17" s="889"/>
      <c r="C17" s="890"/>
      <c r="D17" s="890"/>
      <c r="E17" s="890"/>
      <c r="F17" s="228"/>
      <c r="G17" s="229">
        <f>+'RESER-SPDA-ELETRODUTO E CABOS'!G17</f>
        <v>7</v>
      </c>
      <c r="H17" s="233"/>
      <c r="I17" s="228"/>
      <c r="J17" s="234">
        <f>+'RESER-SPDA-ELETRODUTO E CABOS'!O17</f>
        <v>1</v>
      </c>
      <c r="K17" s="234">
        <f>+'RESER-SPDA-ELETRODUTO E CABOS'!Q17/1.1</f>
        <v>0.91</v>
      </c>
      <c r="L17" s="235">
        <f t="shared" si="6"/>
        <v>0.91</v>
      </c>
      <c r="M17" s="288">
        <f t="shared" si="7"/>
        <v>0.3</v>
      </c>
      <c r="N17" s="289">
        <f t="shared" si="8"/>
        <v>0.6</v>
      </c>
      <c r="O17" s="286">
        <f t="shared" si="9"/>
        <v>0.1638</v>
      </c>
      <c r="P17" s="234">
        <f t="shared" si="10"/>
        <v>0.27300000000000002</v>
      </c>
      <c r="Q17" s="235">
        <f t="shared" si="11"/>
        <v>0.1638</v>
      </c>
      <c r="T17" s="264">
        <f t="shared" si="1"/>
        <v>0.30333333333333334</v>
      </c>
      <c r="U17" s="264">
        <f t="shared" si="12"/>
        <v>0</v>
      </c>
    </row>
    <row r="18" spans="2:26" ht="15" customHeight="1" x14ac:dyDescent="0.25">
      <c r="B18" s="889"/>
      <c r="C18" s="890"/>
      <c r="D18" s="890"/>
      <c r="E18" s="890"/>
      <c r="F18" s="228"/>
      <c r="G18" s="229">
        <f>+'RESER-SPDA-ELETRODUTO E CABOS'!G18</f>
        <v>8</v>
      </c>
      <c r="H18" s="233"/>
      <c r="I18" s="228"/>
      <c r="J18" s="234">
        <f>+'RESER-SPDA-ELETRODUTO E CABOS'!O18</f>
        <v>1</v>
      </c>
      <c r="K18" s="234">
        <f>+'RESER-SPDA-ELETRODUTO E CABOS'!Q18/1.1</f>
        <v>17.14</v>
      </c>
      <c r="L18" s="235">
        <f t="shared" si="6"/>
        <v>17.14</v>
      </c>
      <c r="M18" s="288">
        <f t="shared" si="7"/>
        <v>0.3</v>
      </c>
      <c r="N18" s="289">
        <f t="shared" si="8"/>
        <v>0.6</v>
      </c>
      <c r="O18" s="286">
        <f t="shared" si="9"/>
        <v>3.0851999999999999</v>
      </c>
      <c r="P18" s="234">
        <f t="shared" si="10"/>
        <v>5.1420000000000003</v>
      </c>
      <c r="Q18" s="235">
        <f t="shared" si="11"/>
        <v>3.0851999999999999</v>
      </c>
      <c r="T18" s="264">
        <f t="shared" si="1"/>
        <v>5.7133333333333338</v>
      </c>
      <c r="U18" s="264">
        <f t="shared" si="12"/>
        <v>5</v>
      </c>
    </row>
    <row r="19" spans="2:26" ht="15" customHeight="1" x14ac:dyDescent="0.25">
      <c r="B19" s="889"/>
      <c r="C19" s="890"/>
      <c r="D19" s="890"/>
      <c r="E19" s="890"/>
      <c r="F19" s="228"/>
      <c r="G19" s="229">
        <f>+'RESER-SPDA-ELETRODUTO E CABOS'!G19</f>
        <v>9</v>
      </c>
      <c r="H19" s="233"/>
      <c r="I19" s="228"/>
      <c r="J19" s="234">
        <f>+'RESER-SPDA-ELETRODUTO E CABOS'!O19</f>
        <v>1</v>
      </c>
      <c r="K19" s="234">
        <f>+'RESER-SPDA-ELETRODUTO E CABOS'!Q19/1.1</f>
        <v>1.8</v>
      </c>
      <c r="L19" s="235">
        <f t="shared" si="6"/>
        <v>1.8</v>
      </c>
      <c r="M19" s="288">
        <f t="shared" si="7"/>
        <v>0.3</v>
      </c>
      <c r="N19" s="289">
        <f t="shared" si="8"/>
        <v>0.6</v>
      </c>
      <c r="O19" s="286">
        <f t="shared" si="9"/>
        <v>0.32400000000000001</v>
      </c>
      <c r="P19" s="234">
        <f t="shared" si="10"/>
        <v>0.54</v>
      </c>
      <c r="Q19" s="235">
        <f t="shared" si="11"/>
        <v>0.32400000000000001</v>
      </c>
      <c r="T19" s="264">
        <f t="shared" si="1"/>
        <v>0.6</v>
      </c>
      <c r="U19" s="264">
        <f t="shared" si="12"/>
        <v>0</v>
      </c>
    </row>
    <row r="20" spans="2:26" ht="15" customHeight="1" x14ac:dyDescent="0.25">
      <c r="B20" s="889"/>
      <c r="C20" s="890"/>
      <c r="D20" s="890"/>
      <c r="E20" s="890"/>
      <c r="F20" s="228"/>
      <c r="G20" s="229">
        <f>+'RESER-SPDA-ELETRODUTO E CABOS'!G20</f>
        <v>10</v>
      </c>
      <c r="H20" s="233"/>
      <c r="I20" s="228"/>
      <c r="J20" s="234">
        <f>+'RESER-SPDA-ELETRODUTO E CABOS'!O20</f>
        <v>1</v>
      </c>
      <c r="K20" s="234">
        <f>+'RESER-SPDA-ELETRODUTO E CABOS'!Q20/1.1</f>
        <v>0.56999999999999995</v>
      </c>
      <c r="L20" s="235">
        <f t="shared" si="6"/>
        <v>0.56999999999999995</v>
      </c>
      <c r="M20" s="288">
        <f t="shared" si="7"/>
        <v>0.3</v>
      </c>
      <c r="N20" s="289">
        <f t="shared" si="8"/>
        <v>0.6</v>
      </c>
      <c r="O20" s="286">
        <f t="shared" si="9"/>
        <v>0.10259999999999998</v>
      </c>
      <c r="P20" s="234">
        <f t="shared" si="10"/>
        <v>0.17099999999999999</v>
      </c>
      <c r="Q20" s="235">
        <f t="shared" si="11"/>
        <v>0.10259999999999998</v>
      </c>
      <c r="T20" s="264">
        <f t="shared" si="1"/>
        <v>0.18999999999999997</v>
      </c>
      <c r="U20" s="264">
        <f t="shared" si="12"/>
        <v>0</v>
      </c>
    </row>
    <row r="21" spans="2:26" ht="15" customHeight="1" x14ac:dyDescent="0.25">
      <c r="B21" s="889"/>
      <c r="C21" s="890"/>
      <c r="D21" s="890"/>
      <c r="E21" s="890"/>
      <c r="F21" s="228"/>
      <c r="G21" s="229">
        <f>+'RESER-SPDA-ELETRODUTO E CABOS'!G21</f>
        <v>11</v>
      </c>
      <c r="H21" s="233"/>
      <c r="I21" s="228"/>
      <c r="J21" s="234"/>
      <c r="K21" s="234"/>
      <c r="L21" s="235">
        <f t="shared" si="6"/>
        <v>0</v>
      </c>
      <c r="M21" s="288"/>
      <c r="N21" s="289"/>
      <c r="O21" s="286">
        <f t="shared" si="9"/>
        <v>0</v>
      </c>
      <c r="P21" s="234">
        <f t="shared" si="10"/>
        <v>0</v>
      </c>
      <c r="Q21" s="235">
        <f t="shared" si="11"/>
        <v>0</v>
      </c>
      <c r="T21" s="264">
        <f t="shared" si="1"/>
        <v>0</v>
      </c>
      <c r="U21" s="264">
        <f t="shared" si="12"/>
        <v>0</v>
      </c>
    </row>
    <row r="22" spans="2:26" ht="15" customHeight="1" x14ac:dyDescent="0.25">
      <c r="B22" s="889"/>
      <c r="C22" s="890"/>
      <c r="D22" s="890"/>
      <c r="E22" s="890"/>
      <c r="F22" s="228"/>
      <c r="G22" s="229">
        <f>+'RESER-SPDA-ELETRODUTO E CABOS'!G22</f>
        <v>12</v>
      </c>
      <c r="H22" s="233"/>
      <c r="I22" s="228"/>
      <c r="J22" s="234"/>
      <c r="K22" s="234"/>
      <c r="L22" s="235">
        <f t="shared" si="0"/>
        <v>0</v>
      </c>
      <c r="M22" s="288"/>
      <c r="N22" s="289"/>
      <c r="O22" s="286">
        <f t="shared" si="9"/>
        <v>0</v>
      </c>
      <c r="P22" s="234">
        <f t="shared" si="10"/>
        <v>0</v>
      </c>
      <c r="Q22" s="235">
        <f t="shared" si="11"/>
        <v>0</v>
      </c>
      <c r="T22" s="264">
        <f t="shared" si="1"/>
        <v>0</v>
      </c>
      <c r="U22" s="264">
        <f t="shared" si="2"/>
        <v>0</v>
      </c>
    </row>
    <row r="23" spans="2:26" ht="15" customHeight="1" x14ac:dyDescent="0.25">
      <c r="B23" s="889"/>
      <c r="C23" s="890"/>
      <c r="D23" s="890"/>
      <c r="E23" s="890"/>
      <c r="F23" s="228"/>
      <c r="G23" s="229">
        <f>+'RESER-SPDA-ELETRODUTO E CABOS'!G23</f>
        <v>13</v>
      </c>
      <c r="H23" s="233"/>
      <c r="I23" s="228"/>
      <c r="J23" s="234"/>
      <c r="K23" s="234"/>
      <c r="L23" s="235">
        <f t="shared" si="0"/>
        <v>0</v>
      </c>
      <c r="M23" s="288"/>
      <c r="N23" s="289"/>
      <c r="O23" s="286">
        <f t="shared" si="9"/>
        <v>0</v>
      </c>
      <c r="P23" s="234">
        <f t="shared" si="10"/>
        <v>0</v>
      </c>
      <c r="Q23" s="235">
        <f t="shared" si="11"/>
        <v>0</v>
      </c>
      <c r="T23" s="264">
        <f t="shared" si="1"/>
        <v>0</v>
      </c>
      <c r="U23" s="264">
        <f t="shared" si="2"/>
        <v>0</v>
      </c>
    </row>
    <row r="24" spans="2:26" ht="15" customHeight="1" x14ac:dyDescent="0.25">
      <c r="B24" s="889"/>
      <c r="C24" s="890"/>
      <c r="D24" s="890"/>
      <c r="E24" s="890"/>
      <c r="F24" s="228"/>
      <c r="G24" s="229">
        <f>+'RESER-SPDA-ELETRODUTO E CABOS'!G24</f>
        <v>14</v>
      </c>
      <c r="H24" s="233"/>
      <c r="I24" s="228"/>
      <c r="J24" s="234">
        <f>+'RESER-SPDA-ELETRODUTO E CABOS'!O24</f>
        <v>1</v>
      </c>
      <c r="K24" s="234">
        <f>+'RESER-SPDA-ELETRODUTO E CABOS'!Q24/1.1</f>
        <v>0.49</v>
      </c>
      <c r="L24" s="235">
        <f t="shared" ref="L24:L27" si="13">+J24*K24</f>
        <v>0.49</v>
      </c>
      <c r="M24" s="288">
        <f t="shared" si="7"/>
        <v>0.3</v>
      </c>
      <c r="N24" s="289">
        <f t="shared" si="8"/>
        <v>0.6</v>
      </c>
      <c r="O24" s="286">
        <f t="shared" si="9"/>
        <v>8.8199999999999987E-2</v>
      </c>
      <c r="P24" s="234">
        <f t="shared" si="10"/>
        <v>0.14699999999999999</v>
      </c>
      <c r="Q24" s="235">
        <f t="shared" si="11"/>
        <v>8.8199999999999987E-2</v>
      </c>
      <c r="T24" s="264">
        <f t="shared" si="1"/>
        <v>0.16333333333333333</v>
      </c>
      <c r="U24" s="264">
        <f t="shared" ref="U24:U27" si="14">+ROUNDDOWN(T24,0)</f>
        <v>0</v>
      </c>
    </row>
    <row r="25" spans="2:26" ht="15" customHeight="1" x14ac:dyDescent="0.25">
      <c r="B25" s="889"/>
      <c r="C25" s="890"/>
      <c r="D25" s="890"/>
      <c r="E25" s="890"/>
      <c r="F25" s="228"/>
      <c r="G25" s="229">
        <f>+'RESER-SPDA-ELETRODUTO E CABOS'!G25</f>
        <v>15</v>
      </c>
      <c r="H25" s="233"/>
      <c r="I25" s="228"/>
      <c r="J25" s="234">
        <f>+'RESER-SPDA-ELETRODUTO E CABOS'!O25</f>
        <v>1</v>
      </c>
      <c r="K25" s="234">
        <f>+'RESER-SPDA-ELETRODUTO E CABOS'!Q25/1.1</f>
        <v>2.79</v>
      </c>
      <c r="L25" s="235">
        <f t="shared" si="13"/>
        <v>2.79</v>
      </c>
      <c r="M25" s="288">
        <f t="shared" si="7"/>
        <v>0.3</v>
      </c>
      <c r="N25" s="289">
        <f t="shared" si="8"/>
        <v>0.6</v>
      </c>
      <c r="O25" s="286">
        <f t="shared" si="9"/>
        <v>0.50219999999999998</v>
      </c>
      <c r="P25" s="234">
        <f t="shared" si="10"/>
        <v>0.83699999999999997</v>
      </c>
      <c r="Q25" s="235">
        <f t="shared" si="11"/>
        <v>0.50219999999999998</v>
      </c>
      <c r="T25" s="264">
        <f t="shared" si="1"/>
        <v>0.93</v>
      </c>
      <c r="U25" s="264">
        <f t="shared" si="14"/>
        <v>0</v>
      </c>
    </row>
    <row r="26" spans="2:26" ht="15" customHeight="1" x14ac:dyDescent="0.25">
      <c r="B26" s="889"/>
      <c r="C26" s="890"/>
      <c r="D26" s="890"/>
      <c r="E26" s="890"/>
      <c r="F26" s="228"/>
      <c r="G26" s="229">
        <f>+'RESER-SPDA-ELETRODUTO E CABOS'!G26</f>
        <v>16</v>
      </c>
      <c r="H26" s="233"/>
      <c r="I26" s="228"/>
      <c r="J26" s="234"/>
      <c r="K26" s="234"/>
      <c r="L26" s="235">
        <f t="shared" si="13"/>
        <v>0</v>
      </c>
      <c r="M26" s="288"/>
      <c r="N26" s="289"/>
      <c r="O26" s="286">
        <f t="shared" si="9"/>
        <v>0</v>
      </c>
      <c r="P26" s="234">
        <f t="shared" si="10"/>
        <v>0</v>
      </c>
      <c r="Q26" s="235">
        <f t="shared" si="11"/>
        <v>0</v>
      </c>
      <c r="T26" s="264">
        <f t="shared" si="1"/>
        <v>0</v>
      </c>
      <c r="U26" s="264">
        <f t="shared" si="14"/>
        <v>0</v>
      </c>
    </row>
    <row r="27" spans="2:26" ht="15" customHeight="1" x14ac:dyDescent="0.25">
      <c r="B27" s="889"/>
      <c r="C27" s="890"/>
      <c r="D27" s="890"/>
      <c r="E27" s="890"/>
      <c r="F27" s="228"/>
      <c r="G27" s="229">
        <f>+'RESER-SPDA-ELETRODUTO E CABOS'!G27</f>
        <v>17</v>
      </c>
      <c r="H27" s="233"/>
      <c r="I27" s="228"/>
      <c r="J27" s="234">
        <f>+'RESER-SPDA-ELETRODUTO E CABOS'!O27</f>
        <v>1</v>
      </c>
      <c r="K27" s="234">
        <f>+'RESER-SPDA-ELETRODUTO E CABOS'!Q27/1.1</f>
        <v>4.5599999999999996</v>
      </c>
      <c r="L27" s="235">
        <f t="shared" si="13"/>
        <v>4.5599999999999996</v>
      </c>
      <c r="M27" s="288">
        <f t="shared" si="7"/>
        <v>0.3</v>
      </c>
      <c r="N27" s="289">
        <f t="shared" si="8"/>
        <v>0.6</v>
      </c>
      <c r="O27" s="286">
        <f t="shared" si="9"/>
        <v>0.82079999999999986</v>
      </c>
      <c r="P27" s="234">
        <f t="shared" si="10"/>
        <v>1.3679999999999999</v>
      </c>
      <c r="Q27" s="235">
        <f t="shared" si="11"/>
        <v>0.82079999999999986</v>
      </c>
      <c r="T27" s="264">
        <f t="shared" si="1"/>
        <v>1.5199999999999998</v>
      </c>
      <c r="U27" s="264">
        <f t="shared" si="14"/>
        <v>1</v>
      </c>
    </row>
    <row r="28" spans="2:26" ht="15" customHeight="1" x14ac:dyDescent="0.25">
      <c r="B28" s="889"/>
      <c r="C28" s="890"/>
      <c r="D28" s="890"/>
      <c r="E28" s="890"/>
      <c r="F28" s="228"/>
      <c r="G28" s="229">
        <f>+'RESER-SPDA-ELETRODUTO E CABOS'!G28</f>
        <v>18</v>
      </c>
      <c r="H28" s="233"/>
      <c r="I28" s="228"/>
      <c r="J28" s="234"/>
      <c r="K28" s="234"/>
      <c r="L28" s="235">
        <f t="shared" si="0"/>
        <v>0</v>
      </c>
      <c r="M28" s="288"/>
      <c r="N28" s="289"/>
      <c r="O28" s="286">
        <f t="shared" si="9"/>
        <v>0</v>
      </c>
      <c r="P28" s="234">
        <f t="shared" si="10"/>
        <v>0</v>
      </c>
      <c r="Q28" s="235">
        <f t="shared" si="11"/>
        <v>0</v>
      </c>
      <c r="T28" s="264">
        <f t="shared" si="1"/>
        <v>0</v>
      </c>
      <c r="U28" s="264">
        <f t="shared" si="2"/>
        <v>0</v>
      </c>
    </row>
    <row r="29" spans="2:26" ht="15" customHeight="1" thickBot="1" x14ac:dyDescent="0.3">
      <c r="B29" s="889"/>
      <c r="C29" s="890"/>
      <c r="D29" s="890"/>
      <c r="E29" s="890"/>
      <c r="F29" s="228"/>
      <c r="G29" s="229"/>
      <c r="H29" s="233"/>
      <c r="I29" s="228"/>
      <c r="J29" s="234"/>
      <c r="K29" s="234"/>
      <c r="L29" s="235"/>
      <c r="M29" s="288"/>
      <c r="N29" s="289"/>
      <c r="O29" s="286"/>
      <c r="P29" s="234"/>
      <c r="Q29" s="235"/>
      <c r="T29" s="264"/>
      <c r="U29" s="264"/>
    </row>
    <row r="30" spans="2:26" s="88" customFormat="1" ht="30" customHeight="1" thickBot="1" x14ac:dyDescent="0.3">
      <c r="B30" s="794" t="s">
        <v>146</v>
      </c>
      <c r="C30" s="795"/>
      <c r="D30" s="795"/>
      <c r="E30" s="795"/>
      <c r="F30" s="795"/>
      <c r="G30" s="795"/>
      <c r="H30" s="795"/>
      <c r="I30" s="795"/>
      <c r="J30" s="795"/>
      <c r="K30" s="795"/>
      <c r="L30" s="796"/>
      <c r="M30" s="106"/>
      <c r="N30" s="106"/>
      <c r="O30" s="106">
        <f>SUM(O11:O29)</f>
        <v>7.5023999999999997</v>
      </c>
      <c r="P30" s="106">
        <f>SUM(P11:P29)</f>
        <v>12.503999999999998</v>
      </c>
      <c r="Q30" s="291">
        <f>SUM(Q11:Q29)</f>
        <v>7.5023999999999997</v>
      </c>
      <c r="R30" s="222"/>
      <c r="S30" s="222"/>
      <c r="T30" s="264">
        <f t="shared" ref="T30:T31" si="15">+(K30/3)*J30</f>
        <v>0</v>
      </c>
      <c r="U30" s="264">
        <f t="shared" si="2"/>
        <v>0</v>
      </c>
      <c r="V30" s="222"/>
      <c r="W30" s="222"/>
      <c r="X30" s="222"/>
      <c r="Y30" s="222"/>
      <c r="Z30" s="222"/>
    </row>
    <row r="31" spans="2:26" s="88" customFormat="1" ht="30" customHeight="1" x14ac:dyDescent="0.25">
      <c r="B31" s="793"/>
      <c r="C31" s="793"/>
      <c r="D31" s="9"/>
      <c r="E31" s="9"/>
      <c r="F31" s="9"/>
      <c r="G31" s="9"/>
      <c r="H31" s="9"/>
      <c r="I31" s="9"/>
      <c r="J31" s="9"/>
      <c r="K31" s="9"/>
      <c r="L31" s="9"/>
      <c r="M31" s="9"/>
      <c r="N31" s="9"/>
      <c r="O31" s="9"/>
      <c r="P31" s="9"/>
      <c r="R31" s="222"/>
      <c r="S31" s="222"/>
      <c r="T31" s="264">
        <f t="shared" si="15"/>
        <v>0</v>
      </c>
      <c r="U31" s="264">
        <f t="shared" si="2"/>
        <v>0</v>
      </c>
      <c r="V31" s="222"/>
      <c r="W31" s="222"/>
      <c r="X31" s="222"/>
      <c r="Y31" s="222"/>
      <c r="Z31" s="222"/>
    </row>
    <row r="32" spans="2:26" s="89" customFormat="1" ht="20.100000000000001" customHeight="1" x14ac:dyDescent="0.25">
      <c r="B32" s="746" t="s">
        <v>255</v>
      </c>
      <c r="C32" s="746"/>
      <c r="D32" s="746"/>
      <c r="E32" s="746"/>
      <c r="F32" s="746"/>
      <c r="G32" s="746"/>
      <c r="H32" s="746"/>
      <c r="I32" s="746"/>
      <c r="J32" s="746"/>
      <c r="K32" s="746"/>
      <c r="L32" s="746"/>
      <c r="W32" s="90"/>
    </row>
    <row r="33" spans="2:22" s="89" customFormat="1" ht="20.100000000000001" customHeight="1" x14ac:dyDescent="0.25">
      <c r="B33" s="31" t="s">
        <v>218</v>
      </c>
      <c r="D33" s="200"/>
      <c r="E33" s="200" t="s">
        <v>672</v>
      </c>
      <c r="F33" s="31" t="s">
        <v>671</v>
      </c>
      <c r="G33" s="31"/>
      <c r="H33" s="31"/>
      <c r="I33" s="31"/>
      <c r="J33" s="31"/>
      <c r="P33" s="194" t="s">
        <v>219</v>
      </c>
      <c r="Q33" s="199">
        <f>+O30</f>
        <v>7.5023999999999997</v>
      </c>
      <c r="R33" s="194"/>
      <c r="S33" s="195"/>
      <c r="V33" s="193"/>
    </row>
    <row r="34" spans="2:22" s="89" customFormat="1" ht="20.100000000000001" customHeight="1" x14ac:dyDescent="0.25">
      <c r="B34" s="31" t="s">
        <v>218</v>
      </c>
      <c r="D34" s="200"/>
      <c r="E34" s="200" t="s">
        <v>220</v>
      </c>
      <c r="F34" s="31" t="s">
        <v>221</v>
      </c>
      <c r="G34" s="31"/>
      <c r="H34" s="31"/>
      <c r="I34" s="31"/>
      <c r="J34" s="31"/>
      <c r="P34" s="194" t="s">
        <v>222</v>
      </c>
      <c r="Q34" s="199">
        <f>+P30</f>
        <v>12.503999999999998</v>
      </c>
      <c r="R34" s="194"/>
      <c r="S34" s="195"/>
      <c r="V34" s="193"/>
    </row>
    <row r="35" spans="2:22" s="89" customFormat="1" ht="20.100000000000001" customHeight="1" x14ac:dyDescent="0.25">
      <c r="B35" s="31" t="s">
        <v>218</v>
      </c>
      <c r="D35" s="200"/>
      <c r="E35" s="200" t="s">
        <v>278</v>
      </c>
      <c r="F35" s="31" t="s">
        <v>279</v>
      </c>
      <c r="G35" s="31"/>
      <c r="H35" s="31"/>
      <c r="I35" s="31"/>
      <c r="J35" s="31"/>
      <c r="P35" s="194" t="s">
        <v>219</v>
      </c>
      <c r="Q35" s="199">
        <f>+Q30</f>
        <v>7.5023999999999997</v>
      </c>
      <c r="R35" s="194"/>
      <c r="S35" s="195"/>
      <c r="V35" s="193"/>
    </row>
  </sheetData>
  <mergeCells count="29">
    <mergeCell ref="B1:Q2"/>
    <mergeCell ref="B9:E10"/>
    <mergeCell ref="F9:F10"/>
    <mergeCell ref="G9:G10"/>
    <mergeCell ref="H9:L9"/>
    <mergeCell ref="M9:O9"/>
    <mergeCell ref="E4:O4"/>
    <mergeCell ref="B11:E11"/>
    <mergeCell ref="B12:E12"/>
    <mergeCell ref="B13:E13"/>
    <mergeCell ref="B14:E14"/>
    <mergeCell ref="B22:E22"/>
    <mergeCell ref="B15:E15"/>
    <mergeCell ref="B16:E16"/>
    <mergeCell ref="B17:E17"/>
    <mergeCell ref="B18:E18"/>
    <mergeCell ref="B19:E19"/>
    <mergeCell ref="B20:E20"/>
    <mergeCell ref="B21:E21"/>
    <mergeCell ref="B23:E23"/>
    <mergeCell ref="B32:L32"/>
    <mergeCell ref="B24:E24"/>
    <mergeCell ref="B25:E25"/>
    <mergeCell ref="B26:E26"/>
    <mergeCell ref="B27:E27"/>
    <mergeCell ref="B28:E28"/>
    <mergeCell ref="B29:E29"/>
    <mergeCell ref="B30:L30"/>
    <mergeCell ref="B31:C31"/>
  </mergeCells>
  <conditionalFormatting sqref="B11:B31">
    <cfRule type="expression" dxfId="9" priority="5">
      <formula>MOD(ROW(),2)=0</formula>
    </cfRule>
  </conditionalFormatting>
  <conditionalFormatting sqref="F11:Q29">
    <cfRule type="expression" dxfId="8" priority="1">
      <formula>MOD(ROW(),2)=0</formula>
    </cfRule>
  </conditionalFormatting>
  <conditionalFormatting sqref="M30:Q30 F31:Q31">
    <cfRule type="expression" dxfId="7" priority="7">
      <formula>MOD(ROW(),2)=0</formula>
    </cfRule>
  </conditionalFormatting>
  <printOptions horizontalCentered="1"/>
  <pageMargins left="0.51181102362204722" right="0.51181102362204722" top="0.78740157480314965" bottom="0.78740157480314965" header="0.31496062992125984" footer="0.31496062992125984"/>
  <pageSetup paperSize="9" scale="75"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33CA2-6F72-404A-8DDA-7A02657FEA7B}">
  <dimension ref="A1:AJ26"/>
  <sheetViews>
    <sheetView showGridLines="0" view="pageBreakPreview" zoomScaleNormal="70" zoomScaleSheetLayoutView="100" workbookViewId="0">
      <selection activeCell="Q14" sqref="Q14:Q15"/>
    </sheetView>
  </sheetViews>
  <sheetFormatPr defaultRowHeight="12.75" x14ac:dyDescent="0.25"/>
  <cols>
    <col min="1" max="1" width="1.7109375" style="30" customWidth="1"/>
    <col min="2" max="2" width="9.140625" style="30" customWidth="1"/>
    <col min="3" max="3" width="8.140625" style="30" customWidth="1"/>
    <col min="4" max="9" width="3.7109375" style="30" customWidth="1"/>
    <col min="10" max="10" width="5.28515625" style="30" customWidth="1"/>
    <col min="11" max="12" width="3.7109375" style="30" customWidth="1"/>
    <col min="13" max="13" width="16" style="31" customWidth="1"/>
    <col min="14" max="15" width="10.7109375" style="30" customWidth="1"/>
    <col min="16" max="16" width="10.85546875" style="30" customWidth="1"/>
    <col min="17" max="23" width="10.7109375" style="30" customWidth="1"/>
    <col min="24" max="24" width="3.5703125" style="159" customWidth="1"/>
    <col min="25" max="25" width="1.7109375" style="30" customWidth="1"/>
    <col min="26" max="16384" width="9.140625" style="30"/>
  </cols>
  <sheetData>
    <row r="1" spans="1:29" s="11" customFormat="1" ht="20.100000000000001" customHeight="1" x14ac:dyDescent="0.25">
      <c r="A1" s="69"/>
      <c r="B1" s="569" t="s">
        <v>133</v>
      </c>
      <c r="C1" s="569"/>
      <c r="D1" s="569"/>
      <c r="E1" s="569"/>
      <c r="F1" s="569"/>
      <c r="G1" s="569"/>
      <c r="H1" s="569"/>
      <c r="I1" s="569"/>
      <c r="J1" s="569"/>
      <c r="K1" s="569"/>
      <c r="L1" s="569"/>
      <c r="M1" s="569"/>
      <c r="N1" s="569"/>
      <c r="O1" s="569"/>
      <c r="P1" s="569"/>
      <c r="Q1" s="569"/>
      <c r="R1" s="569"/>
      <c r="S1" s="569"/>
      <c r="T1" s="569"/>
      <c r="U1" s="569"/>
      <c r="V1" s="569"/>
      <c r="W1" s="569"/>
      <c r="X1" s="569"/>
      <c r="Y1" s="69"/>
      <c r="Z1" s="69"/>
      <c r="AA1" s="69"/>
      <c r="AB1" s="69"/>
      <c r="AC1" s="69"/>
    </row>
    <row r="2" spans="1:29" s="11" customFormat="1" ht="20.100000000000001" customHeight="1" x14ac:dyDescent="0.25">
      <c r="A2" s="69"/>
      <c r="B2" s="569"/>
      <c r="C2" s="569"/>
      <c r="D2" s="569"/>
      <c r="E2" s="569"/>
      <c r="F2" s="569"/>
      <c r="G2" s="569"/>
      <c r="H2" s="569"/>
      <c r="I2" s="569"/>
      <c r="J2" s="569"/>
      <c r="K2" s="569"/>
      <c r="L2" s="569"/>
      <c r="M2" s="569"/>
      <c r="N2" s="569"/>
      <c r="O2" s="569"/>
      <c r="P2" s="569"/>
      <c r="Q2" s="569"/>
      <c r="R2" s="569"/>
      <c r="S2" s="569"/>
      <c r="T2" s="569"/>
      <c r="U2" s="569"/>
      <c r="V2" s="569"/>
      <c r="W2" s="569"/>
      <c r="X2" s="569"/>
      <c r="Y2" s="69"/>
      <c r="Z2" s="69"/>
      <c r="AA2" s="69"/>
      <c r="AB2" s="69"/>
      <c r="AC2" s="69"/>
    </row>
    <row r="3" spans="1:29" s="11" customFormat="1" ht="20.100000000000001" customHeight="1" x14ac:dyDescent="0.25">
      <c r="A3" s="69"/>
      <c r="B3" s="69"/>
      <c r="C3" s="69"/>
      <c r="D3" s="69"/>
      <c r="E3" s="69"/>
      <c r="F3" s="69"/>
      <c r="G3" s="69"/>
      <c r="H3" s="69"/>
      <c r="I3" s="69"/>
      <c r="J3" s="69"/>
      <c r="K3" s="69"/>
      <c r="L3" s="69"/>
      <c r="M3" s="69"/>
      <c r="N3" s="69"/>
      <c r="O3" s="69"/>
      <c r="P3" s="69"/>
      <c r="Q3" s="69"/>
      <c r="R3" s="69"/>
      <c r="S3" s="69"/>
      <c r="T3" s="69"/>
      <c r="U3" s="69"/>
      <c r="V3" s="69"/>
      <c r="W3" s="69"/>
      <c r="X3" s="181"/>
      <c r="Y3" s="69"/>
      <c r="Z3" s="69"/>
      <c r="AA3" s="69"/>
      <c r="AB3" s="69"/>
      <c r="AC3" s="69"/>
    </row>
    <row r="4" spans="1:29"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3" t="s">
        <v>96</v>
      </c>
      <c r="W4" s="4" t="str">
        <f>+'DADOS DA OBRA'!$N$22</f>
        <v>04/11/2024</v>
      </c>
      <c r="X4" s="50"/>
      <c r="Z4" s="32"/>
      <c r="AA4" s="32"/>
      <c r="AB4" s="33"/>
      <c r="AC4" s="33"/>
    </row>
    <row r="5" spans="1:29" s="5" customFormat="1" ht="20.100000000000001" customHeight="1" x14ac:dyDescent="0.25">
      <c r="B5" s="1" t="s">
        <v>18</v>
      </c>
      <c r="C5" s="2" t="str">
        <f>+""&amp;'DADOS DA OBRA'!$B$16&amp;", "&amp;'DADOS DA OBRA'!$B$19&amp;", "&amp;'DADOS DA OBRA'!$J$19&amp;", "&amp;'DADOS DA OBRA'!$P$19</f>
        <v>RUAS DIVERSAS, DIVERSOS, MATRINCHÃ, GO</v>
      </c>
      <c r="D5" s="1"/>
      <c r="E5" s="1"/>
      <c r="F5" s="1"/>
      <c r="G5" s="1"/>
      <c r="H5" s="1"/>
      <c r="I5" s="1"/>
      <c r="V5" s="3" t="s">
        <v>17</v>
      </c>
      <c r="W5" s="4" t="str">
        <f>'DADOS DA OBRA'!$N$25</f>
        <v>00</v>
      </c>
      <c r="X5" s="50"/>
    </row>
    <row r="6" spans="1:29" s="5" customFormat="1" ht="20.100000000000001" customHeight="1" x14ac:dyDescent="0.25">
      <c r="X6" s="50"/>
    </row>
    <row r="7" spans="1:29" s="5" customFormat="1" ht="20.100000000000001" customHeight="1" x14ac:dyDescent="0.25">
      <c r="B7" s="1" t="s">
        <v>97</v>
      </c>
      <c r="C7" s="39" t="s">
        <v>686</v>
      </c>
      <c r="D7" s="1"/>
      <c r="E7" s="1"/>
      <c r="F7" s="1"/>
      <c r="G7" s="1"/>
      <c r="H7" s="1"/>
      <c r="I7" s="1"/>
      <c r="V7" s="3" t="s">
        <v>18</v>
      </c>
      <c r="W7" s="64" t="s">
        <v>239</v>
      </c>
      <c r="X7" s="50"/>
    </row>
    <row r="8" spans="1:29" s="8" customFormat="1" ht="20.100000000000001" customHeight="1" thickBot="1" x14ac:dyDescent="0.3">
      <c r="A8" s="67"/>
      <c r="B8" s="52"/>
      <c r="C8" s="52"/>
      <c r="D8" s="52"/>
      <c r="E8" s="52"/>
      <c r="F8" s="52"/>
      <c r="G8" s="52"/>
      <c r="H8" s="52"/>
      <c r="I8" s="52"/>
      <c r="J8" s="53"/>
      <c r="K8" s="9"/>
      <c r="L8" s="9"/>
      <c r="M8" s="9"/>
      <c r="N8" s="10"/>
      <c r="O8" s="10"/>
      <c r="P8" s="9"/>
      <c r="Q8" s="67"/>
      <c r="R8" s="67"/>
      <c r="S8" s="67"/>
      <c r="T8" s="67"/>
      <c r="U8" s="67"/>
      <c r="V8" s="67"/>
      <c r="W8" s="67"/>
      <c r="X8" s="164"/>
      <c r="Y8" s="67"/>
      <c r="Z8" s="67"/>
      <c r="AA8" s="67"/>
      <c r="AB8" s="67"/>
      <c r="AC8" s="67"/>
    </row>
    <row r="9" spans="1:29" s="8" customFormat="1" ht="26.25" customHeight="1" x14ac:dyDescent="0.25">
      <c r="A9" s="67"/>
      <c r="B9" s="858"/>
      <c r="C9" s="859"/>
      <c r="D9" s="859"/>
      <c r="E9" s="859"/>
      <c r="F9" s="859"/>
      <c r="G9" s="859"/>
      <c r="H9" s="859"/>
      <c r="I9" s="859"/>
      <c r="J9" s="860"/>
      <c r="K9" s="860"/>
      <c r="L9" s="860"/>
      <c r="M9" s="860"/>
      <c r="N9" s="162" t="s">
        <v>688</v>
      </c>
      <c r="O9" s="162" t="s">
        <v>689</v>
      </c>
      <c r="P9" s="162"/>
      <c r="Q9" s="162"/>
      <c r="R9" s="162"/>
      <c r="S9" s="162"/>
      <c r="T9" s="162"/>
      <c r="U9" s="162"/>
      <c r="V9" s="162"/>
      <c r="W9" s="151" t="s">
        <v>203</v>
      </c>
      <c r="X9" s="163"/>
      <c r="Y9" s="67"/>
      <c r="Z9" s="67"/>
      <c r="AA9" s="67"/>
      <c r="AB9" s="67"/>
      <c r="AC9" s="67"/>
    </row>
    <row r="10" spans="1:29" s="8" customFormat="1" ht="20.100000000000001" customHeight="1" x14ac:dyDescent="0.25">
      <c r="A10" s="67"/>
      <c r="B10" s="861" t="s">
        <v>204</v>
      </c>
      <c r="C10" s="862"/>
      <c r="D10" s="862"/>
      <c r="E10" s="862"/>
      <c r="F10" s="862"/>
      <c r="G10" s="862"/>
      <c r="H10" s="862"/>
      <c r="I10" s="862"/>
      <c r="J10" s="863"/>
      <c r="K10" s="863"/>
      <c r="L10" s="863"/>
      <c r="M10" s="863"/>
      <c r="N10" s="152"/>
      <c r="O10" s="152"/>
      <c r="P10" s="152"/>
      <c r="Q10" s="152"/>
      <c r="R10" s="152"/>
      <c r="S10" s="152"/>
      <c r="T10" s="152"/>
      <c r="U10" s="152"/>
      <c r="V10" s="152"/>
      <c r="W10" s="152"/>
      <c r="X10" s="184" t="s">
        <v>41</v>
      </c>
      <c r="Y10" s="67"/>
      <c r="Z10" s="67"/>
      <c r="AA10" s="67"/>
      <c r="AB10" s="67"/>
      <c r="AC10" s="67"/>
    </row>
    <row r="11" spans="1:29" s="7" customFormat="1" ht="20.100000000000001" customHeight="1" x14ac:dyDescent="0.25">
      <c r="B11" s="861" t="s">
        <v>205</v>
      </c>
      <c r="C11" s="862"/>
      <c r="D11" s="862"/>
      <c r="E11" s="862"/>
      <c r="F11" s="862"/>
      <c r="G11" s="862"/>
      <c r="H11" s="862"/>
      <c r="I11" s="862"/>
      <c r="J11" s="863"/>
      <c r="K11" s="863"/>
      <c r="L11" s="863"/>
      <c r="M11" s="863"/>
      <c r="N11" s="152"/>
      <c r="O11" s="152"/>
      <c r="P11" s="152"/>
      <c r="Q11" s="152"/>
      <c r="R11" s="152"/>
      <c r="S11" s="152"/>
      <c r="T11" s="152"/>
      <c r="U11" s="152"/>
      <c r="V11" s="152"/>
      <c r="W11" s="152"/>
      <c r="X11" s="185" t="s">
        <v>41</v>
      </c>
    </row>
    <row r="12" spans="1:29" s="8" customFormat="1" ht="20.100000000000001" customHeight="1" x14ac:dyDescent="0.25">
      <c r="A12" s="67"/>
      <c r="B12" s="861" t="s">
        <v>206</v>
      </c>
      <c r="C12" s="862"/>
      <c r="D12" s="862"/>
      <c r="E12" s="862"/>
      <c r="F12" s="862"/>
      <c r="G12" s="862"/>
      <c r="H12" s="862"/>
      <c r="I12" s="862"/>
      <c r="J12" s="863"/>
      <c r="K12" s="863"/>
      <c r="L12" s="863"/>
      <c r="M12" s="863"/>
      <c r="N12" s="153">
        <v>589.79999999999995</v>
      </c>
      <c r="O12" s="153">
        <f>50.49+30.21</f>
        <v>80.7</v>
      </c>
      <c r="P12" s="153"/>
      <c r="Q12" s="153"/>
      <c r="R12" s="153"/>
      <c r="S12" s="153"/>
      <c r="T12" s="153"/>
      <c r="U12" s="153"/>
      <c r="V12" s="153"/>
      <c r="W12" s="153"/>
      <c r="X12" s="186" t="s">
        <v>19</v>
      </c>
      <c r="Y12" s="67"/>
      <c r="Z12" s="67"/>
      <c r="AA12" s="67"/>
      <c r="AB12" s="67"/>
      <c r="AC12" s="67"/>
    </row>
    <row r="13" spans="1:29" s="8" customFormat="1" ht="20.100000000000001" customHeight="1" x14ac:dyDescent="0.25">
      <c r="A13" s="67"/>
      <c r="B13" s="861" t="s">
        <v>207</v>
      </c>
      <c r="C13" s="862"/>
      <c r="D13" s="862"/>
      <c r="E13" s="862"/>
      <c r="F13" s="862"/>
      <c r="G13" s="862"/>
      <c r="H13" s="862"/>
      <c r="I13" s="862"/>
      <c r="J13" s="863"/>
      <c r="K13" s="863"/>
      <c r="L13" s="863"/>
      <c r="M13" s="863"/>
      <c r="N13" s="152">
        <v>12.4</v>
      </c>
      <c r="O13" s="152"/>
      <c r="P13" s="152"/>
      <c r="Q13" s="152"/>
      <c r="R13" s="152"/>
      <c r="S13" s="152"/>
      <c r="T13" s="152"/>
      <c r="U13" s="152"/>
      <c r="V13" s="152"/>
      <c r="W13" s="152"/>
      <c r="X13" s="184" t="s">
        <v>19</v>
      </c>
      <c r="Y13" s="67"/>
      <c r="Z13" s="67"/>
      <c r="AA13" s="67"/>
      <c r="AB13" s="67"/>
      <c r="AC13" s="67"/>
    </row>
    <row r="14" spans="1:29" s="8" customFormat="1" ht="20.100000000000001" customHeight="1" x14ac:dyDescent="0.25">
      <c r="A14" s="67"/>
      <c r="B14" s="861" t="s">
        <v>208</v>
      </c>
      <c r="C14" s="862"/>
      <c r="D14" s="862"/>
      <c r="E14" s="862"/>
      <c r="F14" s="862"/>
      <c r="G14" s="862"/>
      <c r="H14" s="862"/>
      <c r="I14" s="862"/>
      <c r="J14" s="863"/>
      <c r="K14" s="863"/>
      <c r="L14" s="863"/>
      <c r="M14" s="863"/>
      <c r="N14" s="153">
        <f>5.49+4.08</f>
        <v>9.57</v>
      </c>
      <c r="O14" s="153"/>
      <c r="P14" s="153"/>
      <c r="Q14" s="153"/>
      <c r="R14" s="153"/>
      <c r="S14" s="153"/>
      <c r="T14" s="153"/>
      <c r="U14" s="153"/>
      <c r="V14" s="153"/>
      <c r="W14" s="153"/>
      <c r="X14" s="186" t="s">
        <v>19</v>
      </c>
      <c r="Y14" s="67"/>
      <c r="Z14" s="67"/>
      <c r="AA14" s="67"/>
      <c r="AB14" s="67"/>
      <c r="AC14" s="67"/>
    </row>
    <row r="15" spans="1:29" s="8" customFormat="1" ht="20.100000000000001" customHeight="1" thickBot="1" x14ac:dyDescent="0.3">
      <c r="A15" s="67"/>
      <c r="B15" s="864" t="s">
        <v>209</v>
      </c>
      <c r="C15" s="865"/>
      <c r="D15" s="865"/>
      <c r="E15" s="865"/>
      <c r="F15" s="865"/>
      <c r="G15" s="865"/>
      <c r="H15" s="865"/>
      <c r="I15" s="865"/>
      <c r="J15" s="866"/>
      <c r="K15" s="866"/>
      <c r="L15" s="866"/>
      <c r="M15" s="866"/>
      <c r="N15" s="154">
        <f t="shared" ref="N15:O15" si="0">+N12+N13-N14</f>
        <v>592.62999999999988</v>
      </c>
      <c r="O15" s="154">
        <f t="shared" si="0"/>
        <v>80.7</v>
      </c>
      <c r="P15" s="154"/>
      <c r="Q15" s="154"/>
      <c r="R15" s="154"/>
      <c r="S15" s="154"/>
      <c r="T15" s="154"/>
      <c r="U15" s="154"/>
      <c r="V15" s="154"/>
      <c r="W15" s="154"/>
      <c r="X15" s="187" t="s">
        <v>19</v>
      </c>
      <c r="Y15" s="67"/>
      <c r="Z15" s="67"/>
      <c r="AA15" s="67"/>
      <c r="AB15" s="67"/>
      <c r="AC15" s="67"/>
    </row>
    <row r="16" spans="1:29" s="8" customFormat="1" ht="24.95" customHeight="1" x14ac:dyDescent="0.25">
      <c r="A16" s="67"/>
      <c r="B16" s="155" t="s">
        <v>210</v>
      </c>
      <c r="C16" s="156"/>
      <c r="D16" s="156"/>
      <c r="E16" s="156"/>
      <c r="F16" s="156"/>
      <c r="G16" s="156"/>
      <c r="H16" s="156"/>
      <c r="I16" s="156"/>
      <c r="J16" s="156"/>
      <c r="K16" s="156"/>
      <c r="L16" s="156"/>
      <c r="M16" s="157"/>
      <c r="N16" s="160"/>
      <c r="O16" s="160"/>
      <c r="P16" s="161"/>
      <c r="Q16" s="188"/>
      <c r="R16" s="188"/>
      <c r="S16" s="188"/>
      <c r="T16" s="188"/>
      <c r="U16" s="188"/>
      <c r="V16" s="188"/>
      <c r="W16" s="188"/>
      <c r="X16" s="189"/>
      <c r="Y16" s="67"/>
      <c r="Z16" s="67"/>
      <c r="AA16" s="67"/>
      <c r="AB16" s="67"/>
      <c r="AC16" s="67"/>
    </row>
    <row r="17" spans="2:36" s="8" customFormat="1" ht="24.95" customHeight="1" x14ac:dyDescent="0.25">
      <c r="B17" s="213" t="s">
        <v>218</v>
      </c>
      <c r="C17" s="212">
        <v>270210</v>
      </c>
      <c r="D17" s="915" t="s">
        <v>687</v>
      </c>
      <c r="E17" s="853"/>
      <c r="F17" s="853"/>
      <c r="G17" s="853"/>
      <c r="H17" s="853"/>
      <c r="I17" s="853"/>
      <c r="J17" s="853"/>
      <c r="K17" s="853"/>
      <c r="L17" s="853"/>
      <c r="M17" s="854"/>
      <c r="N17" s="129">
        <f>N15</f>
        <v>592.62999999999988</v>
      </c>
      <c r="O17" s="129"/>
      <c r="P17" s="129"/>
      <c r="Q17" s="129"/>
      <c r="R17" s="129"/>
      <c r="S17" s="129"/>
      <c r="T17" s="129"/>
      <c r="U17" s="129"/>
      <c r="V17" s="129"/>
      <c r="W17" s="135">
        <f>SUM(N17:V17)</f>
        <v>592.62999999999988</v>
      </c>
      <c r="X17" s="148" t="s">
        <v>222</v>
      </c>
    </row>
    <row r="18" spans="2:36" s="8" customFormat="1" ht="24.95" customHeight="1" x14ac:dyDescent="0.25">
      <c r="B18" s="213" t="s">
        <v>218</v>
      </c>
      <c r="C18" s="212">
        <v>270501</v>
      </c>
      <c r="D18" s="853" t="s">
        <v>690</v>
      </c>
      <c r="E18" s="853"/>
      <c r="F18" s="853"/>
      <c r="G18" s="853"/>
      <c r="H18" s="853"/>
      <c r="I18" s="853"/>
      <c r="J18" s="853"/>
      <c r="K18" s="853"/>
      <c r="L18" s="853"/>
      <c r="M18" s="854"/>
      <c r="N18" s="129"/>
      <c r="O18" s="129">
        <f>+O15</f>
        <v>80.7</v>
      </c>
      <c r="P18" s="129"/>
      <c r="Q18" s="129"/>
      <c r="R18" s="129"/>
      <c r="S18" s="129"/>
      <c r="T18" s="129"/>
      <c r="U18" s="129"/>
      <c r="V18" s="129"/>
      <c r="W18" s="135">
        <f>SUM(N18:V18)</f>
        <v>80.7</v>
      </c>
      <c r="X18" s="148" t="s">
        <v>222</v>
      </c>
    </row>
    <row r="19" spans="2:36" s="7" customFormat="1" ht="24.95" customHeight="1" thickBot="1" x14ac:dyDescent="0.3">
      <c r="B19" s="855"/>
      <c r="C19" s="856"/>
      <c r="D19" s="856"/>
      <c r="E19" s="856"/>
      <c r="F19" s="856"/>
      <c r="G19" s="856"/>
      <c r="H19" s="856"/>
      <c r="I19" s="856"/>
      <c r="J19" s="856"/>
      <c r="K19" s="856"/>
      <c r="L19" s="856"/>
      <c r="M19" s="857"/>
      <c r="N19" s="149"/>
      <c r="O19" s="149"/>
      <c r="P19" s="149"/>
      <c r="Q19" s="149"/>
      <c r="R19" s="149"/>
      <c r="S19" s="149"/>
      <c r="T19" s="149"/>
      <c r="U19" s="149"/>
      <c r="V19" s="149"/>
      <c r="W19" s="137"/>
      <c r="X19" s="150"/>
    </row>
    <row r="20" spans="2:36" s="88" customFormat="1" ht="30" customHeight="1" x14ac:dyDescent="0.25">
      <c r="B20" s="793"/>
      <c r="C20" s="793"/>
      <c r="D20" s="793"/>
      <c r="E20" s="793"/>
      <c r="F20" s="793"/>
      <c r="G20" s="793"/>
      <c r="H20" s="793"/>
      <c r="I20" s="793"/>
      <c r="J20" s="793"/>
      <c r="K20" s="9"/>
      <c r="L20" s="9"/>
      <c r="M20" s="9"/>
      <c r="N20" s="9"/>
      <c r="O20" s="9"/>
      <c r="P20" s="9"/>
      <c r="Q20" s="9"/>
      <c r="R20" s="9"/>
      <c r="S20" s="9"/>
      <c r="T20" s="9"/>
      <c r="U20" s="9"/>
      <c r="V20" s="9"/>
      <c r="W20" s="9"/>
      <c r="AB20" s="9"/>
      <c r="AC20" s="9"/>
    </row>
    <row r="21" spans="2:36" s="89" customFormat="1" ht="20.100000000000001" customHeight="1" x14ac:dyDescent="0.25">
      <c r="B21" s="746"/>
      <c r="C21" s="746"/>
      <c r="D21" s="746"/>
      <c r="E21" s="746"/>
      <c r="F21" s="746"/>
      <c r="G21" s="746"/>
      <c r="H21" s="746"/>
      <c r="I21" s="746"/>
      <c r="J21" s="746"/>
      <c r="K21" s="746"/>
      <c r="L21" s="746"/>
      <c r="M21" s="746"/>
      <c r="N21" s="746"/>
      <c r="O21" s="746"/>
      <c r="P21" s="746"/>
      <c r="Q21" s="746"/>
      <c r="R21" s="746"/>
      <c r="S21" s="746"/>
      <c r="T21" s="746"/>
      <c r="AD21" s="90"/>
    </row>
    <row r="22" spans="2:36" s="89" customFormat="1" ht="20.100000000000001" customHeight="1" x14ac:dyDescent="0.25">
      <c r="B22" s="31"/>
      <c r="C22" s="31"/>
      <c r="D22" s="31"/>
      <c r="E22" s="31"/>
      <c r="F22" s="31"/>
      <c r="G22" s="31"/>
      <c r="H22" s="31"/>
      <c r="I22" s="31"/>
      <c r="K22" s="200"/>
      <c r="L22" s="200"/>
      <c r="M22" s="31"/>
      <c r="N22" s="31"/>
      <c r="O22" s="31"/>
      <c r="P22" s="31"/>
      <c r="Q22" s="31"/>
      <c r="V22" s="194"/>
      <c r="W22" s="199"/>
      <c r="Y22" s="194"/>
      <c r="AC22" s="193"/>
      <c r="AF22" s="194"/>
      <c r="AI22" s="194"/>
      <c r="AJ22" s="199"/>
    </row>
    <row r="23" spans="2:36" s="7" customFormat="1" ht="20.100000000000001" customHeight="1" x14ac:dyDescent="0.25">
      <c r="B23" s="120"/>
      <c r="C23" s="120"/>
      <c r="D23" s="120"/>
      <c r="E23" s="120"/>
      <c r="F23" s="120"/>
      <c r="G23" s="120"/>
      <c r="H23" s="120"/>
      <c r="I23" s="120"/>
      <c r="J23" s="120"/>
      <c r="K23" s="120"/>
      <c r="L23" s="120"/>
      <c r="M23" s="120"/>
      <c r="N23" s="65"/>
      <c r="O23" s="65"/>
      <c r="P23" s="65"/>
      <c r="Q23" s="65"/>
      <c r="R23" s="65"/>
      <c r="S23" s="65"/>
      <c r="T23" s="65"/>
      <c r="U23" s="65"/>
      <c r="V23" s="65"/>
      <c r="W23" s="65"/>
      <c r="X23" s="158"/>
    </row>
    <row r="24" spans="2:36" s="7" customFormat="1" ht="20.100000000000001" customHeight="1" x14ac:dyDescent="0.25">
      <c r="B24" s="120"/>
      <c r="C24" s="120"/>
      <c r="D24" s="120"/>
      <c r="E24" s="120"/>
      <c r="F24" s="120"/>
      <c r="G24" s="120"/>
      <c r="H24" s="120"/>
      <c r="I24" s="120"/>
      <c r="J24" s="120"/>
      <c r="K24" s="120"/>
      <c r="L24" s="120"/>
      <c r="M24" s="120"/>
      <c r="N24" s="65"/>
      <c r="O24" s="65"/>
      <c r="P24" s="65"/>
      <c r="Q24" s="65"/>
      <c r="R24" s="65"/>
      <c r="S24" s="65"/>
      <c r="T24" s="65"/>
      <c r="U24" s="65"/>
      <c r="V24" s="65"/>
      <c r="W24" s="65"/>
      <c r="X24" s="158"/>
    </row>
    <row r="25" spans="2:36" s="7" customFormat="1" ht="20.100000000000001" customHeight="1" x14ac:dyDescent="0.25">
      <c r="B25" s="120"/>
      <c r="C25" s="120"/>
      <c r="D25" s="120"/>
      <c r="E25" s="120"/>
      <c r="F25" s="120"/>
      <c r="G25" s="120"/>
      <c r="H25" s="120"/>
      <c r="I25" s="120"/>
      <c r="J25" s="120"/>
      <c r="K25" s="120"/>
      <c r="L25" s="120"/>
      <c r="M25" s="120"/>
      <c r="N25" s="65"/>
      <c r="O25" s="65"/>
      <c r="P25" s="65"/>
      <c r="Q25" s="65"/>
      <c r="R25" s="65"/>
      <c r="S25" s="65"/>
      <c r="T25" s="65"/>
      <c r="U25" s="65"/>
      <c r="V25" s="65"/>
      <c r="W25" s="65"/>
      <c r="X25" s="158"/>
    </row>
    <row r="26" spans="2:36" s="7" customFormat="1" ht="20.100000000000001" customHeight="1" x14ac:dyDescent="0.25">
      <c r="B26" s="120"/>
      <c r="C26" s="120"/>
      <c r="D26" s="120"/>
      <c r="E26" s="120"/>
      <c r="F26" s="120"/>
      <c r="G26" s="120"/>
      <c r="H26" s="120"/>
      <c r="I26" s="120"/>
      <c r="J26" s="120"/>
      <c r="K26" s="120"/>
      <c r="L26" s="120"/>
      <c r="M26" s="120"/>
      <c r="N26" s="65"/>
      <c r="O26" s="65"/>
      <c r="P26" s="65"/>
      <c r="Q26" s="65"/>
      <c r="R26" s="65"/>
      <c r="S26" s="65"/>
      <c r="T26" s="65"/>
      <c r="U26" s="65"/>
      <c r="V26" s="65"/>
      <c r="W26" s="65"/>
      <c r="X26" s="158"/>
    </row>
  </sheetData>
  <mergeCells count="14">
    <mergeCell ref="B21:T21"/>
    <mergeCell ref="B14:M14"/>
    <mergeCell ref="B15:M15"/>
    <mergeCell ref="D17:M17"/>
    <mergeCell ref="D18:M18"/>
    <mergeCell ref="B19:M19"/>
    <mergeCell ref="B20:J20"/>
    <mergeCell ref="B13:M13"/>
    <mergeCell ref="B1:X2"/>
    <mergeCell ref="B9:M9"/>
    <mergeCell ref="B10:M10"/>
    <mergeCell ref="B11:M11"/>
    <mergeCell ref="B12:M12"/>
    <mergeCell ref="C4:U4"/>
  </mergeCells>
  <printOptions horizontalCentered="1"/>
  <pageMargins left="0.51181102362204722" right="0.51181102362204722" top="0.78740157480314965" bottom="0.78740157480314965" header="0.31496062992125984" footer="0.31496062992125984"/>
  <pageSetup paperSize="9" scale="74" orientation="landscape" horizontalDpi="1200" verticalDpi="1200" r:id="rId1"/>
  <headerFooter>
    <oddHeader>&amp;L&amp;G</oddHeader>
    <oddFooter>&amp;L&amp;"Arial Narrow,Normal"&amp;10&amp;A
&amp;F&amp;R&amp;"Arial Narrow,Normal"&amp;10Página &amp;P de &amp;N</oddFooter>
  </headerFooter>
  <legacyDrawing r:id="rId2"/>
  <legacyDrawingHF r:id="rId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8CC04-451C-44B9-B7E8-4BEB0D0F7209}">
  <dimension ref="A1:Y251"/>
  <sheetViews>
    <sheetView showGridLines="0" view="pageBreakPreview" topLeftCell="A72" zoomScale="85" zoomScaleNormal="70" zoomScaleSheetLayoutView="85" workbookViewId="0">
      <selection activeCell="Q14" sqref="Q14:Q15"/>
    </sheetView>
  </sheetViews>
  <sheetFormatPr defaultRowHeight="15" x14ac:dyDescent="0.25"/>
  <cols>
    <col min="1" max="1" width="1.7109375" customWidth="1"/>
    <col min="2" max="2" width="9.5703125" customWidth="1"/>
    <col min="3" max="3" width="13" customWidth="1"/>
    <col min="4" max="4" width="63" customWidth="1"/>
    <col min="5" max="5" width="5.28515625" customWidth="1"/>
    <col min="6" max="13" width="11.7109375" customWidth="1"/>
    <col min="14" max="14" width="11" customWidth="1"/>
    <col min="15" max="15" width="1.7109375" customWidth="1"/>
  </cols>
  <sheetData>
    <row r="1" spans="1:25" s="11" customFormat="1" ht="20.100000000000001" customHeight="1" x14ac:dyDescent="0.25">
      <c r="A1" s="69"/>
      <c r="B1" s="569" t="s">
        <v>133</v>
      </c>
      <c r="C1" s="569"/>
      <c r="D1" s="569"/>
      <c r="E1" s="569"/>
      <c r="F1" s="569"/>
      <c r="G1" s="569"/>
      <c r="H1" s="569"/>
      <c r="I1" s="569"/>
      <c r="J1" s="569"/>
      <c r="K1" s="569"/>
      <c r="L1" s="569"/>
      <c r="M1" s="569"/>
      <c r="N1" s="569"/>
      <c r="O1" s="226"/>
      <c r="P1" s="226"/>
      <c r="Q1" s="226"/>
      <c r="R1" s="226"/>
      <c r="S1" s="226"/>
      <c r="T1" s="226"/>
      <c r="U1" s="69"/>
      <c r="V1" s="69"/>
      <c r="W1" s="69"/>
      <c r="X1" s="69"/>
      <c r="Y1" s="69"/>
    </row>
    <row r="2" spans="1:25" s="11" customFormat="1" ht="20.100000000000001" customHeight="1" x14ac:dyDescent="0.25">
      <c r="A2" s="69"/>
      <c r="B2" s="569"/>
      <c r="C2" s="569"/>
      <c r="D2" s="569"/>
      <c r="E2" s="569"/>
      <c r="F2" s="569"/>
      <c r="G2" s="569"/>
      <c r="H2" s="569"/>
      <c r="I2" s="569"/>
      <c r="J2" s="569"/>
      <c r="K2" s="569"/>
      <c r="L2" s="569"/>
      <c r="M2" s="569"/>
      <c r="N2" s="569"/>
      <c r="O2" s="226"/>
      <c r="P2" s="226"/>
      <c r="Q2" s="226"/>
      <c r="R2" s="226"/>
      <c r="S2" s="226"/>
      <c r="T2" s="226"/>
      <c r="U2" s="69"/>
      <c r="V2" s="69"/>
      <c r="W2" s="69"/>
      <c r="X2" s="69"/>
      <c r="Y2" s="69"/>
    </row>
    <row r="3" spans="1:25" s="11" customFormat="1" ht="20.100000000000001" customHeight="1" x14ac:dyDescent="0.25">
      <c r="A3" s="69"/>
      <c r="B3" s="69"/>
      <c r="C3" s="69"/>
      <c r="D3" s="69"/>
      <c r="E3" s="69"/>
      <c r="F3" s="69"/>
      <c r="G3" s="69"/>
      <c r="H3" s="69"/>
      <c r="I3" s="69"/>
      <c r="J3" s="69"/>
      <c r="K3" s="69"/>
      <c r="L3" s="69"/>
      <c r="O3" s="69"/>
      <c r="P3" s="69"/>
      <c r="Q3" s="69"/>
      <c r="R3" s="69"/>
      <c r="S3" s="69"/>
      <c r="T3" s="181"/>
      <c r="U3" s="69"/>
      <c r="V3" s="69"/>
      <c r="W3" s="69"/>
      <c r="X3" s="69"/>
      <c r="Y3" s="69"/>
    </row>
    <row r="4" spans="1:25"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3" t="s">
        <v>96</v>
      </c>
      <c r="M4" s="4" t="str">
        <f>+'DADOS DA OBRA'!$N$22</f>
        <v>04/11/2024</v>
      </c>
      <c r="O4" s="2"/>
      <c r="P4" s="2"/>
      <c r="T4" s="50"/>
      <c r="V4" s="32"/>
      <c r="W4" s="32"/>
      <c r="X4" s="33"/>
      <c r="Y4" s="33"/>
    </row>
    <row r="5" spans="1:25" s="5" customFormat="1" ht="20.100000000000001" customHeight="1" x14ac:dyDescent="0.25">
      <c r="B5" s="1" t="s">
        <v>18</v>
      </c>
      <c r="C5" s="2" t="str">
        <f>+""&amp;'DADOS DA OBRA'!$B$16&amp;", "&amp;'DADOS DA OBRA'!$B$19&amp;", "&amp;'DADOS DA OBRA'!$J$19&amp;", "&amp;'DADOS DA OBRA'!$P$19</f>
        <v>RUAS DIVERSAS, DIVERSOS, MATRINCHÃ, GO</v>
      </c>
      <c r="E5" s="1"/>
      <c r="G5" s="1"/>
      <c r="H5" s="1"/>
      <c r="L5" s="3" t="s">
        <v>17</v>
      </c>
      <c r="M5" s="4" t="str">
        <f>'DADOS DA OBRA'!$N$25</f>
        <v>00</v>
      </c>
      <c r="T5" s="50"/>
    </row>
    <row r="6" spans="1:25" s="5" customFormat="1" ht="20.100000000000001" customHeight="1" x14ac:dyDescent="0.25">
      <c r="T6" s="50"/>
    </row>
    <row r="7" spans="1:25" s="5" customFormat="1" ht="20.100000000000001" customHeight="1" x14ac:dyDescent="0.25">
      <c r="B7" s="1" t="s">
        <v>97</v>
      </c>
      <c r="C7" s="39" t="s">
        <v>691</v>
      </c>
      <c r="E7" s="1"/>
      <c r="G7" s="1"/>
      <c r="H7" s="1"/>
      <c r="L7" s="3" t="s">
        <v>18</v>
      </c>
      <c r="M7" s="64" t="s">
        <v>483</v>
      </c>
      <c r="T7" s="50"/>
    </row>
    <row r="8" spans="1:25" s="8" customFormat="1" ht="20.100000000000001" customHeight="1" thickBot="1" x14ac:dyDescent="0.3">
      <c r="A8" s="67"/>
      <c r="B8" s="52"/>
      <c r="C8" s="52"/>
      <c r="D8" s="52"/>
      <c r="E8" s="52"/>
      <c r="F8" s="52"/>
      <c r="G8" s="52"/>
      <c r="H8" s="52"/>
      <c r="I8" s="53"/>
      <c r="J8" s="9"/>
      <c r="K8" s="9"/>
      <c r="L8" s="10"/>
      <c r="M8" s="10"/>
      <c r="N8" s="9"/>
      <c r="O8" s="67"/>
      <c r="P8" s="67"/>
      <c r="Q8" s="67"/>
      <c r="R8" s="67"/>
      <c r="S8" s="67"/>
      <c r="T8" s="164"/>
      <c r="U8" s="67"/>
      <c r="V8" s="67"/>
      <c r="W8" s="67"/>
      <c r="X8" s="67"/>
      <c r="Y8" s="67"/>
    </row>
    <row r="9" spans="1:25" s="223" customFormat="1" ht="20.100000000000001" customHeight="1" x14ac:dyDescent="0.25">
      <c r="B9" s="902" t="s">
        <v>102</v>
      </c>
      <c r="C9" s="903"/>
      <c r="D9" s="903"/>
      <c r="E9" s="903" t="s">
        <v>103</v>
      </c>
      <c r="F9" s="903" t="s">
        <v>211</v>
      </c>
      <c r="G9" s="903"/>
      <c r="H9" s="903"/>
      <c r="I9" s="903"/>
      <c r="J9" s="903"/>
      <c r="K9" s="903"/>
      <c r="L9" s="903"/>
      <c r="M9" s="903"/>
      <c r="N9" s="908" t="s">
        <v>104</v>
      </c>
    </row>
    <row r="10" spans="1:25" s="223" customFormat="1" ht="20.100000000000001" customHeight="1" x14ac:dyDescent="0.25">
      <c r="B10" s="904"/>
      <c r="C10" s="905"/>
      <c r="D10" s="905"/>
      <c r="E10" s="905"/>
      <c r="F10" s="911" t="s">
        <v>484</v>
      </c>
      <c r="G10" s="911" t="s">
        <v>538</v>
      </c>
      <c r="H10" s="911" t="s">
        <v>540</v>
      </c>
      <c r="I10" s="911" t="s">
        <v>547</v>
      </c>
      <c r="J10" s="911" t="s">
        <v>595</v>
      </c>
      <c r="K10" s="911" t="s">
        <v>602</v>
      </c>
      <c r="L10" s="911" t="s">
        <v>644</v>
      </c>
      <c r="M10" s="911" t="s">
        <v>869</v>
      </c>
      <c r="N10" s="909"/>
    </row>
    <row r="11" spans="1:25" s="223" customFormat="1" ht="20.100000000000001" customHeight="1" thickBot="1" x14ac:dyDescent="0.3">
      <c r="B11" s="906"/>
      <c r="C11" s="907"/>
      <c r="D11" s="907"/>
      <c r="E11" s="907"/>
      <c r="F11" s="912"/>
      <c r="G11" s="912"/>
      <c r="H11" s="912"/>
      <c r="I11" s="912"/>
      <c r="J11" s="912"/>
      <c r="K11" s="912"/>
      <c r="L11" s="913"/>
      <c r="M11" s="912"/>
      <c r="N11" s="910"/>
    </row>
    <row r="12" spans="1:25" s="222" customFormat="1" ht="38.25" x14ac:dyDescent="0.25">
      <c r="B12" s="260" t="s">
        <v>247</v>
      </c>
      <c r="C12" s="261" t="s">
        <v>486</v>
      </c>
      <c r="D12" s="266" t="s">
        <v>485</v>
      </c>
      <c r="E12" s="249" t="s">
        <v>38</v>
      </c>
      <c r="F12" s="250">
        <v>19</v>
      </c>
      <c r="G12" s="250"/>
      <c r="H12" s="250"/>
      <c r="I12" s="250"/>
      <c r="J12" s="250"/>
      <c r="K12" s="250"/>
      <c r="L12" s="250"/>
      <c r="M12" s="251"/>
      <c r="N12" s="257">
        <f t="shared" ref="N12:N31" si="0">+SUM(F12:M12)</f>
        <v>19</v>
      </c>
    </row>
    <row r="13" spans="1:25" s="222" customFormat="1" ht="38.25" x14ac:dyDescent="0.25">
      <c r="B13" s="262" t="s">
        <v>247</v>
      </c>
      <c r="C13" s="263" t="s">
        <v>488</v>
      </c>
      <c r="D13" s="267" t="s">
        <v>487</v>
      </c>
      <c r="E13" s="228" t="s">
        <v>38</v>
      </c>
      <c r="F13" s="252">
        <v>6</v>
      </c>
      <c r="G13" s="252"/>
      <c r="H13" s="252"/>
      <c r="I13" s="252"/>
      <c r="J13" s="252"/>
      <c r="K13" s="252">
        <v>1</v>
      </c>
      <c r="L13" s="252"/>
      <c r="M13" s="253"/>
      <c r="N13" s="258">
        <f t="shared" si="0"/>
        <v>7</v>
      </c>
    </row>
    <row r="14" spans="1:25" s="222" customFormat="1" ht="38.25" x14ac:dyDescent="0.25">
      <c r="B14" s="262" t="s">
        <v>247</v>
      </c>
      <c r="C14" s="263" t="s">
        <v>490</v>
      </c>
      <c r="D14" s="267" t="s">
        <v>489</v>
      </c>
      <c r="E14" s="228" t="s">
        <v>38</v>
      </c>
      <c r="F14" s="252">
        <v>1</v>
      </c>
      <c r="G14" s="252"/>
      <c r="H14" s="252"/>
      <c r="I14" s="252"/>
      <c r="J14" s="252"/>
      <c r="K14" s="252"/>
      <c r="L14" s="252"/>
      <c r="M14" s="253"/>
      <c r="N14" s="258">
        <f t="shared" si="0"/>
        <v>1</v>
      </c>
    </row>
    <row r="15" spans="1:25" s="222" customFormat="1" ht="51" x14ac:dyDescent="0.25">
      <c r="B15" s="262" t="s">
        <v>247</v>
      </c>
      <c r="C15" s="263" t="s">
        <v>492</v>
      </c>
      <c r="D15" s="267" t="s">
        <v>491</v>
      </c>
      <c r="E15" s="228" t="s">
        <v>38</v>
      </c>
      <c r="F15" s="252">
        <v>10</v>
      </c>
      <c r="G15" s="252"/>
      <c r="H15" s="252"/>
      <c r="I15" s="252"/>
      <c r="J15" s="252"/>
      <c r="K15" s="252"/>
      <c r="L15" s="252"/>
      <c r="M15" s="254"/>
      <c r="N15" s="258">
        <f t="shared" si="0"/>
        <v>10</v>
      </c>
    </row>
    <row r="16" spans="1:25" s="222" customFormat="1" ht="38.25" x14ac:dyDescent="0.25">
      <c r="B16" s="262" t="s">
        <v>247</v>
      </c>
      <c r="C16" s="263" t="s">
        <v>494</v>
      </c>
      <c r="D16" s="267" t="s">
        <v>493</v>
      </c>
      <c r="E16" s="228" t="s">
        <v>38</v>
      </c>
      <c r="F16" s="252">
        <v>7</v>
      </c>
      <c r="G16" s="252"/>
      <c r="H16" s="252"/>
      <c r="I16" s="252"/>
      <c r="J16" s="252"/>
      <c r="K16" s="252"/>
      <c r="L16" s="252"/>
      <c r="M16" s="254"/>
      <c r="N16" s="258">
        <f t="shared" si="0"/>
        <v>7</v>
      </c>
    </row>
    <row r="17" spans="2:14" s="222" customFormat="1" ht="38.25" x14ac:dyDescent="0.25">
      <c r="B17" s="262" t="s">
        <v>247</v>
      </c>
      <c r="C17" s="263" t="s">
        <v>495</v>
      </c>
      <c r="D17" s="267" t="s">
        <v>520</v>
      </c>
      <c r="E17" s="228" t="s">
        <v>38</v>
      </c>
      <c r="F17" s="252">
        <v>6</v>
      </c>
      <c r="G17" s="252"/>
      <c r="H17" s="252"/>
      <c r="I17" s="252"/>
      <c r="J17" s="252"/>
      <c r="K17" s="252"/>
      <c r="L17" s="252"/>
      <c r="M17" s="254"/>
      <c r="N17" s="258">
        <f t="shared" si="0"/>
        <v>6</v>
      </c>
    </row>
    <row r="18" spans="2:14" s="222" customFormat="1" ht="38.25" x14ac:dyDescent="0.25">
      <c r="B18" s="262" t="s">
        <v>247</v>
      </c>
      <c r="C18" s="263" t="s">
        <v>496</v>
      </c>
      <c r="D18" s="265" t="s">
        <v>521</v>
      </c>
      <c r="E18" s="228" t="s">
        <v>38</v>
      </c>
      <c r="F18" s="252">
        <v>70</v>
      </c>
      <c r="G18" s="252">
        <v>7</v>
      </c>
      <c r="H18" s="252"/>
      <c r="I18" s="252"/>
      <c r="J18" s="252"/>
      <c r="K18" s="252"/>
      <c r="L18" s="252"/>
      <c r="M18" s="253"/>
      <c r="N18" s="258">
        <f t="shared" si="0"/>
        <v>77</v>
      </c>
    </row>
    <row r="19" spans="2:14" s="222" customFormat="1" ht="38.25" x14ac:dyDescent="0.25">
      <c r="B19" s="262" t="s">
        <v>247</v>
      </c>
      <c r="C19" s="263" t="s">
        <v>497</v>
      </c>
      <c r="D19" s="265" t="s">
        <v>522</v>
      </c>
      <c r="E19" s="228" t="s">
        <v>38</v>
      </c>
      <c r="F19" s="252">
        <v>41</v>
      </c>
      <c r="G19" s="252">
        <v>7</v>
      </c>
      <c r="H19" s="252"/>
      <c r="I19" s="252"/>
      <c r="J19" s="252"/>
      <c r="K19" s="252"/>
      <c r="L19" s="252"/>
      <c r="M19" s="253"/>
      <c r="N19" s="258">
        <f t="shared" si="0"/>
        <v>48</v>
      </c>
    </row>
    <row r="20" spans="2:14" s="222" customFormat="1" ht="51" x14ac:dyDescent="0.25">
      <c r="B20" s="262" t="s">
        <v>247</v>
      </c>
      <c r="C20" s="263" t="s">
        <v>498</v>
      </c>
      <c r="D20" s="267" t="s">
        <v>523</v>
      </c>
      <c r="E20" s="228" t="s">
        <v>38</v>
      </c>
      <c r="F20" s="252">
        <v>4</v>
      </c>
      <c r="G20" s="252"/>
      <c r="H20" s="252"/>
      <c r="I20" s="252"/>
      <c r="J20" s="252"/>
      <c r="K20" s="252"/>
      <c r="L20" s="252"/>
      <c r="M20" s="253"/>
      <c r="N20" s="258">
        <f t="shared" si="0"/>
        <v>4</v>
      </c>
    </row>
    <row r="21" spans="2:14" s="222" customFormat="1" ht="38.25" x14ac:dyDescent="0.25">
      <c r="B21" s="262" t="s">
        <v>247</v>
      </c>
      <c r="C21" s="263" t="s">
        <v>499</v>
      </c>
      <c r="D21" s="267" t="s">
        <v>524</v>
      </c>
      <c r="E21" s="228" t="s">
        <v>38</v>
      </c>
      <c r="F21" s="252">
        <v>4</v>
      </c>
      <c r="G21" s="252"/>
      <c r="H21" s="252"/>
      <c r="I21" s="252"/>
      <c r="J21" s="252"/>
      <c r="K21" s="252">
        <v>1</v>
      </c>
      <c r="L21" s="252"/>
      <c r="M21" s="253"/>
      <c r="N21" s="258">
        <f t="shared" si="0"/>
        <v>5</v>
      </c>
    </row>
    <row r="22" spans="2:14" s="222" customFormat="1" ht="25.5" x14ac:dyDescent="0.25">
      <c r="B22" s="262" t="s">
        <v>247</v>
      </c>
      <c r="C22" s="263" t="s">
        <v>500</v>
      </c>
      <c r="D22" s="267" t="s">
        <v>525</v>
      </c>
      <c r="E22" s="228" t="s">
        <v>38</v>
      </c>
      <c r="F22" s="252">
        <v>3</v>
      </c>
      <c r="G22" s="252"/>
      <c r="H22" s="252"/>
      <c r="I22" s="252"/>
      <c r="J22" s="252"/>
      <c r="K22" s="252"/>
      <c r="L22" s="252"/>
      <c r="M22" s="253"/>
      <c r="N22" s="258">
        <f t="shared" si="0"/>
        <v>3</v>
      </c>
    </row>
    <row r="23" spans="2:14" s="222" customFormat="1" ht="38.25" x14ac:dyDescent="0.25">
      <c r="B23" s="262" t="s">
        <v>247</v>
      </c>
      <c r="C23" s="263" t="s">
        <v>501</v>
      </c>
      <c r="D23" s="267" t="s">
        <v>526</v>
      </c>
      <c r="E23" s="228" t="s">
        <v>38</v>
      </c>
      <c r="F23" s="252">
        <v>1</v>
      </c>
      <c r="G23" s="252"/>
      <c r="H23" s="252"/>
      <c r="I23" s="252"/>
      <c r="J23" s="252"/>
      <c r="K23" s="252"/>
      <c r="L23" s="252"/>
      <c r="M23" s="253"/>
      <c r="N23" s="258">
        <f t="shared" ref="N23:N27" si="1">+SUM(F23:M23)</f>
        <v>1</v>
      </c>
    </row>
    <row r="24" spans="2:14" s="222" customFormat="1" ht="38.25" x14ac:dyDescent="0.25">
      <c r="B24" s="262" t="s">
        <v>247</v>
      </c>
      <c r="C24" s="263" t="s">
        <v>502</v>
      </c>
      <c r="D24" s="267" t="s">
        <v>527</v>
      </c>
      <c r="E24" s="228" t="s">
        <v>38</v>
      </c>
      <c r="F24" s="252">
        <v>14</v>
      </c>
      <c r="G24" s="252"/>
      <c r="H24" s="252"/>
      <c r="I24" s="252"/>
      <c r="J24" s="252"/>
      <c r="K24" s="252"/>
      <c r="L24" s="252"/>
      <c r="M24" s="253"/>
      <c r="N24" s="258">
        <f t="shared" si="1"/>
        <v>14</v>
      </c>
    </row>
    <row r="25" spans="2:14" s="222" customFormat="1" ht="38.25" x14ac:dyDescent="0.25">
      <c r="B25" s="262" t="s">
        <v>247</v>
      </c>
      <c r="C25" s="263" t="s">
        <v>503</v>
      </c>
      <c r="D25" s="267" t="s">
        <v>528</v>
      </c>
      <c r="E25" s="228" t="s">
        <v>38</v>
      </c>
      <c r="F25" s="252">
        <v>4</v>
      </c>
      <c r="G25" s="252"/>
      <c r="H25" s="252"/>
      <c r="I25" s="252"/>
      <c r="J25" s="252"/>
      <c r="K25" s="252"/>
      <c r="L25" s="252"/>
      <c r="M25" s="254"/>
      <c r="N25" s="258">
        <f t="shared" si="1"/>
        <v>4</v>
      </c>
    </row>
    <row r="26" spans="2:14" s="222" customFormat="1" ht="38.25" x14ac:dyDescent="0.25">
      <c r="B26" s="262" t="s">
        <v>247</v>
      </c>
      <c r="C26" s="263" t="s">
        <v>504</v>
      </c>
      <c r="D26" s="267" t="s">
        <v>529</v>
      </c>
      <c r="E26" s="228" t="s">
        <v>38</v>
      </c>
      <c r="F26" s="252">
        <v>3</v>
      </c>
      <c r="G26" s="252"/>
      <c r="H26" s="252"/>
      <c r="I26" s="252"/>
      <c r="J26" s="252"/>
      <c r="K26" s="252"/>
      <c r="L26" s="252"/>
      <c r="M26" s="253"/>
      <c r="N26" s="258">
        <f t="shared" si="1"/>
        <v>3</v>
      </c>
    </row>
    <row r="27" spans="2:14" s="222" customFormat="1" ht="25.5" x14ac:dyDescent="0.25">
      <c r="B27" s="262" t="s">
        <v>247</v>
      </c>
      <c r="C27" s="263" t="s">
        <v>505</v>
      </c>
      <c r="D27" s="267" t="s">
        <v>530</v>
      </c>
      <c r="E27" s="228" t="s">
        <v>38</v>
      </c>
      <c r="F27" s="252">
        <v>22</v>
      </c>
      <c r="G27" s="252"/>
      <c r="H27" s="252"/>
      <c r="I27" s="252"/>
      <c r="J27" s="252"/>
      <c r="K27" s="252"/>
      <c r="L27" s="252"/>
      <c r="M27" s="254"/>
      <c r="N27" s="258">
        <f t="shared" si="1"/>
        <v>22</v>
      </c>
    </row>
    <row r="28" spans="2:14" s="222" customFormat="1" ht="25.5" x14ac:dyDescent="0.25">
      <c r="B28" s="262" t="s">
        <v>247</v>
      </c>
      <c r="C28" s="263" t="s">
        <v>506</v>
      </c>
      <c r="D28" s="267" t="s">
        <v>531</v>
      </c>
      <c r="E28" s="228" t="s">
        <v>38</v>
      </c>
      <c r="F28" s="252">
        <v>7</v>
      </c>
      <c r="G28" s="252"/>
      <c r="H28" s="252"/>
      <c r="I28" s="252"/>
      <c r="J28" s="252"/>
      <c r="K28" s="252"/>
      <c r="L28" s="252"/>
      <c r="M28" s="253"/>
      <c r="N28" s="258">
        <f t="shared" si="0"/>
        <v>7</v>
      </c>
    </row>
    <row r="29" spans="2:14" s="222" customFormat="1" ht="51" x14ac:dyDescent="0.25">
      <c r="B29" s="262" t="s">
        <v>247</v>
      </c>
      <c r="C29" s="263" t="s">
        <v>507</v>
      </c>
      <c r="D29" s="267" t="s">
        <v>532</v>
      </c>
      <c r="E29" s="228" t="s">
        <v>130</v>
      </c>
      <c r="F29" s="252">
        <v>4031</v>
      </c>
      <c r="G29" s="252"/>
      <c r="H29" s="252"/>
      <c r="I29" s="252"/>
      <c r="J29" s="252"/>
      <c r="K29" s="252"/>
      <c r="L29" s="252"/>
      <c r="M29" s="254"/>
      <c r="N29" s="258">
        <f t="shared" si="0"/>
        <v>4031</v>
      </c>
    </row>
    <row r="30" spans="2:14" s="222" customFormat="1" ht="51" x14ac:dyDescent="0.25">
      <c r="B30" s="262" t="s">
        <v>247</v>
      </c>
      <c r="C30" s="263" t="s">
        <v>508</v>
      </c>
      <c r="D30" s="267" t="s">
        <v>533</v>
      </c>
      <c r="E30" s="228" t="s">
        <v>130</v>
      </c>
      <c r="F30" s="252">
        <v>452</v>
      </c>
      <c r="G30" s="252"/>
      <c r="H30" s="252"/>
      <c r="I30" s="252"/>
      <c r="J30" s="252"/>
      <c r="K30" s="252"/>
      <c r="L30" s="252"/>
      <c r="M30" s="254"/>
      <c r="N30" s="258">
        <f t="shared" si="0"/>
        <v>452</v>
      </c>
    </row>
    <row r="31" spans="2:14" s="222" customFormat="1" ht="51" x14ac:dyDescent="0.25">
      <c r="B31" s="262" t="s">
        <v>247</v>
      </c>
      <c r="C31" s="263" t="s">
        <v>509</v>
      </c>
      <c r="D31" s="267" t="s">
        <v>534</v>
      </c>
      <c r="E31" s="228" t="s">
        <v>130</v>
      </c>
      <c r="F31" s="252">
        <v>352</v>
      </c>
      <c r="G31" s="252"/>
      <c r="H31" s="252"/>
      <c r="I31" s="252"/>
      <c r="J31" s="252"/>
      <c r="K31" s="252"/>
      <c r="L31" s="252"/>
      <c r="M31" s="253"/>
      <c r="N31" s="258">
        <f t="shared" si="0"/>
        <v>352</v>
      </c>
    </row>
    <row r="32" spans="2:14" s="222" customFormat="1" ht="51" x14ac:dyDescent="0.25">
      <c r="B32" s="262" t="s">
        <v>247</v>
      </c>
      <c r="C32" s="263" t="s">
        <v>510</v>
      </c>
      <c r="D32" s="267" t="s">
        <v>535</v>
      </c>
      <c r="E32" s="228" t="s">
        <v>38</v>
      </c>
      <c r="F32" s="252">
        <v>1</v>
      </c>
      <c r="G32" s="252"/>
      <c r="H32" s="252"/>
      <c r="I32" s="252"/>
      <c r="J32" s="252"/>
      <c r="K32" s="252"/>
      <c r="L32" s="252"/>
      <c r="M32" s="254"/>
      <c r="N32" s="258">
        <f t="shared" ref="N32:N40" si="2">+SUM(F32:M32)</f>
        <v>1</v>
      </c>
    </row>
    <row r="33" spans="2:14" s="222" customFormat="1" ht="25.5" x14ac:dyDescent="0.25">
      <c r="B33" s="262" t="s">
        <v>247</v>
      </c>
      <c r="C33" s="263" t="s">
        <v>511</v>
      </c>
      <c r="D33" s="267" t="s">
        <v>536</v>
      </c>
      <c r="E33" s="228" t="s">
        <v>38</v>
      </c>
      <c r="F33" s="252">
        <v>4</v>
      </c>
      <c r="G33" s="252"/>
      <c r="H33" s="252"/>
      <c r="I33" s="252"/>
      <c r="J33" s="252"/>
      <c r="K33" s="252"/>
      <c r="L33" s="252"/>
      <c r="M33" s="254"/>
      <c r="N33" s="258">
        <f t="shared" si="2"/>
        <v>4</v>
      </c>
    </row>
    <row r="34" spans="2:14" s="222" customFormat="1" ht="25.5" x14ac:dyDescent="0.25">
      <c r="B34" s="262" t="s">
        <v>247</v>
      </c>
      <c r="C34" s="263" t="s">
        <v>512</v>
      </c>
      <c r="D34" s="267" t="s">
        <v>537</v>
      </c>
      <c r="E34" s="228" t="s">
        <v>38</v>
      </c>
      <c r="F34" s="252">
        <v>4</v>
      </c>
      <c r="G34" s="252"/>
      <c r="H34" s="252"/>
      <c r="I34" s="252"/>
      <c r="J34" s="252"/>
      <c r="K34" s="252"/>
      <c r="L34" s="252"/>
      <c r="M34" s="253"/>
      <c r="N34" s="258">
        <f t="shared" si="2"/>
        <v>4</v>
      </c>
    </row>
    <row r="35" spans="2:14" s="222" customFormat="1" ht="38.25" x14ac:dyDescent="0.25">
      <c r="B35" s="262" t="s">
        <v>247</v>
      </c>
      <c r="C35" s="263" t="s">
        <v>513</v>
      </c>
      <c r="D35" s="267" t="s">
        <v>539</v>
      </c>
      <c r="E35" s="228" t="s">
        <v>38</v>
      </c>
      <c r="F35" s="252"/>
      <c r="G35" s="252">
        <v>7</v>
      </c>
      <c r="H35" s="252"/>
      <c r="I35" s="252"/>
      <c r="J35" s="252"/>
      <c r="K35" s="252"/>
      <c r="L35" s="252"/>
      <c r="M35" s="253"/>
      <c r="N35" s="258">
        <f t="shared" si="2"/>
        <v>7</v>
      </c>
    </row>
    <row r="36" spans="2:14" s="222" customFormat="1" ht="51" x14ac:dyDescent="0.25">
      <c r="B36" s="262" t="s">
        <v>247</v>
      </c>
      <c r="C36" s="263" t="s">
        <v>514</v>
      </c>
      <c r="D36" s="267" t="s">
        <v>541</v>
      </c>
      <c r="E36" s="228" t="s">
        <v>130</v>
      </c>
      <c r="F36" s="252"/>
      <c r="G36" s="252"/>
      <c r="H36" s="252">
        <v>6</v>
      </c>
      <c r="I36" s="252"/>
      <c r="J36" s="252"/>
      <c r="K36" s="252">
        <v>9</v>
      </c>
      <c r="L36" s="252"/>
      <c r="M36" s="253"/>
      <c r="N36" s="258">
        <f t="shared" si="2"/>
        <v>15</v>
      </c>
    </row>
    <row r="37" spans="2:14" s="222" customFormat="1" ht="51" x14ac:dyDescent="0.25">
      <c r="B37" s="262" t="s">
        <v>247</v>
      </c>
      <c r="C37" s="263" t="s">
        <v>515</v>
      </c>
      <c r="D37" s="267" t="s">
        <v>542</v>
      </c>
      <c r="E37" s="228" t="s">
        <v>38</v>
      </c>
      <c r="F37" s="252"/>
      <c r="G37" s="252"/>
      <c r="H37" s="252">
        <v>1</v>
      </c>
      <c r="I37" s="252"/>
      <c r="J37" s="252">
        <v>2</v>
      </c>
      <c r="K37" s="252">
        <v>1</v>
      </c>
      <c r="L37" s="252"/>
      <c r="M37" s="253"/>
      <c r="N37" s="258">
        <f t="shared" si="2"/>
        <v>4</v>
      </c>
    </row>
    <row r="38" spans="2:14" s="222" customFormat="1" ht="25.5" x14ac:dyDescent="0.25">
      <c r="B38" s="262" t="s">
        <v>247</v>
      </c>
      <c r="C38" s="263" t="s">
        <v>516</v>
      </c>
      <c r="D38" s="267" t="s">
        <v>543</v>
      </c>
      <c r="E38" s="228" t="s">
        <v>130</v>
      </c>
      <c r="F38" s="252"/>
      <c r="G38" s="252"/>
      <c r="H38" s="252">
        <v>0.8</v>
      </c>
      <c r="I38" s="252">
        <f>1+1.5</f>
        <v>2.5</v>
      </c>
      <c r="J38" s="252"/>
      <c r="K38" s="252">
        <v>1</v>
      </c>
      <c r="L38" s="252"/>
      <c r="M38" s="253"/>
      <c r="N38" s="258">
        <f t="shared" si="2"/>
        <v>4.3</v>
      </c>
    </row>
    <row r="39" spans="2:14" s="222" customFormat="1" ht="63.75" x14ac:dyDescent="0.25">
      <c r="B39" s="262" t="s">
        <v>247</v>
      </c>
      <c r="C39" s="263" t="s">
        <v>517</v>
      </c>
      <c r="D39" s="267" t="s">
        <v>544</v>
      </c>
      <c r="E39" s="228" t="s">
        <v>38</v>
      </c>
      <c r="F39" s="252"/>
      <c r="G39" s="252"/>
      <c r="H39" s="252">
        <v>1</v>
      </c>
      <c r="I39" s="252"/>
      <c r="J39" s="252">
        <v>1</v>
      </c>
      <c r="K39" s="252">
        <v>1</v>
      </c>
      <c r="L39" s="252"/>
      <c r="M39" s="253">
        <v>5</v>
      </c>
      <c r="N39" s="258">
        <f t="shared" si="2"/>
        <v>8</v>
      </c>
    </row>
    <row r="40" spans="2:14" s="222" customFormat="1" ht="51" x14ac:dyDescent="0.25">
      <c r="B40" s="262" t="s">
        <v>247</v>
      </c>
      <c r="C40" s="263" t="s">
        <v>518</v>
      </c>
      <c r="D40" s="267" t="s">
        <v>545</v>
      </c>
      <c r="E40" s="228" t="s">
        <v>38</v>
      </c>
      <c r="F40" s="252"/>
      <c r="G40" s="252"/>
      <c r="H40" s="252">
        <v>1</v>
      </c>
      <c r="I40" s="252"/>
      <c r="J40" s="252"/>
      <c r="K40" s="252">
        <v>1</v>
      </c>
      <c r="L40" s="252"/>
      <c r="M40" s="253"/>
      <c r="N40" s="258">
        <f t="shared" si="2"/>
        <v>2</v>
      </c>
    </row>
    <row r="41" spans="2:14" s="222" customFormat="1" ht="51" x14ac:dyDescent="0.25">
      <c r="B41" s="262" t="s">
        <v>247</v>
      </c>
      <c r="C41" s="263" t="s">
        <v>519</v>
      </c>
      <c r="D41" s="267" t="s">
        <v>546</v>
      </c>
      <c r="E41" s="228" t="s">
        <v>38</v>
      </c>
      <c r="F41" s="252"/>
      <c r="G41" s="252"/>
      <c r="H41" s="252">
        <v>1</v>
      </c>
      <c r="I41" s="252"/>
      <c r="J41" s="252"/>
      <c r="K41" s="252">
        <v>2</v>
      </c>
      <c r="L41" s="252"/>
      <c r="M41" s="253"/>
      <c r="N41" s="258">
        <f t="shared" ref="N41" si="3">+SUM(F41:M41)</f>
        <v>3</v>
      </c>
    </row>
    <row r="42" spans="2:14" s="222" customFormat="1" ht="25.5" x14ac:dyDescent="0.25">
      <c r="B42" s="262" t="s">
        <v>247</v>
      </c>
      <c r="C42" s="263" t="s">
        <v>549</v>
      </c>
      <c r="D42" s="267" t="s">
        <v>548</v>
      </c>
      <c r="E42" s="228" t="s">
        <v>38</v>
      </c>
      <c r="F42" s="252"/>
      <c r="G42" s="252"/>
      <c r="H42" s="252"/>
      <c r="I42" s="252">
        <v>1</v>
      </c>
      <c r="J42" s="252"/>
      <c r="K42" s="252">
        <v>1</v>
      </c>
      <c r="L42" s="252"/>
      <c r="M42" s="253"/>
      <c r="N42" s="258">
        <f t="shared" ref="N42:N46" si="4">+SUM(F42:M42)</f>
        <v>2</v>
      </c>
    </row>
    <row r="43" spans="2:14" s="222" customFormat="1" ht="25.5" x14ac:dyDescent="0.25">
      <c r="B43" s="262" t="s">
        <v>247</v>
      </c>
      <c r="C43" s="263" t="s">
        <v>550</v>
      </c>
      <c r="D43" s="267" t="s">
        <v>2724</v>
      </c>
      <c r="E43" s="228" t="s">
        <v>38</v>
      </c>
      <c r="F43" s="252"/>
      <c r="G43" s="252"/>
      <c r="H43" s="252"/>
      <c r="I43" s="252">
        <v>1</v>
      </c>
      <c r="J43" s="252"/>
      <c r="K43" s="252"/>
      <c r="L43" s="252"/>
      <c r="M43" s="253"/>
      <c r="N43" s="258">
        <f t="shared" si="4"/>
        <v>1</v>
      </c>
    </row>
    <row r="44" spans="2:14" s="222" customFormat="1" ht="51" x14ac:dyDescent="0.25">
      <c r="B44" s="262" t="s">
        <v>247</v>
      </c>
      <c r="C44" s="263" t="s">
        <v>551</v>
      </c>
      <c r="D44" s="267" t="s">
        <v>573</v>
      </c>
      <c r="E44" s="228" t="s">
        <v>38</v>
      </c>
      <c r="F44" s="252"/>
      <c r="G44" s="252"/>
      <c r="H44" s="252"/>
      <c r="I44" s="252">
        <v>1</v>
      </c>
      <c r="J44" s="252"/>
      <c r="K44" s="252">
        <v>1</v>
      </c>
      <c r="L44" s="252"/>
      <c r="M44" s="253"/>
      <c r="N44" s="258">
        <f t="shared" si="4"/>
        <v>2</v>
      </c>
    </row>
    <row r="45" spans="2:14" s="222" customFormat="1" ht="51" x14ac:dyDescent="0.25">
      <c r="B45" s="262" t="s">
        <v>247</v>
      </c>
      <c r="C45" s="263" t="s">
        <v>552</v>
      </c>
      <c r="D45" s="267" t="s">
        <v>574</v>
      </c>
      <c r="E45" s="228" t="s">
        <v>38</v>
      </c>
      <c r="F45" s="252"/>
      <c r="G45" s="252"/>
      <c r="H45" s="252"/>
      <c r="I45" s="252">
        <v>1</v>
      </c>
      <c r="J45" s="252"/>
      <c r="K45" s="252"/>
      <c r="L45" s="252"/>
      <c r="M45" s="253"/>
      <c r="N45" s="258">
        <f t="shared" si="4"/>
        <v>1</v>
      </c>
    </row>
    <row r="46" spans="2:14" s="222" customFormat="1" ht="25.5" x14ac:dyDescent="0.25">
      <c r="B46" s="262" t="s">
        <v>575</v>
      </c>
      <c r="C46" s="263">
        <v>4213</v>
      </c>
      <c r="D46" s="267" t="s">
        <v>576</v>
      </c>
      <c r="E46" s="228" t="s">
        <v>38</v>
      </c>
      <c r="F46" s="252"/>
      <c r="G46" s="252"/>
      <c r="H46" s="252"/>
      <c r="I46" s="252">
        <v>3</v>
      </c>
      <c r="J46" s="252">
        <v>7</v>
      </c>
      <c r="K46" s="252"/>
      <c r="L46" s="252"/>
      <c r="M46" s="253"/>
      <c r="N46" s="258">
        <f t="shared" si="4"/>
        <v>10</v>
      </c>
    </row>
    <row r="47" spans="2:14" s="222" customFormat="1" x14ac:dyDescent="0.25">
      <c r="B47" s="262" t="s">
        <v>247</v>
      </c>
      <c r="C47" s="263" t="s">
        <v>553</v>
      </c>
      <c r="D47" s="267" t="s">
        <v>577</v>
      </c>
      <c r="E47" s="228" t="s">
        <v>38</v>
      </c>
      <c r="F47" s="252"/>
      <c r="G47" s="252"/>
      <c r="H47" s="252"/>
      <c r="I47" s="252">
        <v>24</v>
      </c>
      <c r="J47" s="252">
        <v>56</v>
      </c>
      <c r="K47" s="252"/>
      <c r="L47" s="252"/>
      <c r="M47" s="253"/>
      <c r="N47" s="258">
        <f t="shared" ref="N47" si="5">+SUM(F47:M47)</f>
        <v>80</v>
      </c>
    </row>
    <row r="48" spans="2:14" s="222" customFormat="1" ht="25.5" x14ac:dyDescent="0.25">
      <c r="B48" s="262" t="s">
        <v>247</v>
      </c>
      <c r="C48" s="263" t="s">
        <v>554</v>
      </c>
      <c r="D48" s="267" t="s">
        <v>594</v>
      </c>
      <c r="E48" s="228" t="s">
        <v>38</v>
      </c>
      <c r="F48" s="252"/>
      <c r="G48" s="252"/>
      <c r="H48" s="252"/>
      <c r="I48" s="252">
        <v>1</v>
      </c>
      <c r="J48" s="252"/>
      <c r="K48" s="252">
        <v>1</v>
      </c>
      <c r="L48" s="252"/>
      <c r="M48" s="253"/>
      <c r="N48" s="258">
        <f t="shared" ref="N48:N52" si="6">+SUM(F48:M48)</f>
        <v>2</v>
      </c>
    </row>
    <row r="49" spans="2:14" s="222" customFormat="1" ht="38.25" x14ac:dyDescent="0.25">
      <c r="B49" s="262" t="s">
        <v>247</v>
      </c>
      <c r="C49" s="263" t="s">
        <v>555</v>
      </c>
      <c r="D49" s="267" t="s">
        <v>597</v>
      </c>
      <c r="E49" s="228" t="s">
        <v>38</v>
      </c>
      <c r="F49" s="252"/>
      <c r="G49" s="252"/>
      <c r="H49" s="252"/>
      <c r="I49" s="252"/>
      <c r="J49" s="252">
        <v>2</v>
      </c>
      <c r="K49" s="252"/>
      <c r="L49" s="252"/>
      <c r="M49" s="253"/>
      <c r="N49" s="258">
        <f t="shared" si="6"/>
        <v>2</v>
      </c>
    </row>
    <row r="50" spans="2:14" s="222" customFormat="1" ht="63.75" x14ac:dyDescent="0.25">
      <c r="B50" s="262" t="s">
        <v>247</v>
      </c>
      <c r="C50" s="263" t="s">
        <v>556</v>
      </c>
      <c r="D50" s="267" t="s">
        <v>596</v>
      </c>
      <c r="E50" s="228" t="s">
        <v>38</v>
      </c>
      <c r="F50" s="252"/>
      <c r="G50" s="252"/>
      <c r="H50" s="252"/>
      <c r="I50" s="252"/>
      <c r="J50" s="252">
        <v>2</v>
      </c>
      <c r="K50" s="252"/>
      <c r="L50" s="252"/>
      <c r="M50" s="253"/>
      <c r="N50" s="258">
        <f t="shared" si="6"/>
        <v>2</v>
      </c>
    </row>
    <row r="51" spans="2:14" s="222" customFormat="1" ht="63.75" x14ac:dyDescent="0.25">
      <c r="B51" s="262" t="s">
        <v>247</v>
      </c>
      <c r="C51" s="263" t="s">
        <v>557</v>
      </c>
      <c r="D51" s="267" t="s">
        <v>598</v>
      </c>
      <c r="E51" s="228" t="s">
        <v>38</v>
      </c>
      <c r="F51" s="252"/>
      <c r="G51" s="252"/>
      <c r="H51" s="252"/>
      <c r="I51" s="252"/>
      <c r="J51" s="252">
        <v>1</v>
      </c>
      <c r="K51" s="252"/>
      <c r="L51" s="252"/>
      <c r="M51" s="253"/>
      <c r="N51" s="258">
        <f t="shared" si="6"/>
        <v>1</v>
      </c>
    </row>
    <row r="52" spans="2:14" s="222" customFormat="1" ht="25.5" x14ac:dyDescent="0.25">
      <c r="B52" s="262" t="s">
        <v>247</v>
      </c>
      <c r="C52" s="263" t="s">
        <v>558</v>
      </c>
      <c r="D52" s="267" t="s">
        <v>599</v>
      </c>
      <c r="E52" s="228" t="s">
        <v>38</v>
      </c>
      <c r="F52" s="252"/>
      <c r="G52" s="252"/>
      <c r="H52" s="252"/>
      <c r="I52" s="252"/>
      <c r="J52" s="252">
        <v>2</v>
      </c>
      <c r="K52" s="252"/>
      <c r="L52" s="252"/>
      <c r="M52" s="253"/>
      <c r="N52" s="258">
        <f t="shared" si="6"/>
        <v>2</v>
      </c>
    </row>
    <row r="53" spans="2:14" s="222" customFormat="1" ht="25.5" x14ac:dyDescent="0.25">
      <c r="B53" s="262" t="s">
        <v>247</v>
      </c>
      <c r="C53" s="263" t="s">
        <v>559</v>
      </c>
      <c r="D53" s="267" t="s">
        <v>600</v>
      </c>
      <c r="E53" s="228" t="s">
        <v>38</v>
      </c>
      <c r="F53" s="252"/>
      <c r="G53" s="252"/>
      <c r="H53" s="252"/>
      <c r="I53" s="252"/>
      <c r="J53" s="252">
        <v>1</v>
      </c>
      <c r="K53" s="252"/>
      <c r="L53" s="252"/>
      <c r="M53" s="253"/>
      <c r="N53" s="258">
        <f t="shared" ref="N53" si="7">+SUM(F53:M53)</f>
        <v>1</v>
      </c>
    </row>
    <row r="54" spans="2:14" s="222" customFormat="1" ht="63.75" x14ac:dyDescent="0.25">
      <c r="B54" s="262" t="s">
        <v>247</v>
      </c>
      <c r="C54" s="263" t="s">
        <v>560</v>
      </c>
      <c r="D54" s="267" t="s">
        <v>601</v>
      </c>
      <c r="E54" s="228" t="s">
        <v>38</v>
      </c>
      <c r="F54" s="252"/>
      <c r="G54" s="252"/>
      <c r="H54" s="252"/>
      <c r="I54" s="252"/>
      <c r="J54" s="252">
        <v>1</v>
      </c>
      <c r="K54" s="252">
        <v>1</v>
      </c>
      <c r="L54" s="252"/>
      <c r="M54" s="253"/>
      <c r="N54" s="258">
        <f t="shared" ref="N54:N57" si="8">+SUM(F54:M54)</f>
        <v>2</v>
      </c>
    </row>
    <row r="55" spans="2:14" s="222" customFormat="1" ht="25.5" x14ac:dyDescent="0.25">
      <c r="B55" s="262" t="s">
        <v>247</v>
      </c>
      <c r="C55" s="263" t="s">
        <v>561</v>
      </c>
      <c r="D55" s="267" t="s">
        <v>603</v>
      </c>
      <c r="E55" s="228" t="s">
        <v>38</v>
      </c>
      <c r="F55" s="252"/>
      <c r="G55" s="252"/>
      <c r="H55" s="252"/>
      <c r="I55" s="252"/>
      <c r="J55" s="252"/>
      <c r="K55" s="252">
        <v>2</v>
      </c>
      <c r="L55" s="252"/>
      <c r="M55" s="253">
        <v>2</v>
      </c>
      <c r="N55" s="258">
        <f t="shared" si="8"/>
        <v>4</v>
      </c>
    </row>
    <row r="56" spans="2:14" s="222" customFormat="1" ht="38.25" x14ac:dyDescent="0.25">
      <c r="B56" s="262" t="s">
        <v>247</v>
      </c>
      <c r="C56" s="263" t="s">
        <v>562</v>
      </c>
      <c r="D56" s="267" t="s">
        <v>604</v>
      </c>
      <c r="E56" s="228" t="s">
        <v>130</v>
      </c>
      <c r="F56" s="252"/>
      <c r="G56" s="252"/>
      <c r="H56" s="252"/>
      <c r="I56" s="252"/>
      <c r="J56" s="252"/>
      <c r="K56" s="252">
        <v>30</v>
      </c>
      <c r="L56" s="252"/>
      <c r="M56" s="253">
        <v>613</v>
      </c>
      <c r="N56" s="258">
        <f t="shared" si="8"/>
        <v>643</v>
      </c>
    </row>
    <row r="57" spans="2:14" s="222" customFormat="1" ht="25.5" x14ac:dyDescent="0.25">
      <c r="B57" s="262" t="s">
        <v>247</v>
      </c>
      <c r="C57" s="263" t="s">
        <v>563</v>
      </c>
      <c r="D57" s="267" t="s">
        <v>605</v>
      </c>
      <c r="E57" s="228" t="s">
        <v>38</v>
      </c>
      <c r="F57" s="252"/>
      <c r="G57" s="252"/>
      <c r="H57" s="252"/>
      <c r="I57" s="252"/>
      <c r="J57" s="252"/>
      <c r="K57" s="252">
        <v>6</v>
      </c>
      <c r="L57" s="252"/>
      <c r="M57" s="253"/>
      <c r="N57" s="258">
        <f t="shared" si="8"/>
        <v>6</v>
      </c>
    </row>
    <row r="58" spans="2:14" s="222" customFormat="1" ht="25.5" x14ac:dyDescent="0.25">
      <c r="B58" s="262" t="s">
        <v>247</v>
      </c>
      <c r="C58" s="263" t="s">
        <v>564</v>
      </c>
      <c r="D58" s="267" t="s">
        <v>607</v>
      </c>
      <c r="E58" s="228" t="s">
        <v>130</v>
      </c>
      <c r="F58" s="252"/>
      <c r="G58" s="252"/>
      <c r="H58" s="252"/>
      <c r="I58" s="252"/>
      <c r="J58" s="252"/>
      <c r="K58" s="252">
        <v>8</v>
      </c>
      <c r="L58" s="252"/>
      <c r="M58" s="253"/>
      <c r="N58" s="258">
        <f t="shared" ref="N58" si="9">+SUM(F58:M58)</f>
        <v>8</v>
      </c>
    </row>
    <row r="59" spans="2:14" s="222" customFormat="1" ht="63.75" x14ac:dyDescent="0.25">
      <c r="B59" s="262" t="s">
        <v>247</v>
      </c>
      <c r="C59" s="263" t="s">
        <v>565</v>
      </c>
      <c r="D59" s="267" t="s">
        <v>608</v>
      </c>
      <c r="E59" s="228" t="s">
        <v>38</v>
      </c>
      <c r="F59" s="252"/>
      <c r="G59" s="252"/>
      <c r="H59" s="252"/>
      <c r="I59" s="252"/>
      <c r="J59" s="252"/>
      <c r="K59" s="252">
        <v>4</v>
      </c>
      <c r="L59" s="252"/>
      <c r="M59" s="253"/>
      <c r="N59" s="258">
        <f>+SUM(F59:M59)</f>
        <v>4</v>
      </c>
    </row>
    <row r="60" spans="2:14" s="222" customFormat="1" ht="63.75" x14ac:dyDescent="0.25">
      <c r="B60" s="262" t="s">
        <v>247</v>
      </c>
      <c r="C60" s="263" t="s">
        <v>566</v>
      </c>
      <c r="D60" s="267" t="s">
        <v>606</v>
      </c>
      <c r="E60" s="228" t="s">
        <v>38</v>
      </c>
      <c r="F60" s="252"/>
      <c r="G60" s="252"/>
      <c r="H60" s="252"/>
      <c r="I60" s="252"/>
      <c r="J60" s="252"/>
      <c r="K60" s="252">
        <v>4</v>
      </c>
      <c r="L60" s="252"/>
      <c r="M60" s="253"/>
      <c r="N60" s="258">
        <f t="shared" ref="N60:N63" si="10">+SUM(F60:M60)</f>
        <v>4</v>
      </c>
    </row>
    <row r="61" spans="2:14" s="222" customFormat="1" ht="51" x14ac:dyDescent="0.25">
      <c r="B61" s="262" t="s">
        <v>247</v>
      </c>
      <c r="C61" s="263" t="s">
        <v>567</v>
      </c>
      <c r="D61" s="267" t="s">
        <v>609</v>
      </c>
      <c r="E61" s="228" t="s">
        <v>38</v>
      </c>
      <c r="F61" s="252"/>
      <c r="G61" s="252"/>
      <c r="H61" s="252"/>
      <c r="I61" s="252"/>
      <c r="J61" s="252"/>
      <c r="K61" s="252">
        <v>4</v>
      </c>
      <c r="L61" s="252"/>
      <c r="M61" s="253"/>
      <c r="N61" s="258">
        <f t="shared" si="10"/>
        <v>4</v>
      </c>
    </row>
    <row r="62" spans="2:14" s="222" customFormat="1" ht="63.75" x14ac:dyDescent="0.25">
      <c r="B62" s="262" t="s">
        <v>247</v>
      </c>
      <c r="C62" s="263" t="s">
        <v>568</v>
      </c>
      <c r="D62" s="267" t="s">
        <v>610</v>
      </c>
      <c r="E62" s="228" t="s">
        <v>38</v>
      </c>
      <c r="F62" s="252"/>
      <c r="G62" s="252"/>
      <c r="H62" s="252"/>
      <c r="I62" s="252"/>
      <c r="J62" s="252"/>
      <c r="K62" s="252">
        <v>1</v>
      </c>
      <c r="L62" s="252"/>
      <c r="M62" s="253"/>
      <c r="N62" s="258">
        <f t="shared" si="10"/>
        <v>1</v>
      </c>
    </row>
    <row r="63" spans="2:14" s="222" customFormat="1" ht="63.75" x14ac:dyDescent="0.25">
      <c r="B63" s="262" t="s">
        <v>247</v>
      </c>
      <c r="C63" s="263" t="s">
        <v>569</v>
      </c>
      <c r="D63" s="267" t="s">
        <v>611</v>
      </c>
      <c r="E63" s="228" t="s">
        <v>38</v>
      </c>
      <c r="F63" s="252"/>
      <c r="G63" s="252"/>
      <c r="H63" s="252"/>
      <c r="I63" s="252"/>
      <c r="J63" s="252"/>
      <c r="K63" s="252">
        <v>1</v>
      </c>
      <c r="L63" s="252"/>
      <c r="M63" s="253"/>
      <c r="N63" s="258">
        <f t="shared" si="10"/>
        <v>1</v>
      </c>
    </row>
    <row r="64" spans="2:14" s="222" customFormat="1" ht="63.75" x14ac:dyDescent="0.25">
      <c r="B64" s="262" t="s">
        <v>247</v>
      </c>
      <c r="C64" s="263" t="s">
        <v>570</v>
      </c>
      <c r="D64" s="267" t="s">
        <v>612</v>
      </c>
      <c r="E64" s="228" t="s">
        <v>38</v>
      </c>
      <c r="F64" s="252"/>
      <c r="G64" s="252"/>
      <c r="H64" s="252"/>
      <c r="I64" s="252"/>
      <c r="J64" s="252"/>
      <c r="K64" s="252">
        <v>1</v>
      </c>
      <c r="L64" s="252"/>
      <c r="M64" s="253"/>
      <c r="N64" s="258">
        <f t="shared" ref="N64:N82" si="11">+SUM(F64:M64)</f>
        <v>1</v>
      </c>
    </row>
    <row r="65" spans="2:14" s="222" customFormat="1" ht="25.5" x14ac:dyDescent="0.25">
      <c r="B65" s="262" t="s">
        <v>247</v>
      </c>
      <c r="C65" s="263" t="s">
        <v>571</v>
      </c>
      <c r="D65" s="267" t="s">
        <v>613</v>
      </c>
      <c r="E65" s="228" t="s">
        <v>38</v>
      </c>
      <c r="F65" s="252"/>
      <c r="G65" s="252"/>
      <c r="H65" s="252"/>
      <c r="I65" s="252"/>
      <c r="J65" s="252"/>
      <c r="K65" s="252">
        <v>1</v>
      </c>
      <c r="L65" s="252"/>
      <c r="M65" s="253"/>
      <c r="N65" s="258">
        <f t="shared" si="11"/>
        <v>1</v>
      </c>
    </row>
    <row r="66" spans="2:14" s="222" customFormat="1" ht="25.5" x14ac:dyDescent="0.25">
      <c r="B66" s="262" t="s">
        <v>247</v>
      </c>
      <c r="C66" s="263" t="s">
        <v>578</v>
      </c>
      <c r="D66" s="267" t="s">
        <v>614</v>
      </c>
      <c r="E66" s="228" t="s">
        <v>130</v>
      </c>
      <c r="F66" s="252"/>
      <c r="G66" s="252"/>
      <c r="H66" s="252"/>
      <c r="I66" s="252"/>
      <c r="J66" s="252"/>
      <c r="K66" s="252">
        <f>2.5+2*5.8</f>
        <v>14.1</v>
      </c>
      <c r="L66" s="252"/>
      <c r="M66" s="253"/>
      <c r="N66" s="258">
        <f t="shared" si="11"/>
        <v>14.1</v>
      </c>
    </row>
    <row r="67" spans="2:14" s="222" customFormat="1" ht="63.75" x14ac:dyDescent="0.25">
      <c r="B67" s="262" t="s">
        <v>247</v>
      </c>
      <c r="C67" s="263" t="s">
        <v>579</v>
      </c>
      <c r="D67" s="267" t="s">
        <v>615</v>
      </c>
      <c r="E67" s="228" t="s">
        <v>38</v>
      </c>
      <c r="F67" s="252"/>
      <c r="G67" s="252"/>
      <c r="H67" s="252"/>
      <c r="I67" s="252"/>
      <c r="J67" s="252"/>
      <c r="K67" s="252">
        <v>1</v>
      </c>
      <c r="L67" s="252"/>
      <c r="M67" s="253"/>
      <c r="N67" s="258">
        <f t="shared" si="11"/>
        <v>1</v>
      </c>
    </row>
    <row r="68" spans="2:14" s="222" customFormat="1" ht="38.25" x14ac:dyDescent="0.25">
      <c r="B68" s="262" t="s">
        <v>247</v>
      </c>
      <c r="C68" s="263" t="s">
        <v>580</v>
      </c>
      <c r="D68" s="267" t="s">
        <v>616</v>
      </c>
      <c r="E68" s="228" t="s">
        <v>38</v>
      </c>
      <c r="F68" s="252"/>
      <c r="G68" s="252"/>
      <c r="H68" s="252"/>
      <c r="I68" s="252"/>
      <c r="J68" s="252"/>
      <c r="K68" s="252">
        <v>1</v>
      </c>
      <c r="L68" s="252"/>
      <c r="M68" s="253"/>
      <c r="N68" s="258">
        <f t="shared" si="11"/>
        <v>1</v>
      </c>
    </row>
    <row r="69" spans="2:14" s="222" customFormat="1" ht="63.75" x14ac:dyDescent="0.25">
      <c r="B69" s="262" t="s">
        <v>247</v>
      </c>
      <c r="C69" s="263" t="s">
        <v>581</v>
      </c>
      <c r="D69" s="267" t="s">
        <v>617</v>
      </c>
      <c r="E69" s="228" t="s">
        <v>38</v>
      </c>
      <c r="F69" s="252"/>
      <c r="G69" s="252"/>
      <c r="H69" s="252"/>
      <c r="I69" s="252"/>
      <c r="J69" s="252"/>
      <c r="K69" s="252">
        <v>1</v>
      </c>
      <c r="L69" s="252"/>
      <c r="M69" s="253"/>
      <c r="N69" s="258">
        <f t="shared" si="11"/>
        <v>1</v>
      </c>
    </row>
    <row r="70" spans="2:14" s="222" customFormat="1" ht="63.75" x14ac:dyDescent="0.25">
      <c r="B70" s="262" t="s">
        <v>247</v>
      </c>
      <c r="C70" s="263" t="s">
        <v>582</v>
      </c>
      <c r="D70" s="267" t="s">
        <v>618</v>
      </c>
      <c r="E70" s="228" t="s">
        <v>38</v>
      </c>
      <c r="F70" s="252"/>
      <c r="G70" s="252"/>
      <c r="H70" s="252"/>
      <c r="I70" s="252"/>
      <c r="J70" s="252"/>
      <c r="K70" s="252">
        <v>1</v>
      </c>
      <c r="L70" s="252"/>
      <c r="M70" s="253"/>
      <c r="N70" s="258">
        <f t="shared" si="11"/>
        <v>1</v>
      </c>
    </row>
    <row r="71" spans="2:14" s="222" customFormat="1" ht="25.5" x14ac:dyDescent="0.25">
      <c r="B71" s="262" t="s">
        <v>247</v>
      </c>
      <c r="C71" s="263" t="s">
        <v>583</v>
      </c>
      <c r="D71" s="267" t="s">
        <v>619</v>
      </c>
      <c r="E71" s="228" t="s">
        <v>38</v>
      </c>
      <c r="F71" s="252"/>
      <c r="G71" s="252"/>
      <c r="H71" s="252"/>
      <c r="I71" s="252"/>
      <c r="J71" s="252"/>
      <c r="K71" s="252">
        <v>1</v>
      </c>
      <c r="L71" s="252"/>
      <c r="M71" s="253"/>
      <c r="N71" s="258">
        <f t="shared" si="11"/>
        <v>1</v>
      </c>
    </row>
    <row r="72" spans="2:14" s="222" customFormat="1" ht="63.75" x14ac:dyDescent="0.25">
      <c r="B72" s="262" t="s">
        <v>247</v>
      </c>
      <c r="C72" s="263" t="s">
        <v>584</v>
      </c>
      <c r="D72" s="267" t="s">
        <v>620</v>
      </c>
      <c r="E72" s="228" t="s">
        <v>38</v>
      </c>
      <c r="F72" s="252"/>
      <c r="G72" s="252"/>
      <c r="H72" s="252"/>
      <c r="I72" s="252"/>
      <c r="J72" s="252"/>
      <c r="K72" s="252">
        <v>1</v>
      </c>
      <c r="L72" s="252"/>
      <c r="M72" s="253"/>
      <c r="N72" s="258">
        <f t="shared" si="11"/>
        <v>1</v>
      </c>
    </row>
    <row r="73" spans="2:14" s="222" customFormat="1" ht="63.75" x14ac:dyDescent="0.25">
      <c r="B73" s="262" t="s">
        <v>247</v>
      </c>
      <c r="C73" s="263" t="s">
        <v>585</v>
      </c>
      <c r="D73" s="267" t="s">
        <v>621</v>
      </c>
      <c r="E73" s="228" t="s">
        <v>38</v>
      </c>
      <c r="F73" s="252"/>
      <c r="G73" s="252"/>
      <c r="H73" s="252"/>
      <c r="I73" s="252"/>
      <c r="J73" s="252"/>
      <c r="K73" s="252">
        <v>2</v>
      </c>
      <c r="L73" s="252"/>
      <c r="M73" s="253"/>
      <c r="N73" s="258">
        <f t="shared" si="11"/>
        <v>2</v>
      </c>
    </row>
    <row r="74" spans="2:14" s="222" customFormat="1" ht="38.25" x14ac:dyDescent="0.25">
      <c r="B74" s="262" t="s">
        <v>247</v>
      </c>
      <c r="C74" s="263" t="s">
        <v>586</v>
      </c>
      <c r="D74" s="267" t="s">
        <v>638</v>
      </c>
      <c r="E74" s="228" t="s">
        <v>38</v>
      </c>
      <c r="F74" s="252"/>
      <c r="G74" s="252"/>
      <c r="H74" s="252"/>
      <c r="I74" s="252"/>
      <c r="J74" s="252"/>
      <c r="K74" s="252">
        <v>3</v>
      </c>
      <c r="L74" s="252"/>
      <c r="M74" s="253"/>
      <c r="N74" s="258">
        <f t="shared" si="11"/>
        <v>3</v>
      </c>
    </row>
    <row r="75" spans="2:14" s="222" customFormat="1" x14ac:dyDescent="0.25">
      <c r="B75" s="262" t="s">
        <v>218</v>
      </c>
      <c r="C75" s="263" t="s">
        <v>625</v>
      </c>
      <c r="D75" s="267" t="s">
        <v>623</v>
      </c>
      <c r="E75" s="228" t="s">
        <v>38</v>
      </c>
      <c r="F75" s="252"/>
      <c r="G75" s="252"/>
      <c r="H75" s="252"/>
      <c r="I75" s="252"/>
      <c r="J75" s="252"/>
      <c r="K75" s="252"/>
      <c r="L75" s="252">
        <v>3</v>
      </c>
      <c r="M75" s="253"/>
      <c r="N75" s="258">
        <f t="shared" si="11"/>
        <v>3</v>
      </c>
    </row>
    <row r="76" spans="2:14" s="222" customFormat="1" x14ac:dyDescent="0.25">
      <c r="B76" s="262" t="s">
        <v>218</v>
      </c>
      <c r="C76" s="263" t="s">
        <v>626</v>
      </c>
      <c r="D76" s="267" t="s">
        <v>624</v>
      </c>
      <c r="E76" s="228" t="s">
        <v>38</v>
      </c>
      <c r="F76" s="252"/>
      <c r="G76" s="252"/>
      <c r="H76" s="252"/>
      <c r="I76" s="252"/>
      <c r="J76" s="252"/>
      <c r="K76" s="252"/>
      <c r="L76" s="252">
        <v>3</v>
      </c>
      <c r="M76" s="253"/>
      <c r="N76" s="258">
        <f t="shared" si="11"/>
        <v>3</v>
      </c>
    </row>
    <row r="77" spans="2:14" s="222" customFormat="1" ht="25.5" x14ac:dyDescent="0.25">
      <c r="B77" s="262" t="s">
        <v>247</v>
      </c>
      <c r="C77" s="263" t="s">
        <v>587</v>
      </c>
      <c r="D77" s="267" t="s">
        <v>627</v>
      </c>
      <c r="E77" s="228" t="s">
        <v>38</v>
      </c>
      <c r="F77" s="252"/>
      <c r="G77" s="252"/>
      <c r="H77" s="252"/>
      <c r="I77" s="252"/>
      <c r="J77" s="252"/>
      <c r="K77" s="252"/>
      <c r="L77" s="252">
        <v>3</v>
      </c>
      <c r="M77" s="253"/>
      <c r="N77" s="258">
        <f t="shared" si="11"/>
        <v>3</v>
      </c>
    </row>
    <row r="78" spans="2:14" s="222" customFormat="1" ht="25.5" x14ac:dyDescent="0.25">
      <c r="B78" s="262" t="s">
        <v>247</v>
      </c>
      <c r="C78" s="263" t="s">
        <v>588</v>
      </c>
      <c r="D78" s="267" t="s">
        <v>628</v>
      </c>
      <c r="E78" s="228" t="s">
        <v>130</v>
      </c>
      <c r="F78" s="252"/>
      <c r="G78" s="252"/>
      <c r="H78" s="252"/>
      <c r="I78" s="252"/>
      <c r="J78" s="252"/>
      <c r="K78" s="252"/>
      <c r="L78" s="252">
        <f>3*0.4+0.5</f>
        <v>1.7000000000000002</v>
      </c>
      <c r="M78" s="253"/>
      <c r="N78" s="258">
        <f t="shared" si="11"/>
        <v>1.7000000000000002</v>
      </c>
    </row>
    <row r="79" spans="2:14" s="222" customFormat="1" x14ac:dyDescent="0.25">
      <c r="B79" s="262" t="s">
        <v>218</v>
      </c>
      <c r="C79" s="263" t="s">
        <v>630</v>
      </c>
      <c r="D79" s="267" t="s">
        <v>629</v>
      </c>
      <c r="E79" s="228" t="s">
        <v>38</v>
      </c>
      <c r="F79" s="252"/>
      <c r="G79" s="252"/>
      <c r="H79" s="252"/>
      <c r="I79" s="252"/>
      <c r="J79" s="252"/>
      <c r="K79" s="252"/>
      <c r="L79" s="252">
        <v>3</v>
      </c>
      <c r="M79" s="253"/>
      <c r="N79" s="258">
        <f t="shared" si="11"/>
        <v>3</v>
      </c>
    </row>
    <row r="80" spans="2:14" s="222" customFormat="1" x14ac:dyDescent="0.25">
      <c r="B80" s="262" t="s">
        <v>218</v>
      </c>
      <c r="C80" s="263" t="s">
        <v>632</v>
      </c>
      <c r="D80" s="267" t="s">
        <v>631</v>
      </c>
      <c r="E80" s="228" t="s">
        <v>38</v>
      </c>
      <c r="F80" s="252"/>
      <c r="G80" s="252"/>
      <c r="H80" s="252"/>
      <c r="I80" s="252"/>
      <c r="J80" s="252"/>
      <c r="K80" s="252"/>
      <c r="L80" s="252">
        <f>2+1</f>
        <v>3</v>
      </c>
      <c r="M80" s="253"/>
      <c r="N80" s="258">
        <f t="shared" si="11"/>
        <v>3</v>
      </c>
    </row>
    <row r="81" spans="2:14" s="222" customFormat="1" x14ac:dyDescent="0.25">
      <c r="B81" s="262" t="s">
        <v>218</v>
      </c>
      <c r="C81" s="263" t="s">
        <v>634</v>
      </c>
      <c r="D81" s="267" t="s">
        <v>633</v>
      </c>
      <c r="E81" s="228" t="s">
        <v>38</v>
      </c>
      <c r="F81" s="252"/>
      <c r="G81" s="252"/>
      <c r="H81" s="252"/>
      <c r="I81" s="252"/>
      <c r="J81" s="252"/>
      <c r="K81" s="252"/>
      <c r="L81" s="252">
        <f>5+3</f>
        <v>8</v>
      </c>
      <c r="M81" s="253"/>
      <c r="N81" s="258">
        <f t="shared" si="11"/>
        <v>8</v>
      </c>
    </row>
    <row r="82" spans="2:14" s="222" customFormat="1" x14ac:dyDescent="0.25">
      <c r="B82" s="262" t="s">
        <v>218</v>
      </c>
      <c r="C82" s="263" t="s">
        <v>636</v>
      </c>
      <c r="D82" s="267" t="s">
        <v>635</v>
      </c>
      <c r="E82" s="228" t="s">
        <v>130</v>
      </c>
      <c r="F82" s="252"/>
      <c r="G82" s="252"/>
      <c r="H82" s="252"/>
      <c r="I82" s="252"/>
      <c r="J82" s="252"/>
      <c r="K82" s="252"/>
      <c r="L82" s="252">
        <f>30+24</f>
        <v>54</v>
      </c>
      <c r="M82" s="253"/>
      <c r="N82" s="258">
        <f t="shared" si="11"/>
        <v>54</v>
      </c>
    </row>
    <row r="83" spans="2:14" s="222" customFormat="1" x14ac:dyDescent="0.25">
      <c r="B83" s="262" t="s">
        <v>247</v>
      </c>
      <c r="C83" s="263" t="s">
        <v>589</v>
      </c>
      <c r="D83" s="267" t="s">
        <v>637</v>
      </c>
      <c r="E83" s="228" t="s">
        <v>38</v>
      </c>
      <c r="F83" s="252"/>
      <c r="G83" s="252"/>
      <c r="H83" s="252"/>
      <c r="I83" s="252"/>
      <c r="J83" s="252"/>
      <c r="K83" s="252"/>
      <c r="L83" s="252">
        <v>1</v>
      </c>
      <c r="M83" s="253"/>
      <c r="N83" s="258">
        <f t="shared" ref="N83:N91" si="12">+SUM(F83:M83)</f>
        <v>1</v>
      </c>
    </row>
    <row r="84" spans="2:14" s="222" customFormat="1" x14ac:dyDescent="0.25">
      <c r="B84" s="262" t="s">
        <v>218</v>
      </c>
      <c r="C84" s="263" t="s">
        <v>640</v>
      </c>
      <c r="D84" s="267" t="s">
        <v>639</v>
      </c>
      <c r="E84" s="228" t="s">
        <v>38</v>
      </c>
      <c r="F84" s="252"/>
      <c r="G84" s="252"/>
      <c r="H84" s="252"/>
      <c r="I84" s="252"/>
      <c r="J84" s="252"/>
      <c r="K84" s="252"/>
      <c r="L84" s="252">
        <v>1</v>
      </c>
      <c r="M84" s="253"/>
      <c r="N84" s="258">
        <f t="shared" si="12"/>
        <v>1</v>
      </c>
    </row>
    <row r="85" spans="2:14" s="222" customFormat="1" x14ac:dyDescent="0.25">
      <c r="B85" s="262" t="s">
        <v>218</v>
      </c>
      <c r="C85" s="263" t="s">
        <v>642</v>
      </c>
      <c r="D85" s="267" t="s">
        <v>641</v>
      </c>
      <c r="E85" s="228" t="s">
        <v>38</v>
      </c>
      <c r="F85" s="252"/>
      <c r="G85" s="252"/>
      <c r="H85" s="252"/>
      <c r="I85" s="252"/>
      <c r="J85" s="252"/>
      <c r="K85" s="252"/>
      <c r="L85" s="252">
        <v>1</v>
      </c>
      <c r="M85" s="253"/>
      <c r="N85" s="258">
        <f t="shared" si="12"/>
        <v>1</v>
      </c>
    </row>
    <row r="86" spans="2:14" s="222" customFormat="1" ht="25.5" x14ac:dyDescent="0.25">
      <c r="B86" s="262" t="s">
        <v>247</v>
      </c>
      <c r="C86" s="263" t="s">
        <v>590</v>
      </c>
      <c r="D86" s="267" t="s">
        <v>643</v>
      </c>
      <c r="E86" s="228" t="s">
        <v>38</v>
      </c>
      <c r="F86" s="252"/>
      <c r="G86" s="252"/>
      <c r="H86" s="252"/>
      <c r="I86" s="252"/>
      <c r="J86" s="252"/>
      <c r="K86" s="252"/>
      <c r="L86" s="252">
        <v>1</v>
      </c>
      <c r="M86" s="253"/>
      <c r="N86" s="258">
        <f t="shared" si="12"/>
        <v>1</v>
      </c>
    </row>
    <row r="87" spans="2:14" s="222" customFormat="1" x14ac:dyDescent="0.25">
      <c r="B87" s="262" t="s">
        <v>575</v>
      </c>
      <c r="C87" s="263">
        <v>5109</v>
      </c>
      <c r="D87" s="267" t="s">
        <v>657</v>
      </c>
      <c r="E87" s="228" t="s">
        <v>130</v>
      </c>
      <c r="F87" s="252">
        <f>SUBTOTAL(9,F29,F30,F31,F36,F56,F58,F66,F82)</f>
        <v>4835</v>
      </c>
      <c r="G87" s="252"/>
      <c r="H87" s="252">
        <f t="shared" ref="H87:L87" si="13">SUBTOTAL(9,H29,H30,H31,H36,H56,H58,H66,H82)</f>
        <v>6</v>
      </c>
      <c r="I87" s="252"/>
      <c r="J87" s="252"/>
      <c r="K87" s="252">
        <f t="shared" si="13"/>
        <v>61.1</v>
      </c>
      <c r="L87" s="252">
        <f t="shared" si="13"/>
        <v>54</v>
      </c>
      <c r="M87" s="252">
        <f>SUBTOTAL(9,M29,M30,M31,M36,M56,M58,M66,M82)</f>
        <v>613</v>
      </c>
      <c r="N87" s="258">
        <f t="shared" si="12"/>
        <v>5569.1</v>
      </c>
    </row>
    <row r="88" spans="2:14" s="222" customFormat="1" x14ac:dyDescent="0.25">
      <c r="B88" s="262" t="s">
        <v>575</v>
      </c>
      <c r="C88" s="263">
        <v>6098</v>
      </c>
      <c r="D88" s="267" t="s">
        <v>656</v>
      </c>
      <c r="E88" s="228" t="s">
        <v>38</v>
      </c>
      <c r="F88" s="252">
        <f>+F87</f>
        <v>4835</v>
      </c>
      <c r="G88" s="252"/>
      <c r="H88" s="252">
        <f t="shared" ref="H88:L88" si="14">+H87</f>
        <v>6</v>
      </c>
      <c r="I88" s="252"/>
      <c r="J88" s="252"/>
      <c r="K88" s="252">
        <f t="shared" si="14"/>
        <v>61.1</v>
      </c>
      <c r="L88" s="252">
        <f t="shared" si="14"/>
        <v>54</v>
      </c>
      <c r="M88" s="252">
        <f>+M87</f>
        <v>613</v>
      </c>
      <c r="N88" s="258">
        <f t="shared" si="12"/>
        <v>5569.1</v>
      </c>
    </row>
    <row r="89" spans="2:14" s="222" customFormat="1" ht="25.5" x14ac:dyDescent="0.25">
      <c r="B89" s="262" t="s">
        <v>247</v>
      </c>
      <c r="C89" s="263" t="s">
        <v>591</v>
      </c>
      <c r="D89" s="267" t="s">
        <v>658</v>
      </c>
      <c r="E89" s="228" t="s">
        <v>130</v>
      </c>
      <c r="F89" s="252">
        <f>+F29</f>
        <v>4031</v>
      </c>
      <c r="G89" s="252"/>
      <c r="H89" s="252"/>
      <c r="I89" s="252"/>
      <c r="J89" s="252"/>
      <c r="K89" s="252"/>
      <c r="L89" s="252"/>
      <c r="M89" s="253"/>
      <c r="N89" s="258">
        <f>+SUM(F89:M89)</f>
        <v>4031</v>
      </c>
    </row>
    <row r="90" spans="2:14" s="222" customFormat="1" ht="25.5" x14ac:dyDescent="0.25">
      <c r="B90" s="262" t="s">
        <v>247</v>
      </c>
      <c r="C90" s="263" t="s">
        <v>592</v>
      </c>
      <c r="D90" s="267" t="s">
        <v>659</v>
      </c>
      <c r="E90" s="228" t="s">
        <v>130</v>
      </c>
      <c r="F90" s="252">
        <f>+F30</f>
        <v>452</v>
      </c>
      <c r="G90" s="252"/>
      <c r="H90" s="252"/>
      <c r="I90" s="252"/>
      <c r="J90" s="252"/>
      <c r="K90" s="252"/>
      <c r="L90" s="252"/>
      <c r="M90" s="253"/>
      <c r="N90" s="258">
        <f t="shared" si="12"/>
        <v>452</v>
      </c>
    </row>
    <row r="91" spans="2:14" s="222" customFormat="1" ht="25.5" x14ac:dyDescent="0.25">
      <c r="B91" s="262" t="s">
        <v>247</v>
      </c>
      <c r="C91" s="263" t="s">
        <v>593</v>
      </c>
      <c r="D91" s="267" t="s">
        <v>660</v>
      </c>
      <c r="E91" s="228" t="s">
        <v>130</v>
      </c>
      <c r="F91" s="252">
        <f>F31</f>
        <v>352</v>
      </c>
      <c r="G91" s="252"/>
      <c r="H91" s="252"/>
      <c r="I91" s="252"/>
      <c r="J91" s="252"/>
      <c r="K91" s="252"/>
      <c r="L91" s="252"/>
      <c r="M91" s="253"/>
      <c r="N91" s="258">
        <f t="shared" si="12"/>
        <v>352</v>
      </c>
    </row>
    <row r="92" spans="2:14" s="222" customFormat="1" ht="25.5" x14ac:dyDescent="0.25">
      <c r="B92" s="262" t="s">
        <v>247</v>
      </c>
      <c r="C92" s="263" t="s">
        <v>887</v>
      </c>
      <c r="D92" s="267" t="s">
        <v>886</v>
      </c>
      <c r="E92" s="228" t="s">
        <v>38</v>
      </c>
      <c r="F92" s="252"/>
      <c r="G92" s="252"/>
      <c r="H92" s="252"/>
      <c r="I92" s="252"/>
      <c r="J92" s="252"/>
      <c r="K92" s="252"/>
      <c r="L92" s="252"/>
      <c r="M92" s="253">
        <v>4</v>
      </c>
      <c r="N92" s="258">
        <f t="shared" ref="N92" si="15">+SUM(F92:M92)</f>
        <v>4</v>
      </c>
    </row>
    <row r="93" spans="2:14" s="222" customFormat="1" ht="51" x14ac:dyDescent="0.25">
      <c r="B93" s="262" t="s">
        <v>247</v>
      </c>
      <c r="C93" s="263" t="s">
        <v>889</v>
      </c>
      <c r="D93" s="267" t="s">
        <v>888</v>
      </c>
      <c r="E93" s="228" t="s">
        <v>38</v>
      </c>
      <c r="F93" s="252"/>
      <c r="G93" s="252"/>
      <c r="H93" s="252"/>
      <c r="I93" s="252"/>
      <c r="J93" s="252"/>
      <c r="K93" s="252"/>
      <c r="L93" s="252"/>
      <c r="M93" s="253">
        <v>1</v>
      </c>
      <c r="N93" s="258">
        <f t="shared" ref="N93" si="16">+SUM(F93:M93)</f>
        <v>1</v>
      </c>
    </row>
    <row r="94" spans="2:14" s="222" customFormat="1" ht="25.5" x14ac:dyDescent="0.25">
      <c r="B94" s="262" t="s">
        <v>247</v>
      </c>
      <c r="C94" s="263" t="s">
        <v>921</v>
      </c>
      <c r="D94" s="267" t="s">
        <v>920</v>
      </c>
      <c r="E94" s="228" t="s">
        <v>38</v>
      </c>
      <c r="F94" s="252"/>
      <c r="G94" s="252"/>
      <c r="H94" s="252"/>
      <c r="I94" s="252"/>
      <c r="J94" s="252"/>
      <c r="K94" s="252">
        <v>1</v>
      </c>
      <c r="L94" s="252"/>
      <c r="M94" s="253"/>
      <c r="N94" s="258">
        <f t="shared" ref="N94" si="17">+SUM(F94:M94)</f>
        <v>1</v>
      </c>
    </row>
    <row r="95" spans="2:14" s="222" customFormat="1" ht="15.75" thickBot="1" x14ac:dyDescent="0.3">
      <c r="B95" s="230"/>
      <c r="C95" s="231"/>
      <c r="D95" s="231"/>
      <c r="E95" s="231"/>
      <c r="F95" s="255"/>
      <c r="G95" s="255"/>
      <c r="H95" s="255"/>
      <c r="I95" s="255"/>
      <c r="J95" s="255"/>
      <c r="K95" s="255"/>
      <c r="L95" s="255"/>
      <c r="M95" s="256"/>
      <c r="N95" s="259"/>
    </row>
    <row r="96" spans="2:14" x14ac:dyDescent="0.25">
      <c r="D96" s="227"/>
      <c r="E96" s="227"/>
      <c r="F96" s="227"/>
      <c r="G96" s="227"/>
      <c r="H96" s="227"/>
      <c r="I96" s="227"/>
      <c r="J96" s="227"/>
      <c r="K96" s="227"/>
      <c r="L96" s="227"/>
      <c r="M96" s="227"/>
    </row>
    <row r="97" spans="4:13" x14ac:dyDescent="0.25">
      <c r="D97" s="227"/>
      <c r="E97" s="227"/>
      <c r="F97" s="227"/>
      <c r="G97" s="227"/>
      <c r="H97" s="227"/>
      <c r="I97" s="227"/>
      <c r="J97" s="227"/>
      <c r="K97" s="227"/>
      <c r="L97" s="227"/>
      <c r="M97" s="227"/>
    </row>
    <row r="98" spans="4:13" x14ac:dyDescent="0.25">
      <c r="D98" s="227"/>
      <c r="E98" s="227"/>
      <c r="F98" s="227"/>
      <c r="G98" s="227"/>
      <c r="H98" s="227"/>
      <c r="I98" s="227"/>
      <c r="J98" s="227"/>
      <c r="K98" s="227"/>
      <c r="L98" s="227"/>
      <c r="M98" s="227"/>
    </row>
    <row r="99" spans="4:13" x14ac:dyDescent="0.25">
      <c r="D99" s="227"/>
      <c r="E99" s="227"/>
      <c r="F99" s="227"/>
      <c r="G99" s="227"/>
      <c r="H99" s="227"/>
      <c r="I99" s="227"/>
      <c r="J99" s="227"/>
      <c r="K99" s="227"/>
      <c r="L99" s="227"/>
      <c r="M99" s="227"/>
    </row>
    <row r="100" spans="4:13" x14ac:dyDescent="0.25">
      <c r="D100" s="227"/>
      <c r="E100" s="227"/>
      <c r="F100" s="227"/>
      <c r="G100" s="227"/>
      <c r="H100" s="227"/>
      <c r="I100" s="227"/>
      <c r="J100" s="227"/>
      <c r="K100" s="227"/>
      <c r="L100" s="227"/>
      <c r="M100" s="227"/>
    </row>
    <row r="101" spans="4:13" x14ac:dyDescent="0.25">
      <c r="D101" s="227"/>
      <c r="E101" s="227"/>
      <c r="F101" s="227"/>
      <c r="G101" s="227"/>
      <c r="H101" s="227"/>
      <c r="I101" s="227"/>
      <c r="J101" s="227"/>
      <c r="K101" s="227"/>
      <c r="L101" s="227"/>
      <c r="M101" s="227"/>
    </row>
    <row r="102" spans="4:13" x14ac:dyDescent="0.25">
      <c r="D102" s="227"/>
      <c r="E102" s="227"/>
      <c r="F102" s="227"/>
      <c r="G102" s="227"/>
      <c r="H102" s="227"/>
      <c r="I102" s="227"/>
      <c r="J102" s="227"/>
      <c r="K102" s="227"/>
      <c r="L102" s="227"/>
      <c r="M102" s="227"/>
    </row>
    <row r="103" spans="4:13" x14ac:dyDescent="0.25">
      <c r="D103" s="227"/>
      <c r="E103" s="227"/>
      <c r="F103" s="227"/>
      <c r="G103" s="227"/>
      <c r="H103" s="227"/>
      <c r="I103" s="227"/>
      <c r="J103" s="227"/>
      <c r="K103" s="227"/>
      <c r="L103" s="227"/>
      <c r="M103" s="227"/>
    </row>
    <row r="104" spans="4:13" x14ac:dyDescent="0.25">
      <c r="D104" s="227"/>
      <c r="E104" s="227"/>
      <c r="F104" s="227"/>
      <c r="G104" s="227"/>
      <c r="H104" s="227"/>
      <c r="I104" s="227"/>
      <c r="J104" s="227"/>
      <c r="K104" s="227"/>
      <c r="L104" s="227"/>
      <c r="M104" s="227"/>
    </row>
    <row r="105" spans="4:13" x14ac:dyDescent="0.25">
      <c r="D105" s="227"/>
      <c r="E105" s="227"/>
      <c r="F105" s="227"/>
      <c r="G105" s="227"/>
      <c r="H105" s="227"/>
      <c r="I105" s="227"/>
      <c r="J105" s="227"/>
      <c r="K105" s="227"/>
      <c r="L105" s="227"/>
      <c r="M105" s="227"/>
    </row>
    <row r="106" spans="4:13" x14ac:dyDescent="0.25">
      <c r="D106" s="227"/>
      <c r="E106" s="227"/>
      <c r="F106" s="227"/>
      <c r="G106" s="227"/>
      <c r="H106" s="227"/>
      <c r="I106" s="227"/>
      <c r="J106" s="227"/>
      <c r="K106" s="227"/>
      <c r="L106" s="227"/>
      <c r="M106" s="227"/>
    </row>
    <row r="107" spans="4:13" x14ac:dyDescent="0.25">
      <c r="D107" s="227"/>
      <c r="E107" s="227"/>
      <c r="F107" s="227"/>
      <c r="G107" s="227"/>
      <c r="H107" s="227"/>
      <c r="I107" s="227"/>
      <c r="J107" s="227"/>
      <c r="K107" s="227"/>
      <c r="L107" s="227"/>
      <c r="M107" s="227"/>
    </row>
    <row r="108" spans="4:13" x14ac:dyDescent="0.25">
      <c r="D108" s="227"/>
      <c r="E108" s="227"/>
      <c r="F108" s="227"/>
      <c r="G108" s="227"/>
      <c r="H108" s="227"/>
      <c r="I108" s="227"/>
      <c r="J108" s="227"/>
      <c r="K108" s="227"/>
      <c r="L108" s="227"/>
      <c r="M108" s="227"/>
    </row>
    <row r="109" spans="4:13" x14ac:dyDescent="0.25">
      <c r="D109" s="227"/>
      <c r="E109" s="227"/>
      <c r="F109" s="227"/>
      <c r="G109" s="227"/>
      <c r="H109" s="227"/>
      <c r="I109" s="227"/>
      <c r="J109" s="227"/>
      <c r="K109" s="227"/>
      <c r="L109" s="227"/>
      <c r="M109" s="227"/>
    </row>
    <row r="110" spans="4:13" x14ac:dyDescent="0.25">
      <c r="D110" s="227"/>
      <c r="E110" s="227"/>
      <c r="F110" s="227"/>
      <c r="G110" s="227"/>
      <c r="H110" s="227"/>
      <c r="I110" s="227"/>
      <c r="J110" s="227"/>
      <c r="K110" s="227"/>
      <c r="L110" s="227"/>
      <c r="M110" s="227"/>
    </row>
    <row r="111" spans="4:13" x14ac:dyDescent="0.25">
      <c r="D111" s="227"/>
      <c r="E111" s="227"/>
      <c r="F111" s="227"/>
      <c r="G111" s="227"/>
      <c r="H111" s="227"/>
      <c r="I111" s="227"/>
      <c r="J111" s="227"/>
      <c r="K111" s="227"/>
      <c r="L111" s="227"/>
      <c r="M111" s="227"/>
    </row>
    <row r="112" spans="4:13" x14ac:dyDescent="0.25">
      <c r="D112" s="227"/>
      <c r="E112" s="227"/>
      <c r="F112" s="227"/>
      <c r="G112" s="227"/>
      <c r="H112" s="227"/>
      <c r="I112" s="227"/>
      <c r="J112" s="227"/>
      <c r="K112" s="227"/>
      <c r="L112" s="227"/>
      <c r="M112" s="227"/>
    </row>
    <row r="113" spans="4:13" x14ac:dyDescent="0.25">
      <c r="D113" s="227"/>
      <c r="E113" s="227"/>
      <c r="F113" s="227"/>
      <c r="G113" s="227"/>
      <c r="H113" s="227"/>
      <c r="I113" s="227"/>
      <c r="J113" s="227"/>
      <c r="K113" s="227"/>
      <c r="L113" s="227"/>
      <c r="M113" s="227"/>
    </row>
    <row r="114" spans="4:13" x14ac:dyDescent="0.25">
      <c r="D114" s="227"/>
      <c r="E114" s="227"/>
      <c r="F114" s="227"/>
      <c r="G114" s="227"/>
      <c r="H114" s="227"/>
      <c r="I114" s="227"/>
      <c r="J114" s="227"/>
      <c r="K114" s="227"/>
      <c r="L114" s="227"/>
      <c r="M114" s="227"/>
    </row>
    <row r="115" spans="4:13" x14ac:dyDescent="0.25">
      <c r="D115" s="227"/>
      <c r="E115" s="227"/>
      <c r="F115" s="227"/>
      <c r="G115" s="227"/>
      <c r="H115" s="227"/>
      <c r="I115" s="227"/>
      <c r="J115" s="227"/>
      <c r="K115" s="227"/>
      <c r="L115" s="227"/>
      <c r="M115" s="227"/>
    </row>
    <row r="116" spans="4:13" x14ac:dyDescent="0.25">
      <c r="D116" s="227"/>
      <c r="E116" s="227"/>
      <c r="F116" s="227"/>
      <c r="G116" s="227"/>
      <c r="H116" s="227"/>
      <c r="I116" s="227"/>
      <c r="J116" s="227"/>
      <c r="K116" s="227"/>
      <c r="L116" s="227"/>
      <c r="M116" s="227"/>
    </row>
    <row r="117" spans="4:13" x14ac:dyDescent="0.25">
      <c r="D117" s="227"/>
      <c r="E117" s="227"/>
      <c r="F117" s="227"/>
      <c r="G117" s="227"/>
      <c r="H117" s="227"/>
      <c r="I117" s="227"/>
      <c r="J117" s="227"/>
      <c r="K117" s="227"/>
      <c r="L117" s="227"/>
      <c r="M117" s="227"/>
    </row>
    <row r="118" spans="4:13" x14ac:dyDescent="0.25">
      <c r="D118" s="227"/>
      <c r="E118" s="227"/>
      <c r="F118" s="227"/>
      <c r="G118" s="227"/>
      <c r="H118" s="227"/>
      <c r="I118" s="227"/>
      <c r="J118" s="227"/>
      <c r="K118" s="227"/>
      <c r="L118" s="227"/>
      <c r="M118" s="227"/>
    </row>
    <row r="119" spans="4:13" x14ac:dyDescent="0.25">
      <c r="D119" s="227"/>
      <c r="E119" s="227"/>
      <c r="F119" s="227"/>
      <c r="G119" s="227"/>
      <c r="H119" s="227"/>
      <c r="I119" s="227"/>
      <c r="J119" s="227"/>
      <c r="K119" s="227"/>
      <c r="L119" s="227"/>
      <c r="M119" s="227"/>
    </row>
    <row r="120" spans="4:13" x14ac:dyDescent="0.25">
      <c r="D120" s="227"/>
      <c r="E120" s="227"/>
      <c r="F120" s="227"/>
      <c r="G120" s="227"/>
      <c r="H120" s="227"/>
      <c r="I120" s="227"/>
      <c r="J120" s="227"/>
      <c r="K120" s="227"/>
      <c r="L120" s="227"/>
      <c r="M120" s="227"/>
    </row>
    <row r="121" spans="4:13" x14ac:dyDescent="0.25">
      <c r="D121" s="227"/>
      <c r="E121" s="227"/>
      <c r="F121" s="227"/>
      <c r="G121" s="227"/>
      <c r="H121" s="227"/>
      <c r="I121" s="227"/>
      <c r="J121" s="227"/>
      <c r="K121" s="227"/>
      <c r="L121" s="227"/>
      <c r="M121" s="227"/>
    </row>
    <row r="122" spans="4:13" x14ac:dyDescent="0.25">
      <c r="D122" s="227"/>
      <c r="E122" s="227"/>
      <c r="F122" s="227"/>
      <c r="G122" s="227"/>
      <c r="H122" s="227"/>
      <c r="I122" s="227"/>
      <c r="J122" s="227"/>
      <c r="K122" s="227"/>
      <c r="L122" s="227"/>
      <c r="M122" s="227"/>
    </row>
    <row r="123" spans="4:13" x14ac:dyDescent="0.25">
      <c r="D123" s="227"/>
      <c r="E123" s="227"/>
      <c r="F123" s="227"/>
      <c r="G123" s="227"/>
      <c r="H123" s="227"/>
      <c r="I123" s="227"/>
      <c r="J123" s="227"/>
      <c r="K123" s="227"/>
      <c r="L123" s="227"/>
      <c r="M123" s="227"/>
    </row>
    <row r="124" spans="4:13" x14ac:dyDescent="0.25">
      <c r="D124" s="227"/>
      <c r="E124" s="227"/>
      <c r="F124" s="227"/>
      <c r="G124" s="227"/>
      <c r="H124" s="227"/>
      <c r="I124" s="227"/>
      <c r="J124" s="227"/>
      <c r="K124" s="227"/>
      <c r="L124" s="227"/>
      <c r="M124" s="227"/>
    </row>
    <row r="125" spans="4:13" x14ac:dyDescent="0.25">
      <c r="D125" s="227"/>
      <c r="E125" s="227"/>
      <c r="F125" s="227"/>
      <c r="G125" s="227"/>
      <c r="H125" s="227"/>
      <c r="I125" s="227"/>
      <c r="J125" s="227"/>
      <c r="K125" s="227"/>
      <c r="L125" s="227"/>
      <c r="M125" s="227"/>
    </row>
    <row r="126" spans="4:13" x14ac:dyDescent="0.25">
      <c r="D126" s="227"/>
      <c r="E126" s="227"/>
      <c r="F126" s="227"/>
      <c r="G126" s="227"/>
      <c r="H126" s="227"/>
      <c r="I126" s="227"/>
      <c r="J126" s="227"/>
      <c r="K126" s="227"/>
      <c r="L126" s="227"/>
      <c r="M126" s="227"/>
    </row>
    <row r="127" spans="4:13" x14ac:dyDescent="0.25">
      <c r="D127" s="227"/>
      <c r="E127" s="227"/>
      <c r="F127" s="227"/>
      <c r="G127" s="227"/>
      <c r="H127" s="227"/>
      <c r="I127" s="227"/>
      <c r="J127" s="227"/>
      <c r="K127" s="227"/>
      <c r="L127" s="227"/>
      <c r="M127" s="227"/>
    </row>
    <row r="128" spans="4:13" x14ac:dyDescent="0.25">
      <c r="D128" s="227"/>
      <c r="E128" s="227"/>
      <c r="F128" s="227"/>
      <c r="G128" s="227"/>
      <c r="H128" s="227"/>
      <c r="I128" s="227"/>
      <c r="J128" s="227"/>
      <c r="K128" s="227"/>
      <c r="L128" s="227"/>
      <c r="M128" s="227"/>
    </row>
    <row r="129" spans="4:13" x14ac:dyDescent="0.25">
      <c r="D129" s="227"/>
      <c r="E129" s="227"/>
      <c r="F129" s="227"/>
      <c r="G129" s="227"/>
      <c r="H129" s="227"/>
      <c r="I129" s="227"/>
      <c r="J129" s="227"/>
      <c r="K129" s="227"/>
      <c r="L129" s="227"/>
      <c r="M129" s="227"/>
    </row>
    <row r="130" spans="4:13" x14ac:dyDescent="0.25">
      <c r="D130" s="227"/>
      <c r="E130" s="227"/>
      <c r="F130" s="227"/>
      <c r="G130" s="227"/>
      <c r="H130" s="227"/>
      <c r="I130" s="227"/>
      <c r="J130" s="227"/>
      <c r="K130" s="227"/>
      <c r="L130" s="227"/>
      <c r="M130" s="227"/>
    </row>
    <row r="131" spans="4:13" x14ac:dyDescent="0.25">
      <c r="D131" s="227"/>
      <c r="E131" s="227"/>
      <c r="F131" s="227"/>
      <c r="G131" s="227"/>
      <c r="H131" s="227"/>
      <c r="I131" s="227"/>
      <c r="J131" s="227"/>
      <c r="K131" s="227"/>
      <c r="L131" s="227"/>
      <c r="M131" s="227"/>
    </row>
    <row r="132" spans="4:13" x14ac:dyDescent="0.25">
      <c r="D132" s="227"/>
      <c r="E132" s="227"/>
      <c r="F132" s="227"/>
      <c r="G132" s="227"/>
      <c r="H132" s="227"/>
      <c r="I132" s="227"/>
      <c r="J132" s="227"/>
      <c r="K132" s="227"/>
      <c r="L132" s="227"/>
      <c r="M132" s="227"/>
    </row>
    <row r="133" spans="4:13" x14ac:dyDescent="0.25">
      <c r="D133" s="227"/>
      <c r="E133" s="227"/>
      <c r="F133" s="227"/>
      <c r="G133" s="227"/>
      <c r="H133" s="227"/>
      <c r="I133" s="227"/>
      <c r="J133" s="227"/>
      <c r="K133" s="227"/>
      <c r="L133" s="227"/>
      <c r="M133" s="227"/>
    </row>
    <row r="134" spans="4:13" x14ac:dyDescent="0.25">
      <c r="D134" s="227"/>
      <c r="E134" s="227"/>
      <c r="F134" s="227"/>
      <c r="G134" s="227"/>
      <c r="H134" s="227"/>
      <c r="I134" s="227"/>
      <c r="J134" s="227"/>
      <c r="K134" s="227"/>
      <c r="L134" s="227"/>
      <c r="M134" s="227"/>
    </row>
    <row r="135" spans="4:13" x14ac:dyDescent="0.25">
      <c r="D135" s="227"/>
      <c r="E135" s="227"/>
      <c r="F135" s="227"/>
      <c r="G135" s="227"/>
      <c r="H135" s="227"/>
      <c r="I135" s="227"/>
      <c r="J135" s="227"/>
      <c r="K135" s="227"/>
      <c r="L135" s="227"/>
      <c r="M135" s="227"/>
    </row>
    <row r="136" spans="4:13" x14ac:dyDescent="0.25">
      <c r="D136" s="227"/>
      <c r="E136" s="227"/>
      <c r="F136" s="227"/>
      <c r="G136" s="227"/>
      <c r="H136" s="227"/>
      <c r="I136" s="227"/>
      <c r="J136" s="227"/>
      <c r="K136" s="227"/>
      <c r="L136" s="227"/>
      <c r="M136" s="227"/>
    </row>
    <row r="137" spans="4:13" x14ac:dyDescent="0.25">
      <c r="D137" s="227"/>
      <c r="E137" s="227"/>
      <c r="F137" s="227"/>
      <c r="G137" s="227"/>
      <c r="H137" s="227"/>
      <c r="I137" s="227"/>
      <c r="J137" s="227"/>
      <c r="K137" s="227"/>
      <c r="L137" s="227"/>
      <c r="M137" s="227"/>
    </row>
    <row r="138" spans="4:13" x14ac:dyDescent="0.25">
      <c r="D138" s="227"/>
      <c r="E138" s="227"/>
      <c r="F138" s="227"/>
      <c r="G138" s="227"/>
      <c r="H138" s="227"/>
      <c r="I138" s="227"/>
      <c r="J138" s="227"/>
      <c r="K138" s="227"/>
      <c r="L138" s="227"/>
      <c r="M138" s="227"/>
    </row>
    <row r="139" spans="4:13" x14ac:dyDescent="0.25">
      <c r="D139" s="227"/>
      <c r="E139" s="227"/>
      <c r="F139" s="227"/>
      <c r="G139" s="227"/>
      <c r="H139" s="227"/>
      <c r="I139" s="227"/>
      <c r="J139" s="227"/>
      <c r="K139" s="227"/>
      <c r="L139" s="227"/>
      <c r="M139" s="227"/>
    </row>
    <row r="140" spans="4:13" x14ac:dyDescent="0.25">
      <c r="D140" s="227"/>
      <c r="E140" s="227"/>
      <c r="F140" s="227"/>
      <c r="G140" s="227"/>
      <c r="H140" s="227"/>
      <c r="I140" s="227"/>
      <c r="J140" s="227"/>
      <c r="K140" s="227"/>
      <c r="L140" s="227"/>
      <c r="M140" s="227"/>
    </row>
    <row r="141" spans="4:13" x14ac:dyDescent="0.25">
      <c r="D141" s="227"/>
      <c r="E141" s="227"/>
      <c r="F141" s="227"/>
      <c r="G141" s="227"/>
      <c r="H141" s="227"/>
      <c r="I141" s="227"/>
      <c r="J141" s="227"/>
      <c r="K141" s="227"/>
      <c r="L141" s="227"/>
      <c r="M141" s="227"/>
    </row>
    <row r="142" spans="4:13" x14ac:dyDescent="0.25">
      <c r="D142" s="227"/>
      <c r="E142" s="227"/>
      <c r="F142" s="227"/>
      <c r="G142" s="227"/>
      <c r="H142" s="227"/>
      <c r="I142" s="227"/>
      <c r="J142" s="227"/>
      <c r="K142" s="227"/>
      <c r="L142" s="227"/>
      <c r="M142" s="227"/>
    </row>
    <row r="143" spans="4:13" x14ac:dyDescent="0.25">
      <c r="D143" s="227"/>
      <c r="E143" s="227"/>
      <c r="F143" s="227"/>
      <c r="G143" s="227"/>
      <c r="H143" s="227"/>
      <c r="I143" s="227"/>
      <c r="J143" s="227"/>
      <c r="K143" s="227"/>
      <c r="L143" s="227"/>
      <c r="M143" s="227"/>
    </row>
    <row r="144" spans="4:13" x14ac:dyDescent="0.25">
      <c r="D144" s="227"/>
      <c r="E144" s="227"/>
      <c r="F144" s="227"/>
      <c r="G144" s="227"/>
      <c r="H144" s="227"/>
      <c r="I144" s="227"/>
      <c r="J144" s="227"/>
      <c r="K144" s="227"/>
      <c r="L144" s="227"/>
      <c r="M144" s="227"/>
    </row>
    <row r="145" spans="4:13" x14ac:dyDescent="0.25">
      <c r="D145" s="227"/>
      <c r="E145" s="227"/>
      <c r="F145" s="227"/>
      <c r="G145" s="227"/>
      <c r="H145" s="227"/>
      <c r="I145" s="227"/>
      <c r="J145" s="227"/>
      <c r="K145" s="227"/>
      <c r="L145" s="227"/>
      <c r="M145" s="227"/>
    </row>
    <row r="146" spans="4:13" x14ac:dyDescent="0.25">
      <c r="D146" s="227"/>
      <c r="E146" s="227"/>
      <c r="F146" s="227"/>
      <c r="G146" s="227"/>
      <c r="H146" s="227"/>
      <c r="I146" s="227"/>
      <c r="J146" s="227"/>
      <c r="K146" s="227"/>
      <c r="L146" s="227"/>
      <c r="M146" s="227"/>
    </row>
    <row r="147" spans="4:13" x14ac:dyDescent="0.25">
      <c r="D147" s="227"/>
      <c r="E147" s="227"/>
      <c r="F147" s="227"/>
      <c r="G147" s="227"/>
      <c r="H147" s="227"/>
      <c r="I147" s="227"/>
      <c r="J147" s="227"/>
      <c r="K147" s="227"/>
      <c r="L147" s="227"/>
      <c r="M147" s="227"/>
    </row>
    <row r="148" spans="4:13" x14ac:dyDescent="0.25">
      <c r="D148" s="227"/>
      <c r="E148" s="227"/>
      <c r="F148" s="227"/>
      <c r="G148" s="227"/>
      <c r="H148" s="227"/>
      <c r="I148" s="227"/>
      <c r="J148" s="227"/>
      <c r="K148" s="227"/>
      <c r="L148" s="227"/>
      <c r="M148" s="227"/>
    </row>
    <row r="149" spans="4:13" x14ac:dyDescent="0.25">
      <c r="D149" s="227"/>
      <c r="E149" s="227"/>
      <c r="F149" s="227"/>
      <c r="G149" s="227"/>
      <c r="H149" s="227"/>
      <c r="I149" s="227"/>
      <c r="J149" s="227"/>
      <c r="K149" s="227"/>
      <c r="L149" s="227"/>
      <c r="M149" s="227"/>
    </row>
    <row r="150" spans="4:13" x14ac:dyDescent="0.25">
      <c r="D150" s="227"/>
      <c r="E150" s="227"/>
      <c r="F150" s="227"/>
      <c r="G150" s="227"/>
      <c r="H150" s="227"/>
      <c r="I150" s="227"/>
      <c r="J150" s="227"/>
      <c r="K150" s="227"/>
      <c r="L150" s="227"/>
      <c r="M150" s="227"/>
    </row>
    <row r="151" spans="4:13" x14ac:dyDescent="0.25">
      <c r="D151" s="227"/>
      <c r="E151" s="227"/>
      <c r="F151" s="227"/>
      <c r="G151" s="227"/>
      <c r="H151" s="227"/>
      <c r="I151" s="227"/>
      <c r="J151" s="227"/>
      <c r="K151" s="227"/>
      <c r="L151" s="227"/>
      <c r="M151" s="227"/>
    </row>
    <row r="152" spans="4:13" x14ac:dyDescent="0.25">
      <c r="D152" s="227"/>
      <c r="E152" s="227"/>
      <c r="F152" s="227"/>
      <c r="G152" s="227"/>
      <c r="H152" s="227"/>
      <c r="I152" s="227"/>
      <c r="J152" s="227"/>
      <c r="K152" s="227"/>
      <c r="L152" s="227"/>
      <c r="M152" s="227"/>
    </row>
    <row r="153" spans="4:13" x14ac:dyDescent="0.25">
      <c r="D153" s="227"/>
      <c r="E153" s="227"/>
      <c r="F153" s="227"/>
      <c r="G153" s="227"/>
      <c r="H153" s="227"/>
      <c r="I153" s="227"/>
      <c r="J153" s="227"/>
      <c r="K153" s="227"/>
      <c r="L153" s="227"/>
      <c r="M153" s="227"/>
    </row>
    <row r="154" spans="4:13" x14ac:dyDescent="0.25">
      <c r="D154" s="227"/>
      <c r="E154" s="227"/>
      <c r="F154" s="227"/>
      <c r="G154" s="227"/>
      <c r="H154" s="227"/>
      <c r="I154" s="227"/>
      <c r="J154" s="227"/>
      <c r="K154" s="227"/>
      <c r="L154" s="227"/>
      <c r="M154" s="227"/>
    </row>
    <row r="155" spans="4:13" x14ac:dyDescent="0.25">
      <c r="D155" s="227"/>
      <c r="E155" s="227"/>
      <c r="F155" s="227"/>
      <c r="G155" s="227"/>
      <c r="H155" s="227"/>
      <c r="I155" s="227"/>
      <c r="J155" s="227"/>
      <c r="K155" s="227"/>
      <c r="L155" s="227"/>
      <c r="M155" s="227"/>
    </row>
    <row r="156" spans="4:13" x14ac:dyDescent="0.25">
      <c r="D156" s="227"/>
      <c r="E156" s="227"/>
      <c r="F156" s="227"/>
      <c r="G156" s="227"/>
      <c r="H156" s="227"/>
      <c r="I156" s="227"/>
      <c r="J156" s="227"/>
      <c r="K156" s="227"/>
      <c r="L156" s="227"/>
      <c r="M156" s="227"/>
    </row>
    <row r="157" spans="4:13" x14ac:dyDescent="0.25">
      <c r="D157" s="227"/>
      <c r="E157" s="227"/>
      <c r="F157" s="227"/>
      <c r="G157" s="227"/>
      <c r="H157" s="227"/>
      <c r="I157" s="227"/>
      <c r="J157" s="227"/>
      <c r="K157" s="227"/>
      <c r="L157" s="227"/>
      <c r="M157" s="227"/>
    </row>
    <row r="158" spans="4:13" x14ac:dyDescent="0.25">
      <c r="D158" s="227"/>
      <c r="E158" s="227"/>
      <c r="F158" s="227"/>
      <c r="G158" s="227"/>
      <c r="H158" s="227"/>
      <c r="I158" s="227"/>
      <c r="J158" s="227"/>
      <c r="K158" s="227"/>
      <c r="L158" s="227"/>
      <c r="M158" s="227"/>
    </row>
    <row r="159" spans="4:13" x14ac:dyDescent="0.25">
      <c r="D159" s="227"/>
      <c r="E159" s="227"/>
      <c r="F159" s="227"/>
      <c r="G159" s="227"/>
      <c r="H159" s="227"/>
      <c r="I159" s="227"/>
      <c r="J159" s="227"/>
      <c r="K159" s="227"/>
      <c r="L159" s="227"/>
      <c r="M159" s="227"/>
    </row>
    <row r="160" spans="4:13" x14ac:dyDescent="0.25">
      <c r="D160" s="227"/>
      <c r="E160" s="227"/>
      <c r="F160" s="227"/>
      <c r="G160" s="227"/>
      <c r="H160" s="227"/>
      <c r="I160" s="227"/>
      <c r="J160" s="227"/>
      <c r="K160" s="227"/>
      <c r="L160" s="227"/>
      <c r="M160" s="227"/>
    </row>
    <row r="161" spans="4:13" x14ac:dyDescent="0.25">
      <c r="D161" s="227"/>
      <c r="E161" s="227"/>
      <c r="F161" s="227"/>
      <c r="G161" s="227"/>
      <c r="H161" s="227"/>
      <c r="I161" s="227"/>
      <c r="J161" s="227"/>
      <c r="K161" s="227"/>
      <c r="L161" s="227"/>
      <c r="M161" s="227"/>
    </row>
    <row r="162" spans="4:13" x14ac:dyDescent="0.25">
      <c r="D162" s="227"/>
      <c r="E162" s="227"/>
      <c r="F162" s="227"/>
      <c r="G162" s="227"/>
      <c r="H162" s="227"/>
      <c r="I162" s="227"/>
      <c r="J162" s="227"/>
      <c r="K162" s="227"/>
      <c r="L162" s="227"/>
      <c r="M162" s="227"/>
    </row>
    <row r="163" spans="4:13" x14ac:dyDescent="0.25">
      <c r="D163" s="227"/>
      <c r="E163" s="227"/>
      <c r="F163" s="227"/>
      <c r="G163" s="227"/>
      <c r="H163" s="227"/>
      <c r="I163" s="227"/>
      <c r="J163" s="227"/>
      <c r="K163" s="227"/>
      <c r="L163" s="227"/>
      <c r="M163" s="227"/>
    </row>
    <row r="164" spans="4:13" x14ac:dyDescent="0.25">
      <c r="D164" s="227"/>
      <c r="E164" s="227"/>
      <c r="F164" s="227"/>
      <c r="G164" s="227"/>
      <c r="H164" s="227"/>
      <c r="I164" s="227"/>
      <c r="J164" s="227"/>
      <c r="K164" s="227"/>
      <c r="L164" s="227"/>
      <c r="M164" s="227"/>
    </row>
    <row r="165" spans="4:13" x14ac:dyDescent="0.25">
      <c r="D165" s="227"/>
      <c r="E165" s="227"/>
      <c r="F165" s="227"/>
      <c r="G165" s="227"/>
      <c r="H165" s="227"/>
      <c r="I165" s="227"/>
      <c r="J165" s="227"/>
      <c r="K165" s="227"/>
      <c r="L165" s="227"/>
      <c r="M165" s="227"/>
    </row>
    <row r="166" spans="4:13" x14ac:dyDescent="0.25">
      <c r="D166" s="227"/>
      <c r="E166" s="227"/>
      <c r="F166" s="227"/>
      <c r="G166" s="227"/>
      <c r="H166" s="227"/>
      <c r="I166" s="227"/>
      <c r="J166" s="227"/>
      <c r="K166" s="227"/>
      <c r="L166" s="227"/>
      <c r="M166" s="227"/>
    </row>
    <row r="167" spans="4:13" x14ac:dyDescent="0.25">
      <c r="D167" s="227"/>
      <c r="E167" s="227"/>
      <c r="F167" s="227"/>
      <c r="G167" s="227"/>
      <c r="H167" s="227"/>
      <c r="I167" s="227"/>
      <c r="J167" s="227"/>
      <c r="K167" s="227"/>
      <c r="L167" s="227"/>
      <c r="M167" s="227"/>
    </row>
    <row r="168" spans="4:13" x14ac:dyDescent="0.25">
      <c r="D168" s="227"/>
      <c r="E168" s="227"/>
      <c r="F168" s="227"/>
      <c r="G168" s="227"/>
      <c r="H168" s="227"/>
      <c r="I168" s="227"/>
      <c r="J168" s="227"/>
      <c r="K168" s="227"/>
      <c r="L168" s="227"/>
      <c r="M168" s="227"/>
    </row>
    <row r="169" spans="4:13" x14ac:dyDescent="0.25">
      <c r="D169" s="227"/>
      <c r="E169" s="227"/>
      <c r="F169" s="227"/>
      <c r="G169" s="227"/>
      <c r="H169" s="227"/>
      <c r="I169" s="227"/>
      <c r="J169" s="227"/>
      <c r="K169" s="227"/>
      <c r="L169" s="227"/>
      <c r="M169" s="227"/>
    </row>
    <row r="170" spans="4:13" x14ac:dyDescent="0.25">
      <c r="D170" s="227"/>
      <c r="E170" s="227"/>
      <c r="F170" s="227"/>
      <c r="G170" s="227"/>
      <c r="H170" s="227"/>
      <c r="I170" s="227"/>
      <c r="J170" s="227"/>
      <c r="K170" s="227"/>
      <c r="L170" s="227"/>
      <c r="M170" s="227"/>
    </row>
    <row r="171" spans="4:13" x14ac:dyDescent="0.25">
      <c r="D171" s="227"/>
      <c r="E171" s="227"/>
      <c r="F171" s="227"/>
      <c r="G171" s="227"/>
      <c r="H171" s="227"/>
      <c r="I171" s="227"/>
      <c r="J171" s="227"/>
      <c r="K171" s="227"/>
      <c r="L171" s="227"/>
      <c r="M171" s="227"/>
    </row>
    <row r="172" spans="4:13" x14ac:dyDescent="0.25">
      <c r="D172" s="227"/>
      <c r="E172" s="227"/>
      <c r="F172" s="227"/>
      <c r="G172" s="227"/>
      <c r="H172" s="227"/>
      <c r="I172" s="227"/>
      <c r="J172" s="227"/>
      <c r="K172" s="227"/>
      <c r="L172" s="227"/>
      <c r="M172" s="227"/>
    </row>
    <row r="173" spans="4:13" x14ac:dyDescent="0.25">
      <c r="D173" s="227"/>
      <c r="E173" s="227"/>
      <c r="F173" s="227"/>
      <c r="G173" s="227"/>
      <c r="H173" s="227"/>
      <c r="I173" s="227"/>
      <c r="J173" s="227"/>
      <c r="K173" s="227"/>
      <c r="L173" s="227"/>
      <c r="M173" s="227"/>
    </row>
    <row r="174" spans="4:13" x14ac:dyDescent="0.25">
      <c r="D174" s="227"/>
      <c r="E174" s="227"/>
      <c r="F174" s="227"/>
      <c r="G174" s="227"/>
      <c r="H174" s="227"/>
      <c r="I174" s="227"/>
      <c r="J174" s="227"/>
      <c r="K174" s="227"/>
      <c r="L174" s="227"/>
      <c r="M174" s="227"/>
    </row>
    <row r="175" spans="4:13" x14ac:dyDescent="0.25">
      <c r="D175" s="227"/>
      <c r="E175" s="227"/>
      <c r="F175" s="227"/>
      <c r="G175" s="227"/>
      <c r="H175" s="227"/>
      <c r="I175" s="227"/>
      <c r="J175" s="227"/>
      <c r="K175" s="227"/>
      <c r="L175" s="227"/>
      <c r="M175" s="227"/>
    </row>
    <row r="176" spans="4:13" x14ac:dyDescent="0.25">
      <c r="D176" s="227"/>
      <c r="E176" s="227"/>
      <c r="F176" s="227"/>
      <c r="G176" s="227"/>
      <c r="H176" s="227"/>
      <c r="I176" s="227"/>
      <c r="J176" s="227"/>
      <c r="K176" s="227"/>
      <c r="L176" s="227"/>
      <c r="M176" s="227"/>
    </row>
    <row r="177" spans="4:13" x14ac:dyDescent="0.25">
      <c r="D177" s="227"/>
      <c r="E177" s="227"/>
      <c r="F177" s="227"/>
      <c r="G177" s="227"/>
      <c r="H177" s="227"/>
      <c r="I177" s="227"/>
      <c r="J177" s="227"/>
      <c r="K177" s="227"/>
      <c r="L177" s="227"/>
      <c r="M177" s="227"/>
    </row>
    <row r="178" spans="4:13" x14ac:dyDescent="0.25">
      <c r="D178" s="227"/>
      <c r="E178" s="227"/>
      <c r="F178" s="227"/>
      <c r="G178" s="227"/>
      <c r="H178" s="227"/>
      <c r="I178" s="227"/>
      <c r="J178" s="227"/>
      <c r="K178" s="227"/>
      <c r="L178" s="227"/>
      <c r="M178" s="227"/>
    </row>
    <row r="179" spans="4:13" x14ac:dyDescent="0.25">
      <c r="D179" s="227"/>
      <c r="E179" s="227"/>
      <c r="F179" s="227"/>
      <c r="G179" s="227"/>
      <c r="H179" s="227"/>
      <c r="I179" s="227"/>
      <c r="J179" s="227"/>
      <c r="K179" s="227"/>
      <c r="L179" s="227"/>
      <c r="M179" s="227"/>
    </row>
    <row r="180" spans="4:13" x14ac:dyDescent="0.25">
      <c r="D180" s="227"/>
      <c r="E180" s="227"/>
      <c r="F180" s="227"/>
      <c r="G180" s="227"/>
      <c r="H180" s="227"/>
      <c r="I180" s="227"/>
      <c r="J180" s="227"/>
      <c r="K180" s="227"/>
      <c r="L180" s="227"/>
      <c r="M180" s="227"/>
    </row>
    <row r="181" spans="4:13" x14ac:dyDescent="0.25">
      <c r="D181" s="227"/>
      <c r="E181" s="227"/>
      <c r="F181" s="227"/>
      <c r="G181" s="227"/>
      <c r="H181" s="227"/>
      <c r="I181" s="227"/>
      <c r="J181" s="227"/>
      <c r="K181" s="227"/>
      <c r="L181" s="227"/>
      <c r="M181" s="227"/>
    </row>
    <row r="182" spans="4:13" x14ac:dyDescent="0.25">
      <c r="D182" s="227"/>
      <c r="E182" s="227"/>
      <c r="F182" s="227"/>
      <c r="G182" s="227"/>
      <c r="H182" s="227"/>
      <c r="I182" s="227"/>
      <c r="J182" s="227"/>
      <c r="K182" s="227"/>
      <c r="L182" s="227"/>
      <c r="M182" s="227"/>
    </row>
    <row r="183" spans="4:13" x14ac:dyDescent="0.25">
      <c r="D183" s="227"/>
      <c r="E183" s="227"/>
      <c r="F183" s="227"/>
      <c r="G183" s="227"/>
      <c r="H183" s="227"/>
      <c r="I183" s="227"/>
      <c r="J183" s="227"/>
      <c r="K183" s="227"/>
      <c r="L183" s="227"/>
      <c r="M183" s="227"/>
    </row>
    <row r="184" spans="4:13" x14ac:dyDescent="0.25">
      <c r="D184" s="227"/>
      <c r="E184" s="227"/>
      <c r="F184" s="227"/>
      <c r="G184" s="227"/>
      <c r="H184" s="227"/>
      <c r="I184" s="227"/>
      <c r="J184" s="227"/>
      <c r="K184" s="227"/>
      <c r="L184" s="227"/>
      <c r="M184" s="227"/>
    </row>
    <row r="185" spans="4:13" x14ac:dyDescent="0.25">
      <c r="D185" s="227"/>
      <c r="E185" s="227"/>
      <c r="F185" s="227"/>
      <c r="G185" s="227"/>
      <c r="H185" s="227"/>
      <c r="I185" s="227"/>
      <c r="J185" s="227"/>
      <c r="K185" s="227"/>
      <c r="L185" s="227"/>
      <c r="M185" s="227"/>
    </row>
    <row r="186" spans="4:13" x14ac:dyDescent="0.25">
      <c r="D186" s="227"/>
      <c r="E186" s="227"/>
      <c r="F186" s="227"/>
      <c r="G186" s="227"/>
      <c r="H186" s="227"/>
      <c r="I186" s="227"/>
      <c r="J186" s="227"/>
      <c r="K186" s="227"/>
      <c r="L186" s="227"/>
      <c r="M186" s="227"/>
    </row>
    <row r="187" spans="4:13" x14ac:dyDescent="0.25">
      <c r="D187" s="227"/>
      <c r="E187" s="227"/>
      <c r="F187" s="227"/>
      <c r="G187" s="227"/>
      <c r="H187" s="227"/>
      <c r="I187" s="227"/>
      <c r="J187" s="227"/>
      <c r="K187" s="227"/>
      <c r="L187" s="227"/>
      <c r="M187" s="227"/>
    </row>
    <row r="188" spans="4:13" x14ac:dyDescent="0.25">
      <c r="D188" s="227"/>
      <c r="E188" s="227"/>
      <c r="F188" s="227"/>
      <c r="G188" s="227"/>
      <c r="H188" s="227"/>
      <c r="I188" s="227"/>
      <c r="J188" s="227"/>
      <c r="K188" s="227"/>
      <c r="L188" s="227"/>
      <c r="M188" s="227"/>
    </row>
    <row r="189" spans="4:13" x14ac:dyDescent="0.25">
      <c r="D189" s="227"/>
      <c r="E189" s="227"/>
      <c r="F189" s="227"/>
      <c r="G189" s="227"/>
      <c r="H189" s="227"/>
      <c r="I189" s="227"/>
      <c r="J189" s="227"/>
      <c r="K189" s="227"/>
      <c r="L189" s="227"/>
      <c r="M189" s="227"/>
    </row>
    <row r="190" spans="4:13" x14ac:dyDescent="0.25">
      <c r="D190" s="227"/>
      <c r="E190" s="227"/>
      <c r="F190" s="227"/>
      <c r="G190" s="227"/>
      <c r="H190" s="227"/>
      <c r="I190" s="227"/>
      <c r="J190" s="227"/>
      <c r="K190" s="227"/>
      <c r="L190" s="227"/>
      <c r="M190" s="227"/>
    </row>
    <row r="191" spans="4:13" x14ac:dyDescent="0.25">
      <c r="D191" s="227"/>
      <c r="E191" s="227"/>
      <c r="F191" s="227"/>
      <c r="G191" s="227"/>
      <c r="H191" s="227"/>
      <c r="I191" s="227"/>
      <c r="J191" s="227"/>
      <c r="K191" s="227"/>
      <c r="L191" s="227"/>
      <c r="M191" s="227"/>
    </row>
    <row r="192" spans="4:13" x14ac:dyDescent="0.25">
      <c r="D192" s="227"/>
      <c r="E192" s="227"/>
      <c r="F192" s="227"/>
      <c r="G192" s="227"/>
      <c r="H192" s="227"/>
      <c r="I192" s="227"/>
      <c r="J192" s="227"/>
      <c r="K192" s="227"/>
      <c r="L192" s="227"/>
      <c r="M192" s="227"/>
    </row>
    <row r="193" spans="4:13" x14ac:dyDescent="0.25">
      <c r="D193" s="227"/>
      <c r="E193" s="227"/>
      <c r="F193" s="227"/>
      <c r="G193" s="227"/>
      <c r="H193" s="227"/>
      <c r="I193" s="227"/>
      <c r="J193" s="227"/>
      <c r="K193" s="227"/>
      <c r="L193" s="227"/>
      <c r="M193" s="227"/>
    </row>
    <row r="194" spans="4:13" x14ac:dyDescent="0.25">
      <c r="D194" s="227"/>
      <c r="E194" s="227"/>
      <c r="F194" s="227"/>
      <c r="G194" s="227"/>
      <c r="H194" s="227"/>
      <c r="I194" s="227"/>
      <c r="J194" s="227"/>
      <c r="K194" s="227"/>
      <c r="L194" s="227"/>
      <c r="M194" s="227"/>
    </row>
    <row r="195" spans="4:13" x14ac:dyDescent="0.25">
      <c r="D195" s="227"/>
      <c r="E195" s="227"/>
      <c r="F195" s="227"/>
      <c r="G195" s="227"/>
      <c r="H195" s="227"/>
      <c r="I195" s="227"/>
      <c r="J195" s="227"/>
      <c r="K195" s="227"/>
      <c r="L195" s="227"/>
      <c r="M195" s="227"/>
    </row>
    <row r="196" spans="4:13" x14ac:dyDescent="0.25">
      <c r="D196" s="227"/>
      <c r="E196" s="227"/>
      <c r="F196" s="227"/>
      <c r="G196" s="227"/>
      <c r="H196" s="227"/>
      <c r="I196" s="227"/>
      <c r="J196" s="227"/>
      <c r="K196" s="227"/>
      <c r="L196" s="227"/>
      <c r="M196" s="227"/>
    </row>
    <row r="197" spans="4:13" x14ac:dyDescent="0.25">
      <c r="D197" s="227"/>
      <c r="E197" s="227"/>
      <c r="F197" s="227"/>
      <c r="G197" s="227"/>
      <c r="H197" s="227"/>
      <c r="I197" s="227"/>
      <c r="J197" s="227"/>
      <c r="K197" s="227"/>
      <c r="L197" s="227"/>
      <c r="M197" s="227"/>
    </row>
    <row r="198" spans="4:13" x14ac:dyDescent="0.25">
      <c r="D198" s="227"/>
      <c r="E198" s="227"/>
      <c r="F198" s="227"/>
      <c r="G198" s="227"/>
      <c r="H198" s="227"/>
      <c r="I198" s="227"/>
      <c r="J198" s="227"/>
      <c r="K198" s="227"/>
      <c r="L198" s="227"/>
      <c r="M198" s="227"/>
    </row>
    <row r="199" spans="4:13" x14ac:dyDescent="0.25">
      <c r="D199" s="227"/>
      <c r="E199" s="227"/>
      <c r="F199" s="227"/>
      <c r="G199" s="227"/>
      <c r="H199" s="227"/>
      <c r="I199" s="227"/>
      <c r="J199" s="227"/>
      <c r="K199" s="227"/>
      <c r="L199" s="227"/>
      <c r="M199" s="227"/>
    </row>
    <row r="200" spans="4:13" x14ac:dyDescent="0.25">
      <c r="D200" s="227"/>
      <c r="E200" s="227"/>
      <c r="F200" s="227"/>
      <c r="G200" s="227"/>
      <c r="H200" s="227"/>
      <c r="I200" s="227"/>
      <c r="J200" s="227"/>
      <c r="K200" s="227"/>
      <c r="L200" s="227"/>
      <c r="M200" s="227"/>
    </row>
    <row r="201" spans="4:13" x14ac:dyDescent="0.25">
      <c r="D201" s="227"/>
      <c r="E201" s="227"/>
      <c r="F201" s="227"/>
      <c r="G201" s="227"/>
      <c r="H201" s="227"/>
      <c r="I201" s="227"/>
      <c r="J201" s="227"/>
      <c r="K201" s="227"/>
      <c r="L201" s="227"/>
      <c r="M201" s="227"/>
    </row>
    <row r="202" spans="4:13" x14ac:dyDescent="0.25">
      <c r="D202" s="227"/>
      <c r="E202" s="227"/>
      <c r="F202" s="227"/>
      <c r="G202" s="227"/>
      <c r="H202" s="227"/>
      <c r="I202" s="227"/>
      <c r="J202" s="227"/>
      <c r="K202" s="227"/>
      <c r="L202" s="227"/>
      <c r="M202" s="227"/>
    </row>
    <row r="203" spans="4:13" x14ac:dyDescent="0.25">
      <c r="D203" s="227"/>
      <c r="E203" s="227"/>
      <c r="F203" s="227"/>
      <c r="G203" s="227"/>
      <c r="H203" s="227"/>
      <c r="I203" s="227"/>
      <c r="J203" s="227"/>
      <c r="K203" s="227"/>
      <c r="L203" s="227"/>
      <c r="M203" s="227"/>
    </row>
    <row r="204" spans="4:13" x14ac:dyDescent="0.25">
      <c r="D204" s="227"/>
      <c r="E204" s="227"/>
      <c r="F204" s="227"/>
      <c r="G204" s="227"/>
      <c r="H204" s="227"/>
      <c r="I204" s="227"/>
      <c r="J204" s="227"/>
      <c r="K204" s="227"/>
      <c r="L204" s="227"/>
      <c r="M204" s="227"/>
    </row>
    <row r="205" spans="4:13" x14ac:dyDescent="0.25">
      <c r="D205" s="227"/>
      <c r="E205" s="227"/>
      <c r="F205" s="227"/>
      <c r="G205" s="227"/>
      <c r="H205" s="227"/>
      <c r="I205" s="227"/>
      <c r="J205" s="227"/>
      <c r="K205" s="227"/>
      <c r="L205" s="227"/>
      <c r="M205" s="227"/>
    </row>
    <row r="206" spans="4:13" x14ac:dyDescent="0.25">
      <c r="D206" s="227"/>
      <c r="E206" s="227"/>
      <c r="F206" s="227"/>
      <c r="G206" s="227"/>
      <c r="H206" s="227"/>
      <c r="I206" s="227"/>
      <c r="J206" s="227"/>
      <c r="K206" s="227"/>
      <c r="L206" s="227"/>
      <c r="M206" s="227"/>
    </row>
    <row r="207" spans="4:13" x14ac:dyDescent="0.25">
      <c r="D207" s="227"/>
      <c r="E207" s="227"/>
      <c r="F207" s="227"/>
      <c r="G207" s="227"/>
      <c r="H207" s="227"/>
      <c r="I207" s="227"/>
      <c r="J207" s="227"/>
      <c r="K207" s="227"/>
      <c r="L207" s="227"/>
      <c r="M207" s="227"/>
    </row>
    <row r="208" spans="4:13" x14ac:dyDescent="0.25">
      <c r="D208" s="227"/>
      <c r="E208" s="227"/>
      <c r="F208" s="227"/>
      <c r="G208" s="227"/>
      <c r="H208" s="227"/>
      <c r="I208" s="227"/>
      <c r="J208" s="227"/>
      <c r="K208" s="227"/>
      <c r="L208" s="227"/>
      <c r="M208" s="227"/>
    </row>
    <row r="209" spans="4:13" x14ac:dyDescent="0.25">
      <c r="D209" s="227"/>
      <c r="E209" s="227"/>
      <c r="F209" s="227"/>
      <c r="G209" s="227"/>
      <c r="H209" s="227"/>
      <c r="I209" s="227"/>
      <c r="J209" s="227"/>
      <c r="K209" s="227"/>
      <c r="L209" s="227"/>
      <c r="M209" s="227"/>
    </row>
    <row r="210" spans="4:13" x14ac:dyDescent="0.25">
      <c r="D210" s="227"/>
      <c r="E210" s="227"/>
      <c r="F210" s="227"/>
      <c r="G210" s="227"/>
      <c r="H210" s="227"/>
      <c r="I210" s="227"/>
      <c r="J210" s="227"/>
      <c r="K210" s="227"/>
      <c r="L210" s="227"/>
      <c r="M210" s="227"/>
    </row>
    <row r="211" spans="4:13" x14ac:dyDescent="0.25">
      <c r="D211" s="227"/>
      <c r="E211" s="227"/>
      <c r="F211" s="227"/>
      <c r="G211" s="227"/>
      <c r="H211" s="227"/>
      <c r="I211" s="227"/>
      <c r="J211" s="227"/>
      <c r="K211" s="227"/>
      <c r="L211" s="227"/>
      <c r="M211" s="227"/>
    </row>
    <row r="212" spans="4:13" x14ac:dyDescent="0.25">
      <c r="D212" s="227"/>
      <c r="E212" s="227"/>
      <c r="F212" s="227"/>
      <c r="G212" s="227"/>
      <c r="H212" s="227"/>
      <c r="I212" s="227"/>
      <c r="J212" s="227"/>
      <c r="K212" s="227"/>
      <c r="L212" s="227"/>
      <c r="M212" s="227"/>
    </row>
    <row r="213" spans="4:13" x14ac:dyDescent="0.25">
      <c r="D213" s="227"/>
      <c r="E213" s="227"/>
      <c r="F213" s="227"/>
      <c r="G213" s="227"/>
      <c r="H213" s="227"/>
      <c r="I213" s="227"/>
      <c r="J213" s="227"/>
      <c r="K213" s="227"/>
      <c r="L213" s="227"/>
      <c r="M213" s="227"/>
    </row>
    <row r="214" spans="4:13" x14ac:dyDescent="0.25">
      <c r="D214" s="227"/>
      <c r="E214" s="227"/>
      <c r="F214" s="227"/>
      <c r="G214" s="227"/>
      <c r="H214" s="227"/>
      <c r="I214" s="227"/>
      <c r="J214" s="227"/>
      <c r="K214" s="227"/>
      <c r="L214" s="227"/>
      <c r="M214" s="227"/>
    </row>
    <row r="215" spans="4:13" x14ac:dyDescent="0.25">
      <c r="D215" s="227"/>
      <c r="E215" s="227"/>
      <c r="F215" s="227"/>
      <c r="G215" s="227"/>
      <c r="H215" s="227"/>
      <c r="I215" s="227"/>
      <c r="J215" s="227"/>
      <c r="K215" s="227"/>
      <c r="L215" s="227"/>
      <c r="M215" s="227"/>
    </row>
    <row r="216" spans="4:13" x14ac:dyDescent="0.25">
      <c r="D216" s="227"/>
      <c r="E216" s="227"/>
      <c r="F216" s="227"/>
      <c r="G216" s="227"/>
      <c r="H216" s="227"/>
      <c r="I216" s="227"/>
      <c r="J216" s="227"/>
      <c r="K216" s="227"/>
      <c r="L216" s="227"/>
      <c r="M216" s="227"/>
    </row>
    <row r="217" spans="4:13" x14ac:dyDescent="0.25">
      <c r="D217" s="227"/>
      <c r="E217" s="227"/>
      <c r="F217" s="227"/>
      <c r="G217" s="227"/>
      <c r="H217" s="227"/>
      <c r="I217" s="227"/>
      <c r="J217" s="227"/>
      <c r="K217" s="227"/>
      <c r="L217" s="227"/>
      <c r="M217" s="227"/>
    </row>
    <row r="218" spans="4:13" x14ac:dyDescent="0.25">
      <c r="D218" s="227"/>
      <c r="E218" s="227"/>
      <c r="F218" s="227"/>
      <c r="G218" s="227"/>
      <c r="H218" s="227"/>
      <c r="I218" s="227"/>
      <c r="J218" s="227"/>
      <c r="K218" s="227"/>
      <c r="L218" s="227"/>
      <c r="M218" s="227"/>
    </row>
    <row r="219" spans="4:13" x14ac:dyDescent="0.25">
      <c r="D219" s="227"/>
      <c r="E219" s="227"/>
      <c r="F219" s="227"/>
      <c r="G219" s="227"/>
      <c r="H219" s="227"/>
      <c r="I219" s="227"/>
      <c r="J219" s="227"/>
      <c r="K219" s="227"/>
      <c r="L219" s="227"/>
      <c r="M219" s="227"/>
    </row>
    <row r="220" spans="4:13" x14ac:dyDescent="0.25">
      <c r="D220" s="227"/>
      <c r="E220" s="227"/>
      <c r="F220" s="227"/>
      <c r="G220" s="227"/>
      <c r="H220" s="227"/>
      <c r="I220" s="227"/>
      <c r="J220" s="227"/>
      <c r="K220" s="227"/>
      <c r="L220" s="227"/>
      <c r="M220" s="227"/>
    </row>
    <row r="221" spans="4:13" x14ac:dyDescent="0.25">
      <c r="D221" s="227"/>
      <c r="E221" s="227"/>
      <c r="F221" s="227"/>
      <c r="G221" s="227"/>
      <c r="H221" s="227"/>
      <c r="I221" s="227"/>
      <c r="J221" s="227"/>
      <c r="K221" s="227"/>
      <c r="L221" s="227"/>
      <c r="M221" s="227"/>
    </row>
    <row r="222" spans="4:13" x14ac:dyDescent="0.25">
      <c r="D222" s="227"/>
      <c r="E222" s="227"/>
      <c r="F222" s="227"/>
      <c r="G222" s="227"/>
      <c r="H222" s="227"/>
      <c r="I222" s="227"/>
      <c r="J222" s="227"/>
      <c r="K222" s="227"/>
      <c r="L222" s="227"/>
      <c r="M222" s="227"/>
    </row>
    <row r="223" spans="4:13" x14ac:dyDescent="0.25">
      <c r="D223" s="227"/>
      <c r="E223" s="227"/>
      <c r="F223" s="227"/>
      <c r="G223" s="227"/>
      <c r="H223" s="227"/>
      <c r="I223" s="227"/>
      <c r="J223" s="227"/>
      <c r="K223" s="227"/>
      <c r="L223" s="227"/>
      <c r="M223" s="227"/>
    </row>
    <row r="224" spans="4:13" x14ac:dyDescent="0.25">
      <c r="D224" s="227"/>
      <c r="E224" s="227"/>
      <c r="F224" s="227"/>
      <c r="G224" s="227"/>
      <c r="H224" s="227"/>
      <c r="I224" s="227"/>
      <c r="J224" s="227"/>
      <c r="K224" s="227"/>
      <c r="L224" s="227"/>
      <c r="M224" s="227"/>
    </row>
    <row r="225" spans="4:13" x14ac:dyDescent="0.25">
      <c r="D225" s="227"/>
      <c r="E225" s="227"/>
      <c r="F225" s="227"/>
      <c r="G225" s="227"/>
      <c r="H225" s="227"/>
      <c r="I225" s="227"/>
      <c r="J225" s="227"/>
      <c r="K225" s="227"/>
      <c r="L225" s="227"/>
      <c r="M225" s="227"/>
    </row>
    <row r="226" spans="4:13" x14ac:dyDescent="0.25">
      <c r="D226" s="227"/>
      <c r="E226" s="227"/>
      <c r="F226" s="227"/>
      <c r="G226" s="227"/>
      <c r="H226" s="227"/>
      <c r="I226" s="227"/>
      <c r="J226" s="227"/>
      <c r="K226" s="227"/>
      <c r="L226" s="227"/>
      <c r="M226" s="227"/>
    </row>
    <row r="227" spans="4:13" x14ac:dyDescent="0.25">
      <c r="D227" s="227"/>
      <c r="E227" s="227"/>
      <c r="F227" s="227"/>
      <c r="G227" s="227"/>
      <c r="H227" s="227"/>
      <c r="I227" s="227"/>
      <c r="J227" s="227"/>
      <c r="K227" s="227"/>
      <c r="L227" s="227"/>
      <c r="M227" s="227"/>
    </row>
    <row r="228" spans="4:13" x14ac:dyDescent="0.25">
      <c r="D228" s="227"/>
      <c r="E228" s="227"/>
      <c r="F228" s="227"/>
      <c r="G228" s="227"/>
      <c r="H228" s="227"/>
      <c r="I228" s="227"/>
      <c r="J228" s="227"/>
      <c r="K228" s="227"/>
      <c r="L228" s="227"/>
      <c r="M228" s="227"/>
    </row>
    <row r="229" spans="4:13" x14ac:dyDescent="0.25">
      <c r="D229" s="227"/>
      <c r="E229" s="227"/>
      <c r="F229" s="227"/>
      <c r="G229" s="227"/>
      <c r="H229" s="227"/>
      <c r="I229" s="227"/>
      <c r="J229" s="227"/>
      <c r="K229" s="227"/>
      <c r="L229" s="227"/>
      <c r="M229" s="227"/>
    </row>
    <row r="230" spans="4:13" x14ac:dyDescent="0.25">
      <c r="D230" s="227"/>
      <c r="E230" s="227"/>
      <c r="F230" s="227"/>
      <c r="G230" s="227"/>
      <c r="H230" s="227"/>
      <c r="I230" s="227"/>
      <c r="J230" s="227"/>
      <c r="K230" s="227"/>
      <c r="L230" s="227"/>
      <c r="M230" s="227"/>
    </row>
    <row r="231" spans="4:13" x14ac:dyDescent="0.25">
      <c r="D231" s="227"/>
      <c r="E231" s="227"/>
      <c r="F231" s="227"/>
      <c r="G231" s="227"/>
      <c r="H231" s="227"/>
      <c r="I231" s="227"/>
      <c r="J231" s="227"/>
      <c r="K231" s="227"/>
      <c r="L231" s="227"/>
      <c r="M231" s="227"/>
    </row>
    <row r="232" spans="4:13" x14ac:dyDescent="0.25">
      <c r="D232" s="227"/>
      <c r="E232" s="227"/>
      <c r="F232" s="227"/>
      <c r="G232" s="227"/>
      <c r="H232" s="227"/>
      <c r="I232" s="227"/>
      <c r="J232" s="227"/>
      <c r="K232" s="227"/>
      <c r="L232" s="227"/>
      <c r="M232" s="227"/>
    </row>
    <row r="233" spans="4:13" x14ac:dyDescent="0.25">
      <c r="D233" s="227"/>
      <c r="E233" s="227"/>
      <c r="F233" s="227"/>
      <c r="G233" s="227"/>
      <c r="H233" s="227"/>
      <c r="I233" s="227"/>
      <c r="J233" s="227"/>
      <c r="K233" s="227"/>
      <c r="L233" s="227"/>
      <c r="M233" s="227"/>
    </row>
    <row r="234" spans="4:13" x14ac:dyDescent="0.25">
      <c r="D234" s="227"/>
      <c r="E234" s="227"/>
      <c r="F234" s="227"/>
      <c r="G234" s="227"/>
      <c r="H234" s="227"/>
      <c r="I234" s="227"/>
      <c r="J234" s="227"/>
      <c r="K234" s="227"/>
      <c r="L234" s="227"/>
      <c r="M234" s="227"/>
    </row>
    <row r="235" spans="4:13" x14ac:dyDescent="0.25">
      <c r="D235" s="227"/>
      <c r="E235" s="227"/>
      <c r="F235" s="227"/>
      <c r="G235" s="227"/>
      <c r="H235" s="227"/>
      <c r="I235" s="227"/>
      <c r="J235" s="227"/>
      <c r="K235" s="227"/>
      <c r="L235" s="227"/>
      <c r="M235" s="227"/>
    </row>
    <row r="236" spans="4:13" x14ac:dyDescent="0.25">
      <c r="D236" s="227"/>
      <c r="E236" s="227"/>
      <c r="F236" s="227"/>
      <c r="G236" s="227"/>
      <c r="H236" s="227"/>
      <c r="I236" s="227"/>
      <c r="J236" s="227"/>
      <c r="K236" s="227"/>
      <c r="L236" s="227"/>
      <c r="M236" s="227"/>
    </row>
    <row r="237" spans="4:13" x14ac:dyDescent="0.25">
      <c r="D237" s="227"/>
      <c r="E237" s="227"/>
      <c r="F237" s="227"/>
      <c r="G237" s="227"/>
      <c r="H237" s="227"/>
      <c r="I237" s="227"/>
      <c r="J237" s="227"/>
      <c r="K237" s="227"/>
      <c r="L237" s="227"/>
      <c r="M237" s="227"/>
    </row>
    <row r="238" spans="4:13" x14ac:dyDescent="0.25">
      <c r="D238" s="227"/>
      <c r="E238" s="227"/>
      <c r="F238" s="227"/>
      <c r="G238" s="227"/>
      <c r="H238" s="227"/>
      <c r="I238" s="227"/>
      <c r="J238" s="227"/>
      <c r="K238" s="227"/>
      <c r="L238" s="227"/>
      <c r="M238" s="227"/>
    </row>
    <row r="239" spans="4:13" x14ac:dyDescent="0.25">
      <c r="D239" s="227"/>
      <c r="E239" s="227"/>
      <c r="F239" s="227"/>
      <c r="G239" s="227"/>
      <c r="H239" s="227"/>
      <c r="I239" s="227"/>
      <c r="J239" s="227"/>
      <c r="K239" s="227"/>
      <c r="L239" s="227"/>
      <c r="M239" s="227"/>
    </row>
    <row r="240" spans="4:13" x14ac:dyDescent="0.25">
      <c r="D240" s="227"/>
      <c r="E240" s="227"/>
      <c r="F240" s="227"/>
      <c r="G240" s="227"/>
      <c r="H240" s="227"/>
      <c r="I240" s="227"/>
      <c r="J240" s="227"/>
      <c r="K240" s="227"/>
      <c r="L240" s="227"/>
      <c r="M240" s="227"/>
    </row>
    <row r="241" spans="4:13" x14ac:dyDescent="0.25">
      <c r="D241" s="227"/>
      <c r="E241" s="227"/>
      <c r="F241" s="227"/>
      <c r="G241" s="227"/>
      <c r="H241" s="227"/>
      <c r="I241" s="227"/>
      <c r="J241" s="227"/>
      <c r="K241" s="227"/>
      <c r="L241" s="227"/>
      <c r="M241" s="227"/>
    </row>
    <row r="242" spans="4:13" x14ac:dyDescent="0.25">
      <c r="D242" s="227"/>
      <c r="E242" s="227"/>
      <c r="F242" s="227"/>
      <c r="G242" s="227"/>
      <c r="H242" s="227"/>
      <c r="I242" s="227"/>
      <c r="J242" s="227"/>
      <c r="K242" s="227"/>
      <c r="L242" s="227"/>
      <c r="M242" s="227"/>
    </row>
    <row r="243" spans="4:13" x14ac:dyDescent="0.25">
      <c r="D243" s="227"/>
      <c r="E243" s="227"/>
      <c r="F243" s="227"/>
      <c r="G243" s="227"/>
      <c r="H243" s="227"/>
      <c r="I243" s="227"/>
      <c r="J243" s="227"/>
      <c r="K243" s="227"/>
      <c r="L243" s="227"/>
      <c r="M243" s="227"/>
    </row>
    <row r="244" spans="4:13" x14ac:dyDescent="0.25">
      <c r="D244" s="227"/>
      <c r="E244" s="227"/>
      <c r="F244" s="227"/>
      <c r="G244" s="227"/>
      <c r="H244" s="227"/>
      <c r="I244" s="227"/>
      <c r="J244" s="227"/>
      <c r="K244" s="227"/>
      <c r="L244" s="227"/>
      <c r="M244" s="227"/>
    </row>
    <row r="245" spans="4:13" x14ac:dyDescent="0.25">
      <c r="D245" s="227"/>
      <c r="E245" s="227"/>
      <c r="F245" s="227"/>
      <c r="G245" s="227"/>
      <c r="H245" s="227"/>
      <c r="I245" s="227"/>
      <c r="J245" s="227"/>
      <c r="K245" s="227"/>
      <c r="L245" s="227"/>
      <c r="M245" s="227"/>
    </row>
    <row r="246" spans="4:13" x14ac:dyDescent="0.25">
      <c r="D246" s="227"/>
      <c r="E246" s="227"/>
      <c r="F246" s="227"/>
      <c r="G246" s="227"/>
      <c r="H246" s="227"/>
      <c r="I246" s="227"/>
      <c r="J246" s="227"/>
      <c r="K246" s="227"/>
      <c r="L246" s="227"/>
      <c r="M246" s="227"/>
    </row>
    <row r="247" spans="4:13" x14ac:dyDescent="0.25">
      <c r="D247" s="227"/>
      <c r="E247" s="227"/>
      <c r="F247" s="227"/>
      <c r="G247" s="227"/>
      <c r="H247" s="227"/>
      <c r="I247" s="227"/>
      <c r="J247" s="227"/>
      <c r="K247" s="227"/>
      <c r="L247" s="227"/>
      <c r="M247" s="227"/>
    </row>
    <row r="248" spans="4:13" x14ac:dyDescent="0.25">
      <c r="D248" s="227"/>
      <c r="E248" s="227"/>
      <c r="F248" s="227"/>
      <c r="G248" s="227"/>
      <c r="H248" s="227"/>
      <c r="I248" s="227"/>
      <c r="J248" s="227"/>
      <c r="K248" s="227"/>
      <c r="L248" s="227"/>
      <c r="M248" s="227"/>
    </row>
    <row r="249" spans="4:13" x14ac:dyDescent="0.25">
      <c r="D249" s="227"/>
      <c r="E249" s="227"/>
      <c r="F249" s="227"/>
      <c r="G249" s="227"/>
      <c r="H249" s="227"/>
      <c r="I249" s="227"/>
      <c r="J249" s="227"/>
      <c r="K249" s="227"/>
      <c r="L249" s="227"/>
      <c r="M249" s="227"/>
    </row>
    <row r="250" spans="4:13" x14ac:dyDescent="0.25">
      <c r="D250" s="227"/>
      <c r="E250" s="227"/>
      <c r="F250" s="227"/>
      <c r="G250" s="227"/>
      <c r="H250" s="227"/>
      <c r="I250" s="227"/>
      <c r="J250" s="227"/>
      <c r="K250" s="227"/>
      <c r="L250" s="227"/>
      <c r="M250" s="227"/>
    </row>
    <row r="251" spans="4:13" x14ac:dyDescent="0.25">
      <c r="D251" s="227"/>
      <c r="E251" s="227"/>
      <c r="F251" s="227"/>
      <c r="G251" s="227"/>
      <c r="H251" s="227"/>
      <c r="I251" s="227"/>
      <c r="J251" s="227"/>
      <c r="K251" s="227"/>
      <c r="L251" s="227"/>
      <c r="M251" s="227"/>
    </row>
  </sheetData>
  <mergeCells count="14">
    <mergeCell ref="B1:N2"/>
    <mergeCell ref="B9:D11"/>
    <mergeCell ref="E9:E11"/>
    <mergeCell ref="F9:M9"/>
    <mergeCell ref="N9:N11"/>
    <mergeCell ref="F10:F11"/>
    <mergeCell ref="G10:G11"/>
    <mergeCell ref="H10:H11"/>
    <mergeCell ref="I10:I11"/>
    <mergeCell ref="J10:J11"/>
    <mergeCell ref="K10:K11"/>
    <mergeCell ref="L10:L11"/>
    <mergeCell ref="M10:M11"/>
    <mergeCell ref="C4:K4"/>
  </mergeCells>
  <phoneticPr fontId="52" type="noConversion"/>
  <conditionalFormatting sqref="B12:C60 D23:N60 B61:N95">
    <cfRule type="expression" dxfId="6" priority="3">
      <formula>MOD(ROW(),2)=0</formula>
    </cfRule>
  </conditionalFormatting>
  <conditionalFormatting sqref="D12 E12:J21 K12:N22 D22:J22">
    <cfRule type="expression" dxfId="5" priority="8">
      <formula>MOD(ROW(),2)=0</formula>
    </cfRule>
  </conditionalFormatting>
  <conditionalFormatting sqref="D14">
    <cfRule type="expression" dxfId="4" priority="7">
      <formula>MOD(ROW(),2)=0</formula>
    </cfRule>
  </conditionalFormatting>
  <conditionalFormatting sqref="D16 D18:D20">
    <cfRule type="expression" dxfId="3" priority="6">
      <formula>MOD(ROW(),2)=0</formula>
    </cfRule>
  </conditionalFormatting>
  <conditionalFormatting sqref="F9:F10 G10:M10 F96:M1048576">
    <cfRule type="expression" priority="11">
      <formula>MOD(COLUMN(),2)=0</formula>
    </cfRule>
  </conditionalFormatting>
  <conditionalFormatting sqref="I34:I35">
    <cfRule type="expression" dxfId="2" priority="10">
      <formula>MOD(ROW(),2)=0</formula>
    </cfRule>
  </conditionalFormatting>
  <conditionalFormatting sqref="J27">
    <cfRule type="expression" dxfId="1" priority="5">
      <formula>MOD(ROW(),2)=0</formula>
    </cfRule>
  </conditionalFormatting>
  <conditionalFormatting sqref="J32:J35">
    <cfRule type="expression" dxfId="0" priority="9">
      <formula>MOD(ROW(),2)=0</formula>
    </cfRule>
  </conditionalFormatting>
  <printOptions horizontalCentered="1"/>
  <pageMargins left="0.51181102362204722" right="0.51181102362204722" top="0.78740157480314965" bottom="0.78740157480314965" header="0.31496062992125984" footer="0.31496062992125984"/>
  <pageSetup paperSize="9" scale="66"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A69F3-8FAC-484D-A33D-058AF6ED1301}">
  <dimension ref="B1:U41"/>
  <sheetViews>
    <sheetView showGridLines="0" showZeros="0" view="pageBreakPreview" topLeftCell="A9" zoomScaleNormal="100" zoomScaleSheetLayoutView="100" workbookViewId="0">
      <selection activeCell="Q14" sqref="Q14:Q15"/>
    </sheetView>
  </sheetViews>
  <sheetFormatPr defaultColWidth="9.140625" defaultRowHeight="13.5" x14ac:dyDescent="0.25"/>
  <cols>
    <col min="1" max="1" width="1.7109375" style="89" customWidth="1"/>
    <col min="2" max="2" width="9.140625" style="89" customWidth="1"/>
    <col min="3" max="3" width="12"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1" s="69" customFormat="1" ht="20.100000000000001" customHeight="1" x14ac:dyDescent="0.25">
      <c r="B1" s="569" t="s">
        <v>133</v>
      </c>
      <c r="C1" s="569"/>
      <c r="D1" s="569"/>
      <c r="E1" s="569"/>
      <c r="F1" s="569"/>
      <c r="G1" s="569"/>
      <c r="H1" s="569"/>
      <c r="I1" s="569"/>
      <c r="J1" s="569"/>
      <c r="K1" s="569"/>
      <c r="L1" s="569"/>
      <c r="M1" s="569"/>
      <c r="N1" s="569"/>
      <c r="O1" s="569"/>
      <c r="P1" s="569"/>
    </row>
    <row r="2" spans="2:21" s="69" customFormat="1" ht="20.100000000000001" customHeight="1" x14ac:dyDescent="0.25">
      <c r="B2" s="569"/>
      <c r="C2" s="569"/>
      <c r="D2" s="569"/>
      <c r="E2" s="569"/>
      <c r="F2" s="569"/>
      <c r="G2" s="569"/>
      <c r="H2" s="569"/>
      <c r="I2" s="569"/>
      <c r="J2" s="569"/>
      <c r="K2" s="569"/>
      <c r="L2" s="569"/>
      <c r="M2" s="569"/>
      <c r="N2" s="569"/>
      <c r="O2" s="569"/>
      <c r="P2" s="569"/>
    </row>
    <row r="3" spans="2:21" s="69" customFormat="1" ht="20.100000000000001" customHeight="1" x14ac:dyDescent="0.25"/>
    <row r="4" spans="2:21"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3" t="s">
        <v>96</v>
      </c>
      <c r="O4" s="4" t="str">
        <f>+'DADOS DA OBRA'!$N$22</f>
        <v>04/11/2024</v>
      </c>
      <c r="R4" s="32"/>
      <c r="S4" s="32"/>
      <c r="T4" s="33"/>
      <c r="U4" s="33"/>
    </row>
    <row r="5" spans="2:21" s="5" customFormat="1" ht="20.100000000000001" customHeight="1" x14ac:dyDescent="0.25">
      <c r="B5" s="1" t="s">
        <v>18</v>
      </c>
      <c r="C5" s="2" t="str">
        <f>+""&amp;'DADOS DA OBRA'!$B$16&amp;", "&amp;'DADOS DA OBRA'!$B$19&amp;", "&amp;'DADOS DA OBRA'!$J$19&amp;", "&amp;'DADOS DA OBRA'!$P$19</f>
        <v>RUAS DIVERSAS, DIVERSOS, MATRINCHÃ, GO</v>
      </c>
      <c r="N5" s="3" t="s">
        <v>17</v>
      </c>
      <c r="O5" s="4" t="str">
        <f>'DADOS DA OBRA'!$N$25</f>
        <v>00</v>
      </c>
    </row>
    <row r="6" spans="2:21" s="5" customFormat="1" ht="20.100000000000001" customHeight="1" x14ac:dyDescent="0.25"/>
    <row r="7" spans="2:21" s="5" customFormat="1" ht="20.100000000000001" customHeight="1" x14ac:dyDescent="0.25">
      <c r="B7" s="1" t="s">
        <v>97</v>
      </c>
      <c r="C7" s="39" t="s">
        <v>692</v>
      </c>
      <c r="N7" s="3" t="s">
        <v>18</v>
      </c>
      <c r="O7" s="64" t="s">
        <v>483</v>
      </c>
    </row>
    <row r="8" spans="2:21" s="67" customFormat="1" ht="20.100000000000001" customHeight="1" thickBot="1" x14ac:dyDescent="0.3">
      <c r="B8" s="52"/>
      <c r="C8" s="53"/>
      <c r="D8" s="9"/>
      <c r="E8" s="9"/>
      <c r="F8" s="9"/>
      <c r="G8" s="9"/>
      <c r="H8" s="9"/>
      <c r="I8" s="10"/>
      <c r="M8" s="10"/>
      <c r="N8" s="10"/>
    </row>
    <row r="9" spans="2:21" s="88" customFormat="1" ht="20.100000000000001" customHeight="1" x14ac:dyDescent="0.25">
      <c r="B9" s="871" t="s">
        <v>134</v>
      </c>
      <c r="C9" s="872"/>
      <c r="D9" s="927" t="s">
        <v>647</v>
      </c>
      <c r="E9" s="776" t="s">
        <v>212</v>
      </c>
      <c r="F9" s="777"/>
      <c r="G9" s="777"/>
      <c r="H9" s="777"/>
      <c r="I9" s="778"/>
      <c r="J9" s="774" t="s">
        <v>216</v>
      </c>
      <c r="K9" s="774" t="s">
        <v>653</v>
      </c>
      <c r="L9" s="774" t="s">
        <v>226</v>
      </c>
      <c r="M9" s="774" t="s">
        <v>234</v>
      </c>
      <c r="N9" s="774" t="s">
        <v>235</v>
      </c>
      <c r="O9" s="930" t="s">
        <v>174</v>
      </c>
    </row>
    <row r="10" spans="2:21" s="88" customFormat="1" ht="20.100000000000001" customHeight="1" x14ac:dyDescent="0.25">
      <c r="B10" s="925"/>
      <c r="C10" s="926"/>
      <c r="D10" s="928"/>
      <c r="E10" s="918" t="s">
        <v>214</v>
      </c>
      <c r="F10" s="922" t="s">
        <v>649</v>
      </c>
      <c r="G10" s="923"/>
      <c r="H10" s="924"/>
      <c r="I10" s="920" t="s">
        <v>149</v>
      </c>
      <c r="J10" s="870"/>
      <c r="K10" s="870"/>
      <c r="L10" s="870"/>
      <c r="M10" s="870"/>
      <c r="N10" s="870"/>
      <c r="O10" s="931"/>
    </row>
    <row r="11" spans="2:21" s="88" customFormat="1" ht="28.5" customHeight="1" thickBot="1" x14ac:dyDescent="0.3">
      <c r="B11" s="875"/>
      <c r="C11" s="876"/>
      <c r="D11" s="929"/>
      <c r="E11" s="919"/>
      <c r="F11" s="293" t="s">
        <v>650</v>
      </c>
      <c r="G11" s="293" t="s">
        <v>651</v>
      </c>
      <c r="H11" s="295" t="s">
        <v>652</v>
      </c>
      <c r="I11" s="921"/>
      <c r="J11" s="775"/>
      <c r="K11" s="775"/>
      <c r="L11" s="775"/>
      <c r="M11" s="775"/>
      <c r="N11" s="775"/>
      <c r="O11" s="932"/>
    </row>
    <row r="12" spans="2:21" s="88" customFormat="1" ht="30" customHeight="1" x14ac:dyDescent="0.25">
      <c r="B12" s="820" t="s">
        <v>648</v>
      </c>
      <c r="C12" s="821"/>
      <c r="D12" s="92">
        <v>50</v>
      </c>
      <c r="E12" s="93">
        <f>+'REDE ABAST-TUBOS E CONEXÕES'!F29</f>
        <v>4031</v>
      </c>
      <c r="F12" s="93">
        <f>+G12+0.1</f>
        <v>0.75</v>
      </c>
      <c r="G12" s="93">
        <f>+D12/1000+0.6</f>
        <v>0.65</v>
      </c>
      <c r="H12" s="93">
        <f>AVERAGE(F12:G12)</f>
        <v>0.7</v>
      </c>
      <c r="I12" s="93">
        <v>1.1499999999999999</v>
      </c>
      <c r="J12" s="99">
        <f>+E12*H12*I12</f>
        <v>3244.9549999999995</v>
      </c>
      <c r="K12" s="99">
        <f>+E12*(D12/1000+0.2)*H12-(E12*PI()/4*(D12/1000)^2)</f>
        <v>697.51015000836219</v>
      </c>
      <c r="L12" s="99">
        <f>+E12*G12</f>
        <v>2620.15</v>
      </c>
      <c r="M12" s="93">
        <f>+E12*G12*0.05</f>
        <v>131.00750000000002</v>
      </c>
      <c r="N12" s="93">
        <f>+J12-K12</f>
        <v>2547.4448499916371</v>
      </c>
      <c r="O12" s="100">
        <f t="shared" ref="O12:O13" si="0">(IF(I12&gt;=1.3,ROUND(E12/1.35,0),0))*(I12*2.7)</f>
        <v>0</v>
      </c>
    </row>
    <row r="13" spans="2:21" s="88" customFormat="1" ht="30" customHeight="1" x14ac:dyDescent="0.25">
      <c r="B13" s="802" t="s">
        <v>648</v>
      </c>
      <c r="C13" s="803"/>
      <c r="D13" s="94">
        <v>75</v>
      </c>
      <c r="E13" s="95">
        <f>+'REDE ABAST-TUBOS E CONEXÕES'!F30</f>
        <v>452</v>
      </c>
      <c r="F13" s="95">
        <f t="shared" ref="F13:F18" si="1">+G13+0.1</f>
        <v>0.77499999999999991</v>
      </c>
      <c r="G13" s="95">
        <f t="shared" ref="G13:G18" si="2">+D13/1000+0.6</f>
        <v>0.67499999999999993</v>
      </c>
      <c r="H13" s="95">
        <f t="shared" ref="H13:H18" si="3">AVERAGE(F13:G13)</f>
        <v>0.72499999999999987</v>
      </c>
      <c r="I13" s="95">
        <v>1.1499999999999999</v>
      </c>
      <c r="J13" s="101">
        <f t="shared" ref="J13:J18" si="4">+E13*H13*I13</f>
        <v>376.8549999999999</v>
      </c>
      <c r="K13" s="101">
        <f t="shared" ref="K13:K18" si="5">+E13*(D13/1000+0.2)*H13-(E13*PI()/4*(D13/1000)^2)</f>
        <v>88.120625169561976</v>
      </c>
      <c r="L13" s="101">
        <f t="shared" ref="L13:L18" si="6">+E13*G13</f>
        <v>305.09999999999997</v>
      </c>
      <c r="M13" s="95">
        <f t="shared" ref="M13:M18" si="7">+E13*G13*0.05</f>
        <v>15.254999999999999</v>
      </c>
      <c r="N13" s="95">
        <f t="shared" ref="N13:N18" si="8">+J13-K13</f>
        <v>288.7343748304379</v>
      </c>
      <c r="O13" s="102">
        <f t="shared" si="0"/>
        <v>0</v>
      </c>
    </row>
    <row r="14" spans="2:21" s="88" customFormat="1" ht="30" customHeight="1" x14ac:dyDescent="0.25">
      <c r="B14" s="802" t="s">
        <v>648</v>
      </c>
      <c r="C14" s="803"/>
      <c r="D14" s="94">
        <v>100</v>
      </c>
      <c r="E14" s="95">
        <f>+'REDE ABAST-TUBOS E CONEXÕES'!F31</f>
        <v>352</v>
      </c>
      <c r="F14" s="95">
        <f t="shared" si="1"/>
        <v>0.79999999999999993</v>
      </c>
      <c r="G14" s="95">
        <f t="shared" si="2"/>
        <v>0.7</v>
      </c>
      <c r="H14" s="95">
        <f t="shared" si="3"/>
        <v>0.75</v>
      </c>
      <c r="I14" s="95">
        <v>1.5</v>
      </c>
      <c r="J14" s="101">
        <f t="shared" si="4"/>
        <v>396</v>
      </c>
      <c r="K14" s="101">
        <f t="shared" si="5"/>
        <v>76.435398464841001</v>
      </c>
      <c r="L14" s="101">
        <f t="shared" si="6"/>
        <v>246.39999999999998</v>
      </c>
      <c r="M14" s="95">
        <f t="shared" si="7"/>
        <v>12.32</v>
      </c>
      <c r="N14" s="95">
        <f t="shared" si="8"/>
        <v>319.564601535159</v>
      </c>
      <c r="O14" s="102">
        <f>(IF(I14&gt;=1.3,ROUND(E14/1.35,0),0))*(I14*2.7)</f>
        <v>1057.0500000000002</v>
      </c>
    </row>
    <row r="15" spans="2:21" s="88" customFormat="1" ht="30" customHeight="1" x14ac:dyDescent="0.25">
      <c r="B15" s="802" t="s">
        <v>540</v>
      </c>
      <c r="C15" s="803"/>
      <c r="D15" s="94">
        <v>100</v>
      </c>
      <c r="E15" s="95">
        <f>+'REDE ABAST-TUBOS E CONEXÕES'!H36</f>
        <v>6</v>
      </c>
      <c r="F15" s="95">
        <f t="shared" si="1"/>
        <v>0.79999999999999993</v>
      </c>
      <c r="G15" s="95">
        <f t="shared" si="2"/>
        <v>0.7</v>
      </c>
      <c r="H15" s="95">
        <f t="shared" si="3"/>
        <v>0.75</v>
      </c>
      <c r="I15" s="95">
        <v>1.1499999999999999</v>
      </c>
      <c r="J15" s="101">
        <f t="shared" si="4"/>
        <v>5.1749999999999998</v>
      </c>
      <c r="K15" s="101">
        <f t="shared" si="5"/>
        <v>1.3028761101961532</v>
      </c>
      <c r="L15" s="101">
        <f t="shared" si="6"/>
        <v>4.1999999999999993</v>
      </c>
      <c r="M15" s="95">
        <f t="shared" si="7"/>
        <v>0.20999999999999996</v>
      </c>
      <c r="N15" s="95">
        <f t="shared" si="8"/>
        <v>3.8721238898038468</v>
      </c>
      <c r="O15" s="102">
        <f t="shared" ref="O15:O18" si="9">(IF(I15&gt;=1.3,ROUND(E15/1.35,0),0))*(I15*2.7)</f>
        <v>0</v>
      </c>
    </row>
    <row r="16" spans="2:21" s="88" customFormat="1" ht="30" customHeight="1" x14ac:dyDescent="0.25">
      <c r="B16" s="802" t="s">
        <v>202</v>
      </c>
      <c r="C16" s="803"/>
      <c r="D16" s="94">
        <v>100</v>
      </c>
      <c r="E16" s="95">
        <f>+'REDE ABAST-TUBOS E CONEXÕES'!K36</f>
        <v>9</v>
      </c>
      <c r="F16" s="95">
        <f t="shared" si="1"/>
        <v>0.79999999999999993</v>
      </c>
      <c r="G16" s="95">
        <f t="shared" si="2"/>
        <v>0.7</v>
      </c>
      <c r="H16" s="95">
        <f t="shared" si="3"/>
        <v>0.75</v>
      </c>
      <c r="I16" s="95">
        <v>1.1499999999999999</v>
      </c>
      <c r="J16" s="101">
        <f t="shared" si="4"/>
        <v>7.7624999999999993</v>
      </c>
      <c r="K16" s="101">
        <f t="shared" si="5"/>
        <v>1.95431416529423</v>
      </c>
      <c r="L16" s="101">
        <f t="shared" si="6"/>
        <v>6.3</v>
      </c>
      <c r="M16" s="95">
        <f t="shared" si="7"/>
        <v>0.315</v>
      </c>
      <c r="N16" s="95">
        <f t="shared" si="8"/>
        <v>5.8081858347057693</v>
      </c>
      <c r="O16" s="102">
        <f t="shared" si="9"/>
        <v>0</v>
      </c>
    </row>
    <row r="17" spans="2:15" s="88" customFormat="1" ht="30" customHeight="1" x14ac:dyDescent="0.25">
      <c r="B17" s="802" t="s">
        <v>202</v>
      </c>
      <c r="C17" s="803"/>
      <c r="D17" s="94">
        <v>150</v>
      </c>
      <c r="E17" s="95">
        <f>+'REDE ABAST-TUBOS E CONEXÕES'!K56</f>
        <v>30</v>
      </c>
      <c r="F17" s="95">
        <f t="shared" si="1"/>
        <v>0.85</v>
      </c>
      <c r="G17" s="95">
        <f t="shared" si="2"/>
        <v>0.75</v>
      </c>
      <c r="H17" s="95">
        <f t="shared" si="3"/>
        <v>0.8</v>
      </c>
      <c r="I17" s="95">
        <v>1.1499999999999999</v>
      </c>
      <c r="J17" s="101">
        <f t="shared" si="4"/>
        <v>27.599999999999998</v>
      </c>
      <c r="K17" s="101">
        <f t="shared" si="5"/>
        <v>7.8698562397067224</v>
      </c>
      <c r="L17" s="101">
        <f t="shared" si="6"/>
        <v>22.5</v>
      </c>
      <c r="M17" s="95">
        <f t="shared" si="7"/>
        <v>1.125</v>
      </c>
      <c r="N17" s="95">
        <f t="shared" si="8"/>
        <v>19.730143760293274</v>
      </c>
      <c r="O17" s="102">
        <f t="shared" si="9"/>
        <v>0</v>
      </c>
    </row>
    <row r="18" spans="2:15" s="88" customFormat="1" ht="30" customHeight="1" x14ac:dyDescent="0.25">
      <c r="B18" s="802" t="str">
        <f>+'REDE ABAST-TUBOS E CONEXÕES'!L10</f>
        <v>Rede Interna Reservação</v>
      </c>
      <c r="C18" s="803"/>
      <c r="D18" s="94">
        <v>25</v>
      </c>
      <c r="E18" s="95">
        <f>+'REDE ABAST-TUBOS E CONEXÕES'!L82</f>
        <v>54</v>
      </c>
      <c r="F18" s="95">
        <f t="shared" si="1"/>
        <v>0.72499999999999998</v>
      </c>
      <c r="G18" s="95">
        <f t="shared" si="2"/>
        <v>0.625</v>
      </c>
      <c r="H18" s="95">
        <f t="shared" si="3"/>
        <v>0.67500000000000004</v>
      </c>
      <c r="I18" s="95">
        <v>0.5</v>
      </c>
      <c r="J18" s="101">
        <f t="shared" si="4"/>
        <v>18.225000000000001</v>
      </c>
      <c r="K18" s="101">
        <f t="shared" si="5"/>
        <v>8.174742811985336</v>
      </c>
      <c r="L18" s="101">
        <f t="shared" si="6"/>
        <v>33.75</v>
      </c>
      <c r="M18" s="95">
        <f t="shared" si="7"/>
        <v>1.6875</v>
      </c>
      <c r="N18" s="95">
        <f t="shared" si="8"/>
        <v>10.050257188014665</v>
      </c>
      <c r="O18" s="102">
        <f t="shared" si="9"/>
        <v>0</v>
      </c>
    </row>
    <row r="19" spans="2:15" s="88" customFormat="1" ht="30" customHeight="1" thickBot="1" x14ac:dyDescent="0.3">
      <c r="B19" s="916"/>
      <c r="C19" s="917"/>
      <c r="D19" s="96"/>
      <c r="E19" s="97"/>
      <c r="F19" s="97"/>
      <c r="G19" s="97"/>
      <c r="H19" s="97"/>
      <c r="I19" s="97"/>
      <c r="J19" s="103"/>
      <c r="K19" s="103"/>
      <c r="L19" s="103"/>
      <c r="M19" s="97"/>
      <c r="N19" s="97"/>
      <c r="O19" s="104"/>
    </row>
    <row r="20" spans="2:15" s="88" customFormat="1" ht="30" customHeight="1" thickBot="1" x14ac:dyDescent="0.3">
      <c r="B20" s="794" t="s">
        <v>146</v>
      </c>
      <c r="C20" s="795"/>
      <c r="D20" s="795"/>
      <c r="E20" s="796"/>
      <c r="F20" s="105">
        <f>SUM(F12:F19)</f>
        <v>5.4999999999999991</v>
      </c>
      <c r="G20" s="105">
        <f>SUM(G12:G19)</f>
        <v>4.8</v>
      </c>
      <c r="H20" s="105"/>
      <c r="I20" s="105">
        <f t="shared" ref="I20:O20" si="10">SUM(I12:I19)</f>
        <v>7.75</v>
      </c>
      <c r="J20" s="106">
        <f t="shared" si="10"/>
        <v>4076.5724999999993</v>
      </c>
      <c r="K20" s="106">
        <f t="shared" si="10"/>
        <v>881.3679629699476</v>
      </c>
      <c r="L20" s="106">
        <f t="shared" si="10"/>
        <v>3238.4</v>
      </c>
      <c r="M20" s="105">
        <f t="shared" si="10"/>
        <v>161.92000000000002</v>
      </c>
      <c r="N20" s="105">
        <f t="shared" si="10"/>
        <v>3195.2045370300516</v>
      </c>
      <c r="O20" s="291">
        <f t="shared" si="10"/>
        <v>1057.0500000000002</v>
      </c>
    </row>
    <row r="21" spans="2:15" s="88" customFormat="1" ht="30" customHeight="1" x14ac:dyDescent="0.25">
      <c r="B21" s="793"/>
      <c r="C21" s="793"/>
      <c r="D21" s="9"/>
      <c r="E21" s="9"/>
      <c r="F21" s="9"/>
      <c r="G21" s="9"/>
      <c r="H21" s="9"/>
      <c r="I21" s="9"/>
      <c r="M21" s="9"/>
      <c r="N21" s="9"/>
    </row>
    <row r="22" spans="2:15" ht="20.100000000000001" customHeight="1" x14ac:dyDescent="0.25">
      <c r="B22" s="746" t="s">
        <v>255</v>
      </c>
      <c r="C22" s="746"/>
      <c r="D22" s="746"/>
      <c r="E22" s="746"/>
      <c r="F22" s="746"/>
      <c r="G22" s="746"/>
      <c r="H22" s="746"/>
      <c r="I22" s="746"/>
      <c r="J22" s="746"/>
      <c r="O22" s="90"/>
    </row>
    <row r="23" spans="2:15" s="31" customFormat="1" ht="20.100000000000001" customHeight="1" x14ac:dyDescent="0.25">
      <c r="B23" s="31" t="s">
        <v>218</v>
      </c>
      <c r="C23" s="200" t="s">
        <v>672</v>
      </c>
      <c r="D23" s="31" t="s">
        <v>671</v>
      </c>
      <c r="N23" s="194" t="s">
        <v>219</v>
      </c>
      <c r="O23" s="195">
        <f>+J18</f>
        <v>18.225000000000001</v>
      </c>
    </row>
    <row r="24" spans="2:15" s="31" customFormat="1" ht="20.100000000000001" customHeight="1" x14ac:dyDescent="0.25">
      <c r="B24" s="31" t="s">
        <v>218</v>
      </c>
      <c r="C24" s="200" t="s">
        <v>698</v>
      </c>
      <c r="D24" s="31" t="s">
        <v>697</v>
      </c>
      <c r="N24" s="194" t="s">
        <v>219</v>
      </c>
      <c r="O24" s="195">
        <f>+J20-J18</f>
        <v>4058.3474999999994</v>
      </c>
    </row>
    <row r="25" spans="2:15" s="31" customFormat="1" ht="20.100000000000001" customHeight="1" x14ac:dyDescent="0.25">
      <c r="B25" s="31" t="s">
        <v>218</v>
      </c>
      <c r="C25" s="194" t="s">
        <v>220</v>
      </c>
      <c r="D25" s="31" t="s">
        <v>221</v>
      </c>
      <c r="N25" s="194" t="s">
        <v>222</v>
      </c>
      <c r="O25" s="195">
        <f>+L20</f>
        <v>3238.4</v>
      </c>
    </row>
    <row r="26" spans="2:15" s="31" customFormat="1" ht="20.100000000000001" customHeight="1" x14ac:dyDescent="0.25">
      <c r="B26" s="31" t="s">
        <v>218</v>
      </c>
      <c r="C26" s="200" t="s">
        <v>655</v>
      </c>
      <c r="D26" s="31" t="s">
        <v>654</v>
      </c>
      <c r="N26" s="194" t="s">
        <v>219</v>
      </c>
      <c r="O26" s="195">
        <f>+K20</f>
        <v>881.3679629699476</v>
      </c>
    </row>
    <row r="27" spans="2:15" s="31" customFormat="1" ht="20.100000000000001" customHeight="1" x14ac:dyDescent="0.25">
      <c r="B27" s="31" t="s">
        <v>218</v>
      </c>
      <c r="C27" s="194" t="s">
        <v>232</v>
      </c>
      <c r="D27" s="31" t="s">
        <v>233</v>
      </c>
      <c r="N27" s="194" t="s">
        <v>219</v>
      </c>
      <c r="O27" s="195">
        <f>M20</f>
        <v>161.92000000000002</v>
      </c>
    </row>
    <row r="28" spans="2:15" s="31" customFormat="1" ht="20.100000000000001" customHeight="1" x14ac:dyDescent="0.25">
      <c r="B28" s="31" t="s">
        <v>218</v>
      </c>
      <c r="C28" s="194" t="s">
        <v>236</v>
      </c>
      <c r="D28" s="31" t="s">
        <v>237</v>
      </c>
      <c r="N28" s="194" t="s">
        <v>219</v>
      </c>
      <c r="O28" s="195">
        <f>N20</f>
        <v>3195.2045370300516</v>
      </c>
    </row>
    <row r="29" spans="2:15" s="31" customFormat="1" ht="20.100000000000001" customHeight="1" x14ac:dyDescent="0.25">
      <c r="B29" s="31" t="s">
        <v>247</v>
      </c>
      <c r="C29" s="194" t="s">
        <v>662</v>
      </c>
      <c r="D29" s="31" t="s">
        <v>661</v>
      </c>
      <c r="E29" s="89"/>
      <c r="N29" s="194" t="s">
        <v>222</v>
      </c>
      <c r="O29" s="195">
        <f>O20</f>
        <v>1057.0500000000002</v>
      </c>
    </row>
    <row r="30" spans="2:15" x14ac:dyDescent="0.25">
      <c r="O30" s="90"/>
    </row>
    <row r="31" spans="2:15" x14ac:dyDescent="0.25">
      <c r="O31" s="90"/>
    </row>
    <row r="32" spans="2:15" x14ac:dyDescent="0.25">
      <c r="O32" s="90"/>
    </row>
    <row r="33" spans="15:15" x14ac:dyDescent="0.25">
      <c r="O33" s="90"/>
    </row>
    <row r="34" spans="15:15" x14ac:dyDescent="0.25">
      <c r="O34" s="90"/>
    </row>
    <row r="35" spans="15:15" x14ac:dyDescent="0.25">
      <c r="O35" s="90"/>
    </row>
    <row r="36" spans="15:15" x14ac:dyDescent="0.25">
      <c r="O36" s="90"/>
    </row>
    <row r="37" spans="15:15" x14ac:dyDescent="0.25">
      <c r="O37" s="90"/>
    </row>
    <row r="38" spans="15:15" x14ac:dyDescent="0.25">
      <c r="O38" s="90"/>
    </row>
    <row r="39" spans="15:15" x14ac:dyDescent="0.25">
      <c r="O39" s="90"/>
    </row>
    <row r="40" spans="15:15" x14ac:dyDescent="0.25">
      <c r="O40" s="90"/>
    </row>
    <row r="41" spans="15:15" x14ac:dyDescent="0.25">
      <c r="O41" s="90"/>
    </row>
  </sheetData>
  <mergeCells count="25">
    <mergeCell ref="B1:P2"/>
    <mergeCell ref="B9:C11"/>
    <mergeCell ref="D9:D11"/>
    <mergeCell ref="E9:I9"/>
    <mergeCell ref="J9:J11"/>
    <mergeCell ref="K9:K11"/>
    <mergeCell ref="L9:L11"/>
    <mergeCell ref="M9:M11"/>
    <mergeCell ref="N9:N11"/>
    <mergeCell ref="O9:O11"/>
    <mergeCell ref="C4:M4"/>
    <mergeCell ref="B12:C12"/>
    <mergeCell ref="B19:C19"/>
    <mergeCell ref="E10:E11"/>
    <mergeCell ref="I10:I11"/>
    <mergeCell ref="F10:H10"/>
    <mergeCell ref="B21:C21"/>
    <mergeCell ref="B22:J22"/>
    <mergeCell ref="B15:C15"/>
    <mergeCell ref="B14:C14"/>
    <mergeCell ref="B13:C13"/>
    <mergeCell ref="B18:C18"/>
    <mergeCell ref="B16:C16"/>
    <mergeCell ref="B17:C17"/>
    <mergeCell ref="B20:E20"/>
  </mergeCells>
  <printOptions horizontalCentered="1"/>
  <pageMargins left="0.51181102362204722" right="0.51181102362204722" top="0.78740157480314965" bottom="0.78740157480314965" header="0.31496062992125984" footer="0.39370078740157483"/>
  <pageSetup paperSize="9" scale="70"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3D208-AE21-4DC1-8EF7-0B68F2C77621}">
  <dimension ref="B1:AE35"/>
  <sheetViews>
    <sheetView showGridLines="0" showZeros="0" view="pageBreakPreview" zoomScaleNormal="100" zoomScaleSheetLayoutView="100" workbookViewId="0">
      <selection activeCell="Q14" sqref="Q14:Q15"/>
    </sheetView>
  </sheetViews>
  <sheetFormatPr defaultColWidth="9.140625" defaultRowHeight="13.5" x14ac:dyDescent="0.25"/>
  <cols>
    <col min="1" max="1" width="1.7109375" style="89" customWidth="1"/>
    <col min="2" max="2" width="8.5703125" style="89" customWidth="1"/>
    <col min="3" max="3" width="7.5703125" style="89" customWidth="1"/>
    <col min="4" max="11" width="6.7109375" style="89" customWidth="1"/>
    <col min="12" max="12" width="8.7109375" style="89" customWidth="1"/>
    <col min="13" max="13" width="9.28515625" style="89" customWidth="1"/>
    <col min="14" max="15" width="7.140625" style="89" customWidth="1"/>
    <col min="16" max="18" width="7.7109375" style="89" customWidth="1"/>
    <col min="19" max="21" width="8" style="89" customWidth="1"/>
    <col min="22" max="22" width="10.42578125" style="89" customWidth="1"/>
    <col min="23" max="23" width="8" style="89" customWidth="1"/>
    <col min="24" max="24" width="9.28515625" style="89" customWidth="1"/>
    <col min="25" max="25" width="11.28515625" style="91" customWidth="1"/>
    <col min="26" max="26" width="1.7109375" style="89" customWidth="1"/>
    <col min="27" max="27" width="9.140625" style="89" customWidth="1"/>
    <col min="28" max="16384" width="9.140625" style="89"/>
  </cols>
  <sheetData>
    <row r="1" spans="2:31" s="69" customFormat="1" ht="20.100000000000001" customHeight="1" x14ac:dyDescent="0.25">
      <c r="B1" s="569" t="s">
        <v>133</v>
      </c>
      <c r="C1" s="569"/>
      <c r="D1" s="569"/>
      <c r="E1" s="569"/>
      <c r="F1" s="569"/>
      <c r="G1" s="569"/>
      <c r="H1" s="569"/>
      <c r="I1" s="569"/>
      <c r="J1" s="569"/>
      <c r="K1" s="569"/>
      <c r="L1" s="569"/>
      <c r="M1" s="569"/>
      <c r="N1" s="569"/>
      <c r="O1" s="569"/>
      <c r="P1" s="569"/>
      <c r="Q1" s="569"/>
      <c r="R1" s="569"/>
      <c r="S1" s="569"/>
      <c r="T1" s="569"/>
      <c r="U1" s="569"/>
      <c r="V1" s="569"/>
      <c r="W1" s="569"/>
      <c r="X1" s="569"/>
      <c r="Y1" s="569"/>
      <c r="Z1" s="569"/>
    </row>
    <row r="2" spans="2:31" s="69" customFormat="1" ht="20.100000000000001" customHeight="1" x14ac:dyDescent="0.25">
      <c r="B2" s="569"/>
      <c r="C2" s="569"/>
      <c r="D2" s="569"/>
      <c r="E2" s="569"/>
      <c r="F2" s="569"/>
      <c r="G2" s="569"/>
      <c r="H2" s="569"/>
      <c r="I2" s="569"/>
      <c r="J2" s="569"/>
      <c r="K2" s="569"/>
      <c r="L2" s="569"/>
      <c r="M2" s="569"/>
      <c r="N2" s="569"/>
      <c r="O2" s="569"/>
      <c r="P2" s="569"/>
      <c r="Q2" s="569"/>
      <c r="R2" s="569"/>
      <c r="S2" s="569"/>
      <c r="T2" s="569"/>
      <c r="U2" s="569"/>
      <c r="V2" s="569"/>
      <c r="W2" s="569"/>
      <c r="X2" s="569"/>
      <c r="Y2" s="569"/>
      <c r="Z2" s="569"/>
    </row>
    <row r="3" spans="2:31" s="69" customFormat="1" ht="20.100000000000001" customHeight="1" x14ac:dyDescent="0.25"/>
    <row r="4" spans="2:31"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674"/>
      <c r="W4" s="674"/>
      <c r="X4" s="3" t="s">
        <v>96</v>
      </c>
      <c r="Y4" s="4" t="str">
        <f>+'DADOS DA OBRA'!$N$22</f>
        <v>04/11/2024</v>
      </c>
      <c r="AB4" s="32"/>
      <c r="AC4" s="32"/>
      <c r="AD4" s="33"/>
      <c r="AE4" s="33"/>
    </row>
    <row r="5" spans="2:31" s="5" customFormat="1" ht="20.100000000000001" customHeight="1" x14ac:dyDescent="0.25">
      <c r="B5" s="1" t="s">
        <v>18</v>
      </c>
      <c r="C5" s="2" t="str">
        <f>+""&amp;'DADOS DA OBRA'!$B$16&amp;", "&amp;'DADOS DA OBRA'!$B$19&amp;", "&amp;'DADOS DA OBRA'!$J$19&amp;", "&amp;'DADOS DA OBRA'!$P$19</f>
        <v>RUAS DIVERSAS, DIVERSOS, MATRINCHÃ, GO</v>
      </c>
      <c r="X5" s="3" t="s">
        <v>17</v>
      </c>
      <c r="Y5" s="4" t="str">
        <f>'DADOS DA OBRA'!$N$25</f>
        <v>00</v>
      </c>
    </row>
    <row r="6" spans="2:31" s="5" customFormat="1" ht="20.100000000000001" customHeight="1" x14ac:dyDescent="0.25"/>
    <row r="7" spans="2:31" s="5" customFormat="1" ht="20.100000000000001" customHeight="1" x14ac:dyDescent="0.25">
      <c r="B7" s="1" t="s">
        <v>97</v>
      </c>
      <c r="C7" s="39" t="s">
        <v>693</v>
      </c>
      <c r="X7" s="3" t="s">
        <v>18</v>
      </c>
      <c r="Y7" s="64" t="s">
        <v>483</v>
      </c>
    </row>
    <row r="8" spans="2:31" s="67" customFormat="1" ht="20.100000000000001" customHeight="1" thickBot="1" x14ac:dyDescent="0.3">
      <c r="B8" s="52"/>
      <c r="C8" s="53"/>
      <c r="D8" s="10"/>
      <c r="E8" s="9"/>
      <c r="F8" s="9"/>
      <c r="G8" s="9"/>
      <c r="H8" s="10"/>
      <c r="I8" s="9"/>
      <c r="J8" s="9"/>
      <c r="K8" s="9"/>
      <c r="L8" s="10"/>
      <c r="M8" s="10"/>
      <c r="N8" s="10"/>
      <c r="O8" s="10"/>
      <c r="P8" s="10"/>
      <c r="Q8" s="10"/>
      <c r="R8" s="10"/>
      <c r="S8" s="10"/>
      <c r="T8" s="10"/>
      <c r="U8" s="10"/>
      <c r="V8" s="10"/>
      <c r="W8" s="10"/>
      <c r="X8" s="10"/>
    </row>
    <row r="9" spans="2:31" s="196" customFormat="1" ht="20.100000000000001" customHeight="1" x14ac:dyDescent="0.25">
      <c r="B9" s="871" t="s">
        <v>134</v>
      </c>
      <c r="C9" s="872"/>
      <c r="D9" s="774" t="s">
        <v>147</v>
      </c>
      <c r="E9" s="877" t="s">
        <v>694</v>
      </c>
      <c r="F9" s="886"/>
      <c r="G9" s="878"/>
      <c r="H9" s="774" t="s">
        <v>149</v>
      </c>
      <c r="I9" s="877" t="s">
        <v>695</v>
      </c>
      <c r="J9" s="886"/>
      <c r="K9" s="878"/>
      <c r="L9" s="868" t="s">
        <v>699</v>
      </c>
      <c r="M9" s="868" t="s">
        <v>440</v>
      </c>
      <c r="N9" s="868" t="s">
        <v>701</v>
      </c>
      <c r="O9" s="868" t="s">
        <v>711</v>
      </c>
      <c r="P9" s="868" t="s">
        <v>709</v>
      </c>
      <c r="Q9" s="868" t="s">
        <v>151</v>
      </c>
      <c r="R9" s="868" t="s">
        <v>706</v>
      </c>
      <c r="S9" s="868" t="s">
        <v>702</v>
      </c>
      <c r="T9" s="868" t="s">
        <v>708</v>
      </c>
      <c r="U9" s="868" t="s">
        <v>705</v>
      </c>
      <c r="V9" s="868" t="s">
        <v>880</v>
      </c>
      <c r="W9" s="868" t="s">
        <v>883</v>
      </c>
      <c r="X9" s="868" t="s">
        <v>46</v>
      </c>
      <c r="Y9" s="879" t="s">
        <v>238</v>
      </c>
    </row>
    <row r="10" spans="2:31" s="196" customFormat="1" ht="20.100000000000001" customHeight="1" x14ac:dyDescent="0.25">
      <c r="B10" s="873"/>
      <c r="C10" s="874"/>
      <c r="D10" s="870"/>
      <c r="E10" s="881" t="s">
        <v>153</v>
      </c>
      <c r="F10" s="881" t="s">
        <v>154</v>
      </c>
      <c r="G10" s="881" t="s">
        <v>155</v>
      </c>
      <c r="H10" s="870"/>
      <c r="I10" s="881" t="s">
        <v>696</v>
      </c>
      <c r="J10" s="881" t="s">
        <v>153</v>
      </c>
      <c r="K10" s="881" t="s">
        <v>154</v>
      </c>
      <c r="L10" s="869"/>
      <c r="M10" s="869"/>
      <c r="N10" s="869"/>
      <c r="O10" s="869"/>
      <c r="P10" s="869"/>
      <c r="Q10" s="869"/>
      <c r="R10" s="869"/>
      <c r="S10" s="869"/>
      <c r="T10" s="869"/>
      <c r="U10" s="869"/>
      <c r="V10" s="869"/>
      <c r="W10" s="869"/>
      <c r="X10" s="869"/>
      <c r="Y10" s="880"/>
    </row>
    <row r="11" spans="2:31" s="196" customFormat="1" ht="20.100000000000001" customHeight="1" thickBot="1" x14ac:dyDescent="0.3">
      <c r="B11" s="875"/>
      <c r="C11" s="876"/>
      <c r="D11" s="775"/>
      <c r="E11" s="882"/>
      <c r="F11" s="882"/>
      <c r="G11" s="882"/>
      <c r="H11" s="775"/>
      <c r="I11" s="882"/>
      <c r="J11" s="882"/>
      <c r="K11" s="882"/>
      <c r="L11" s="191" t="s">
        <v>139</v>
      </c>
      <c r="M11" s="191" t="s">
        <v>139</v>
      </c>
      <c r="N11" s="191" t="s">
        <v>139</v>
      </c>
      <c r="O11" s="191" t="s">
        <v>139</v>
      </c>
      <c r="P11" s="191" t="s">
        <v>139</v>
      </c>
      <c r="Q11" s="191" t="s">
        <v>139</v>
      </c>
      <c r="R11" s="191" t="s">
        <v>160</v>
      </c>
      <c r="S11" s="191" t="s">
        <v>703</v>
      </c>
      <c r="T11" s="191" t="s">
        <v>703</v>
      </c>
      <c r="U11" s="191" t="s">
        <v>703</v>
      </c>
      <c r="V11" s="191" t="s">
        <v>287</v>
      </c>
      <c r="W11" s="191" t="s">
        <v>287</v>
      </c>
      <c r="X11" s="191" t="s">
        <v>139</v>
      </c>
      <c r="Y11" s="197" t="s">
        <v>140</v>
      </c>
    </row>
    <row r="12" spans="2:31" s="88" customFormat="1" ht="30" customHeight="1" x14ac:dyDescent="0.25">
      <c r="B12" s="820" t="s">
        <v>700</v>
      </c>
      <c r="C12" s="821"/>
      <c r="D12" s="94">
        <v>1</v>
      </c>
      <c r="E12" s="111">
        <v>0.8</v>
      </c>
      <c r="F12" s="111">
        <v>0.8</v>
      </c>
      <c r="G12" s="111">
        <v>1.2</v>
      </c>
      <c r="H12" s="111">
        <v>1.3</v>
      </c>
      <c r="I12" s="111">
        <v>0.2</v>
      </c>
      <c r="J12" s="111">
        <f>+E12+I12</f>
        <v>1</v>
      </c>
      <c r="K12" s="111">
        <f>+F12+I12</f>
        <v>1</v>
      </c>
      <c r="L12" s="111">
        <f>(J12*K12*H12)*D12</f>
        <v>1.3</v>
      </c>
      <c r="M12" s="111">
        <f>+J12*K12*D12</f>
        <v>1</v>
      </c>
      <c r="N12" s="111">
        <f>((PI()*0.3^2)*0.2)*D12</f>
        <v>5.6548667764616284E-2</v>
      </c>
      <c r="O12" s="111"/>
      <c r="P12" s="111"/>
      <c r="Q12" s="111">
        <f>+((PI()*(E12/2)^2)*H12)*D12</f>
        <v>0.65345127194667707</v>
      </c>
      <c r="R12" s="111"/>
      <c r="S12" s="111">
        <f>+G12*D12</f>
        <v>1.2</v>
      </c>
      <c r="T12" s="111"/>
      <c r="U12" s="111"/>
      <c r="V12" s="111">
        <f>+C12</f>
        <v>0</v>
      </c>
      <c r="W12" s="111">
        <f>+D12</f>
        <v>1</v>
      </c>
      <c r="X12" s="108">
        <f>+L12-Q12</f>
        <v>0.64654872805332297</v>
      </c>
      <c r="Y12" s="110">
        <f>+Q12*1.3</f>
        <v>0.8494866535306802</v>
      </c>
    </row>
    <row r="13" spans="2:31" s="88" customFormat="1" ht="30" customHeight="1" x14ac:dyDescent="0.25">
      <c r="B13" s="802" t="s">
        <v>704</v>
      </c>
      <c r="C13" s="803"/>
      <c r="D13" s="94">
        <v>5</v>
      </c>
      <c r="E13" s="111">
        <v>1.6</v>
      </c>
      <c r="F13" s="111">
        <v>1.6</v>
      </c>
      <c r="G13" s="111">
        <f>0.15+0.3+0.2+1+0.3</f>
        <v>1.95</v>
      </c>
      <c r="H13" s="111">
        <v>2</v>
      </c>
      <c r="I13" s="111">
        <v>0.2</v>
      </c>
      <c r="J13" s="111">
        <f>+E13+I13</f>
        <v>1.8</v>
      </c>
      <c r="K13" s="111">
        <f>+F13+I13</f>
        <v>1.8</v>
      </c>
      <c r="L13" s="111">
        <f>(J13*K13*H13)*D13</f>
        <v>32.400000000000006</v>
      </c>
      <c r="M13" s="111">
        <f>+J13*K13*D13</f>
        <v>16.200000000000003</v>
      </c>
      <c r="N13" s="111">
        <f>((PI()*0.6^2)*0.2)*D13</f>
        <v>1.1309733552923258</v>
      </c>
      <c r="O13" s="111"/>
      <c r="P13" s="111"/>
      <c r="Q13" s="111">
        <f>+((PI()*(E13/2)^2)*H13)*D13</f>
        <v>20.106192982974676</v>
      </c>
      <c r="R13" s="111">
        <f>((2*(PI()*(E13/2)*0.7)))*D13</f>
        <v>17.592918860102841</v>
      </c>
      <c r="S13" s="111"/>
      <c r="T13" s="111"/>
      <c r="U13" s="111">
        <f>+D13</f>
        <v>5</v>
      </c>
      <c r="V13" s="111">
        <f>+D13</f>
        <v>5</v>
      </c>
      <c r="W13" s="111">
        <f>+D13</f>
        <v>5</v>
      </c>
      <c r="X13" s="111">
        <f>+L13-Q13</f>
        <v>12.29380701702533</v>
      </c>
      <c r="Y13" s="113">
        <f>+Q13*1.3</f>
        <v>26.13805087786708</v>
      </c>
    </row>
    <row r="14" spans="2:31" s="88" customFormat="1" ht="30" customHeight="1" x14ac:dyDescent="0.25">
      <c r="B14" s="802" t="s">
        <v>707</v>
      </c>
      <c r="C14" s="803"/>
      <c r="D14" s="94">
        <v>8</v>
      </c>
      <c r="E14" s="111">
        <v>1.1000000000000001</v>
      </c>
      <c r="F14" s="111">
        <v>1.1000000000000001</v>
      </c>
      <c r="G14" s="111">
        <v>1.7</v>
      </c>
      <c r="H14" s="111">
        <v>1.8</v>
      </c>
      <c r="I14" s="111">
        <v>0.2</v>
      </c>
      <c r="J14" s="111">
        <f>+E14+I14</f>
        <v>1.3</v>
      </c>
      <c r="K14" s="111">
        <f>+F14+I14</f>
        <v>1.3</v>
      </c>
      <c r="L14" s="111">
        <f>(J14*K14*H14)*D14</f>
        <v>24.336000000000002</v>
      </c>
      <c r="M14" s="111">
        <f>+J14*K14*D14</f>
        <v>13.520000000000001</v>
      </c>
      <c r="N14" s="111">
        <f>((PI()*(E14/2)^2)*0.1)*D14</f>
        <v>0.76026542216873016</v>
      </c>
      <c r="O14" s="111"/>
      <c r="P14" s="111">
        <f>(((PI()*0.45^2)*0.55)*D14)*0.85</f>
        <v>2.3792851961962302</v>
      </c>
      <c r="Q14" s="111">
        <f>+((PI()*(E14/2)^2)*H14)*D14</f>
        <v>13.684777599037142</v>
      </c>
      <c r="R14" s="111"/>
      <c r="S14" s="111"/>
      <c r="T14" s="111">
        <f>1.2*D14</f>
        <v>9.6</v>
      </c>
      <c r="U14" s="111"/>
      <c r="V14" s="111">
        <f>+D14</f>
        <v>8</v>
      </c>
      <c r="W14" s="111">
        <f>+D14</f>
        <v>8</v>
      </c>
      <c r="X14" s="111">
        <f>+L14-Q14</f>
        <v>10.65122240096286</v>
      </c>
      <c r="Y14" s="113">
        <f>+Q14*1.3</f>
        <v>17.790210878748287</v>
      </c>
    </row>
    <row r="15" spans="2:31" s="88" customFormat="1" ht="30" customHeight="1" x14ac:dyDescent="0.25">
      <c r="B15" s="802" t="s">
        <v>710</v>
      </c>
      <c r="C15" s="803"/>
      <c r="D15" s="94">
        <v>1</v>
      </c>
      <c r="E15" s="111">
        <v>1.6</v>
      </c>
      <c r="F15" s="111">
        <v>1.6</v>
      </c>
      <c r="G15" s="111">
        <v>1.45</v>
      </c>
      <c r="H15" s="111">
        <v>1.55</v>
      </c>
      <c r="I15" s="111">
        <v>0.2</v>
      </c>
      <c r="J15" s="111">
        <f>+E15+I15</f>
        <v>1.8</v>
      </c>
      <c r="K15" s="111">
        <f>+F15+I15</f>
        <v>1.8</v>
      </c>
      <c r="L15" s="111">
        <f>(J15*K15*H15)*D15</f>
        <v>5.0220000000000002</v>
      </c>
      <c r="M15" s="111">
        <f>+J15*K15*D15</f>
        <v>3.24</v>
      </c>
      <c r="N15" s="111">
        <f>((PI()*0.6^2)*0.2)*D15</f>
        <v>0.22619467105846514</v>
      </c>
      <c r="O15" s="111">
        <f>+E15*F15*0.1*D15</f>
        <v>0.25600000000000006</v>
      </c>
      <c r="P15" s="111"/>
      <c r="Q15" s="111">
        <f>+((PI()*(E15/2)^2)*H15)*D15</f>
        <v>3.116459912361075</v>
      </c>
      <c r="R15" s="111">
        <f>((2*(PI()*(E15/2)*0.7)))*D15</f>
        <v>3.5185837720205679</v>
      </c>
      <c r="S15" s="111"/>
      <c r="T15" s="111"/>
      <c r="U15" s="111">
        <f>+D15</f>
        <v>1</v>
      </c>
      <c r="V15" s="111">
        <f>+D15</f>
        <v>1</v>
      </c>
      <c r="W15" s="111">
        <f>+D15</f>
        <v>1</v>
      </c>
      <c r="X15" s="111">
        <f>+L15-Q15</f>
        <v>1.9055400876389252</v>
      </c>
      <c r="Y15" s="113">
        <f>+Q15*1.3</f>
        <v>4.051397886069398</v>
      </c>
    </row>
    <row r="16" spans="2:31" s="88" customFormat="1" ht="30" customHeight="1" x14ac:dyDescent="0.25">
      <c r="B16" s="802" t="s">
        <v>712</v>
      </c>
      <c r="C16" s="803"/>
      <c r="D16" s="94">
        <v>1</v>
      </c>
      <c r="E16" s="111">
        <v>1.1000000000000001</v>
      </c>
      <c r="F16" s="111">
        <v>1.1000000000000001</v>
      </c>
      <c r="G16" s="111">
        <v>2.1</v>
      </c>
      <c r="H16" s="111">
        <v>2.2000000000000002</v>
      </c>
      <c r="I16" s="111">
        <v>0.2</v>
      </c>
      <c r="J16" s="111">
        <f>+E16+I16</f>
        <v>1.3</v>
      </c>
      <c r="K16" s="111">
        <f>+F16+I16</f>
        <v>1.3</v>
      </c>
      <c r="L16" s="111">
        <f>(J16*K16*H16)*D16</f>
        <v>3.7180000000000009</v>
      </c>
      <c r="M16" s="111">
        <f>+J16*K16*D16</f>
        <v>1.6900000000000002</v>
      </c>
      <c r="N16" s="111">
        <f>(((PI()*0.45^2)*0.8)+((PI()*0.075^2)*1.2))*D16</f>
        <v>0.5301437602932777</v>
      </c>
      <c r="O16" s="111">
        <f>+E16*F16*0.1*D16</f>
        <v>0.12100000000000002</v>
      </c>
      <c r="P16" s="111"/>
      <c r="Q16" s="111">
        <f>+((PI()*(E16/2)^2)*H16)*D16</f>
        <v>2.0907299109640078</v>
      </c>
      <c r="R16" s="111"/>
      <c r="S16" s="111"/>
      <c r="T16" s="111">
        <f>+D16*1.8</f>
        <v>1.8</v>
      </c>
      <c r="U16" s="111"/>
      <c r="V16" s="111">
        <f>+D16</f>
        <v>1</v>
      </c>
      <c r="W16" s="111">
        <f>+D16</f>
        <v>1</v>
      </c>
      <c r="X16" s="111">
        <f>+L16-Q16</f>
        <v>1.627270089035993</v>
      </c>
      <c r="Y16" s="113">
        <f>+Q16*1.3</f>
        <v>2.7179488842532105</v>
      </c>
    </row>
    <row r="17" spans="2:25" s="88" customFormat="1" ht="30" customHeight="1" thickBot="1" x14ac:dyDescent="0.3">
      <c r="B17" s="802"/>
      <c r="C17" s="803"/>
      <c r="D17" s="94"/>
      <c r="E17" s="111"/>
      <c r="F17" s="111"/>
      <c r="G17" s="111"/>
      <c r="H17" s="111"/>
      <c r="I17" s="111"/>
      <c r="J17" s="111"/>
      <c r="K17" s="111"/>
      <c r="L17" s="111">
        <f>+(D17)*(E17)*G17</f>
        <v>0</v>
      </c>
      <c r="M17" s="111">
        <f>+(E17)*(F17)*H17</f>
        <v>0</v>
      </c>
      <c r="N17" s="111"/>
      <c r="O17" s="111"/>
      <c r="P17" s="111"/>
      <c r="Q17" s="111">
        <f t="shared" ref="Q17" si="0">+M17</f>
        <v>0</v>
      </c>
      <c r="R17" s="111"/>
      <c r="S17" s="111">
        <f>+(B17+C17)*2*D17</f>
        <v>0</v>
      </c>
      <c r="T17" s="111">
        <f>+(C17+D17)*2*E17</f>
        <v>0</v>
      </c>
      <c r="U17" s="111">
        <f>+(C17+D17)*2*E17</f>
        <v>0</v>
      </c>
      <c r="V17" s="111">
        <f>+(A17+B17)*2*C17</f>
        <v>0</v>
      </c>
      <c r="W17" s="111">
        <f>+(C17+D17)*2*E17</f>
        <v>0</v>
      </c>
      <c r="X17" s="111"/>
      <c r="Y17" s="113"/>
    </row>
    <row r="18" spans="2:25" s="88" customFormat="1" ht="30" customHeight="1" thickBot="1" x14ac:dyDescent="0.3">
      <c r="B18" s="794" t="s">
        <v>146</v>
      </c>
      <c r="C18" s="795"/>
      <c r="D18" s="795"/>
      <c r="E18" s="795"/>
      <c r="F18" s="795"/>
      <c r="G18" s="795"/>
      <c r="H18" s="796"/>
      <c r="I18" s="297"/>
      <c r="J18" s="297"/>
      <c r="K18" s="297"/>
      <c r="L18" s="105">
        <f t="shared" ref="L18:Y18" si="1">SUM(L12:L17)</f>
        <v>66.775999999999996</v>
      </c>
      <c r="M18" s="105">
        <f t="shared" si="1"/>
        <v>35.650000000000006</v>
      </c>
      <c r="N18" s="105">
        <f t="shared" ref="N18:P18" si="2">SUM(N12:N17)</f>
        <v>2.7041258765774154</v>
      </c>
      <c r="O18" s="105">
        <f t="shared" ref="O18" si="3">SUM(O12:O17)</f>
        <v>0.37700000000000011</v>
      </c>
      <c r="P18" s="105">
        <f t="shared" si="2"/>
        <v>2.3792851961962302</v>
      </c>
      <c r="Q18" s="105">
        <f t="shared" si="1"/>
        <v>39.651611677283576</v>
      </c>
      <c r="R18" s="105">
        <f t="shared" si="1"/>
        <v>21.111502632123411</v>
      </c>
      <c r="S18" s="105">
        <f t="shared" ref="S18:W18" si="4">SUM(S12:S17)</f>
        <v>1.2</v>
      </c>
      <c r="T18" s="105">
        <f t="shared" ref="T18" si="5">SUM(T12:T17)</f>
        <v>11.4</v>
      </c>
      <c r="U18" s="105">
        <f t="shared" ref="U18" si="6">SUM(U12:U17)</f>
        <v>6</v>
      </c>
      <c r="V18" s="105">
        <f t="shared" ref="V18" si="7">SUM(V12:V17)</f>
        <v>15</v>
      </c>
      <c r="W18" s="105">
        <f t="shared" si="4"/>
        <v>16</v>
      </c>
      <c r="X18" s="105">
        <f t="shared" si="1"/>
        <v>27.124388322716431</v>
      </c>
      <c r="Y18" s="198">
        <f t="shared" si="1"/>
        <v>51.547095180468652</v>
      </c>
    </row>
    <row r="19" spans="2:25" s="88" customFormat="1" ht="30" customHeight="1" x14ac:dyDescent="0.25">
      <c r="B19" s="793"/>
      <c r="C19" s="793"/>
      <c r="D19" s="9"/>
      <c r="E19" s="9"/>
      <c r="F19" s="9"/>
      <c r="G19" s="9"/>
      <c r="H19" s="9"/>
      <c r="I19" s="9"/>
      <c r="J19" s="9"/>
      <c r="K19" s="9"/>
      <c r="L19" s="9"/>
      <c r="M19" s="9"/>
      <c r="N19" s="9"/>
      <c r="O19" s="9"/>
      <c r="P19" s="9"/>
      <c r="Q19" s="9"/>
      <c r="R19" s="9"/>
      <c r="S19" s="9"/>
      <c r="T19" s="9"/>
      <c r="U19" s="9"/>
      <c r="V19" s="9"/>
      <c r="W19" s="9"/>
      <c r="X19" s="9"/>
    </row>
    <row r="20" spans="2:25" ht="20.100000000000001" customHeight="1" x14ac:dyDescent="0.25">
      <c r="B20" s="746" t="s">
        <v>255</v>
      </c>
      <c r="C20" s="746"/>
      <c r="D20" s="746"/>
      <c r="E20" s="746"/>
      <c r="F20" s="746"/>
      <c r="G20" s="746"/>
      <c r="H20" s="746"/>
      <c r="I20" s="746"/>
      <c r="J20" s="746"/>
      <c r="K20" s="746"/>
      <c r="L20" s="746"/>
      <c r="M20" s="746"/>
      <c r="N20" s="746"/>
      <c r="O20" s="746"/>
      <c r="P20" s="746"/>
      <c r="Q20" s="746"/>
      <c r="R20" s="746"/>
      <c r="Y20" s="90"/>
    </row>
    <row r="21" spans="2:25" ht="20.100000000000001" customHeight="1" x14ac:dyDescent="0.25">
      <c r="B21" s="31" t="s">
        <v>218</v>
      </c>
      <c r="C21" s="314" t="s">
        <v>698</v>
      </c>
      <c r="D21" s="30" t="s">
        <v>697</v>
      </c>
      <c r="E21" s="30"/>
      <c r="F21" s="30"/>
      <c r="G21" s="30"/>
      <c r="H21" s="30"/>
      <c r="I21" s="30"/>
      <c r="J21" s="30"/>
      <c r="K21" s="30"/>
      <c r="L21" s="30"/>
      <c r="M21" s="30"/>
      <c r="N21" s="315"/>
      <c r="O21" s="315"/>
      <c r="P21" s="315"/>
      <c r="Q21" s="315"/>
      <c r="R21" s="315"/>
      <c r="S21" s="315"/>
      <c r="T21" s="315"/>
      <c r="U21" s="315"/>
      <c r="V21" s="315"/>
      <c r="W21" s="315"/>
      <c r="X21" s="139" t="s">
        <v>219</v>
      </c>
      <c r="Y21" s="316">
        <f>+L18</f>
        <v>66.775999999999996</v>
      </c>
    </row>
    <row r="22" spans="2:25" ht="20.100000000000001" customHeight="1" x14ac:dyDescent="0.25">
      <c r="B22" s="31" t="s">
        <v>218</v>
      </c>
      <c r="C22" s="139" t="s">
        <v>220</v>
      </c>
      <c r="D22" s="30" t="s">
        <v>221</v>
      </c>
      <c r="E22" s="30"/>
      <c r="F22" s="30"/>
      <c r="G22" s="30"/>
      <c r="H22" s="30"/>
      <c r="I22" s="30"/>
      <c r="J22" s="30"/>
      <c r="K22" s="30"/>
      <c r="L22" s="30"/>
      <c r="M22" s="30"/>
      <c r="N22" s="315"/>
      <c r="O22" s="315"/>
      <c r="P22" s="315"/>
      <c r="Q22" s="315"/>
      <c r="R22" s="315"/>
      <c r="S22" s="315"/>
      <c r="T22" s="315"/>
      <c r="U22" s="315"/>
      <c r="V22" s="315"/>
      <c r="W22" s="315"/>
      <c r="X22" s="139" t="s">
        <v>222</v>
      </c>
      <c r="Y22" s="316">
        <f>+M18</f>
        <v>35.650000000000006</v>
      </c>
    </row>
    <row r="23" spans="2:25" ht="20.100000000000001" customHeight="1" x14ac:dyDescent="0.25">
      <c r="B23" s="31" t="s">
        <v>218</v>
      </c>
      <c r="C23" s="139" t="s">
        <v>232</v>
      </c>
      <c r="D23" s="30" t="s">
        <v>233</v>
      </c>
      <c r="E23" s="30"/>
      <c r="F23" s="30"/>
      <c r="G23" s="30"/>
      <c r="H23" s="30"/>
      <c r="I23" s="30"/>
      <c r="J23" s="30"/>
      <c r="K23" s="30"/>
      <c r="L23" s="30"/>
      <c r="M23" s="30"/>
      <c r="N23" s="315"/>
      <c r="O23" s="315"/>
      <c r="P23" s="315"/>
      <c r="Q23" s="315"/>
      <c r="R23" s="315"/>
      <c r="S23" s="315"/>
      <c r="T23" s="315"/>
      <c r="U23" s="315"/>
      <c r="V23" s="315"/>
      <c r="W23" s="315"/>
      <c r="X23" s="139" t="s">
        <v>219</v>
      </c>
      <c r="Y23" s="316">
        <f>N18</f>
        <v>2.7041258765774154</v>
      </c>
    </row>
    <row r="24" spans="2:25" ht="20.100000000000001" customHeight="1" x14ac:dyDescent="0.25">
      <c r="B24" s="31" t="s">
        <v>218</v>
      </c>
      <c r="C24" s="139" t="s">
        <v>253</v>
      </c>
      <c r="D24" s="30" t="s">
        <v>254</v>
      </c>
      <c r="E24" s="30"/>
      <c r="F24" s="30"/>
      <c r="G24" s="30"/>
      <c r="H24" s="30"/>
      <c r="I24" s="30"/>
      <c r="J24" s="30"/>
      <c r="K24" s="30"/>
      <c r="L24" s="30"/>
      <c r="M24" s="30"/>
      <c r="N24" s="315"/>
      <c r="O24" s="315"/>
      <c r="P24" s="315"/>
      <c r="Q24" s="315"/>
      <c r="R24" s="315"/>
      <c r="S24" s="315"/>
      <c r="T24" s="315"/>
      <c r="U24" s="315"/>
      <c r="V24" s="315"/>
      <c r="W24" s="315"/>
      <c r="X24" s="317" t="s">
        <v>219</v>
      </c>
      <c r="Y24" s="316">
        <f>O18</f>
        <v>0.37700000000000011</v>
      </c>
    </row>
    <row r="25" spans="2:25" ht="20.100000000000001" customHeight="1" x14ac:dyDescent="0.25">
      <c r="B25" s="31" t="s">
        <v>218</v>
      </c>
      <c r="C25" s="314" t="s">
        <v>871</v>
      </c>
      <c r="D25" s="315" t="s">
        <v>277</v>
      </c>
      <c r="E25" s="30"/>
      <c r="F25" s="315"/>
      <c r="G25" s="30"/>
      <c r="H25" s="30"/>
      <c r="I25" s="30"/>
      <c r="J25" s="30"/>
      <c r="K25" s="30"/>
      <c r="L25" s="30"/>
      <c r="M25" s="30"/>
      <c r="N25" s="315"/>
      <c r="O25" s="315"/>
      <c r="P25" s="315"/>
      <c r="Q25" s="315"/>
      <c r="R25" s="315"/>
      <c r="S25" s="315"/>
      <c r="T25" s="315"/>
      <c r="U25" s="315"/>
      <c r="V25" s="315"/>
      <c r="W25" s="315"/>
      <c r="X25" s="317" t="s">
        <v>219</v>
      </c>
      <c r="Y25" s="316">
        <f>+Y24</f>
        <v>0.37700000000000011</v>
      </c>
    </row>
    <row r="26" spans="2:25" ht="20.100000000000001" customHeight="1" x14ac:dyDescent="0.25">
      <c r="B26" s="31" t="s">
        <v>247</v>
      </c>
      <c r="C26" s="314" t="s">
        <v>873</v>
      </c>
      <c r="D26" s="315" t="s">
        <v>872</v>
      </c>
      <c r="E26" s="30"/>
      <c r="F26" s="315"/>
      <c r="G26" s="30"/>
      <c r="H26" s="30"/>
      <c r="I26" s="30"/>
      <c r="J26" s="30"/>
      <c r="K26" s="30"/>
      <c r="L26" s="30"/>
      <c r="M26" s="30"/>
      <c r="N26" s="315"/>
      <c r="O26" s="315"/>
      <c r="P26" s="315"/>
      <c r="Q26" s="315"/>
      <c r="R26" s="315"/>
      <c r="S26" s="315"/>
      <c r="T26" s="315"/>
      <c r="U26" s="315"/>
      <c r="V26" s="315"/>
      <c r="W26" s="315"/>
      <c r="X26" s="317" t="s">
        <v>219</v>
      </c>
      <c r="Y26" s="316">
        <f>+P18</f>
        <v>2.3792851961962302</v>
      </c>
    </row>
    <row r="27" spans="2:25" ht="20.100000000000001" customHeight="1" x14ac:dyDescent="0.25">
      <c r="B27" s="31" t="s">
        <v>218</v>
      </c>
      <c r="C27" s="139" t="s">
        <v>675</v>
      </c>
      <c r="D27" s="30" t="s">
        <v>674</v>
      </c>
      <c r="E27" s="30"/>
      <c r="F27" s="30"/>
      <c r="G27" s="30"/>
      <c r="H27" s="30"/>
      <c r="I27" s="30"/>
      <c r="J27" s="30"/>
      <c r="K27" s="30"/>
      <c r="L27" s="30"/>
      <c r="M27" s="30"/>
      <c r="N27" s="315"/>
      <c r="O27" s="315"/>
      <c r="P27" s="315"/>
      <c r="Q27" s="315"/>
      <c r="R27" s="315"/>
      <c r="S27" s="315"/>
      <c r="T27" s="315"/>
      <c r="U27" s="315"/>
      <c r="V27" s="315"/>
      <c r="W27" s="315"/>
      <c r="X27" s="139" t="s">
        <v>222</v>
      </c>
      <c r="Y27" s="316">
        <f>R18</f>
        <v>21.111502632123411</v>
      </c>
    </row>
    <row r="28" spans="2:25" ht="20.100000000000001" customHeight="1" x14ac:dyDescent="0.25">
      <c r="B28" s="31" t="s">
        <v>247</v>
      </c>
      <c r="C28" s="314" t="s">
        <v>874</v>
      </c>
      <c r="D28" s="318" t="s">
        <v>877</v>
      </c>
      <c r="E28" s="30"/>
      <c r="F28" s="30"/>
      <c r="G28" s="30"/>
      <c r="H28" s="30"/>
      <c r="I28" s="30"/>
      <c r="J28" s="30"/>
      <c r="K28" s="30"/>
      <c r="L28" s="30"/>
      <c r="M28" s="30"/>
      <c r="N28" s="315"/>
      <c r="O28" s="315"/>
      <c r="P28" s="315"/>
      <c r="Q28" s="315"/>
      <c r="R28" s="315"/>
      <c r="S28" s="315"/>
      <c r="T28" s="315"/>
      <c r="U28" s="315"/>
      <c r="V28" s="315"/>
      <c r="W28" s="315"/>
      <c r="X28" s="317" t="s">
        <v>130</v>
      </c>
      <c r="Y28" s="316">
        <f>+S18</f>
        <v>1.2</v>
      </c>
    </row>
    <row r="29" spans="2:25" ht="20.100000000000001" customHeight="1" x14ac:dyDescent="0.25">
      <c r="B29" s="31" t="s">
        <v>247</v>
      </c>
      <c r="C29" s="314" t="s">
        <v>875</v>
      </c>
      <c r="D29" s="318" t="s">
        <v>876</v>
      </c>
      <c r="E29" s="30"/>
      <c r="F29" s="30"/>
      <c r="G29" s="30"/>
      <c r="H29" s="30"/>
      <c r="I29" s="30"/>
      <c r="J29" s="30"/>
      <c r="K29" s="30"/>
      <c r="L29" s="30"/>
      <c r="M29" s="30"/>
      <c r="N29" s="315"/>
      <c r="O29" s="315"/>
      <c r="P29" s="315"/>
      <c r="Q29" s="315"/>
      <c r="R29" s="315"/>
      <c r="S29" s="315"/>
      <c r="T29" s="315"/>
      <c r="U29" s="315"/>
      <c r="V29" s="315"/>
      <c r="W29" s="315"/>
      <c r="X29" s="317" t="s">
        <v>130</v>
      </c>
      <c r="Y29" s="316">
        <f>T18</f>
        <v>11.4</v>
      </c>
    </row>
    <row r="30" spans="2:25" ht="20.100000000000001" customHeight="1" x14ac:dyDescent="0.25">
      <c r="B30" s="31" t="s">
        <v>247</v>
      </c>
      <c r="C30" s="314" t="s">
        <v>879</v>
      </c>
      <c r="D30" s="318" t="s">
        <v>878</v>
      </c>
      <c r="E30" s="30"/>
      <c r="F30" s="30"/>
      <c r="G30" s="30"/>
      <c r="H30" s="30"/>
      <c r="I30" s="30"/>
      <c r="J30" s="30"/>
      <c r="K30" s="30"/>
      <c r="L30" s="30"/>
      <c r="M30" s="30"/>
      <c r="N30" s="315"/>
      <c r="O30" s="315"/>
      <c r="P30" s="315"/>
      <c r="Q30" s="315"/>
      <c r="R30" s="315"/>
      <c r="S30" s="315"/>
      <c r="T30" s="315"/>
      <c r="U30" s="315"/>
      <c r="V30" s="315"/>
      <c r="W30" s="315"/>
      <c r="X30" s="317" t="s">
        <v>130</v>
      </c>
      <c r="Y30" s="316">
        <f>U18</f>
        <v>6</v>
      </c>
    </row>
    <row r="31" spans="2:25" ht="20.100000000000001" customHeight="1" x14ac:dyDescent="0.25">
      <c r="B31" s="31" t="s">
        <v>247</v>
      </c>
      <c r="C31" s="314" t="s">
        <v>882</v>
      </c>
      <c r="D31" s="318" t="s">
        <v>881</v>
      </c>
      <c r="E31" s="315"/>
      <c r="F31" s="30"/>
      <c r="G31" s="30"/>
      <c r="H31" s="30"/>
      <c r="I31" s="315"/>
      <c r="J31" s="30"/>
      <c r="K31" s="30"/>
      <c r="L31" s="30"/>
      <c r="M31" s="30"/>
      <c r="N31" s="315"/>
      <c r="O31" s="315"/>
      <c r="P31" s="315"/>
      <c r="Q31" s="315"/>
      <c r="R31" s="315"/>
      <c r="S31" s="315"/>
      <c r="T31" s="315"/>
      <c r="U31" s="315"/>
      <c r="V31" s="315"/>
      <c r="W31" s="315"/>
      <c r="X31" s="317" t="s">
        <v>293</v>
      </c>
      <c r="Y31" s="316">
        <f>V18</f>
        <v>15</v>
      </c>
    </row>
    <row r="32" spans="2:25" ht="20.100000000000001" customHeight="1" x14ac:dyDescent="0.25">
      <c r="B32" s="31" t="s">
        <v>247</v>
      </c>
      <c r="C32" s="314" t="s">
        <v>885</v>
      </c>
      <c r="D32" s="316" t="s">
        <v>884</v>
      </c>
      <c r="E32" s="30"/>
      <c r="F32" s="30"/>
      <c r="G32" s="30"/>
      <c r="H32" s="30"/>
      <c r="I32" s="30"/>
      <c r="J32" s="30"/>
      <c r="K32" s="30"/>
      <c r="L32" s="30"/>
      <c r="M32" s="30"/>
      <c r="N32" s="315"/>
      <c r="O32" s="315"/>
      <c r="P32" s="315"/>
      <c r="Q32" s="315"/>
      <c r="R32" s="315"/>
      <c r="S32" s="315"/>
      <c r="T32" s="315"/>
      <c r="U32" s="315"/>
      <c r="V32" s="315"/>
      <c r="W32" s="315"/>
      <c r="X32" s="317" t="s">
        <v>293</v>
      </c>
      <c r="Y32" s="316">
        <f>W18</f>
        <v>16</v>
      </c>
    </row>
    <row r="33" spans="2:25" ht="20.100000000000001" customHeight="1" x14ac:dyDescent="0.25">
      <c r="B33" s="31" t="s">
        <v>218</v>
      </c>
      <c r="C33" s="139" t="s">
        <v>278</v>
      </c>
      <c r="D33" s="30" t="s">
        <v>279</v>
      </c>
      <c r="E33" s="30"/>
      <c r="F33" s="30"/>
      <c r="G33" s="30"/>
      <c r="H33" s="30"/>
      <c r="I33" s="30"/>
      <c r="J33" s="30"/>
      <c r="K33" s="30"/>
      <c r="L33" s="30"/>
      <c r="M33" s="30"/>
      <c r="N33" s="315"/>
      <c r="O33" s="315"/>
      <c r="P33" s="315"/>
      <c r="Q33" s="315"/>
      <c r="R33" s="315"/>
      <c r="S33" s="315"/>
      <c r="T33" s="315"/>
      <c r="U33" s="315"/>
      <c r="V33" s="315"/>
      <c r="W33" s="315"/>
      <c r="X33" s="317" t="s">
        <v>219</v>
      </c>
      <c r="Y33" s="316">
        <f>+X18</f>
        <v>27.124388322716431</v>
      </c>
    </row>
    <row r="34" spans="2:25" x14ac:dyDescent="0.25">
      <c r="Y34" s="90"/>
    </row>
    <row r="35" spans="2:25" x14ac:dyDescent="0.25">
      <c r="Y35" s="90"/>
    </row>
  </sheetData>
  <mergeCells count="36">
    <mergeCell ref="C4:W4"/>
    <mergeCell ref="B1:Z2"/>
    <mergeCell ref="B9:C11"/>
    <mergeCell ref="D9:D11"/>
    <mergeCell ref="E9:G9"/>
    <mergeCell ref="H9:H11"/>
    <mergeCell ref="L9:L10"/>
    <mergeCell ref="M9:M10"/>
    <mergeCell ref="Q9:Q10"/>
    <mergeCell ref="R9:R10"/>
    <mergeCell ref="I9:K9"/>
    <mergeCell ref="I10:I11"/>
    <mergeCell ref="J10:J11"/>
    <mergeCell ref="K10:K11"/>
    <mergeCell ref="N9:N10"/>
    <mergeCell ref="X9:X10"/>
    <mergeCell ref="Y9:Y10"/>
    <mergeCell ref="E10:E11"/>
    <mergeCell ref="F10:F11"/>
    <mergeCell ref="G10:G11"/>
    <mergeCell ref="S9:S10"/>
    <mergeCell ref="W9:W10"/>
    <mergeCell ref="U9:U10"/>
    <mergeCell ref="V9:V10"/>
    <mergeCell ref="T9:T10"/>
    <mergeCell ref="P9:P10"/>
    <mergeCell ref="O9:O10"/>
    <mergeCell ref="B20:R20"/>
    <mergeCell ref="B12:C12"/>
    <mergeCell ref="B13:C13"/>
    <mergeCell ref="B14:C14"/>
    <mergeCell ref="B15:C15"/>
    <mergeCell ref="B17:C17"/>
    <mergeCell ref="B18:H18"/>
    <mergeCell ref="B19:C19"/>
    <mergeCell ref="B16:C16"/>
  </mergeCells>
  <printOptions horizontalCentered="1"/>
  <pageMargins left="0.51181102362204722" right="0.51181102362204722" top="0.78740157480314965" bottom="0.78740157480314965" header="0.31496062992125984" footer="0.31496062992125984"/>
  <pageSetup paperSize="9" scale="65" orientation="landscape" r:id="rId1"/>
  <headerFooter>
    <oddHeader>&amp;L&amp;G</oddHeader>
    <oddFooter>&amp;L&amp;"Arial Narrow,Normal"&amp;10&amp;A
&amp;F&amp;R&amp;"Arial Narrow,Normal"&amp;10&amp;P de &amp;N</oddFooter>
  </headerFooter>
  <colBreaks count="1" manualBreakCount="1">
    <brk id="27" max="1048575" man="1"/>
  </colBreaks>
  <legacyDrawing r:id="rId2"/>
  <legacyDrawingHF r:id="rId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0D269-5AC1-4CC5-80BA-D81DA3487814}">
  <dimension ref="B1:O38"/>
  <sheetViews>
    <sheetView showGridLines="0" showZeros="0" view="pageBreakPreview" zoomScaleNormal="100" zoomScaleSheetLayoutView="100" workbookViewId="0">
      <selection activeCell="Q14" sqref="Q14:Q15"/>
    </sheetView>
  </sheetViews>
  <sheetFormatPr defaultColWidth="9.140625" defaultRowHeight="13.5" x14ac:dyDescent="0.25"/>
  <cols>
    <col min="1" max="1" width="1.7109375" style="89" customWidth="1"/>
    <col min="2" max="2" width="9.140625" style="89" customWidth="1"/>
    <col min="3" max="3" width="20.5703125" style="89" customWidth="1"/>
    <col min="4" max="8" width="18.7109375" style="89" customWidth="1"/>
    <col min="9" max="9" width="18.7109375" style="91" customWidth="1"/>
    <col min="10" max="10" width="1.7109375" style="89" customWidth="1"/>
    <col min="11" max="11" width="9.140625" style="89" customWidth="1"/>
    <col min="12" max="16384" width="9.140625" style="89"/>
  </cols>
  <sheetData>
    <row r="1" spans="2:15" s="69" customFormat="1" ht="20.100000000000001" customHeight="1" x14ac:dyDescent="0.25">
      <c r="B1" s="569" t="s">
        <v>133</v>
      </c>
      <c r="C1" s="569"/>
      <c r="D1" s="569"/>
      <c r="E1" s="569"/>
      <c r="F1" s="569"/>
      <c r="G1" s="569"/>
      <c r="H1" s="569"/>
      <c r="I1" s="569"/>
      <c r="J1" s="569"/>
    </row>
    <row r="2" spans="2:15" s="69" customFormat="1" ht="20.100000000000001" customHeight="1" x14ac:dyDescent="0.25">
      <c r="B2" s="569"/>
      <c r="C2" s="569"/>
      <c r="D2" s="569"/>
      <c r="E2" s="569"/>
      <c r="F2" s="569"/>
      <c r="G2" s="569"/>
      <c r="H2" s="569"/>
      <c r="I2" s="569"/>
      <c r="J2" s="569"/>
    </row>
    <row r="3" spans="2:15" s="69" customFormat="1" ht="20.100000000000001" customHeight="1" x14ac:dyDescent="0.25"/>
    <row r="4" spans="2:15"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3" t="s">
        <v>96</v>
      </c>
      <c r="I4" s="4" t="str">
        <f>+'DADOS DA OBRA'!$N$22</f>
        <v>04/11/2024</v>
      </c>
      <c r="L4" s="32"/>
      <c r="M4" s="32"/>
      <c r="N4" s="33"/>
      <c r="O4" s="33"/>
    </row>
    <row r="5" spans="2:15" s="5" customFormat="1" ht="20.100000000000001" customHeight="1" x14ac:dyDescent="0.25">
      <c r="B5" s="1" t="s">
        <v>18</v>
      </c>
      <c r="C5" s="2" t="str">
        <f>+""&amp;'DADOS DA OBRA'!$B$16&amp;", "&amp;'DADOS DA OBRA'!$B$19&amp;", "&amp;'DADOS DA OBRA'!$J$19&amp;", "&amp;'DADOS DA OBRA'!$P$19</f>
        <v>RUAS DIVERSAS, DIVERSOS, MATRINCHÃ, GO</v>
      </c>
      <c r="H5" s="3" t="s">
        <v>17</v>
      </c>
      <c r="I5" s="4" t="str">
        <f>'DADOS DA OBRA'!$N$25</f>
        <v>00</v>
      </c>
    </row>
    <row r="6" spans="2:15" s="5" customFormat="1" ht="20.100000000000001" customHeight="1" x14ac:dyDescent="0.25"/>
    <row r="7" spans="2:15" s="5" customFormat="1" ht="20.100000000000001" customHeight="1" x14ac:dyDescent="0.25">
      <c r="B7" s="1" t="s">
        <v>97</v>
      </c>
      <c r="C7" s="39" t="s">
        <v>714</v>
      </c>
      <c r="H7" s="3" t="s">
        <v>18</v>
      </c>
      <c r="I7" s="64" t="s">
        <v>483</v>
      </c>
    </row>
    <row r="8" spans="2:15" s="67" customFormat="1" ht="20.100000000000001" customHeight="1" thickBot="1" x14ac:dyDescent="0.3">
      <c r="B8" s="52"/>
      <c r="C8" s="53"/>
      <c r="D8" s="9"/>
      <c r="E8" s="9"/>
      <c r="F8" s="9"/>
      <c r="G8" s="9"/>
      <c r="H8" s="10"/>
    </row>
    <row r="9" spans="2:15" s="88" customFormat="1" ht="20.100000000000001" customHeight="1" x14ac:dyDescent="0.25">
      <c r="B9" s="871" t="s">
        <v>715</v>
      </c>
      <c r="C9" s="872"/>
      <c r="D9" s="927" t="s">
        <v>716</v>
      </c>
      <c r="E9" s="868" t="s">
        <v>717</v>
      </c>
      <c r="F9" s="868" t="s">
        <v>720</v>
      </c>
      <c r="G9" s="868"/>
      <c r="H9" s="868" t="s">
        <v>720</v>
      </c>
      <c r="I9" s="879"/>
    </row>
    <row r="10" spans="2:15" s="88" customFormat="1" ht="28.5" customHeight="1" thickBot="1" x14ac:dyDescent="0.3">
      <c r="B10" s="875"/>
      <c r="C10" s="876"/>
      <c r="D10" s="929"/>
      <c r="E10" s="933"/>
      <c r="F10" s="192" t="s">
        <v>718</v>
      </c>
      <c r="G10" s="192" t="s">
        <v>719</v>
      </c>
      <c r="H10" s="192" t="s">
        <v>718</v>
      </c>
      <c r="I10" s="300" t="s">
        <v>719</v>
      </c>
    </row>
    <row r="11" spans="2:15" s="88" customFormat="1" ht="18" customHeight="1" x14ac:dyDescent="0.25">
      <c r="B11" s="802" t="s">
        <v>722</v>
      </c>
      <c r="C11" s="803"/>
      <c r="D11" s="94">
        <v>50</v>
      </c>
      <c r="E11" s="95">
        <v>4</v>
      </c>
      <c r="F11" s="301">
        <v>8.9700000000000002E-2</v>
      </c>
      <c r="G11" s="301">
        <v>3.4200000000000001E-2</v>
      </c>
      <c r="H11" s="95">
        <f t="shared" ref="H11:H15" si="0">+E11*F11</f>
        <v>0.35880000000000001</v>
      </c>
      <c r="I11" s="102">
        <f t="shared" ref="I11:I15" si="1">E11*G11</f>
        <v>0.1368</v>
      </c>
    </row>
    <row r="12" spans="2:15" s="88" customFormat="1" ht="18" customHeight="1" x14ac:dyDescent="0.25">
      <c r="B12" s="802" t="s">
        <v>721</v>
      </c>
      <c r="C12" s="803"/>
      <c r="D12" s="94">
        <v>50</v>
      </c>
      <c r="E12" s="95">
        <v>14</v>
      </c>
      <c r="F12" s="301">
        <v>0.13830000000000001</v>
      </c>
      <c r="G12" s="301">
        <v>6.7100000000000007E-2</v>
      </c>
      <c r="H12" s="95">
        <f t="shared" si="0"/>
        <v>1.9362000000000001</v>
      </c>
      <c r="I12" s="102">
        <f t="shared" si="1"/>
        <v>0.93940000000000012</v>
      </c>
    </row>
    <row r="13" spans="2:15" s="88" customFormat="1" ht="18" customHeight="1" x14ac:dyDescent="0.25">
      <c r="B13" s="802" t="s">
        <v>723</v>
      </c>
      <c r="C13" s="803"/>
      <c r="D13" s="94">
        <v>50</v>
      </c>
      <c r="E13" s="95">
        <v>19</v>
      </c>
      <c r="F13" s="301">
        <v>0.19719999999999999</v>
      </c>
      <c r="G13" s="301">
        <v>0.124</v>
      </c>
      <c r="H13" s="95">
        <f t="shared" si="0"/>
        <v>3.7467999999999999</v>
      </c>
      <c r="I13" s="102">
        <f t="shared" si="1"/>
        <v>2.3559999999999999</v>
      </c>
    </row>
    <row r="14" spans="2:15" s="88" customFormat="1" ht="18" customHeight="1" x14ac:dyDescent="0.25">
      <c r="B14" s="802" t="s">
        <v>723</v>
      </c>
      <c r="C14" s="803"/>
      <c r="D14" s="94">
        <v>100</v>
      </c>
      <c r="E14" s="95">
        <v>1</v>
      </c>
      <c r="F14" s="301">
        <v>0.52229999999999999</v>
      </c>
      <c r="G14" s="301">
        <v>0.49580000000000002</v>
      </c>
      <c r="H14" s="95">
        <f t="shared" si="0"/>
        <v>0.52229999999999999</v>
      </c>
      <c r="I14" s="102">
        <f t="shared" si="1"/>
        <v>0.49580000000000002</v>
      </c>
    </row>
    <row r="15" spans="2:15" s="88" customFormat="1" ht="18" customHeight="1" x14ac:dyDescent="0.25">
      <c r="B15" s="802" t="s">
        <v>723</v>
      </c>
      <c r="C15" s="803"/>
      <c r="D15" s="94">
        <v>150</v>
      </c>
      <c r="E15" s="95">
        <v>4</v>
      </c>
      <c r="F15" s="301">
        <v>0.86960000000000004</v>
      </c>
      <c r="G15" s="301">
        <v>1.1155999999999999</v>
      </c>
      <c r="H15" s="95">
        <f t="shared" si="0"/>
        <v>3.4784000000000002</v>
      </c>
      <c r="I15" s="102">
        <f t="shared" si="1"/>
        <v>4.4623999999999997</v>
      </c>
    </row>
    <row r="16" spans="2:15" s="88" customFormat="1" ht="18" customHeight="1" x14ac:dyDescent="0.25">
      <c r="B16" s="802" t="s">
        <v>724</v>
      </c>
      <c r="C16" s="803"/>
      <c r="D16" s="94">
        <v>50</v>
      </c>
      <c r="E16" s="95">
        <v>41</v>
      </c>
      <c r="F16" s="301">
        <v>0.83</v>
      </c>
      <c r="G16" s="301">
        <v>8.77E-2</v>
      </c>
      <c r="H16" s="95">
        <f t="shared" ref="H16:H19" si="2">+E16*F16</f>
        <v>34.03</v>
      </c>
      <c r="I16" s="102">
        <f t="shared" ref="I16:I19" si="3">E16*G16</f>
        <v>3.5956999999999999</v>
      </c>
    </row>
    <row r="17" spans="2:9" s="88" customFormat="1" ht="18" customHeight="1" x14ac:dyDescent="0.25">
      <c r="B17" s="802" t="s">
        <v>724</v>
      </c>
      <c r="C17" s="803"/>
      <c r="D17" s="94">
        <v>75</v>
      </c>
      <c r="E17" s="95">
        <v>10</v>
      </c>
      <c r="F17" s="301">
        <v>1.43</v>
      </c>
      <c r="G17" s="301">
        <v>0.19719999999999999</v>
      </c>
      <c r="H17" s="95">
        <f t="shared" si="2"/>
        <v>14.299999999999999</v>
      </c>
      <c r="I17" s="102">
        <f t="shared" si="3"/>
        <v>1.972</v>
      </c>
    </row>
    <row r="18" spans="2:9" s="88" customFormat="1" ht="18" customHeight="1" x14ac:dyDescent="0.25">
      <c r="B18" s="802" t="s">
        <v>724</v>
      </c>
      <c r="C18" s="803"/>
      <c r="D18" s="94">
        <v>100</v>
      </c>
      <c r="E18" s="95">
        <v>12</v>
      </c>
      <c r="F18" s="301">
        <v>2.2000000000000002</v>
      </c>
      <c r="G18" s="301">
        <v>0.35060000000000002</v>
      </c>
      <c r="H18" s="95">
        <f t="shared" ref="H18" si="4">+E18*F18</f>
        <v>26.400000000000002</v>
      </c>
      <c r="I18" s="102">
        <f t="shared" ref="I18" si="5">E18*G18</f>
        <v>4.2072000000000003</v>
      </c>
    </row>
    <row r="19" spans="2:9" s="88" customFormat="1" ht="18" customHeight="1" thickBot="1" x14ac:dyDescent="0.3">
      <c r="B19" s="802"/>
      <c r="C19" s="803"/>
      <c r="D19" s="94"/>
      <c r="E19" s="95"/>
      <c r="F19" s="95"/>
      <c r="G19" s="95"/>
      <c r="H19" s="95">
        <f t="shared" si="2"/>
        <v>0</v>
      </c>
      <c r="I19" s="102">
        <f t="shared" si="3"/>
        <v>0</v>
      </c>
    </row>
    <row r="20" spans="2:9" s="88" customFormat="1" ht="30" customHeight="1" thickBot="1" x14ac:dyDescent="0.3">
      <c r="B20" s="794" t="s">
        <v>146</v>
      </c>
      <c r="C20" s="795"/>
      <c r="D20" s="795"/>
      <c r="E20" s="796"/>
      <c r="F20" s="105"/>
      <c r="G20" s="105"/>
      <c r="H20" s="105">
        <f>SUM(H11:H19)</f>
        <v>84.772500000000008</v>
      </c>
      <c r="I20" s="291">
        <f>SUM(I11:I19)</f>
        <v>18.165300000000002</v>
      </c>
    </row>
    <row r="21" spans="2:9" s="88" customFormat="1" ht="30" customHeight="1" x14ac:dyDescent="0.25">
      <c r="B21" s="793"/>
      <c r="C21" s="793"/>
      <c r="D21" s="9"/>
      <c r="E21" s="9"/>
      <c r="F21" s="9"/>
      <c r="G21" s="9"/>
      <c r="H21" s="9"/>
    </row>
    <row r="22" spans="2:9" ht="20.100000000000001" customHeight="1" x14ac:dyDescent="0.25">
      <c r="B22" s="746" t="s">
        <v>255</v>
      </c>
      <c r="C22" s="746"/>
      <c r="D22" s="746"/>
      <c r="E22" s="746"/>
      <c r="F22" s="746"/>
      <c r="G22" s="746"/>
      <c r="I22" s="90"/>
    </row>
    <row r="23" spans="2:9" s="31" customFormat="1" ht="20.100000000000001" customHeight="1" x14ac:dyDescent="0.25">
      <c r="B23" s="31" t="s">
        <v>218</v>
      </c>
      <c r="C23" s="200" t="s">
        <v>253</v>
      </c>
      <c r="D23" s="31" t="s">
        <v>254</v>
      </c>
      <c r="H23" s="194" t="s">
        <v>222</v>
      </c>
      <c r="I23" s="195">
        <f>+H20</f>
        <v>84.772500000000008</v>
      </c>
    </row>
    <row r="24" spans="2:9" s="31" customFormat="1" ht="20.100000000000001" customHeight="1" x14ac:dyDescent="0.25">
      <c r="B24" s="31" t="s">
        <v>218</v>
      </c>
      <c r="C24" s="200" t="s">
        <v>267</v>
      </c>
      <c r="D24" s="31" t="s">
        <v>268</v>
      </c>
      <c r="H24" s="194" t="s">
        <v>219</v>
      </c>
      <c r="I24" s="195">
        <f>+I20</f>
        <v>18.165300000000002</v>
      </c>
    </row>
    <row r="25" spans="2:9" s="31" customFormat="1" ht="20.100000000000001" customHeight="1" x14ac:dyDescent="0.25">
      <c r="B25" s="31" t="s">
        <v>218</v>
      </c>
      <c r="C25" s="194" t="s">
        <v>276</v>
      </c>
      <c r="D25" s="31" t="s">
        <v>277</v>
      </c>
      <c r="H25" s="194" t="s">
        <v>219</v>
      </c>
      <c r="I25" s="195">
        <f>+I24</f>
        <v>18.165300000000002</v>
      </c>
    </row>
    <row r="26" spans="2:9" s="31" customFormat="1" ht="20.100000000000001" customHeight="1" x14ac:dyDescent="0.25">
      <c r="C26" s="200"/>
      <c r="H26" s="194"/>
      <c r="I26" s="195"/>
    </row>
    <row r="27" spans="2:9" x14ac:dyDescent="0.25">
      <c r="I27" s="90"/>
    </row>
    <row r="28" spans="2:9" x14ac:dyDescent="0.25">
      <c r="I28" s="90"/>
    </row>
    <row r="29" spans="2:9" x14ac:dyDescent="0.25">
      <c r="I29" s="90"/>
    </row>
    <row r="30" spans="2:9" x14ac:dyDescent="0.25">
      <c r="I30" s="90"/>
    </row>
    <row r="31" spans="2:9" x14ac:dyDescent="0.25">
      <c r="I31" s="90"/>
    </row>
    <row r="32" spans="2:9" x14ac:dyDescent="0.25">
      <c r="I32" s="90"/>
    </row>
    <row r="33" spans="9:9" x14ac:dyDescent="0.25">
      <c r="I33" s="90"/>
    </row>
    <row r="34" spans="9:9" x14ac:dyDescent="0.25">
      <c r="I34" s="90"/>
    </row>
    <row r="35" spans="9:9" x14ac:dyDescent="0.25">
      <c r="I35" s="90"/>
    </row>
    <row r="36" spans="9:9" x14ac:dyDescent="0.25">
      <c r="I36" s="90"/>
    </row>
    <row r="37" spans="9:9" x14ac:dyDescent="0.25">
      <c r="I37" s="90"/>
    </row>
    <row r="38" spans="9:9" x14ac:dyDescent="0.25">
      <c r="I38" s="90"/>
    </row>
  </sheetData>
  <mergeCells count="19">
    <mergeCell ref="B20:E20"/>
    <mergeCell ref="B21:C21"/>
    <mergeCell ref="B22:G22"/>
    <mergeCell ref="E9:E10"/>
    <mergeCell ref="F9:G9"/>
    <mergeCell ref="B17:C17"/>
    <mergeCell ref="B18:C18"/>
    <mergeCell ref="B19:C19"/>
    <mergeCell ref="B13:C13"/>
    <mergeCell ref="B14:C14"/>
    <mergeCell ref="B15:C15"/>
    <mergeCell ref="B1:J2"/>
    <mergeCell ref="B9:C10"/>
    <mergeCell ref="D9:D10"/>
    <mergeCell ref="H9:I9"/>
    <mergeCell ref="B16:C16"/>
    <mergeCell ref="B11:C11"/>
    <mergeCell ref="B12:C12"/>
    <mergeCell ref="C4:G4"/>
  </mergeCells>
  <printOptions horizontalCentered="1"/>
  <pageMargins left="0.51181102362204722" right="0.51181102362204722" top="0.78740157480314965" bottom="0.78740157480314965" header="0.31496062992125984" footer="0.39370078740157483"/>
  <pageSetup paperSize="9" scale="90" orientation="landscape" r:id="rId1"/>
  <headerFooter>
    <oddHeader>&amp;L&amp;G</oddHeader>
    <oddFooter>&amp;L&amp;"Arial Narrow,Normal"&amp;10&amp;A
&amp;F&amp;R&amp;"Arial Narrow,Normal"&amp;10&amp;P de &amp;N</oddFooter>
  </headerFooter>
  <colBreaks count="1" manualBreakCount="1">
    <brk id="11" max="1048575" man="1"/>
  </colBreaks>
  <legacyDrawingHF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C3A24-29E8-4E8F-85FB-E9CC47AB3F96}">
  <dimension ref="A1:AJ26"/>
  <sheetViews>
    <sheetView showGridLines="0" view="pageBreakPreview" zoomScaleNormal="70" zoomScaleSheetLayoutView="100" workbookViewId="0">
      <selection activeCell="Q14" sqref="Q14:Q15"/>
    </sheetView>
  </sheetViews>
  <sheetFormatPr defaultRowHeight="12.75" x14ac:dyDescent="0.25"/>
  <cols>
    <col min="1" max="1" width="1.7109375" style="30" customWidth="1"/>
    <col min="2" max="2" width="9.140625" style="30" customWidth="1"/>
    <col min="3" max="3" width="8.140625" style="30" customWidth="1"/>
    <col min="4" max="9" width="3.7109375" style="30" customWidth="1"/>
    <col min="10" max="10" width="5.28515625" style="30" customWidth="1"/>
    <col min="11" max="12" width="3.7109375" style="30" customWidth="1"/>
    <col min="13" max="13" width="16" style="31" customWidth="1"/>
    <col min="14" max="15" width="10.7109375" style="30" customWidth="1"/>
    <col min="16" max="16" width="10.85546875" style="30" customWidth="1"/>
    <col min="17" max="23" width="10.7109375" style="30" customWidth="1"/>
    <col min="24" max="24" width="3.5703125" style="159" customWidth="1"/>
    <col min="25" max="25" width="1.7109375" style="30" customWidth="1"/>
    <col min="26" max="16384" width="9.140625" style="30"/>
  </cols>
  <sheetData>
    <row r="1" spans="1:29" s="11" customFormat="1" ht="20.100000000000001" customHeight="1" x14ac:dyDescent="0.25">
      <c r="A1" s="69"/>
      <c r="B1" s="569" t="s">
        <v>133</v>
      </c>
      <c r="C1" s="569"/>
      <c r="D1" s="569"/>
      <c r="E1" s="569"/>
      <c r="F1" s="569"/>
      <c r="G1" s="569"/>
      <c r="H1" s="569"/>
      <c r="I1" s="569"/>
      <c r="J1" s="569"/>
      <c r="K1" s="569"/>
      <c r="L1" s="569"/>
      <c r="M1" s="569"/>
      <c r="N1" s="569"/>
      <c r="O1" s="569"/>
      <c r="P1" s="569"/>
      <c r="Q1" s="569"/>
      <c r="R1" s="569"/>
      <c r="S1" s="569"/>
      <c r="T1" s="569"/>
      <c r="U1" s="569"/>
      <c r="V1" s="569"/>
      <c r="W1" s="569"/>
      <c r="X1" s="569"/>
      <c r="Y1" s="69"/>
      <c r="Z1" s="69"/>
      <c r="AA1" s="69"/>
      <c r="AB1" s="69"/>
      <c r="AC1" s="69"/>
    </row>
    <row r="2" spans="1:29" s="11" customFormat="1" ht="20.100000000000001" customHeight="1" x14ac:dyDescent="0.25">
      <c r="A2" s="69"/>
      <c r="B2" s="569"/>
      <c r="C2" s="569"/>
      <c r="D2" s="569"/>
      <c r="E2" s="569"/>
      <c r="F2" s="569"/>
      <c r="G2" s="569"/>
      <c r="H2" s="569"/>
      <c r="I2" s="569"/>
      <c r="J2" s="569"/>
      <c r="K2" s="569"/>
      <c r="L2" s="569"/>
      <c r="M2" s="569"/>
      <c r="N2" s="569"/>
      <c r="O2" s="569"/>
      <c r="P2" s="569"/>
      <c r="Q2" s="569"/>
      <c r="R2" s="569"/>
      <c r="S2" s="569"/>
      <c r="T2" s="569"/>
      <c r="U2" s="569"/>
      <c r="V2" s="569"/>
      <c r="W2" s="569"/>
      <c r="X2" s="569"/>
      <c r="Y2" s="69"/>
      <c r="Z2" s="69"/>
      <c r="AA2" s="69"/>
      <c r="AB2" s="69"/>
      <c r="AC2" s="69"/>
    </row>
    <row r="3" spans="1:29" s="11" customFormat="1" ht="20.100000000000001" customHeight="1" x14ac:dyDescent="0.25">
      <c r="A3" s="69"/>
      <c r="B3" s="69"/>
      <c r="C3" s="69"/>
      <c r="D3" s="69"/>
      <c r="E3" s="69"/>
      <c r="F3" s="69"/>
      <c r="G3" s="69"/>
      <c r="H3" s="69"/>
      <c r="I3" s="69"/>
      <c r="J3" s="69"/>
      <c r="K3" s="69"/>
      <c r="L3" s="69"/>
      <c r="M3" s="69"/>
      <c r="N3" s="69"/>
      <c r="O3" s="69"/>
      <c r="P3" s="69"/>
      <c r="Q3" s="69"/>
      <c r="R3" s="69"/>
      <c r="S3" s="69"/>
      <c r="T3" s="69"/>
      <c r="U3" s="69"/>
      <c r="V3" s="69"/>
      <c r="W3" s="69"/>
      <c r="X3" s="181"/>
      <c r="Y3" s="69"/>
      <c r="Z3" s="69"/>
      <c r="AA3" s="69"/>
      <c r="AB3" s="69"/>
      <c r="AC3" s="69"/>
    </row>
    <row r="4" spans="1:29"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674"/>
      <c r="P4" s="674"/>
      <c r="Q4" s="674"/>
      <c r="R4" s="674"/>
      <c r="S4" s="674"/>
      <c r="T4" s="674"/>
      <c r="U4" s="674"/>
      <c r="V4" s="3" t="s">
        <v>96</v>
      </c>
      <c r="W4" s="4" t="str">
        <f>+'DADOS DA OBRA'!$N$22</f>
        <v>04/11/2024</v>
      </c>
      <c r="X4" s="50"/>
      <c r="Z4" s="32"/>
      <c r="AA4" s="32"/>
      <c r="AB4" s="33"/>
      <c r="AC4" s="33"/>
    </row>
    <row r="5" spans="1:29" s="5" customFormat="1" ht="20.100000000000001" customHeight="1" x14ac:dyDescent="0.25">
      <c r="B5" s="1" t="s">
        <v>18</v>
      </c>
      <c r="C5" s="2" t="str">
        <f>+""&amp;'DADOS DA OBRA'!$B$16&amp;", "&amp;'DADOS DA OBRA'!$B$19&amp;", "&amp;'DADOS DA OBRA'!$J$19&amp;", "&amp;'DADOS DA OBRA'!$P$19</f>
        <v>RUAS DIVERSAS, DIVERSOS, MATRINCHÃ, GO</v>
      </c>
      <c r="D5" s="1"/>
      <c r="E5" s="1"/>
      <c r="F5" s="1"/>
      <c r="G5" s="1"/>
      <c r="H5" s="1"/>
      <c r="I5" s="1"/>
      <c r="V5" s="3" t="s">
        <v>17</v>
      </c>
      <c r="W5" s="4" t="str">
        <f>'DADOS DA OBRA'!$N$25</f>
        <v>00</v>
      </c>
      <c r="X5" s="50"/>
    </row>
    <row r="6" spans="1:29" s="5" customFormat="1" ht="20.100000000000001" customHeight="1" x14ac:dyDescent="0.25">
      <c r="X6" s="50"/>
    </row>
    <row r="7" spans="1:29" s="5" customFormat="1" ht="20.100000000000001" customHeight="1" x14ac:dyDescent="0.25">
      <c r="B7" s="1" t="s">
        <v>97</v>
      </c>
      <c r="C7" s="39" t="s">
        <v>329</v>
      </c>
      <c r="D7" s="1"/>
      <c r="E7" s="1"/>
      <c r="F7" s="1"/>
      <c r="G7" s="1"/>
      <c r="H7" s="1"/>
      <c r="I7" s="1"/>
      <c r="V7" s="3" t="s">
        <v>18</v>
      </c>
      <c r="W7" s="64" t="s">
        <v>239</v>
      </c>
      <c r="X7" s="50"/>
    </row>
    <row r="8" spans="1:29" s="8" customFormat="1" ht="20.100000000000001" customHeight="1" thickBot="1" x14ac:dyDescent="0.3">
      <c r="A8" s="67"/>
      <c r="B8" s="52"/>
      <c r="C8" s="52"/>
      <c r="D8" s="52"/>
      <c r="E8" s="52"/>
      <c r="F8" s="52"/>
      <c r="G8" s="52"/>
      <c r="H8" s="52"/>
      <c r="I8" s="52"/>
      <c r="J8" s="53"/>
      <c r="K8" s="9"/>
      <c r="L8" s="9"/>
      <c r="M8" s="9"/>
      <c r="N8" s="10"/>
      <c r="O8" s="10"/>
      <c r="P8" s="9"/>
      <c r="Q8" s="67"/>
      <c r="R8" s="67"/>
      <c r="S8" s="67"/>
      <c r="T8" s="67"/>
      <c r="U8" s="67"/>
      <c r="V8" s="67"/>
      <c r="W8" s="67"/>
      <c r="X8" s="164"/>
      <c r="Y8" s="67"/>
      <c r="Z8" s="67"/>
      <c r="AA8" s="67"/>
      <c r="AB8" s="67"/>
      <c r="AC8" s="67"/>
    </row>
    <row r="9" spans="1:29" s="8" customFormat="1" ht="26.25" customHeight="1" x14ac:dyDescent="0.25">
      <c r="A9" s="67"/>
      <c r="B9" s="858"/>
      <c r="C9" s="859"/>
      <c r="D9" s="859"/>
      <c r="E9" s="859"/>
      <c r="F9" s="859"/>
      <c r="G9" s="859"/>
      <c r="H9" s="859"/>
      <c r="I9" s="859"/>
      <c r="J9" s="860"/>
      <c r="K9" s="860"/>
      <c r="L9" s="860"/>
      <c r="M9" s="860"/>
      <c r="N9" s="162" t="s">
        <v>747</v>
      </c>
      <c r="O9" s="162"/>
      <c r="P9" s="162"/>
      <c r="Q9" s="162"/>
      <c r="R9" s="162"/>
      <c r="S9" s="162"/>
      <c r="T9" s="162"/>
      <c r="U9" s="162"/>
      <c r="V9" s="162"/>
      <c r="W9" s="151" t="s">
        <v>203</v>
      </c>
      <c r="X9" s="163"/>
      <c r="Y9" s="67"/>
      <c r="Z9" s="67"/>
      <c r="AA9" s="67"/>
      <c r="AB9" s="67"/>
      <c r="AC9" s="67"/>
    </row>
    <row r="10" spans="1:29" s="8" customFormat="1" ht="20.100000000000001" customHeight="1" x14ac:dyDescent="0.25">
      <c r="A10" s="67"/>
      <c r="B10" s="861" t="s">
        <v>204</v>
      </c>
      <c r="C10" s="862"/>
      <c r="D10" s="862"/>
      <c r="E10" s="862"/>
      <c r="F10" s="862"/>
      <c r="G10" s="862"/>
      <c r="H10" s="862"/>
      <c r="I10" s="862"/>
      <c r="J10" s="863"/>
      <c r="K10" s="863"/>
      <c r="L10" s="863"/>
      <c r="M10" s="863"/>
      <c r="N10" s="152">
        <f>+'REDE ABAST-TUBOS E CONEXÕES'!F87</f>
        <v>4835</v>
      </c>
      <c r="O10" s="152"/>
      <c r="P10" s="152"/>
      <c r="Q10" s="152"/>
      <c r="R10" s="152"/>
      <c r="S10" s="152"/>
      <c r="T10" s="152"/>
      <c r="U10" s="152"/>
      <c r="V10" s="152"/>
      <c r="W10" s="152"/>
      <c r="X10" s="184" t="s">
        <v>41</v>
      </c>
      <c r="Y10" s="67"/>
      <c r="Z10" s="67"/>
      <c r="AA10" s="67"/>
      <c r="AB10" s="67"/>
      <c r="AC10" s="67"/>
    </row>
    <row r="11" spans="1:29" s="7" customFormat="1" ht="20.100000000000001" customHeight="1" x14ac:dyDescent="0.25">
      <c r="B11" s="861" t="s">
        <v>205</v>
      </c>
      <c r="C11" s="862"/>
      <c r="D11" s="862"/>
      <c r="E11" s="862"/>
      <c r="F11" s="862"/>
      <c r="G11" s="862"/>
      <c r="H11" s="862"/>
      <c r="I11" s="862"/>
      <c r="J11" s="863"/>
      <c r="K11" s="863"/>
      <c r="L11" s="863"/>
      <c r="M11" s="863"/>
      <c r="N11" s="152">
        <v>1</v>
      </c>
      <c r="O11" s="152"/>
      <c r="P11" s="152"/>
      <c r="Q11" s="152"/>
      <c r="R11" s="152"/>
      <c r="S11" s="152"/>
      <c r="T11" s="152"/>
      <c r="U11" s="152"/>
      <c r="V11" s="152"/>
      <c r="W11" s="152"/>
      <c r="X11" s="185" t="s">
        <v>41</v>
      </c>
    </row>
    <row r="12" spans="1:29" s="8" customFormat="1" ht="20.100000000000001" customHeight="1" x14ac:dyDescent="0.25">
      <c r="A12" s="67"/>
      <c r="B12" s="861" t="s">
        <v>206</v>
      </c>
      <c r="C12" s="862"/>
      <c r="D12" s="862"/>
      <c r="E12" s="862"/>
      <c r="F12" s="862"/>
      <c r="G12" s="862"/>
      <c r="H12" s="862"/>
      <c r="I12" s="862"/>
      <c r="J12" s="863"/>
      <c r="K12" s="863"/>
      <c r="L12" s="863"/>
      <c r="M12" s="863"/>
      <c r="N12" s="153">
        <f t="shared" ref="N12" si="0">+N10*N11</f>
        <v>4835</v>
      </c>
      <c r="O12" s="153"/>
      <c r="P12" s="153"/>
      <c r="Q12" s="153"/>
      <c r="R12" s="153"/>
      <c r="S12" s="153"/>
      <c r="T12" s="153"/>
      <c r="U12" s="153"/>
      <c r="V12" s="153"/>
      <c r="W12" s="153"/>
      <c r="X12" s="186" t="s">
        <v>19</v>
      </c>
      <c r="Y12" s="67"/>
      <c r="Z12" s="67"/>
      <c r="AA12" s="67"/>
      <c r="AB12" s="67"/>
      <c r="AC12" s="67"/>
    </row>
    <row r="13" spans="1:29" s="8" customFormat="1" ht="20.100000000000001" customHeight="1" x14ac:dyDescent="0.25">
      <c r="A13" s="67"/>
      <c r="B13" s="861" t="s">
        <v>207</v>
      </c>
      <c r="C13" s="862"/>
      <c r="D13" s="862"/>
      <c r="E13" s="862"/>
      <c r="F13" s="862"/>
      <c r="G13" s="862"/>
      <c r="H13" s="862"/>
      <c r="I13" s="862"/>
      <c r="J13" s="863"/>
      <c r="K13" s="863"/>
      <c r="L13" s="863"/>
      <c r="M13" s="863"/>
      <c r="N13" s="152"/>
      <c r="O13" s="152"/>
      <c r="P13" s="152"/>
      <c r="Q13" s="152"/>
      <c r="R13" s="152"/>
      <c r="S13" s="152"/>
      <c r="T13" s="152"/>
      <c r="U13" s="152"/>
      <c r="V13" s="152"/>
      <c r="W13" s="152"/>
      <c r="X13" s="184" t="s">
        <v>19</v>
      </c>
      <c r="Y13" s="67"/>
      <c r="Z13" s="67"/>
      <c r="AA13" s="67"/>
      <c r="AB13" s="67"/>
      <c r="AC13" s="67"/>
    </row>
    <row r="14" spans="1:29" s="8" customFormat="1" ht="20.100000000000001" customHeight="1" x14ac:dyDescent="0.25">
      <c r="A14" s="67"/>
      <c r="B14" s="861" t="s">
        <v>208</v>
      </c>
      <c r="C14" s="862"/>
      <c r="D14" s="862"/>
      <c r="E14" s="862"/>
      <c r="F14" s="862"/>
      <c r="G14" s="862"/>
      <c r="H14" s="862"/>
      <c r="I14" s="862"/>
      <c r="J14" s="863"/>
      <c r="K14" s="863"/>
      <c r="L14" s="863"/>
      <c r="M14" s="863"/>
      <c r="N14" s="153"/>
      <c r="O14" s="153"/>
      <c r="P14" s="153"/>
      <c r="Q14" s="153"/>
      <c r="R14" s="153"/>
      <c r="S14" s="153"/>
      <c r="T14" s="153"/>
      <c r="U14" s="153"/>
      <c r="V14" s="153"/>
      <c r="W14" s="153"/>
      <c r="X14" s="186" t="s">
        <v>19</v>
      </c>
      <c r="Y14" s="67"/>
      <c r="Z14" s="67"/>
      <c r="AA14" s="67"/>
      <c r="AB14" s="67"/>
      <c r="AC14" s="67"/>
    </row>
    <row r="15" spans="1:29" s="8" customFormat="1" ht="20.100000000000001" customHeight="1" thickBot="1" x14ac:dyDescent="0.3">
      <c r="A15" s="67"/>
      <c r="B15" s="864" t="s">
        <v>209</v>
      </c>
      <c r="C15" s="865"/>
      <c r="D15" s="865"/>
      <c r="E15" s="865"/>
      <c r="F15" s="865"/>
      <c r="G15" s="865"/>
      <c r="H15" s="865"/>
      <c r="I15" s="865"/>
      <c r="J15" s="866"/>
      <c r="K15" s="866"/>
      <c r="L15" s="866"/>
      <c r="M15" s="866"/>
      <c r="N15" s="154">
        <f t="shared" ref="N15:O15" si="1">+N12+N13-N14</f>
        <v>4835</v>
      </c>
      <c r="O15" s="154">
        <f t="shared" si="1"/>
        <v>0</v>
      </c>
      <c r="P15" s="154"/>
      <c r="Q15" s="154"/>
      <c r="R15" s="154"/>
      <c r="S15" s="154"/>
      <c r="T15" s="154"/>
      <c r="U15" s="154"/>
      <c r="V15" s="154"/>
      <c r="W15" s="154"/>
      <c r="X15" s="187" t="s">
        <v>19</v>
      </c>
      <c r="Y15" s="67"/>
      <c r="Z15" s="67"/>
      <c r="AA15" s="67"/>
      <c r="AB15" s="67"/>
      <c r="AC15" s="67"/>
    </row>
    <row r="16" spans="1:29" s="8" customFormat="1" ht="24.95" customHeight="1" x14ac:dyDescent="0.25">
      <c r="A16" s="67"/>
      <c r="B16" s="155" t="s">
        <v>210</v>
      </c>
      <c r="C16" s="156"/>
      <c r="D16" s="156"/>
      <c r="E16" s="156"/>
      <c r="F16" s="156"/>
      <c r="G16" s="156"/>
      <c r="H16" s="156"/>
      <c r="I16" s="156"/>
      <c r="J16" s="156"/>
      <c r="K16" s="156"/>
      <c r="L16" s="156"/>
      <c r="M16" s="157"/>
      <c r="N16" s="160"/>
      <c r="O16" s="160"/>
      <c r="P16" s="161"/>
      <c r="Q16" s="188"/>
      <c r="R16" s="188"/>
      <c r="S16" s="188"/>
      <c r="T16" s="188"/>
      <c r="U16" s="188"/>
      <c r="V16" s="188"/>
      <c r="W16" s="188"/>
      <c r="X16" s="189"/>
      <c r="Y16" s="67"/>
      <c r="Z16" s="67"/>
      <c r="AA16" s="67"/>
      <c r="AB16" s="67"/>
      <c r="AC16" s="67"/>
    </row>
    <row r="17" spans="2:36" s="8" customFormat="1" ht="24.95" customHeight="1" x14ac:dyDescent="0.25">
      <c r="B17" s="213" t="s">
        <v>218</v>
      </c>
      <c r="C17" s="212">
        <v>44201</v>
      </c>
      <c r="D17" s="853" t="s">
        <v>749</v>
      </c>
      <c r="E17" s="853"/>
      <c r="F17" s="853"/>
      <c r="G17" s="853"/>
      <c r="H17" s="853"/>
      <c r="I17" s="853"/>
      <c r="J17" s="853"/>
      <c r="K17" s="853"/>
      <c r="L17" s="853"/>
      <c r="M17" s="854"/>
      <c r="N17" s="129">
        <f>+N15</f>
        <v>4835</v>
      </c>
      <c r="O17" s="129"/>
      <c r="P17" s="129"/>
      <c r="Q17" s="129"/>
      <c r="R17" s="129"/>
      <c r="S17" s="129"/>
      <c r="T17" s="129"/>
      <c r="U17" s="129"/>
      <c r="V17" s="129"/>
      <c r="W17" s="135">
        <f>SUM(N17:V17)</f>
        <v>4835</v>
      </c>
      <c r="X17" s="148" t="s">
        <v>222</v>
      </c>
    </row>
    <row r="18" spans="2:36" s="8" customFormat="1" ht="24.95" customHeight="1" x14ac:dyDescent="0.25">
      <c r="B18" s="213" t="s">
        <v>218</v>
      </c>
      <c r="C18" s="212">
        <v>44205</v>
      </c>
      <c r="D18" s="853" t="s">
        <v>750</v>
      </c>
      <c r="E18" s="853"/>
      <c r="F18" s="853"/>
      <c r="G18" s="853"/>
      <c r="H18" s="853"/>
      <c r="I18" s="853"/>
      <c r="J18" s="853"/>
      <c r="K18" s="853"/>
      <c r="L18" s="853"/>
      <c r="M18" s="854"/>
      <c r="N18" s="129">
        <f>+N17*0.05</f>
        <v>241.75</v>
      </c>
      <c r="O18" s="129"/>
      <c r="P18" s="129"/>
      <c r="Q18" s="129"/>
      <c r="R18" s="129"/>
      <c r="S18" s="129"/>
      <c r="T18" s="129"/>
      <c r="U18" s="129"/>
      <c r="V18" s="129"/>
      <c r="W18" s="135">
        <f>SUM(N18:V18)</f>
        <v>241.75</v>
      </c>
      <c r="X18" s="148" t="s">
        <v>219</v>
      </c>
    </row>
    <row r="19" spans="2:36" s="7" customFormat="1" ht="24.95" customHeight="1" thickBot="1" x14ac:dyDescent="0.3">
      <c r="B19" s="855"/>
      <c r="C19" s="856"/>
      <c r="D19" s="856"/>
      <c r="E19" s="856"/>
      <c r="F19" s="856"/>
      <c r="G19" s="856"/>
      <c r="H19" s="856"/>
      <c r="I19" s="856"/>
      <c r="J19" s="856"/>
      <c r="K19" s="856"/>
      <c r="L19" s="856"/>
      <c r="M19" s="857"/>
      <c r="N19" s="149"/>
      <c r="O19" s="149"/>
      <c r="P19" s="149"/>
      <c r="Q19" s="149"/>
      <c r="R19" s="149"/>
      <c r="S19" s="149"/>
      <c r="T19" s="149"/>
      <c r="U19" s="149"/>
      <c r="V19" s="149"/>
      <c r="W19" s="137"/>
      <c r="X19" s="150"/>
    </row>
    <row r="20" spans="2:36" s="88" customFormat="1" ht="30" customHeight="1" x14ac:dyDescent="0.25">
      <c r="B20" s="793"/>
      <c r="C20" s="793"/>
      <c r="D20" s="793"/>
      <c r="E20" s="793"/>
      <c r="F20" s="793"/>
      <c r="G20" s="793"/>
      <c r="H20" s="793"/>
      <c r="I20" s="793"/>
      <c r="J20" s="793"/>
      <c r="K20" s="9"/>
      <c r="L20" s="9"/>
      <c r="M20" s="9"/>
      <c r="N20" s="9"/>
      <c r="O20" s="9"/>
      <c r="P20" s="9"/>
      <c r="Q20" s="9"/>
      <c r="R20" s="9"/>
      <c r="S20" s="9"/>
      <c r="T20" s="9"/>
      <c r="U20" s="9"/>
      <c r="V20" s="9"/>
      <c r="W20" s="9"/>
      <c r="AB20" s="9"/>
      <c r="AC20" s="9"/>
    </row>
    <row r="21" spans="2:36" s="89" customFormat="1" ht="20.100000000000001" customHeight="1" x14ac:dyDescent="0.25">
      <c r="B21" s="746"/>
      <c r="C21" s="746"/>
      <c r="D21" s="746"/>
      <c r="E21" s="746"/>
      <c r="F21" s="746"/>
      <c r="G21" s="746"/>
      <c r="H21" s="746"/>
      <c r="I21" s="746"/>
      <c r="J21" s="746"/>
      <c r="K21" s="746"/>
      <c r="L21" s="746"/>
      <c r="M21" s="746"/>
      <c r="N21" s="746"/>
      <c r="O21" s="746"/>
      <c r="P21" s="746"/>
      <c r="Q21" s="746"/>
      <c r="R21" s="746"/>
      <c r="S21" s="746"/>
      <c r="T21" s="746"/>
      <c r="AD21" s="90"/>
    </row>
    <row r="22" spans="2:36" s="89" customFormat="1" ht="20.100000000000001" customHeight="1" x14ac:dyDescent="0.25">
      <c r="B22" s="31"/>
      <c r="C22" s="31"/>
      <c r="D22" s="31"/>
      <c r="E22" s="31"/>
      <c r="F22" s="31"/>
      <c r="G22" s="31"/>
      <c r="H22" s="31"/>
      <c r="I22" s="31"/>
      <c r="K22" s="200"/>
      <c r="L22" s="200"/>
      <c r="M22" s="31"/>
      <c r="N22" s="31"/>
      <c r="O22" s="31"/>
      <c r="P22" s="31"/>
      <c r="Q22" s="31"/>
      <c r="V22" s="194"/>
      <c r="W22" s="199"/>
      <c r="Y22" s="194"/>
      <c r="AC22" s="193"/>
      <c r="AF22" s="194"/>
      <c r="AI22" s="194"/>
      <c r="AJ22" s="199"/>
    </row>
    <row r="23" spans="2:36" s="7" customFormat="1" ht="20.100000000000001" customHeight="1" x14ac:dyDescent="0.25">
      <c r="B23" s="120"/>
      <c r="C23" s="120"/>
      <c r="D23" s="120"/>
      <c r="E23" s="120"/>
      <c r="F23" s="120"/>
      <c r="G23" s="120"/>
      <c r="H23" s="120"/>
      <c r="I23" s="120"/>
      <c r="J23" s="120"/>
      <c r="K23" s="120"/>
      <c r="L23" s="120"/>
      <c r="M23" s="120"/>
      <c r="N23" s="65"/>
      <c r="O23" s="65"/>
      <c r="P23" s="65"/>
      <c r="Q23" s="65"/>
      <c r="R23" s="65"/>
      <c r="S23" s="65"/>
      <c r="T23" s="65"/>
      <c r="U23" s="65"/>
      <c r="V23" s="65"/>
      <c r="W23" s="65"/>
      <c r="X23" s="158"/>
    </row>
    <row r="24" spans="2:36" s="7" customFormat="1" ht="20.100000000000001" customHeight="1" x14ac:dyDescent="0.25">
      <c r="B24" s="120"/>
      <c r="C24" s="120"/>
      <c r="D24" s="120"/>
      <c r="E24" s="120"/>
      <c r="F24" s="120"/>
      <c r="G24" s="120"/>
      <c r="H24" s="120"/>
      <c r="I24" s="120"/>
      <c r="J24" s="120"/>
      <c r="K24" s="120"/>
      <c r="L24" s="120"/>
      <c r="M24" s="120"/>
      <c r="N24" s="65"/>
      <c r="O24" s="65"/>
      <c r="P24" s="65"/>
      <c r="Q24" s="65"/>
      <c r="R24" s="65"/>
      <c r="S24" s="65"/>
      <c r="T24" s="65"/>
      <c r="U24" s="65"/>
      <c r="V24" s="65"/>
      <c r="W24" s="65"/>
      <c r="X24" s="158"/>
    </row>
    <row r="25" spans="2:36" s="7" customFormat="1" ht="20.100000000000001" customHeight="1" x14ac:dyDescent="0.25">
      <c r="B25" s="120"/>
      <c r="C25" s="120"/>
      <c r="D25" s="120"/>
      <c r="E25" s="120"/>
      <c r="F25" s="120"/>
      <c r="G25" s="120"/>
      <c r="H25" s="120"/>
      <c r="I25" s="120"/>
      <c r="J25" s="120"/>
      <c r="K25" s="120"/>
      <c r="L25" s="120"/>
      <c r="M25" s="120"/>
      <c r="N25" s="65"/>
      <c r="O25" s="65"/>
      <c r="P25" s="65"/>
      <c r="Q25" s="65"/>
      <c r="R25" s="65"/>
      <c r="S25" s="65"/>
      <c r="T25" s="65"/>
      <c r="U25" s="65"/>
      <c r="V25" s="65"/>
      <c r="W25" s="65"/>
      <c r="X25" s="158"/>
    </row>
    <row r="26" spans="2:36" s="7" customFormat="1" ht="20.100000000000001" customHeight="1" x14ac:dyDescent="0.25">
      <c r="B26" s="120"/>
      <c r="C26" s="120"/>
      <c r="D26" s="120"/>
      <c r="E26" s="120"/>
      <c r="F26" s="120"/>
      <c r="G26" s="120"/>
      <c r="H26" s="120"/>
      <c r="I26" s="120"/>
      <c r="J26" s="120"/>
      <c r="K26" s="120"/>
      <c r="L26" s="120"/>
      <c r="M26" s="120"/>
      <c r="N26" s="65"/>
      <c r="O26" s="65"/>
      <c r="P26" s="65"/>
      <c r="Q26" s="65"/>
      <c r="R26" s="65"/>
      <c r="S26" s="65"/>
      <c r="T26" s="65"/>
      <c r="U26" s="65"/>
      <c r="V26" s="65"/>
      <c r="W26" s="65"/>
      <c r="X26" s="158"/>
    </row>
  </sheetData>
  <mergeCells count="14">
    <mergeCell ref="B14:M14"/>
    <mergeCell ref="B15:M15"/>
    <mergeCell ref="B19:M19"/>
    <mergeCell ref="B20:J20"/>
    <mergeCell ref="B21:T21"/>
    <mergeCell ref="D17:M17"/>
    <mergeCell ref="D18:M18"/>
    <mergeCell ref="B13:M13"/>
    <mergeCell ref="B1:X2"/>
    <mergeCell ref="B9:M9"/>
    <mergeCell ref="B10:M10"/>
    <mergeCell ref="B11:M11"/>
    <mergeCell ref="B12:M12"/>
    <mergeCell ref="C4:U4"/>
  </mergeCells>
  <printOptions horizontalCentered="1"/>
  <pageMargins left="0.51181102362204722" right="0.51181102362204722" top="0.78740157480314965" bottom="0.78740157480314965" header="0.31496062992125984" footer="0.31496062992125984"/>
  <pageSetup paperSize="9" scale="74" orientation="landscape" horizontalDpi="1200" verticalDpi="1200" r:id="rId1"/>
  <headerFooter>
    <oddHeader>&amp;L&amp;G</oddHeader>
    <oddFooter>&amp;L&amp;"Arial Narrow,Normal"&amp;10&amp;A
&amp;F&amp;R&amp;"Arial Narrow,Normal"&amp;10Página &amp;P de &amp;N</oddFooter>
  </headerFooter>
  <legacyDrawing r:id="rId2"/>
  <legacyDrawingHF r:id="rId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BB5D1-F1E2-4591-815E-C8849BAFF35F}">
  <dimension ref="B1:U27"/>
  <sheetViews>
    <sheetView showGridLines="0" showZeros="0" view="pageBreakPreview" zoomScaleNormal="100" zoomScaleSheetLayoutView="100" workbookViewId="0">
      <selection activeCell="Q14" sqref="Q14:Q15"/>
    </sheetView>
  </sheetViews>
  <sheetFormatPr defaultColWidth="9.140625" defaultRowHeight="13.5" x14ac:dyDescent="0.25"/>
  <cols>
    <col min="1" max="1" width="1.7109375" style="89" customWidth="1"/>
    <col min="2" max="2" width="9.140625" style="89" customWidth="1"/>
    <col min="3" max="3" width="11" style="89" customWidth="1"/>
    <col min="4" max="4" width="9.7109375" style="89" bestFit="1" customWidth="1"/>
    <col min="5" max="14" width="10.7109375" style="89" customWidth="1"/>
    <col min="15" max="15" width="10.7109375" style="91" customWidth="1"/>
    <col min="16" max="16" width="1.7109375" style="89" customWidth="1"/>
    <col min="17" max="17" width="9.140625" style="89" customWidth="1"/>
    <col min="18" max="16384" width="9.140625" style="89"/>
  </cols>
  <sheetData>
    <row r="1" spans="2:21" s="69" customFormat="1" ht="20.100000000000001" customHeight="1" x14ac:dyDescent="0.25">
      <c r="B1" s="569"/>
      <c r="C1" s="569"/>
      <c r="D1" s="569"/>
      <c r="E1" s="569"/>
      <c r="F1" s="569"/>
      <c r="G1" s="569"/>
      <c r="H1" s="569"/>
      <c r="I1" s="569"/>
      <c r="J1" s="569"/>
      <c r="K1" s="569"/>
      <c r="L1" s="569"/>
      <c r="M1" s="569"/>
      <c r="N1" s="569"/>
      <c r="O1" s="569"/>
      <c r="P1" s="569"/>
    </row>
    <row r="2" spans="2:21" s="69" customFormat="1" ht="20.100000000000001" customHeight="1" x14ac:dyDescent="0.25">
      <c r="B2" s="569"/>
      <c r="C2" s="569"/>
      <c r="D2" s="569"/>
      <c r="E2" s="569"/>
      <c r="F2" s="569"/>
      <c r="G2" s="569"/>
      <c r="H2" s="569"/>
      <c r="I2" s="569"/>
      <c r="J2" s="569"/>
      <c r="K2" s="569"/>
      <c r="L2" s="569"/>
      <c r="M2" s="569"/>
      <c r="N2" s="569"/>
      <c r="O2" s="569"/>
      <c r="P2" s="569"/>
    </row>
    <row r="3" spans="2:21" s="69" customFormat="1" ht="20.100000000000001" customHeight="1" x14ac:dyDescent="0.25"/>
    <row r="4" spans="2:21" s="5" customFormat="1" ht="20.100000000000001" customHeight="1" x14ac:dyDescent="0.25">
      <c r="B4" s="1"/>
      <c r="C4" s="2"/>
      <c r="E4" s="2"/>
      <c r="F4" s="2"/>
      <c r="G4" s="2"/>
      <c r="H4" s="2"/>
      <c r="I4" s="2"/>
      <c r="J4" s="2"/>
      <c r="K4" s="2"/>
      <c r="L4" s="2"/>
      <c r="N4" s="3"/>
      <c r="O4" s="4"/>
      <c r="R4" s="32"/>
      <c r="S4" s="32"/>
      <c r="T4" s="33"/>
      <c r="U4" s="33"/>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39"/>
      <c r="N7" s="3"/>
      <c r="O7" s="64"/>
    </row>
    <row r="8" spans="2:21" s="67" customFormat="1" ht="20.100000000000001" customHeight="1" x14ac:dyDescent="0.25">
      <c r="B8" s="52"/>
      <c r="C8" s="53"/>
      <c r="D8" s="9"/>
      <c r="E8" s="9"/>
      <c r="F8" s="9"/>
      <c r="G8" s="10"/>
      <c r="H8" s="10"/>
      <c r="I8" s="10"/>
      <c r="J8" s="10"/>
      <c r="K8" s="9"/>
      <c r="M8" s="10"/>
      <c r="N8" s="10"/>
    </row>
    <row r="9" spans="2:21" ht="20.100000000000001" customHeight="1" x14ac:dyDescent="0.25">
      <c r="B9" s="306"/>
      <c r="C9" s="570" t="s">
        <v>2829</v>
      </c>
      <c r="D9" s="570"/>
      <c r="E9" s="570"/>
      <c r="F9" s="570"/>
      <c r="G9" s="570"/>
      <c r="H9" s="570"/>
      <c r="I9" s="570"/>
      <c r="J9" s="570"/>
      <c r="K9" s="570"/>
      <c r="L9" s="570"/>
      <c r="M9" s="570"/>
      <c r="N9" s="570"/>
      <c r="O9" s="90"/>
    </row>
    <row r="10" spans="2:21" ht="20.100000000000001" customHeight="1" x14ac:dyDescent="0.25">
      <c r="B10" s="306"/>
      <c r="C10" s="570"/>
      <c r="D10" s="570"/>
      <c r="E10" s="570"/>
      <c r="F10" s="570"/>
      <c r="G10" s="570"/>
      <c r="H10" s="570"/>
      <c r="I10" s="570"/>
      <c r="J10" s="570"/>
      <c r="K10" s="570"/>
      <c r="L10" s="570"/>
      <c r="M10" s="570"/>
      <c r="N10" s="570"/>
      <c r="O10" s="90"/>
    </row>
    <row r="11" spans="2:21" ht="20.100000000000001" customHeight="1" x14ac:dyDescent="0.25">
      <c r="B11" s="306"/>
      <c r="C11" s="306"/>
      <c r="D11" s="309"/>
      <c r="E11" s="308"/>
      <c r="F11" s="306"/>
      <c r="G11" s="306"/>
      <c r="H11" s="306"/>
      <c r="I11" s="306"/>
      <c r="J11" s="306"/>
      <c r="K11" s="306"/>
      <c r="L11" s="309"/>
      <c r="M11" s="308"/>
      <c r="N11" s="306"/>
      <c r="O11" s="90"/>
    </row>
    <row r="12" spans="2:21" ht="20.100000000000001" customHeight="1" x14ac:dyDescent="0.25">
      <c r="B12" s="306"/>
      <c r="C12" s="306"/>
      <c r="D12" s="309"/>
      <c r="E12" s="308"/>
      <c r="F12" s="306"/>
      <c r="G12" s="306"/>
      <c r="H12" s="306"/>
      <c r="I12" s="306"/>
      <c r="J12" s="306"/>
      <c r="K12" s="306"/>
      <c r="L12" s="309"/>
      <c r="M12" s="308"/>
      <c r="N12" s="306"/>
      <c r="O12" s="90"/>
    </row>
    <row r="13" spans="2:21" ht="20.100000000000001" customHeight="1" x14ac:dyDescent="0.25">
      <c r="B13" s="306"/>
      <c r="C13" s="306"/>
      <c r="D13" s="309"/>
      <c r="E13" s="308"/>
      <c r="F13" s="306"/>
      <c r="G13" s="306"/>
      <c r="H13" s="306"/>
      <c r="I13" s="306"/>
      <c r="J13" s="306"/>
      <c r="K13" s="306"/>
      <c r="L13" s="309"/>
      <c r="M13" s="308"/>
      <c r="N13" s="306"/>
      <c r="O13" s="90"/>
    </row>
    <row r="14" spans="2:21" ht="20.100000000000001" customHeight="1" x14ac:dyDescent="0.25">
      <c r="B14" s="306"/>
      <c r="C14" s="306"/>
      <c r="D14" s="309"/>
      <c r="E14" s="308"/>
      <c r="F14" s="306"/>
      <c r="G14" s="306"/>
      <c r="H14" s="306"/>
      <c r="I14" s="306"/>
      <c r="J14" s="306"/>
      <c r="K14" s="306"/>
      <c r="L14" s="309"/>
      <c r="M14" s="308"/>
      <c r="N14" s="306"/>
      <c r="O14" s="90"/>
    </row>
    <row r="15" spans="2:21" ht="20.100000000000001" customHeight="1" x14ac:dyDescent="0.25">
      <c r="B15" s="306"/>
      <c r="C15" s="298"/>
      <c r="D15" s="310"/>
      <c r="E15" s="311"/>
      <c r="F15" s="298"/>
      <c r="G15" s="306"/>
      <c r="H15" s="306"/>
      <c r="I15" s="306"/>
      <c r="J15" s="306"/>
      <c r="K15" s="298"/>
      <c r="L15" s="310"/>
      <c r="M15" s="311"/>
      <c r="N15" s="298"/>
      <c r="O15" s="90"/>
    </row>
    <row r="16" spans="2:21" s="67" customFormat="1" ht="20.100000000000001" customHeight="1" x14ac:dyDescent="0.25">
      <c r="B16" s="52"/>
      <c r="C16" s="53"/>
      <c r="D16" s="9"/>
      <c r="E16" s="9"/>
      <c r="F16" s="9"/>
      <c r="G16" s="10"/>
      <c r="H16" s="10"/>
      <c r="I16" s="10"/>
      <c r="J16" s="10"/>
      <c r="K16" s="9"/>
      <c r="M16" s="10"/>
      <c r="N16" s="10"/>
    </row>
    <row r="17" spans="2:15" ht="20.100000000000001" customHeight="1" x14ac:dyDescent="0.25">
      <c r="B17" s="306"/>
      <c r="C17" s="307"/>
      <c r="D17" s="306"/>
      <c r="E17" s="306"/>
      <c r="F17" s="306"/>
      <c r="G17" s="306"/>
      <c r="H17" s="306"/>
      <c r="I17" s="306"/>
      <c r="J17" s="306"/>
      <c r="K17" s="193"/>
      <c r="L17" s="306"/>
      <c r="M17" s="306"/>
      <c r="N17" s="306"/>
      <c r="O17" s="90"/>
    </row>
    <row r="18" spans="2:15" ht="20.100000000000001" customHeight="1" x14ac:dyDescent="0.25">
      <c r="B18" s="306"/>
      <c r="C18" s="306"/>
      <c r="D18" s="309"/>
      <c r="E18" s="308"/>
      <c r="F18" s="306"/>
      <c r="G18" s="306"/>
      <c r="H18" s="306"/>
      <c r="I18" s="306"/>
      <c r="J18" s="306"/>
      <c r="K18" s="306"/>
      <c r="L18" s="309"/>
      <c r="M18" s="308"/>
      <c r="N18" s="306"/>
      <c r="O18" s="90"/>
    </row>
    <row r="19" spans="2:15" ht="20.100000000000001" customHeight="1" x14ac:dyDescent="0.25">
      <c r="B19" s="306"/>
      <c r="C19" s="306"/>
      <c r="D19" s="309"/>
      <c r="E19" s="308"/>
      <c r="F19" s="306"/>
      <c r="G19" s="306"/>
      <c r="H19" s="306"/>
      <c r="I19" s="306"/>
      <c r="J19" s="306"/>
      <c r="K19" s="306"/>
      <c r="L19" s="309"/>
      <c r="M19" s="308"/>
      <c r="N19" s="306"/>
      <c r="O19" s="90"/>
    </row>
    <row r="20" spans="2:15" ht="20.100000000000001" customHeight="1" x14ac:dyDescent="0.25">
      <c r="B20" s="306"/>
      <c r="C20" s="306"/>
      <c r="D20" s="309"/>
      <c r="E20" s="308"/>
      <c r="F20" s="306"/>
      <c r="G20" s="306"/>
      <c r="H20" s="306"/>
      <c r="I20" s="306"/>
      <c r="J20" s="306"/>
      <c r="K20" s="306"/>
      <c r="L20" s="309"/>
      <c r="M20" s="308"/>
      <c r="N20" s="306"/>
      <c r="O20" s="90"/>
    </row>
    <row r="21" spans="2:15" ht="20.100000000000001" customHeight="1" x14ac:dyDescent="0.25">
      <c r="B21" s="306"/>
      <c r="C21" s="306"/>
      <c r="D21" s="309"/>
      <c r="E21" s="308"/>
      <c r="F21" s="306"/>
      <c r="G21" s="306"/>
      <c r="H21" s="306"/>
      <c r="I21" s="306"/>
      <c r="J21" s="306"/>
      <c r="K21" s="306"/>
      <c r="L21" s="309"/>
      <c r="M21" s="308"/>
      <c r="N21" s="306"/>
      <c r="O21" s="90"/>
    </row>
    <row r="22" spans="2:15" ht="20.100000000000001" customHeight="1" x14ac:dyDescent="0.25">
      <c r="B22" s="306"/>
      <c r="C22" s="306"/>
      <c r="D22" s="309"/>
      <c r="E22" s="308"/>
      <c r="F22" s="306"/>
      <c r="G22" s="306"/>
      <c r="H22" s="306"/>
      <c r="I22" s="306"/>
      <c r="J22" s="306"/>
      <c r="K22" s="306"/>
      <c r="L22" s="309"/>
      <c r="M22" s="308"/>
      <c r="N22" s="306"/>
      <c r="O22" s="90"/>
    </row>
    <row r="23" spans="2:15" ht="20.100000000000001" customHeight="1" x14ac:dyDescent="0.25">
      <c r="B23" s="306"/>
      <c r="C23" s="298"/>
      <c r="D23" s="310"/>
      <c r="E23" s="311"/>
      <c r="F23" s="298"/>
      <c r="G23" s="306"/>
      <c r="H23" s="306"/>
      <c r="I23" s="306"/>
      <c r="J23" s="306"/>
      <c r="K23" s="298"/>
      <c r="L23" s="310"/>
      <c r="M23" s="311"/>
      <c r="N23" s="298"/>
      <c r="O23" s="90"/>
    </row>
    <row r="24" spans="2:15" s="67" customFormat="1" ht="20.100000000000001" customHeight="1" x14ac:dyDescent="0.25">
      <c r="B24" s="52"/>
      <c r="C24" s="53"/>
      <c r="D24" s="9"/>
      <c r="E24" s="9"/>
      <c r="F24" s="9"/>
      <c r="G24" s="10"/>
      <c r="H24" s="10"/>
      <c r="I24" s="10"/>
      <c r="J24" s="10"/>
      <c r="K24" s="9"/>
      <c r="M24" s="10"/>
      <c r="N24" s="10"/>
    </row>
    <row r="25" spans="2:15" ht="20.100000000000001" customHeight="1" x14ac:dyDescent="0.25">
      <c r="B25" s="306"/>
      <c r="C25" s="307"/>
      <c r="D25" s="306"/>
      <c r="E25" s="306"/>
      <c r="F25" s="306"/>
      <c r="G25" s="306"/>
      <c r="H25" s="306"/>
      <c r="I25" s="306"/>
      <c r="J25" s="306"/>
      <c r="K25" s="193"/>
      <c r="L25" s="306"/>
      <c r="M25" s="306"/>
      <c r="N25" s="306"/>
      <c r="O25" s="90"/>
    </row>
    <row r="26" spans="2:15" ht="20.100000000000001" customHeight="1" x14ac:dyDescent="0.25">
      <c r="B26" s="306"/>
      <c r="C26" s="306"/>
      <c r="D26" s="309"/>
      <c r="E26" s="308"/>
      <c r="F26" s="306"/>
      <c r="G26" s="306"/>
      <c r="H26" s="306"/>
      <c r="I26" s="306"/>
      <c r="J26" s="306"/>
      <c r="K26" s="306"/>
      <c r="L26" s="309"/>
      <c r="M26" s="308"/>
      <c r="N26" s="306"/>
      <c r="O26" s="90"/>
    </row>
    <row r="27" spans="2:15" ht="20.100000000000001" customHeight="1" x14ac:dyDescent="0.25">
      <c r="B27" s="306"/>
      <c r="C27" s="298"/>
      <c r="D27" s="310"/>
      <c r="E27" s="311"/>
      <c r="F27" s="298"/>
      <c r="G27" s="306"/>
      <c r="H27" s="306"/>
      <c r="I27" s="306"/>
      <c r="J27" s="306"/>
      <c r="K27" s="298"/>
      <c r="L27" s="310"/>
      <c r="M27" s="311"/>
      <c r="N27" s="298"/>
      <c r="O27" s="90"/>
    </row>
  </sheetData>
  <mergeCells count="2">
    <mergeCell ref="B1:P2"/>
    <mergeCell ref="C9:N10"/>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 xml:space="preserve">&amp;L&amp;"Arial Narrow,Normal"&amp;10&amp;A
&amp;F&amp;R&amp;"Arial Narrow,Normal"&amp;10 191 de 192
</oddFooter>
  </headerFooter>
  <colBreaks count="1" manualBreakCount="1">
    <brk id="17" max="1048575" man="1"/>
  </colBreaks>
  <legacyDrawingHF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DB6F9-ABF7-45C8-9B92-E3D60D153E3D}">
  <dimension ref="A1:AC72"/>
  <sheetViews>
    <sheetView showGridLines="0" showZeros="0" view="pageBreakPreview" topLeftCell="A8" zoomScale="85" zoomScaleNormal="100" zoomScaleSheetLayoutView="85" workbookViewId="0">
      <selection activeCell="Q14" sqref="Q14:Q15"/>
    </sheetView>
  </sheetViews>
  <sheetFormatPr defaultColWidth="0" defaultRowHeight="12.75" customHeight="1" zeroHeight="1" x14ac:dyDescent="0.25"/>
  <cols>
    <col min="1" max="1" width="0.85546875" style="166" customWidth="1"/>
    <col min="2" max="2" width="9.85546875" style="166" customWidth="1"/>
    <col min="3" max="3" width="40.140625" style="166" customWidth="1"/>
    <col min="4" max="4" width="10.5703125" style="516" customWidth="1"/>
    <col min="5" max="5" width="10.7109375" style="166" customWidth="1"/>
    <col min="6" max="7" width="13.140625" style="166" customWidth="1"/>
    <col min="8" max="8" width="10.7109375" style="166" customWidth="1"/>
    <col min="9" max="9" width="12" style="166" customWidth="1"/>
    <col min="10" max="10" width="12.42578125" style="166" customWidth="1"/>
    <col min="11" max="11" width="10.7109375" style="166" customWidth="1"/>
    <col min="12" max="12" width="11.28515625" style="166" bestFit="1" customWidth="1"/>
    <col min="13" max="13" width="11.42578125" style="166" customWidth="1"/>
    <col min="14" max="14" width="10.7109375" style="166" customWidth="1"/>
    <col min="15" max="15" width="11.28515625" style="166" customWidth="1"/>
    <col min="16" max="17" width="12.5703125" style="166" customWidth="1"/>
    <col min="18" max="18" width="0.85546875" style="166" customWidth="1"/>
    <col min="19" max="256" width="9.140625" style="166" customWidth="1"/>
    <col min="257" max="257" width="0.85546875" style="166" customWidth="1"/>
    <col min="258" max="258" width="9.85546875" style="166" customWidth="1"/>
    <col min="259" max="259" width="40.140625" style="166" customWidth="1"/>
    <col min="260" max="260" width="10.5703125" style="166" customWidth="1"/>
    <col min="261" max="261" width="10.7109375" style="166" customWidth="1"/>
    <col min="262" max="263" width="13.140625" style="166" customWidth="1"/>
    <col min="264" max="264" width="10.7109375" style="166" customWidth="1"/>
    <col min="265" max="265" width="12" style="166" customWidth="1"/>
    <col min="266" max="266" width="12.42578125" style="166" customWidth="1"/>
    <col min="267" max="267" width="10.7109375" style="166" customWidth="1"/>
    <col min="268" max="268" width="11.28515625" style="166" bestFit="1" customWidth="1"/>
    <col min="269" max="269" width="11.42578125" style="166" customWidth="1"/>
    <col min="270" max="270" width="10.7109375" style="166" customWidth="1"/>
    <col min="271" max="271" width="11.28515625" style="166" customWidth="1"/>
    <col min="272" max="273" width="12.5703125" style="166" customWidth="1"/>
    <col min="274" max="274" width="0.85546875" style="166" customWidth="1"/>
    <col min="275" max="512" width="0" style="166" hidden="1"/>
    <col min="513" max="513" width="0.85546875" style="166" customWidth="1"/>
    <col min="514" max="514" width="9.85546875" style="166" customWidth="1"/>
    <col min="515" max="515" width="40.140625" style="166" customWidth="1"/>
    <col min="516" max="516" width="10.5703125" style="166" customWidth="1"/>
    <col min="517" max="517" width="10.7109375" style="166" customWidth="1"/>
    <col min="518" max="519" width="13.140625" style="166" customWidth="1"/>
    <col min="520" max="520" width="10.7109375" style="166" customWidth="1"/>
    <col min="521" max="521" width="12" style="166" customWidth="1"/>
    <col min="522" max="522" width="12.42578125" style="166" customWidth="1"/>
    <col min="523" max="523" width="10.7109375" style="166" customWidth="1"/>
    <col min="524" max="524" width="11.28515625" style="166" bestFit="1" customWidth="1"/>
    <col min="525" max="525" width="11.42578125" style="166" customWidth="1"/>
    <col min="526" max="526" width="10.7109375" style="166" customWidth="1"/>
    <col min="527" max="527" width="11.28515625" style="166" customWidth="1"/>
    <col min="528" max="529" width="12.5703125" style="166" customWidth="1"/>
    <col min="530" max="530" width="0.85546875" style="166" customWidth="1"/>
    <col min="531" max="768" width="0" style="166" hidden="1"/>
    <col min="769" max="769" width="0.85546875" style="166" customWidth="1"/>
    <col min="770" max="770" width="9.85546875" style="166" customWidth="1"/>
    <col min="771" max="771" width="40.140625" style="166" customWidth="1"/>
    <col min="772" max="772" width="10.5703125" style="166" customWidth="1"/>
    <col min="773" max="773" width="10.7109375" style="166" customWidth="1"/>
    <col min="774" max="775" width="13.140625" style="166" customWidth="1"/>
    <col min="776" max="776" width="10.7109375" style="166" customWidth="1"/>
    <col min="777" max="777" width="12" style="166" customWidth="1"/>
    <col min="778" max="778" width="12.42578125" style="166" customWidth="1"/>
    <col min="779" max="779" width="10.7109375" style="166" customWidth="1"/>
    <col min="780" max="780" width="11.28515625" style="166" bestFit="1" customWidth="1"/>
    <col min="781" max="781" width="11.42578125" style="166" customWidth="1"/>
    <col min="782" max="782" width="10.7109375" style="166" customWidth="1"/>
    <col min="783" max="783" width="11.28515625" style="166" customWidth="1"/>
    <col min="784" max="785" width="12.5703125" style="166" customWidth="1"/>
    <col min="786" max="786" width="0.85546875" style="166" customWidth="1"/>
    <col min="787" max="1024" width="0" style="166" hidden="1"/>
    <col min="1025" max="1025" width="0.85546875" style="166" customWidth="1"/>
    <col min="1026" max="1026" width="9.85546875" style="166" customWidth="1"/>
    <col min="1027" max="1027" width="40.140625" style="166" customWidth="1"/>
    <col min="1028" max="1028" width="10.5703125" style="166" customWidth="1"/>
    <col min="1029" max="1029" width="10.7109375" style="166" customWidth="1"/>
    <col min="1030" max="1031" width="13.140625" style="166" customWidth="1"/>
    <col min="1032" max="1032" width="10.7109375" style="166" customWidth="1"/>
    <col min="1033" max="1033" width="12" style="166" customWidth="1"/>
    <col min="1034" max="1034" width="12.42578125" style="166" customWidth="1"/>
    <col min="1035" max="1035" width="10.7109375" style="166" customWidth="1"/>
    <col min="1036" max="1036" width="11.28515625" style="166" bestFit="1" customWidth="1"/>
    <col min="1037" max="1037" width="11.42578125" style="166" customWidth="1"/>
    <col min="1038" max="1038" width="10.7109375" style="166" customWidth="1"/>
    <col min="1039" max="1039" width="11.28515625" style="166" customWidth="1"/>
    <col min="1040" max="1041" width="12.5703125" style="166" customWidth="1"/>
    <col min="1042" max="1042" width="0.85546875" style="166" customWidth="1"/>
    <col min="1043" max="1280" width="0" style="166" hidden="1"/>
    <col min="1281" max="1281" width="0.85546875" style="166" customWidth="1"/>
    <col min="1282" max="1282" width="9.85546875" style="166" customWidth="1"/>
    <col min="1283" max="1283" width="40.140625" style="166" customWidth="1"/>
    <col min="1284" max="1284" width="10.5703125" style="166" customWidth="1"/>
    <col min="1285" max="1285" width="10.7109375" style="166" customWidth="1"/>
    <col min="1286" max="1287" width="13.140625" style="166" customWidth="1"/>
    <col min="1288" max="1288" width="10.7109375" style="166" customWidth="1"/>
    <col min="1289" max="1289" width="12" style="166" customWidth="1"/>
    <col min="1290" max="1290" width="12.42578125" style="166" customWidth="1"/>
    <col min="1291" max="1291" width="10.7109375" style="166" customWidth="1"/>
    <col min="1292" max="1292" width="11.28515625" style="166" bestFit="1" customWidth="1"/>
    <col min="1293" max="1293" width="11.42578125" style="166" customWidth="1"/>
    <col min="1294" max="1294" width="10.7109375" style="166" customWidth="1"/>
    <col min="1295" max="1295" width="11.28515625" style="166" customWidth="1"/>
    <col min="1296" max="1297" width="12.5703125" style="166" customWidth="1"/>
    <col min="1298" max="1298" width="0.85546875" style="166" customWidth="1"/>
    <col min="1299" max="1536" width="0" style="166" hidden="1"/>
    <col min="1537" max="1537" width="0.85546875" style="166" customWidth="1"/>
    <col min="1538" max="1538" width="9.85546875" style="166" customWidth="1"/>
    <col min="1539" max="1539" width="40.140625" style="166" customWidth="1"/>
    <col min="1540" max="1540" width="10.5703125" style="166" customWidth="1"/>
    <col min="1541" max="1541" width="10.7109375" style="166" customWidth="1"/>
    <col min="1542" max="1543" width="13.140625" style="166" customWidth="1"/>
    <col min="1544" max="1544" width="10.7109375" style="166" customWidth="1"/>
    <col min="1545" max="1545" width="12" style="166" customWidth="1"/>
    <col min="1546" max="1546" width="12.42578125" style="166" customWidth="1"/>
    <col min="1547" max="1547" width="10.7109375" style="166" customWidth="1"/>
    <col min="1548" max="1548" width="11.28515625" style="166" bestFit="1" customWidth="1"/>
    <col min="1549" max="1549" width="11.42578125" style="166" customWidth="1"/>
    <col min="1550" max="1550" width="10.7109375" style="166" customWidth="1"/>
    <col min="1551" max="1551" width="11.28515625" style="166" customWidth="1"/>
    <col min="1552" max="1553" width="12.5703125" style="166" customWidth="1"/>
    <col min="1554" max="1554" width="0.85546875" style="166" customWidth="1"/>
    <col min="1555" max="1792" width="0" style="166" hidden="1"/>
    <col min="1793" max="1793" width="0.85546875" style="166" customWidth="1"/>
    <col min="1794" max="1794" width="9.85546875" style="166" customWidth="1"/>
    <col min="1795" max="1795" width="40.140625" style="166" customWidth="1"/>
    <col min="1796" max="1796" width="10.5703125" style="166" customWidth="1"/>
    <col min="1797" max="1797" width="10.7109375" style="166" customWidth="1"/>
    <col min="1798" max="1799" width="13.140625" style="166" customWidth="1"/>
    <col min="1800" max="1800" width="10.7109375" style="166" customWidth="1"/>
    <col min="1801" max="1801" width="12" style="166" customWidth="1"/>
    <col min="1802" max="1802" width="12.42578125" style="166" customWidth="1"/>
    <col min="1803" max="1803" width="10.7109375" style="166" customWidth="1"/>
    <col min="1804" max="1804" width="11.28515625" style="166" bestFit="1" customWidth="1"/>
    <col min="1805" max="1805" width="11.42578125" style="166" customWidth="1"/>
    <col min="1806" max="1806" width="10.7109375" style="166" customWidth="1"/>
    <col min="1807" max="1807" width="11.28515625" style="166" customWidth="1"/>
    <col min="1808" max="1809" width="12.5703125" style="166" customWidth="1"/>
    <col min="1810" max="1810" width="0.85546875" style="166" customWidth="1"/>
    <col min="1811" max="2048" width="0" style="166" hidden="1"/>
    <col min="2049" max="2049" width="0.85546875" style="166" customWidth="1"/>
    <col min="2050" max="2050" width="9.85546875" style="166" customWidth="1"/>
    <col min="2051" max="2051" width="40.140625" style="166" customWidth="1"/>
    <col min="2052" max="2052" width="10.5703125" style="166" customWidth="1"/>
    <col min="2053" max="2053" width="10.7109375" style="166" customWidth="1"/>
    <col min="2054" max="2055" width="13.140625" style="166" customWidth="1"/>
    <col min="2056" max="2056" width="10.7109375" style="166" customWidth="1"/>
    <col min="2057" max="2057" width="12" style="166" customWidth="1"/>
    <col min="2058" max="2058" width="12.42578125" style="166" customWidth="1"/>
    <col min="2059" max="2059" width="10.7109375" style="166" customWidth="1"/>
    <col min="2060" max="2060" width="11.28515625" style="166" bestFit="1" customWidth="1"/>
    <col min="2061" max="2061" width="11.42578125" style="166" customWidth="1"/>
    <col min="2062" max="2062" width="10.7109375" style="166" customWidth="1"/>
    <col min="2063" max="2063" width="11.28515625" style="166" customWidth="1"/>
    <col min="2064" max="2065" width="12.5703125" style="166" customWidth="1"/>
    <col min="2066" max="2066" width="0.85546875" style="166" customWidth="1"/>
    <col min="2067" max="2304" width="0" style="166" hidden="1"/>
    <col min="2305" max="2305" width="0.85546875" style="166" customWidth="1"/>
    <col min="2306" max="2306" width="9.85546875" style="166" customWidth="1"/>
    <col min="2307" max="2307" width="40.140625" style="166" customWidth="1"/>
    <col min="2308" max="2308" width="10.5703125" style="166" customWidth="1"/>
    <col min="2309" max="2309" width="10.7109375" style="166" customWidth="1"/>
    <col min="2310" max="2311" width="13.140625" style="166" customWidth="1"/>
    <col min="2312" max="2312" width="10.7109375" style="166" customWidth="1"/>
    <col min="2313" max="2313" width="12" style="166" customWidth="1"/>
    <col min="2314" max="2314" width="12.42578125" style="166" customWidth="1"/>
    <col min="2315" max="2315" width="10.7109375" style="166" customWidth="1"/>
    <col min="2316" max="2316" width="11.28515625" style="166" bestFit="1" customWidth="1"/>
    <col min="2317" max="2317" width="11.42578125" style="166" customWidth="1"/>
    <col min="2318" max="2318" width="10.7109375" style="166" customWidth="1"/>
    <col min="2319" max="2319" width="11.28515625" style="166" customWidth="1"/>
    <col min="2320" max="2321" width="12.5703125" style="166" customWidth="1"/>
    <col min="2322" max="2322" width="0.85546875" style="166" customWidth="1"/>
    <col min="2323" max="2560" width="0" style="166" hidden="1"/>
    <col min="2561" max="2561" width="0.85546875" style="166" customWidth="1"/>
    <col min="2562" max="2562" width="9.85546875" style="166" customWidth="1"/>
    <col min="2563" max="2563" width="40.140625" style="166" customWidth="1"/>
    <col min="2564" max="2564" width="10.5703125" style="166" customWidth="1"/>
    <col min="2565" max="2565" width="10.7109375" style="166" customWidth="1"/>
    <col min="2566" max="2567" width="13.140625" style="166" customWidth="1"/>
    <col min="2568" max="2568" width="10.7109375" style="166" customWidth="1"/>
    <col min="2569" max="2569" width="12" style="166" customWidth="1"/>
    <col min="2570" max="2570" width="12.42578125" style="166" customWidth="1"/>
    <col min="2571" max="2571" width="10.7109375" style="166" customWidth="1"/>
    <col min="2572" max="2572" width="11.28515625" style="166" bestFit="1" customWidth="1"/>
    <col min="2573" max="2573" width="11.42578125" style="166" customWidth="1"/>
    <col min="2574" max="2574" width="10.7109375" style="166" customWidth="1"/>
    <col min="2575" max="2575" width="11.28515625" style="166" customWidth="1"/>
    <col min="2576" max="2577" width="12.5703125" style="166" customWidth="1"/>
    <col min="2578" max="2578" width="0.85546875" style="166" customWidth="1"/>
    <col min="2579" max="2816" width="0" style="166" hidden="1"/>
    <col min="2817" max="2817" width="0.85546875" style="166" customWidth="1"/>
    <col min="2818" max="2818" width="9.85546875" style="166" customWidth="1"/>
    <col min="2819" max="2819" width="40.140625" style="166" customWidth="1"/>
    <col min="2820" max="2820" width="10.5703125" style="166" customWidth="1"/>
    <col min="2821" max="2821" width="10.7109375" style="166" customWidth="1"/>
    <col min="2822" max="2823" width="13.140625" style="166" customWidth="1"/>
    <col min="2824" max="2824" width="10.7109375" style="166" customWidth="1"/>
    <col min="2825" max="2825" width="12" style="166" customWidth="1"/>
    <col min="2826" max="2826" width="12.42578125" style="166" customWidth="1"/>
    <col min="2827" max="2827" width="10.7109375" style="166" customWidth="1"/>
    <col min="2828" max="2828" width="11.28515625" style="166" bestFit="1" customWidth="1"/>
    <col min="2829" max="2829" width="11.42578125" style="166" customWidth="1"/>
    <col min="2830" max="2830" width="10.7109375" style="166" customWidth="1"/>
    <col min="2831" max="2831" width="11.28515625" style="166" customWidth="1"/>
    <col min="2832" max="2833" width="12.5703125" style="166" customWidth="1"/>
    <col min="2834" max="2834" width="0.85546875" style="166" customWidth="1"/>
    <col min="2835" max="3072" width="0" style="166" hidden="1"/>
    <col min="3073" max="3073" width="0.85546875" style="166" customWidth="1"/>
    <col min="3074" max="3074" width="9.85546875" style="166" customWidth="1"/>
    <col min="3075" max="3075" width="40.140625" style="166" customWidth="1"/>
    <col min="3076" max="3076" width="10.5703125" style="166" customWidth="1"/>
    <col min="3077" max="3077" width="10.7109375" style="166" customWidth="1"/>
    <col min="3078" max="3079" width="13.140625" style="166" customWidth="1"/>
    <col min="3080" max="3080" width="10.7109375" style="166" customWidth="1"/>
    <col min="3081" max="3081" width="12" style="166" customWidth="1"/>
    <col min="3082" max="3082" width="12.42578125" style="166" customWidth="1"/>
    <col min="3083" max="3083" width="10.7109375" style="166" customWidth="1"/>
    <col min="3084" max="3084" width="11.28515625" style="166" bestFit="1" customWidth="1"/>
    <col min="3085" max="3085" width="11.42578125" style="166" customWidth="1"/>
    <col min="3086" max="3086" width="10.7109375" style="166" customWidth="1"/>
    <col min="3087" max="3087" width="11.28515625" style="166" customWidth="1"/>
    <col min="3088" max="3089" width="12.5703125" style="166" customWidth="1"/>
    <col min="3090" max="3090" width="0.85546875" style="166" customWidth="1"/>
    <col min="3091" max="3328" width="0" style="166" hidden="1"/>
    <col min="3329" max="3329" width="0.85546875" style="166" customWidth="1"/>
    <col min="3330" max="3330" width="9.85546875" style="166" customWidth="1"/>
    <col min="3331" max="3331" width="40.140625" style="166" customWidth="1"/>
    <col min="3332" max="3332" width="10.5703125" style="166" customWidth="1"/>
    <col min="3333" max="3333" width="10.7109375" style="166" customWidth="1"/>
    <col min="3334" max="3335" width="13.140625" style="166" customWidth="1"/>
    <col min="3336" max="3336" width="10.7109375" style="166" customWidth="1"/>
    <col min="3337" max="3337" width="12" style="166" customWidth="1"/>
    <col min="3338" max="3338" width="12.42578125" style="166" customWidth="1"/>
    <col min="3339" max="3339" width="10.7109375" style="166" customWidth="1"/>
    <col min="3340" max="3340" width="11.28515625" style="166" bestFit="1" customWidth="1"/>
    <col min="3341" max="3341" width="11.42578125" style="166" customWidth="1"/>
    <col min="3342" max="3342" width="10.7109375" style="166" customWidth="1"/>
    <col min="3343" max="3343" width="11.28515625" style="166" customWidth="1"/>
    <col min="3344" max="3345" width="12.5703125" style="166" customWidth="1"/>
    <col min="3346" max="3346" width="0.85546875" style="166" customWidth="1"/>
    <col min="3347" max="3584" width="0" style="166" hidden="1"/>
    <col min="3585" max="3585" width="0.85546875" style="166" customWidth="1"/>
    <col min="3586" max="3586" width="9.85546875" style="166" customWidth="1"/>
    <col min="3587" max="3587" width="40.140625" style="166" customWidth="1"/>
    <col min="3588" max="3588" width="10.5703125" style="166" customWidth="1"/>
    <col min="3589" max="3589" width="10.7109375" style="166" customWidth="1"/>
    <col min="3590" max="3591" width="13.140625" style="166" customWidth="1"/>
    <col min="3592" max="3592" width="10.7109375" style="166" customWidth="1"/>
    <col min="3593" max="3593" width="12" style="166" customWidth="1"/>
    <col min="3594" max="3594" width="12.42578125" style="166" customWidth="1"/>
    <col min="3595" max="3595" width="10.7109375" style="166" customWidth="1"/>
    <col min="3596" max="3596" width="11.28515625" style="166" bestFit="1" customWidth="1"/>
    <col min="3597" max="3597" width="11.42578125" style="166" customWidth="1"/>
    <col min="3598" max="3598" width="10.7109375" style="166" customWidth="1"/>
    <col min="3599" max="3599" width="11.28515625" style="166" customWidth="1"/>
    <col min="3600" max="3601" width="12.5703125" style="166" customWidth="1"/>
    <col min="3602" max="3602" width="0.85546875" style="166" customWidth="1"/>
    <col min="3603" max="3840" width="0" style="166" hidden="1"/>
    <col min="3841" max="3841" width="0.85546875" style="166" customWidth="1"/>
    <col min="3842" max="3842" width="9.85546875" style="166" customWidth="1"/>
    <col min="3843" max="3843" width="40.140625" style="166" customWidth="1"/>
    <col min="3844" max="3844" width="10.5703125" style="166" customWidth="1"/>
    <col min="3845" max="3845" width="10.7109375" style="166" customWidth="1"/>
    <col min="3846" max="3847" width="13.140625" style="166" customWidth="1"/>
    <col min="3848" max="3848" width="10.7109375" style="166" customWidth="1"/>
    <col min="3849" max="3849" width="12" style="166" customWidth="1"/>
    <col min="3850" max="3850" width="12.42578125" style="166" customWidth="1"/>
    <col min="3851" max="3851" width="10.7109375" style="166" customWidth="1"/>
    <col min="3852" max="3852" width="11.28515625" style="166" bestFit="1" customWidth="1"/>
    <col min="3853" max="3853" width="11.42578125" style="166" customWidth="1"/>
    <col min="3854" max="3854" width="10.7109375" style="166" customWidth="1"/>
    <col min="3855" max="3855" width="11.28515625" style="166" customWidth="1"/>
    <col min="3856" max="3857" width="12.5703125" style="166" customWidth="1"/>
    <col min="3858" max="3858" width="0.85546875" style="166" customWidth="1"/>
    <col min="3859" max="4096" width="0" style="166" hidden="1"/>
    <col min="4097" max="4097" width="0.85546875" style="166" customWidth="1"/>
    <col min="4098" max="4098" width="9.85546875" style="166" customWidth="1"/>
    <col min="4099" max="4099" width="40.140625" style="166" customWidth="1"/>
    <col min="4100" max="4100" width="10.5703125" style="166" customWidth="1"/>
    <col min="4101" max="4101" width="10.7109375" style="166" customWidth="1"/>
    <col min="4102" max="4103" width="13.140625" style="166" customWidth="1"/>
    <col min="4104" max="4104" width="10.7109375" style="166" customWidth="1"/>
    <col min="4105" max="4105" width="12" style="166" customWidth="1"/>
    <col min="4106" max="4106" width="12.42578125" style="166" customWidth="1"/>
    <col min="4107" max="4107" width="10.7109375" style="166" customWidth="1"/>
    <col min="4108" max="4108" width="11.28515625" style="166" bestFit="1" customWidth="1"/>
    <col min="4109" max="4109" width="11.42578125" style="166" customWidth="1"/>
    <col min="4110" max="4110" width="10.7109375" style="166" customWidth="1"/>
    <col min="4111" max="4111" width="11.28515625" style="166" customWidth="1"/>
    <col min="4112" max="4113" width="12.5703125" style="166" customWidth="1"/>
    <col min="4114" max="4114" width="0.85546875" style="166" customWidth="1"/>
    <col min="4115" max="4352" width="0" style="166" hidden="1"/>
    <col min="4353" max="4353" width="0.85546875" style="166" customWidth="1"/>
    <col min="4354" max="4354" width="9.85546875" style="166" customWidth="1"/>
    <col min="4355" max="4355" width="40.140625" style="166" customWidth="1"/>
    <col min="4356" max="4356" width="10.5703125" style="166" customWidth="1"/>
    <col min="4357" max="4357" width="10.7109375" style="166" customWidth="1"/>
    <col min="4358" max="4359" width="13.140625" style="166" customWidth="1"/>
    <col min="4360" max="4360" width="10.7109375" style="166" customWidth="1"/>
    <col min="4361" max="4361" width="12" style="166" customWidth="1"/>
    <col min="4362" max="4362" width="12.42578125" style="166" customWidth="1"/>
    <col min="4363" max="4363" width="10.7109375" style="166" customWidth="1"/>
    <col min="4364" max="4364" width="11.28515625" style="166" bestFit="1" customWidth="1"/>
    <col min="4365" max="4365" width="11.42578125" style="166" customWidth="1"/>
    <col min="4366" max="4366" width="10.7109375" style="166" customWidth="1"/>
    <col min="4367" max="4367" width="11.28515625" style="166" customWidth="1"/>
    <col min="4368" max="4369" width="12.5703125" style="166" customWidth="1"/>
    <col min="4370" max="4370" width="0.85546875" style="166" customWidth="1"/>
    <col min="4371" max="4608" width="0" style="166" hidden="1"/>
    <col min="4609" max="4609" width="0.85546875" style="166" customWidth="1"/>
    <col min="4610" max="4610" width="9.85546875" style="166" customWidth="1"/>
    <col min="4611" max="4611" width="40.140625" style="166" customWidth="1"/>
    <col min="4612" max="4612" width="10.5703125" style="166" customWidth="1"/>
    <col min="4613" max="4613" width="10.7109375" style="166" customWidth="1"/>
    <col min="4614" max="4615" width="13.140625" style="166" customWidth="1"/>
    <col min="4616" max="4616" width="10.7109375" style="166" customWidth="1"/>
    <col min="4617" max="4617" width="12" style="166" customWidth="1"/>
    <col min="4618" max="4618" width="12.42578125" style="166" customWidth="1"/>
    <col min="4619" max="4619" width="10.7109375" style="166" customWidth="1"/>
    <col min="4620" max="4620" width="11.28515625" style="166" bestFit="1" customWidth="1"/>
    <col min="4621" max="4621" width="11.42578125" style="166" customWidth="1"/>
    <col min="4622" max="4622" width="10.7109375" style="166" customWidth="1"/>
    <col min="4623" max="4623" width="11.28515625" style="166" customWidth="1"/>
    <col min="4624" max="4625" width="12.5703125" style="166" customWidth="1"/>
    <col min="4626" max="4626" width="0.85546875" style="166" customWidth="1"/>
    <col min="4627" max="4864" width="0" style="166" hidden="1"/>
    <col min="4865" max="4865" width="0.85546875" style="166" customWidth="1"/>
    <col min="4866" max="4866" width="9.85546875" style="166" customWidth="1"/>
    <col min="4867" max="4867" width="40.140625" style="166" customWidth="1"/>
    <col min="4868" max="4868" width="10.5703125" style="166" customWidth="1"/>
    <col min="4869" max="4869" width="10.7109375" style="166" customWidth="1"/>
    <col min="4870" max="4871" width="13.140625" style="166" customWidth="1"/>
    <col min="4872" max="4872" width="10.7109375" style="166" customWidth="1"/>
    <col min="4873" max="4873" width="12" style="166" customWidth="1"/>
    <col min="4874" max="4874" width="12.42578125" style="166" customWidth="1"/>
    <col min="4875" max="4875" width="10.7109375" style="166" customWidth="1"/>
    <col min="4876" max="4876" width="11.28515625" style="166" bestFit="1" customWidth="1"/>
    <col min="4877" max="4877" width="11.42578125" style="166" customWidth="1"/>
    <col min="4878" max="4878" width="10.7109375" style="166" customWidth="1"/>
    <col min="4879" max="4879" width="11.28515625" style="166" customWidth="1"/>
    <col min="4880" max="4881" width="12.5703125" style="166" customWidth="1"/>
    <col min="4882" max="4882" width="0.85546875" style="166" customWidth="1"/>
    <col min="4883" max="5120" width="0" style="166" hidden="1"/>
    <col min="5121" max="5121" width="0.85546875" style="166" customWidth="1"/>
    <col min="5122" max="5122" width="9.85546875" style="166" customWidth="1"/>
    <col min="5123" max="5123" width="40.140625" style="166" customWidth="1"/>
    <col min="5124" max="5124" width="10.5703125" style="166" customWidth="1"/>
    <col min="5125" max="5125" width="10.7109375" style="166" customWidth="1"/>
    <col min="5126" max="5127" width="13.140625" style="166" customWidth="1"/>
    <col min="5128" max="5128" width="10.7109375" style="166" customWidth="1"/>
    <col min="5129" max="5129" width="12" style="166" customWidth="1"/>
    <col min="5130" max="5130" width="12.42578125" style="166" customWidth="1"/>
    <col min="5131" max="5131" width="10.7109375" style="166" customWidth="1"/>
    <col min="5132" max="5132" width="11.28515625" style="166" bestFit="1" customWidth="1"/>
    <col min="5133" max="5133" width="11.42578125" style="166" customWidth="1"/>
    <col min="5134" max="5134" width="10.7109375" style="166" customWidth="1"/>
    <col min="5135" max="5135" width="11.28515625" style="166" customWidth="1"/>
    <col min="5136" max="5137" width="12.5703125" style="166" customWidth="1"/>
    <col min="5138" max="5138" width="0.85546875" style="166" customWidth="1"/>
    <col min="5139" max="5376" width="0" style="166" hidden="1"/>
    <col min="5377" max="5377" width="0.85546875" style="166" customWidth="1"/>
    <col min="5378" max="5378" width="9.85546875" style="166" customWidth="1"/>
    <col min="5379" max="5379" width="40.140625" style="166" customWidth="1"/>
    <col min="5380" max="5380" width="10.5703125" style="166" customWidth="1"/>
    <col min="5381" max="5381" width="10.7109375" style="166" customWidth="1"/>
    <col min="5382" max="5383" width="13.140625" style="166" customWidth="1"/>
    <col min="5384" max="5384" width="10.7109375" style="166" customWidth="1"/>
    <col min="5385" max="5385" width="12" style="166" customWidth="1"/>
    <col min="5386" max="5386" width="12.42578125" style="166" customWidth="1"/>
    <col min="5387" max="5387" width="10.7109375" style="166" customWidth="1"/>
    <col min="5388" max="5388" width="11.28515625" style="166" bestFit="1" customWidth="1"/>
    <col min="5389" max="5389" width="11.42578125" style="166" customWidth="1"/>
    <col min="5390" max="5390" width="10.7109375" style="166" customWidth="1"/>
    <col min="5391" max="5391" width="11.28515625" style="166" customWidth="1"/>
    <col min="5392" max="5393" width="12.5703125" style="166" customWidth="1"/>
    <col min="5394" max="5394" width="0.85546875" style="166" customWidth="1"/>
    <col min="5395" max="5632" width="0" style="166" hidden="1"/>
    <col min="5633" max="5633" width="0.85546875" style="166" customWidth="1"/>
    <col min="5634" max="5634" width="9.85546875" style="166" customWidth="1"/>
    <col min="5635" max="5635" width="40.140625" style="166" customWidth="1"/>
    <col min="5636" max="5636" width="10.5703125" style="166" customWidth="1"/>
    <col min="5637" max="5637" width="10.7109375" style="166" customWidth="1"/>
    <col min="5638" max="5639" width="13.140625" style="166" customWidth="1"/>
    <col min="5640" max="5640" width="10.7109375" style="166" customWidth="1"/>
    <col min="5641" max="5641" width="12" style="166" customWidth="1"/>
    <col min="5642" max="5642" width="12.42578125" style="166" customWidth="1"/>
    <col min="5643" max="5643" width="10.7109375" style="166" customWidth="1"/>
    <col min="5644" max="5644" width="11.28515625" style="166" bestFit="1" customWidth="1"/>
    <col min="5645" max="5645" width="11.42578125" style="166" customWidth="1"/>
    <col min="5646" max="5646" width="10.7109375" style="166" customWidth="1"/>
    <col min="5647" max="5647" width="11.28515625" style="166" customWidth="1"/>
    <col min="5648" max="5649" width="12.5703125" style="166" customWidth="1"/>
    <col min="5650" max="5650" width="0.85546875" style="166" customWidth="1"/>
    <col min="5651" max="5888" width="0" style="166" hidden="1"/>
    <col min="5889" max="5889" width="0.85546875" style="166" customWidth="1"/>
    <col min="5890" max="5890" width="9.85546875" style="166" customWidth="1"/>
    <col min="5891" max="5891" width="40.140625" style="166" customWidth="1"/>
    <col min="5892" max="5892" width="10.5703125" style="166" customWidth="1"/>
    <col min="5893" max="5893" width="10.7109375" style="166" customWidth="1"/>
    <col min="5894" max="5895" width="13.140625" style="166" customWidth="1"/>
    <col min="5896" max="5896" width="10.7109375" style="166" customWidth="1"/>
    <col min="5897" max="5897" width="12" style="166" customWidth="1"/>
    <col min="5898" max="5898" width="12.42578125" style="166" customWidth="1"/>
    <col min="5899" max="5899" width="10.7109375" style="166" customWidth="1"/>
    <col min="5900" max="5900" width="11.28515625" style="166" bestFit="1" customWidth="1"/>
    <col min="5901" max="5901" width="11.42578125" style="166" customWidth="1"/>
    <col min="5902" max="5902" width="10.7109375" style="166" customWidth="1"/>
    <col min="5903" max="5903" width="11.28515625" style="166" customWidth="1"/>
    <col min="5904" max="5905" width="12.5703125" style="166" customWidth="1"/>
    <col min="5906" max="5906" width="0.85546875" style="166" customWidth="1"/>
    <col min="5907" max="6144" width="0" style="166" hidden="1"/>
    <col min="6145" max="6145" width="0.85546875" style="166" customWidth="1"/>
    <col min="6146" max="6146" width="9.85546875" style="166" customWidth="1"/>
    <col min="6147" max="6147" width="40.140625" style="166" customWidth="1"/>
    <col min="6148" max="6148" width="10.5703125" style="166" customWidth="1"/>
    <col min="6149" max="6149" width="10.7109375" style="166" customWidth="1"/>
    <col min="6150" max="6151" width="13.140625" style="166" customWidth="1"/>
    <col min="6152" max="6152" width="10.7109375" style="166" customWidth="1"/>
    <col min="6153" max="6153" width="12" style="166" customWidth="1"/>
    <col min="6154" max="6154" width="12.42578125" style="166" customWidth="1"/>
    <col min="6155" max="6155" width="10.7109375" style="166" customWidth="1"/>
    <col min="6156" max="6156" width="11.28515625" style="166" bestFit="1" customWidth="1"/>
    <col min="6157" max="6157" width="11.42578125" style="166" customWidth="1"/>
    <col min="6158" max="6158" width="10.7109375" style="166" customWidth="1"/>
    <col min="6159" max="6159" width="11.28515625" style="166" customWidth="1"/>
    <col min="6160" max="6161" width="12.5703125" style="166" customWidth="1"/>
    <col min="6162" max="6162" width="0.85546875" style="166" customWidth="1"/>
    <col min="6163" max="6400" width="0" style="166" hidden="1"/>
    <col min="6401" max="6401" width="0.85546875" style="166" customWidth="1"/>
    <col min="6402" max="6402" width="9.85546875" style="166" customWidth="1"/>
    <col min="6403" max="6403" width="40.140625" style="166" customWidth="1"/>
    <col min="6404" max="6404" width="10.5703125" style="166" customWidth="1"/>
    <col min="6405" max="6405" width="10.7109375" style="166" customWidth="1"/>
    <col min="6406" max="6407" width="13.140625" style="166" customWidth="1"/>
    <col min="6408" max="6408" width="10.7109375" style="166" customWidth="1"/>
    <col min="6409" max="6409" width="12" style="166" customWidth="1"/>
    <col min="6410" max="6410" width="12.42578125" style="166" customWidth="1"/>
    <col min="6411" max="6411" width="10.7109375" style="166" customWidth="1"/>
    <col min="6412" max="6412" width="11.28515625" style="166" bestFit="1" customWidth="1"/>
    <col min="6413" max="6413" width="11.42578125" style="166" customWidth="1"/>
    <col min="6414" max="6414" width="10.7109375" style="166" customWidth="1"/>
    <col min="6415" max="6415" width="11.28515625" style="166" customWidth="1"/>
    <col min="6416" max="6417" width="12.5703125" style="166" customWidth="1"/>
    <col min="6418" max="6418" width="0.85546875" style="166" customWidth="1"/>
    <col min="6419" max="6656" width="0" style="166" hidden="1"/>
    <col min="6657" max="6657" width="0.85546875" style="166" customWidth="1"/>
    <col min="6658" max="6658" width="9.85546875" style="166" customWidth="1"/>
    <col min="6659" max="6659" width="40.140625" style="166" customWidth="1"/>
    <col min="6660" max="6660" width="10.5703125" style="166" customWidth="1"/>
    <col min="6661" max="6661" width="10.7109375" style="166" customWidth="1"/>
    <col min="6662" max="6663" width="13.140625" style="166" customWidth="1"/>
    <col min="6664" max="6664" width="10.7109375" style="166" customWidth="1"/>
    <col min="6665" max="6665" width="12" style="166" customWidth="1"/>
    <col min="6666" max="6666" width="12.42578125" style="166" customWidth="1"/>
    <col min="6667" max="6667" width="10.7109375" style="166" customWidth="1"/>
    <col min="6668" max="6668" width="11.28515625" style="166" bestFit="1" customWidth="1"/>
    <col min="6669" max="6669" width="11.42578125" style="166" customWidth="1"/>
    <col min="6670" max="6670" width="10.7109375" style="166" customWidth="1"/>
    <col min="6671" max="6671" width="11.28515625" style="166" customWidth="1"/>
    <col min="6672" max="6673" width="12.5703125" style="166" customWidth="1"/>
    <col min="6674" max="6674" width="0.85546875" style="166" customWidth="1"/>
    <col min="6675" max="6912" width="0" style="166" hidden="1"/>
    <col min="6913" max="6913" width="0.85546875" style="166" customWidth="1"/>
    <col min="6914" max="6914" width="9.85546875" style="166" customWidth="1"/>
    <col min="6915" max="6915" width="40.140625" style="166" customWidth="1"/>
    <col min="6916" max="6916" width="10.5703125" style="166" customWidth="1"/>
    <col min="6917" max="6917" width="10.7109375" style="166" customWidth="1"/>
    <col min="6918" max="6919" width="13.140625" style="166" customWidth="1"/>
    <col min="6920" max="6920" width="10.7109375" style="166" customWidth="1"/>
    <col min="6921" max="6921" width="12" style="166" customWidth="1"/>
    <col min="6922" max="6922" width="12.42578125" style="166" customWidth="1"/>
    <col min="6923" max="6923" width="10.7109375" style="166" customWidth="1"/>
    <col min="6924" max="6924" width="11.28515625" style="166" bestFit="1" customWidth="1"/>
    <col min="6925" max="6925" width="11.42578125" style="166" customWidth="1"/>
    <col min="6926" max="6926" width="10.7109375" style="166" customWidth="1"/>
    <col min="6927" max="6927" width="11.28515625" style="166" customWidth="1"/>
    <col min="6928" max="6929" width="12.5703125" style="166" customWidth="1"/>
    <col min="6930" max="6930" width="0.85546875" style="166" customWidth="1"/>
    <col min="6931" max="7168" width="0" style="166" hidden="1"/>
    <col min="7169" max="7169" width="0.85546875" style="166" customWidth="1"/>
    <col min="7170" max="7170" width="9.85546875" style="166" customWidth="1"/>
    <col min="7171" max="7171" width="40.140625" style="166" customWidth="1"/>
    <col min="7172" max="7172" width="10.5703125" style="166" customWidth="1"/>
    <col min="7173" max="7173" width="10.7109375" style="166" customWidth="1"/>
    <col min="7174" max="7175" width="13.140625" style="166" customWidth="1"/>
    <col min="7176" max="7176" width="10.7109375" style="166" customWidth="1"/>
    <col min="7177" max="7177" width="12" style="166" customWidth="1"/>
    <col min="7178" max="7178" width="12.42578125" style="166" customWidth="1"/>
    <col min="7179" max="7179" width="10.7109375" style="166" customWidth="1"/>
    <col min="7180" max="7180" width="11.28515625" style="166" bestFit="1" customWidth="1"/>
    <col min="7181" max="7181" width="11.42578125" style="166" customWidth="1"/>
    <col min="7182" max="7182" width="10.7109375" style="166" customWidth="1"/>
    <col min="7183" max="7183" width="11.28515625" style="166" customWidth="1"/>
    <col min="7184" max="7185" width="12.5703125" style="166" customWidth="1"/>
    <col min="7186" max="7186" width="0.85546875" style="166" customWidth="1"/>
    <col min="7187" max="7424" width="0" style="166" hidden="1"/>
    <col min="7425" max="7425" width="0.85546875" style="166" customWidth="1"/>
    <col min="7426" max="7426" width="9.85546875" style="166" customWidth="1"/>
    <col min="7427" max="7427" width="40.140625" style="166" customWidth="1"/>
    <col min="7428" max="7428" width="10.5703125" style="166" customWidth="1"/>
    <col min="7429" max="7429" width="10.7109375" style="166" customWidth="1"/>
    <col min="7430" max="7431" width="13.140625" style="166" customWidth="1"/>
    <col min="7432" max="7432" width="10.7109375" style="166" customWidth="1"/>
    <col min="7433" max="7433" width="12" style="166" customWidth="1"/>
    <col min="7434" max="7434" width="12.42578125" style="166" customWidth="1"/>
    <col min="7435" max="7435" width="10.7109375" style="166" customWidth="1"/>
    <col min="7436" max="7436" width="11.28515625" style="166" bestFit="1" customWidth="1"/>
    <col min="7437" max="7437" width="11.42578125" style="166" customWidth="1"/>
    <col min="7438" max="7438" width="10.7109375" style="166" customWidth="1"/>
    <col min="7439" max="7439" width="11.28515625" style="166" customWidth="1"/>
    <col min="7440" max="7441" width="12.5703125" style="166" customWidth="1"/>
    <col min="7442" max="7442" width="0.85546875" style="166" customWidth="1"/>
    <col min="7443" max="7680" width="0" style="166" hidden="1"/>
    <col min="7681" max="7681" width="0.85546875" style="166" customWidth="1"/>
    <col min="7682" max="7682" width="9.85546875" style="166" customWidth="1"/>
    <col min="7683" max="7683" width="40.140625" style="166" customWidth="1"/>
    <col min="7684" max="7684" width="10.5703125" style="166" customWidth="1"/>
    <col min="7685" max="7685" width="10.7109375" style="166" customWidth="1"/>
    <col min="7686" max="7687" width="13.140625" style="166" customWidth="1"/>
    <col min="7688" max="7688" width="10.7109375" style="166" customWidth="1"/>
    <col min="7689" max="7689" width="12" style="166" customWidth="1"/>
    <col min="7690" max="7690" width="12.42578125" style="166" customWidth="1"/>
    <col min="7691" max="7691" width="10.7109375" style="166" customWidth="1"/>
    <col min="7692" max="7692" width="11.28515625" style="166" bestFit="1" customWidth="1"/>
    <col min="7693" max="7693" width="11.42578125" style="166" customWidth="1"/>
    <col min="7694" max="7694" width="10.7109375" style="166" customWidth="1"/>
    <col min="7695" max="7695" width="11.28515625" style="166" customWidth="1"/>
    <col min="7696" max="7697" width="12.5703125" style="166" customWidth="1"/>
    <col min="7698" max="7698" width="0.85546875" style="166" customWidth="1"/>
    <col min="7699" max="7936" width="0" style="166" hidden="1"/>
    <col min="7937" max="7937" width="0.85546875" style="166" customWidth="1"/>
    <col min="7938" max="7938" width="9.85546875" style="166" customWidth="1"/>
    <col min="7939" max="7939" width="40.140625" style="166" customWidth="1"/>
    <col min="7940" max="7940" width="10.5703125" style="166" customWidth="1"/>
    <col min="7941" max="7941" width="10.7109375" style="166" customWidth="1"/>
    <col min="7942" max="7943" width="13.140625" style="166" customWidth="1"/>
    <col min="7944" max="7944" width="10.7109375" style="166" customWidth="1"/>
    <col min="7945" max="7945" width="12" style="166" customWidth="1"/>
    <col min="7946" max="7946" width="12.42578125" style="166" customWidth="1"/>
    <col min="7947" max="7947" width="10.7109375" style="166" customWidth="1"/>
    <col min="7948" max="7948" width="11.28515625" style="166" bestFit="1" customWidth="1"/>
    <col min="7949" max="7949" width="11.42578125" style="166" customWidth="1"/>
    <col min="7950" max="7950" width="10.7109375" style="166" customWidth="1"/>
    <col min="7951" max="7951" width="11.28515625" style="166" customWidth="1"/>
    <col min="7952" max="7953" width="12.5703125" style="166" customWidth="1"/>
    <col min="7954" max="7954" width="0.85546875" style="166" customWidth="1"/>
    <col min="7955" max="8192" width="0" style="166" hidden="1"/>
    <col min="8193" max="8193" width="0.85546875" style="166" customWidth="1"/>
    <col min="8194" max="8194" width="9.85546875" style="166" customWidth="1"/>
    <col min="8195" max="8195" width="40.140625" style="166" customWidth="1"/>
    <col min="8196" max="8196" width="10.5703125" style="166" customWidth="1"/>
    <col min="8197" max="8197" width="10.7109375" style="166" customWidth="1"/>
    <col min="8198" max="8199" width="13.140625" style="166" customWidth="1"/>
    <col min="8200" max="8200" width="10.7109375" style="166" customWidth="1"/>
    <col min="8201" max="8201" width="12" style="166" customWidth="1"/>
    <col min="8202" max="8202" width="12.42578125" style="166" customWidth="1"/>
    <col min="8203" max="8203" width="10.7109375" style="166" customWidth="1"/>
    <col min="8204" max="8204" width="11.28515625" style="166" bestFit="1" customWidth="1"/>
    <col min="8205" max="8205" width="11.42578125" style="166" customWidth="1"/>
    <col min="8206" max="8206" width="10.7109375" style="166" customWidth="1"/>
    <col min="8207" max="8207" width="11.28515625" style="166" customWidth="1"/>
    <col min="8208" max="8209" width="12.5703125" style="166" customWidth="1"/>
    <col min="8210" max="8210" width="0.85546875" style="166" customWidth="1"/>
    <col min="8211" max="8448" width="0" style="166" hidden="1"/>
    <col min="8449" max="8449" width="0.85546875" style="166" customWidth="1"/>
    <col min="8450" max="8450" width="9.85546875" style="166" customWidth="1"/>
    <col min="8451" max="8451" width="40.140625" style="166" customWidth="1"/>
    <col min="8452" max="8452" width="10.5703125" style="166" customWidth="1"/>
    <col min="8453" max="8453" width="10.7109375" style="166" customWidth="1"/>
    <col min="8454" max="8455" width="13.140625" style="166" customWidth="1"/>
    <col min="8456" max="8456" width="10.7109375" style="166" customWidth="1"/>
    <col min="8457" max="8457" width="12" style="166" customWidth="1"/>
    <col min="8458" max="8458" width="12.42578125" style="166" customWidth="1"/>
    <col min="8459" max="8459" width="10.7109375" style="166" customWidth="1"/>
    <col min="8460" max="8460" width="11.28515625" style="166" bestFit="1" customWidth="1"/>
    <col min="8461" max="8461" width="11.42578125" style="166" customWidth="1"/>
    <col min="8462" max="8462" width="10.7109375" style="166" customWidth="1"/>
    <col min="8463" max="8463" width="11.28515625" style="166" customWidth="1"/>
    <col min="8464" max="8465" width="12.5703125" style="166" customWidth="1"/>
    <col min="8466" max="8466" width="0.85546875" style="166" customWidth="1"/>
    <col min="8467" max="8704" width="0" style="166" hidden="1"/>
    <col min="8705" max="8705" width="0.85546875" style="166" customWidth="1"/>
    <col min="8706" max="8706" width="9.85546875" style="166" customWidth="1"/>
    <col min="8707" max="8707" width="40.140625" style="166" customWidth="1"/>
    <col min="8708" max="8708" width="10.5703125" style="166" customWidth="1"/>
    <col min="8709" max="8709" width="10.7109375" style="166" customWidth="1"/>
    <col min="8710" max="8711" width="13.140625" style="166" customWidth="1"/>
    <col min="8712" max="8712" width="10.7109375" style="166" customWidth="1"/>
    <col min="8713" max="8713" width="12" style="166" customWidth="1"/>
    <col min="8714" max="8714" width="12.42578125" style="166" customWidth="1"/>
    <col min="8715" max="8715" width="10.7109375" style="166" customWidth="1"/>
    <col min="8716" max="8716" width="11.28515625" style="166" bestFit="1" customWidth="1"/>
    <col min="8717" max="8717" width="11.42578125" style="166" customWidth="1"/>
    <col min="8718" max="8718" width="10.7109375" style="166" customWidth="1"/>
    <col min="8719" max="8719" width="11.28515625" style="166" customWidth="1"/>
    <col min="8720" max="8721" width="12.5703125" style="166" customWidth="1"/>
    <col min="8722" max="8722" width="0.85546875" style="166" customWidth="1"/>
    <col min="8723" max="8960" width="0" style="166" hidden="1"/>
    <col min="8961" max="8961" width="0.85546875" style="166" customWidth="1"/>
    <col min="8962" max="8962" width="9.85546875" style="166" customWidth="1"/>
    <col min="8963" max="8963" width="40.140625" style="166" customWidth="1"/>
    <col min="8964" max="8964" width="10.5703125" style="166" customWidth="1"/>
    <col min="8965" max="8965" width="10.7109375" style="166" customWidth="1"/>
    <col min="8966" max="8967" width="13.140625" style="166" customWidth="1"/>
    <col min="8968" max="8968" width="10.7109375" style="166" customWidth="1"/>
    <col min="8969" max="8969" width="12" style="166" customWidth="1"/>
    <col min="8970" max="8970" width="12.42578125" style="166" customWidth="1"/>
    <col min="8971" max="8971" width="10.7109375" style="166" customWidth="1"/>
    <col min="8972" max="8972" width="11.28515625" style="166" bestFit="1" customWidth="1"/>
    <col min="8973" max="8973" width="11.42578125" style="166" customWidth="1"/>
    <col min="8974" max="8974" width="10.7109375" style="166" customWidth="1"/>
    <col min="8975" max="8975" width="11.28515625" style="166" customWidth="1"/>
    <col min="8976" max="8977" width="12.5703125" style="166" customWidth="1"/>
    <col min="8978" max="8978" width="0.85546875" style="166" customWidth="1"/>
    <col min="8979" max="9216" width="0" style="166" hidden="1"/>
    <col min="9217" max="9217" width="0.85546875" style="166" customWidth="1"/>
    <col min="9218" max="9218" width="9.85546875" style="166" customWidth="1"/>
    <col min="9219" max="9219" width="40.140625" style="166" customWidth="1"/>
    <col min="9220" max="9220" width="10.5703125" style="166" customWidth="1"/>
    <col min="9221" max="9221" width="10.7109375" style="166" customWidth="1"/>
    <col min="9222" max="9223" width="13.140625" style="166" customWidth="1"/>
    <col min="9224" max="9224" width="10.7109375" style="166" customWidth="1"/>
    <col min="9225" max="9225" width="12" style="166" customWidth="1"/>
    <col min="9226" max="9226" width="12.42578125" style="166" customWidth="1"/>
    <col min="9227" max="9227" width="10.7109375" style="166" customWidth="1"/>
    <col min="9228" max="9228" width="11.28515625" style="166" bestFit="1" customWidth="1"/>
    <col min="9229" max="9229" width="11.42578125" style="166" customWidth="1"/>
    <col min="9230" max="9230" width="10.7109375" style="166" customWidth="1"/>
    <col min="9231" max="9231" width="11.28515625" style="166" customWidth="1"/>
    <col min="9232" max="9233" width="12.5703125" style="166" customWidth="1"/>
    <col min="9234" max="9234" width="0.85546875" style="166" customWidth="1"/>
    <col min="9235" max="9472" width="0" style="166" hidden="1"/>
    <col min="9473" max="9473" width="0.85546875" style="166" customWidth="1"/>
    <col min="9474" max="9474" width="9.85546875" style="166" customWidth="1"/>
    <col min="9475" max="9475" width="40.140625" style="166" customWidth="1"/>
    <col min="9476" max="9476" width="10.5703125" style="166" customWidth="1"/>
    <col min="9477" max="9477" width="10.7109375" style="166" customWidth="1"/>
    <col min="9478" max="9479" width="13.140625" style="166" customWidth="1"/>
    <col min="9480" max="9480" width="10.7109375" style="166" customWidth="1"/>
    <col min="9481" max="9481" width="12" style="166" customWidth="1"/>
    <col min="9482" max="9482" width="12.42578125" style="166" customWidth="1"/>
    <col min="9483" max="9483" width="10.7109375" style="166" customWidth="1"/>
    <col min="9484" max="9484" width="11.28515625" style="166" bestFit="1" customWidth="1"/>
    <col min="9485" max="9485" width="11.42578125" style="166" customWidth="1"/>
    <col min="9486" max="9486" width="10.7109375" style="166" customWidth="1"/>
    <col min="9487" max="9487" width="11.28515625" style="166" customWidth="1"/>
    <col min="9488" max="9489" width="12.5703125" style="166" customWidth="1"/>
    <col min="9490" max="9490" width="0.85546875" style="166" customWidth="1"/>
    <col min="9491" max="9728" width="0" style="166" hidden="1"/>
    <col min="9729" max="9729" width="0.85546875" style="166" customWidth="1"/>
    <col min="9730" max="9730" width="9.85546875" style="166" customWidth="1"/>
    <col min="9731" max="9731" width="40.140625" style="166" customWidth="1"/>
    <col min="9732" max="9732" width="10.5703125" style="166" customWidth="1"/>
    <col min="9733" max="9733" width="10.7109375" style="166" customWidth="1"/>
    <col min="9734" max="9735" width="13.140625" style="166" customWidth="1"/>
    <col min="9736" max="9736" width="10.7109375" style="166" customWidth="1"/>
    <col min="9737" max="9737" width="12" style="166" customWidth="1"/>
    <col min="9738" max="9738" width="12.42578125" style="166" customWidth="1"/>
    <col min="9739" max="9739" width="10.7109375" style="166" customWidth="1"/>
    <col min="9740" max="9740" width="11.28515625" style="166" bestFit="1" customWidth="1"/>
    <col min="9741" max="9741" width="11.42578125" style="166" customWidth="1"/>
    <col min="9742" max="9742" width="10.7109375" style="166" customWidth="1"/>
    <col min="9743" max="9743" width="11.28515625" style="166" customWidth="1"/>
    <col min="9744" max="9745" width="12.5703125" style="166" customWidth="1"/>
    <col min="9746" max="9746" width="0.85546875" style="166" customWidth="1"/>
    <col min="9747" max="9984" width="0" style="166" hidden="1"/>
    <col min="9985" max="9985" width="0.85546875" style="166" customWidth="1"/>
    <col min="9986" max="9986" width="9.85546875" style="166" customWidth="1"/>
    <col min="9987" max="9987" width="40.140625" style="166" customWidth="1"/>
    <col min="9988" max="9988" width="10.5703125" style="166" customWidth="1"/>
    <col min="9989" max="9989" width="10.7109375" style="166" customWidth="1"/>
    <col min="9990" max="9991" width="13.140625" style="166" customWidth="1"/>
    <col min="9992" max="9992" width="10.7109375" style="166" customWidth="1"/>
    <col min="9993" max="9993" width="12" style="166" customWidth="1"/>
    <col min="9994" max="9994" width="12.42578125" style="166" customWidth="1"/>
    <col min="9995" max="9995" width="10.7109375" style="166" customWidth="1"/>
    <col min="9996" max="9996" width="11.28515625" style="166" bestFit="1" customWidth="1"/>
    <col min="9997" max="9997" width="11.42578125" style="166" customWidth="1"/>
    <col min="9998" max="9998" width="10.7109375" style="166" customWidth="1"/>
    <col min="9999" max="9999" width="11.28515625" style="166" customWidth="1"/>
    <col min="10000" max="10001" width="12.5703125" style="166" customWidth="1"/>
    <col min="10002" max="10002" width="0.85546875" style="166" customWidth="1"/>
    <col min="10003" max="10240" width="0" style="166" hidden="1"/>
    <col min="10241" max="10241" width="0.85546875" style="166" customWidth="1"/>
    <col min="10242" max="10242" width="9.85546875" style="166" customWidth="1"/>
    <col min="10243" max="10243" width="40.140625" style="166" customWidth="1"/>
    <col min="10244" max="10244" width="10.5703125" style="166" customWidth="1"/>
    <col min="10245" max="10245" width="10.7109375" style="166" customWidth="1"/>
    <col min="10246" max="10247" width="13.140625" style="166" customWidth="1"/>
    <col min="10248" max="10248" width="10.7109375" style="166" customWidth="1"/>
    <col min="10249" max="10249" width="12" style="166" customWidth="1"/>
    <col min="10250" max="10250" width="12.42578125" style="166" customWidth="1"/>
    <col min="10251" max="10251" width="10.7109375" style="166" customWidth="1"/>
    <col min="10252" max="10252" width="11.28515625" style="166" bestFit="1" customWidth="1"/>
    <col min="10253" max="10253" width="11.42578125" style="166" customWidth="1"/>
    <col min="10254" max="10254" width="10.7109375" style="166" customWidth="1"/>
    <col min="10255" max="10255" width="11.28515625" style="166" customWidth="1"/>
    <col min="10256" max="10257" width="12.5703125" style="166" customWidth="1"/>
    <col min="10258" max="10258" width="0.85546875" style="166" customWidth="1"/>
    <col min="10259" max="10496" width="0" style="166" hidden="1"/>
    <col min="10497" max="10497" width="0.85546875" style="166" customWidth="1"/>
    <col min="10498" max="10498" width="9.85546875" style="166" customWidth="1"/>
    <col min="10499" max="10499" width="40.140625" style="166" customWidth="1"/>
    <col min="10500" max="10500" width="10.5703125" style="166" customWidth="1"/>
    <col min="10501" max="10501" width="10.7109375" style="166" customWidth="1"/>
    <col min="10502" max="10503" width="13.140625" style="166" customWidth="1"/>
    <col min="10504" max="10504" width="10.7109375" style="166" customWidth="1"/>
    <col min="10505" max="10505" width="12" style="166" customWidth="1"/>
    <col min="10506" max="10506" width="12.42578125" style="166" customWidth="1"/>
    <col min="10507" max="10507" width="10.7109375" style="166" customWidth="1"/>
    <col min="10508" max="10508" width="11.28515625" style="166" bestFit="1" customWidth="1"/>
    <col min="10509" max="10509" width="11.42578125" style="166" customWidth="1"/>
    <col min="10510" max="10510" width="10.7109375" style="166" customWidth="1"/>
    <col min="10511" max="10511" width="11.28515625" style="166" customWidth="1"/>
    <col min="10512" max="10513" width="12.5703125" style="166" customWidth="1"/>
    <col min="10514" max="10514" width="0.85546875" style="166" customWidth="1"/>
    <col min="10515" max="10752" width="0" style="166" hidden="1"/>
    <col min="10753" max="10753" width="0.85546875" style="166" customWidth="1"/>
    <col min="10754" max="10754" width="9.85546875" style="166" customWidth="1"/>
    <col min="10755" max="10755" width="40.140625" style="166" customWidth="1"/>
    <col min="10756" max="10756" width="10.5703125" style="166" customWidth="1"/>
    <col min="10757" max="10757" width="10.7109375" style="166" customWidth="1"/>
    <col min="10758" max="10759" width="13.140625" style="166" customWidth="1"/>
    <col min="10760" max="10760" width="10.7109375" style="166" customWidth="1"/>
    <col min="10761" max="10761" width="12" style="166" customWidth="1"/>
    <col min="10762" max="10762" width="12.42578125" style="166" customWidth="1"/>
    <col min="10763" max="10763" width="10.7109375" style="166" customWidth="1"/>
    <col min="10764" max="10764" width="11.28515625" style="166" bestFit="1" customWidth="1"/>
    <col min="10765" max="10765" width="11.42578125" style="166" customWidth="1"/>
    <col min="10766" max="10766" width="10.7109375" style="166" customWidth="1"/>
    <col min="10767" max="10767" width="11.28515625" style="166" customWidth="1"/>
    <col min="10768" max="10769" width="12.5703125" style="166" customWidth="1"/>
    <col min="10770" max="10770" width="0.85546875" style="166" customWidth="1"/>
    <col min="10771" max="11008" width="0" style="166" hidden="1"/>
    <col min="11009" max="11009" width="0.85546875" style="166" customWidth="1"/>
    <col min="11010" max="11010" width="9.85546875" style="166" customWidth="1"/>
    <col min="11011" max="11011" width="40.140625" style="166" customWidth="1"/>
    <col min="11012" max="11012" width="10.5703125" style="166" customWidth="1"/>
    <col min="11013" max="11013" width="10.7109375" style="166" customWidth="1"/>
    <col min="11014" max="11015" width="13.140625" style="166" customWidth="1"/>
    <col min="11016" max="11016" width="10.7109375" style="166" customWidth="1"/>
    <col min="11017" max="11017" width="12" style="166" customWidth="1"/>
    <col min="11018" max="11018" width="12.42578125" style="166" customWidth="1"/>
    <col min="11019" max="11019" width="10.7109375" style="166" customWidth="1"/>
    <col min="11020" max="11020" width="11.28515625" style="166" bestFit="1" customWidth="1"/>
    <col min="11021" max="11021" width="11.42578125" style="166" customWidth="1"/>
    <col min="11022" max="11022" width="10.7109375" style="166" customWidth="1"/>
    <col min="11023" max="11023" width="11.28515625" style="166" customWidth="1"/>
    <col min="11024" max="11025" width="12.5703125" style="166" customWidth="1"/>
    <col min="11026" max="11026" width="0.85546875" style="166" customWidth="1"/>
    <col min="11027" max="11264" width="0" style="166" hidden="1"/>
    <col min="11265" max="11265" width="0.85546875" style="166" customWidth="1"/>
    <col min="11266" max="11266" width="9.85546875" style="166" customWidth="1"/>
    <col min="11267" max="11267" width="40.140625" style="166" customWidth="1"/>
    <col min="11268" max="11268" width="10.5703125" style="166" customWidth="1"/>
    <col min="11269" max="11269" width="10.7109375" style="166" customWidth="1"/>
    <col min="11270" max="11271" width="13.140625" style="166" customWidth="1"/>
    <col min="11272" max="11272" width="10.7109375" style="166" customWidth="1"/>
    <col min="11273" max="11273" width="12" style="166" customWidth="1"/>
    <col min="11274" max="11274" width="12.42578125" style="166" customWidth="1"/>
    <col min="11275" max="11275" width="10.7109375" style="166" customWidth="1"/>
    <col min="11276" max="11276" width="11.28515625" style="166" bestFit="1" customWidth="1"/>
    <col min="11277" max="11277" width="11.42578125" style="166" customWidth="1"/>
    <col min="11278" max="11278" width="10.7109375" style="166" customWidth="1"/>
    <col min="11279" max="11279" width="11.28515625" style="166" customWidth="1"/>
    <col min="11280" max="11281" width="12.5703125" style="166" customWidth="1"/>
    <col min="11282" max="11282" width="0.85546875" style="166" customWidth="1"/>
    <col min="11283" max="11520" width="0" style="166" hidden="1"/>
    <col min="11521" max="11521" width="0.85546875" style="166" customWidth="1"/>
    <col min="11522" max="11522" width="9.85546875" style="166" customWidth="1"/>
    <col min="11523" max="11523" width="40.140625" style="166" customWidth="1"/>
    <col min="11524" max="11524" width="10.5703125" style="166" customWidth="1"/>
    <col min="11525" max="11525" width="10.7109375" style="166" customWidth="1"/>
    <col min="11526" max="11527" width="13.140625" style="166" customWidth="1"/>
    <col min="11528" max="11528" width="10.7109375" style="166" customWidth="1"/>
    <col min="11529" max="11529" width="12" style="166" customWidth="1"/>
    <col min="11530" max="11530" width="12.42578125" style="166" customWidth="1"/>
    <col min="11531" max="11531" width="10.7109375" style="166" customWidth="1"/>
    <col min="11532" max="11532" width="11.28515625" style="166" bestFit="1" customWidth="1"/>
    <col min="11533" max="11533" width="11.42578125" style="166" customWidth="1"/>
    <col min="11534" max="11534" width="10.7109375" style="166" customWidth="1"/>
    <col min="11535" max="11535" width="11.28515625" style="166" customWidth="1"/>
    <col min="11536" max="11537" width="12.5703125" style="166" customWidth="1"/>
    <col min="11538" max="11538" width="0.85546875" style="166" customWidth="1"/>
    <col min="11539" max="11776" width="0" style="166" hidden="1"/>
    <col min="11777" max="11777" width="0.85546875" style="166" customWidth="1"/>
    <col min="11778" max="11778" width="9.85546875" style="166" customWidth="1"/>
    <col min="11779" max="11779" width="40.140625" style="166" customWidth="1"/>
    <col min="11780" max="11780" width="10.5703125" style="166" customWidth="1"/>
    <col min="11781" max="11781" width="10.7109375" style="166" customWidth="1"/>
    <col min="11782" max="11783" width="13.140625" style="166" customWidth="1"/>
    <col min="11784" max="11784" width="10.7109375" style="166" customWidth="1"/>
    <col min="11785" max="11785" width="12" style="166" customWidth="1"/>
    <col min="11786" max="11786" width="12.42578125" style="166" customWidth="1"/>
    <col min="11787" max="11787" width="10.7109375" style="166" customWidth="1"/>
    <col min="11788" max="11788" width="11.28515625" style="166" bestFit="1" customWidth="1"/>
    <col min="11789" max="11789" width="11.42578125" style="166" customWidth="1"/>
    <col min="11790" max="11790" width="10.7109375" style="166" customWidth="1"/>
    <col min="11791" max="11791" width="11.28515625" style="166" customWidth="1"/>
    <col min="11792" max="11793" width="12.5703125" style="166" customWidth="1"/>
    <col min="11794" max="11794" width="0.85546875" style="166" customWidth="1"/>
    <col min="11795" max="12032" width="0" style="166" hidden="1"/>
    <col min="12033" max="12033" width="0.85546875" style="166" customWidth="1"/>
    <col min="12034" max="12034" width="9.85546875" style="166" customWidth="1"/>
    <col min="12035" max="12035" width="40.140625" style="166" customWidth="1"/>
    <col min="12036" max="12036" width="10.5703125" style="166" customWidth="1"/>
    <col min="12037" max="12037" width="10.7109375" style="166" customWidth="1"/>
    <col min="12038" max="12039" width="13.140625" style="166" customWidth="1"/>
    <col min="12040" max="12040" width="10.7109375" style="166" customWidth="1"/>
    <col min="12041" max="12041" width="12" style="166" customWidth="1"/>
    <col min="12042" max="12042" width="12.42578125" style="166" customWidth="1"/>
    <col min="12043" max="12043" width="10.7109375" style="166" customWidth="1"/>
    <col min="12044" max="12044" width="11.28515625" style="166" bestFit="1" customWidth="1"/>
    <col min="12045" max="12045" width="11.42578125" style="166" customWidth="1"/>
    <col min="12046" max="12046" width="10.7109375" style="166" customWidth="1"/>
    <col min="12047" max="12047" width="11.28515625" style="166" customWidth="1"/>
    <col min="12048" max="12049" width="12.5703125" style="166" customWidth="1"/>
    <col min="12050" max="12050" width="0.85546875" style="166" customWidth="1"/>
    <col min="12051" max="12288" width="0" style="166" hidden="1"/>
    <col min="12289" max="12289" width="0.85546875" style="166" customWidth="1"/>
    <col min="12290" max="12290" width="9.85546875" style="166" customWidth="1"/>
    <col min="12291" max="12291" width="40.140625" style="166" customWidth="1"/>
    <col min="12292" max="12292" width="10.5703125" style="166" customWidth="1"/>
    <col min="12293" max="12293" width="10.7109375" style="166" customWidth="1"/>
    <col min="12294" max="12295" width="13.140625" style="166" customWidth="1"/>
    <col min="12296" max="12296" width="10.7109375" style="166" customWidth="1"/>
    <col min="12297" max="12297" width="12" style="166" customWidth="1"/>
    <col min="12298" max="12298" width="12.42578125" style="166" customWidth="1"/>
    <col min="12299" max="12299" width="10.7109375" style="166" customWidth="1"/>
    <col min="12300" max="12300" width="11.28515625" style="166" bestFit="1" customWidth="1"/>
    <col min="12301" max="12301" width="11.42578125" style="166" customWidth="1"/>
    <col min="12302" max="12302" width="10.7109375" style="166" customWidth="1"/>
    <col min="12303" max="12303" width="11.28515625" style="166" customWidth="1"/>
    <col min="12304" max="12305" width="12.5703125" style="166" customWidth="1"/>
    <col min="12306" max="12306" width="0.85546875" style="166" customWidth="1"/>
    <col min="12307" max="12544" width="0" style="166" hidden="1"/>
    <col min="12545" max="12545" width="0.85546875" style="166" customWidth="1"/>
    <col min="12546" max="12546" width="9.85546875" style="166" customWidth="1"/>
    <col min="12547" max="12547" width="40.140625" style="166" customWidth="1"/>
    <col min="12548" max="12548" width="10.5703125" style="166" customWidth="1"/>
    <col min="12549" max="12549" width="10.7109375" style="166" customWidth="1"/>
    <col min="12550" max="12551" width="13.140625" style="166" customWidth="1"/>
    <col min="12552" max="12552" width="10.7109375" style="166" customWidth="1"/>
    <col min="12553" max="12553" width="12" style="166" customWidth="1"/>
    <col min="12554" max="12554" width="12.42578125" style="166" customWidth="1"/>
    <col min="12555" max="12555" width="10.7109375" style="166" customWidth="1"/>
    <col min="12556" max="12556" width="11.28515625" style="166" bestFit="1" customWidth="1"/>
    <col min="12557" max="12557" width="11.42578125" style="166" customWidth="1"/>
    <col min="12558" max="12558" width="10.7109375" style="166" customWidth="1"/>
    <col min="12559" max="12559" width="11.28515625" style="166" customWidth="1"/>
    <col min="12560" max="12561" width="12.5703125" style="166" customWidth="1"/>
    <col min="12562" max="12562" width="0.85546875" style="166" customWidth="1"/>
    <col min="12563" max="12800" width="0" style="166" hidden="1"/>
    <col min="12801" max="12801" width="0.85546875" style="166" customWidth="1"/>
    <col min="12802" max="12802" width="9.85546875" style="166" customWidth="1"/>
    <col min="12803" max="12803" width="40.140625" style="166" customWidth="1"/>
    <col min="12804" max="12804" width="10.5703125" style="166" customWidth="1"/>
    <col min="12805" max="12805" width="10.7109375" style="166" customWidth="1"/>
    <col min="12806" max="12807" width="13.140625" style="166" customWidth="1"/>
    <col min="12808" max="12808" width="10.7109375" style="166" customWidth="1"/>
    <col min="12809" max="12809" width="12" style="166" customWidth="1"/>
    <col min="12810" max="12810" width="12.42578125" style="166" customWidth="1"/>
    <col min="12811" max="12811" width="10.7109375" style="166" customWidth="1"/>
    <col min="12812" max="12812" width="11.28515625" style="166" bestFit="1" customWidth="1"/>
    <col min="12813" max="12813" width="11.42578125" style="166" customWidth="1"/>
    <col min="12814" max="12814" width="10.7109375" style="166" customWidth="1"/>
    <col min="12815" max="12815" width="11.28515625" style="166" customWidth="1"/>
    <col min="12816" max="12817" width="12.5703125" style="166" customWidth="1"/>
    <col min="12818" max="12818" width="0.85546875" style="166" customWidth="1"/>
    <col min="12819" max="13056" width="0" style="166" hidden="1"/>
    <col min="13057" max="13057" width="0.85546875" style="166" customWidth="1"/>
    <col min="13058" max="13058" width="9.85546875" style="166" customWidth="1"/>
    <col min="13059" max="13059" width="40.140625" style="166" customWidth="1"/>
    <col min="13060" max="13060" width="10.5703125" style="166" customWidth="1"/>
    <col min="13061" max="13061" width="10.7109375" style="166" customWidth="1"/>
    <col min="13062" max="13063" width="13.140625" style="166" customWidth="1"/>
    <col min="13064" max="13064" width="10.7109375" style="166" customWidth="1"/>
    <col min="13065" max="13065" width="12" style="166" customWidth="1"/>
    <col min="13066" max="13066" width="12.42578125" style="166" customWidth="1"/>
    <col min="13067" max="13067" width="10.7109375" style="166" customWidth="1"/>
    <col min="13068" max="13068" width="11.28515625" style="166" bestFit="1" customWidth="1"/>
    <col min="13069" max="13069" width="11.42578125" style="166" customWidth="1"/>
    <col min="13070" max="13070" width="10.7109375" style="166" customWidth="1"/>
    <col min="13071" max="13071" width="11.28515625" style="166" customWidth="1"/>
    <col min="13072" max="13073" width="12.5703125" style="166" customWidth="1"/>
    <col min="13074" max="13074" width="0.85546875" style="166" customWidth="1"/>
    <col min="13075" max="13312" width="0" style="166" hidden="1"/>
    <col min="13313" max="13313" width="0.85546875" style="166" customWidth="1"/>
    <col min="13314" max="13314" width="9.85546875" style="166" customWidth="1"/>
    <col min="13315" max="13315" width="40.140625" style="166" customWidth="1"/>
    <col min="13316" max="13316" width="10.5703125" style="166" customWidth="1"/>
    <col min="13317" max="13317" width="10.7109375" style="166" customWidth="1"/>
    <col min="13318" max="13319" width="13.140625" style="166" customWidth="1"/>
    <col min="13320" max="13320" width="10.7109375" style="166" customWidth="1"/>
    <col min="13321" max="13321" width="12" style="166" customWidth="1"/>
    <col min="13322" max="13322" width="12.42578125" style="166" customWidth="1"/>
    <col min="13323" max="13323" width="10.7109375" style="166" customWidth="1"/>
    <col min="13324" max="13324" width="11.28515625" style="166" bestFit="1" customWidth="1"/>
    <col min="13325" max="13325" width="11.42578125" style="166" customWidth="1"/>
    <col min="13326" max="13326" width="10.7109375" style="166" customWidth="1"/>
    <col min="13327" max="13327" width="11.28515625" style="166" customWidth="1"/>
    <col min="13328" max="13329" width="12.5703125" style="166" customWidth="1"/>
    <col min="13330" max="13330" width="0.85546875" style="166" customWidth="1"/>
    <col min="13331" max="13568" width="0" style="166" hidden="1"/>
    <col min="13569" max="13569" width="0.85546875" style="166" customWidth="1"/>
    <col min="13570" max="13570" width="9.85546875" style="166" customWidth="1"/>
    <col min="13571" max="13571" width="40.140625" style="166" customWidth="1"/>
    <col min="13572" max="13572" width="10.5703125" style="166" customWidth="1"/>
    <col min="13573" max="13573" width="10.7109375" style="166" customWidth="1"/>
    <col min="13574" max="13575" width="13.140625" style="166" customWidth="1"/>
    <col min="13576" max="13576" width="10.7109375" style="166" customWidth="1"/>
    <col min="13577" max="13577" width="12" style="166" customWidth="1"/>
    <col min="13578" max="13578" width="12.42578125" style="166" customWidth="1"/>
    <col min="13579" max="13579" width="10.7109375" style="166" customWidth="1"/>
    <col min="13580" max="13580" width="11.28515625" style="166" bestFit="1" customWidth="1"/>
    <col min="13581" max="13581" width="11.42578125" style="166" customWidth="1"/>
    <col min="13582" max="13582" width="10.7109375" style="166" customWidth="1"/>
    <col min="13583" max="13583" width="11.28515625" style="166" customWidth="1"/>
    <col min="13584" max="13585" width="12.5703125" style="166" customWidth="1"/>
    <col min="13586" max="13586" width="0.85546875" style="166" customWidth="1"/>
    <col min="13587" max="13824" width="0" style="166" hidden="1"/>
    <col min="13825" max="13825" width="0.85546875" style="166" customWidth="1"/>
    <col min="13826" max="13826" width="9.85546875" style="166" customWidth="1"/>
    <col min="13827" max="13827" width="40.140625" style="166" customWidth="1"/>
    <col min="13828" max="13828" width="10.5703125" style="166" customWidth="1"/>
    <col min="13829" max="13829" width="10.7109375" style="166" customWidth="1"/>
    <col min="13830" max="13831" width="13.140625" style="166" customWidth="1"/>
    <col min="13832" max="13832" width="10.7109375" style="166" customWidth="1"/>
    <col min="13833" max="13833" width="12" style="166" customWidth="1"/>
    <col min="13834" max="13834" width="12.42578125" style="166" customWidth="1"/>
    <col min="13835" max="13835" width="10.7109375" style="166" customWidth="1"/>
    <col min="13836" max="13836" width="11.28515625" style="166" bestFit="1" customWidth="1"/>
    <col min="13837" max="13837" width="11.42578125" style="166" customWidth="1"/>
    <col min="13838" max="13838" width="10.7109375" style="166" customWidth="1"/>
    <col min="13839" max="13839" width="11.28515625" style="166" customWidth="1"/>
    <col min="13840" max="13841" width="12.5703125" style="166" customWidth="1"/>
    <col min="13842" max="13842" width="0.85546875" style="166" customWidth="1"/>
    <col min="13843" max="14080" width="0" style="166" hidden="1"/>
    <col min="14081" max="14081" width="0.85546875" style="166" customWidth="1"/>
    <col min="14082" max="14082" width="9.85546875" style="166" customWidth="1"/>
    <col min="14083" max="14083" width="40.140625" style="166" customWidth="1"/>
    <col min="14084" max="14084" width="10.5703125" style="166" customWidth="1"/>
    <col min="14085" max="14085" width="10.7109375" style="166" customWidth="1"/>
    <col min="14086" max="14087" width="13.140625" style="166" customWidth="1"/>
    <col min="14088" max="14088" width="10.7109375" style="166" customWidth="1"/>
    <col min="14089" max="14089" width="12" style="166" customWidth="1"/>
    <col min="14090" max="14090" width="12.42578125" style="166" customWidth="1"/>
    <col min="14091" max="14091" width="10.7109375" style="166" customWidth="1"/>
    <col min="14092" max="14092" width="11.28515625" style="166" bestFit="1" customWidth="1"/>
    <col min="14093" max="14093" width="11.42578125" style="166" customWidth="1"/>
    <col min="14094" max="14094" width="10.7109375" style="166" customWidth="1"/>
    <col min="14095" max="14095" width="11.28515625" style="166" customWidth="1"/>
    <col min="14096" max="14097" width="12.5703125" style="166" customWidth="1"/>
    <col min="14098" max="14098" width="0.85546875" style="166" customWidth="1"/>
    <col min="14099" max="14336" width="0" style="166" hidden="1"/>
    <col min="14337" max="14337" width="0.85546875" style="166" customWidth="1"/>
    <col min="14338" max="14338" width="9.85546875" style="166" customWidth="1"/>
    <col min="14339" max="14339" width="40.140625" style="166" customWidth="1"/>
    <col min="14340" max="14340" width="10.5703125" style="166" customWidth="1"/>
    <col min="14341" max="14341" width="10.7109375" style="166" customWidth="1"/>
    <col min="14342" max="14343" width="13.140625" style="166" customWidth="1"/>
    <col min="14344" max="14344" width="10.7109375" style="166" customWidth="1"/>
    <col min="14345" max="14345" width="12" style="166" customWidth="1"/>
    <col min="14346" max="14346" width="12.42578125" style="166" customWidth="1"/>
    <col min="14347" max="14347" width="10.7109375" style="166" customWidth="1"/>
    <col min="14348" max="14348" width="11.28515625" style="166" bestFit="1" customWidth="1"/>
    <col min="14349" max="14349" width="11.42578125" style="166" customWidth="1"/>
    <col min="14350" max="14350" width="10.7109375" style="166" customWidth="1"/>
    <col min="14351" max="14351" width="11.28515625" style="166" customWidth="1"/>
    <col min="14352" max="14353" width="12.5703125" style="166" customWidth="1"/>
    <col min="14354" max="14354" width="0.85546875" style="166" customWidth="1"/>
    <col min="14355" max="14592" width="0" style="166" hidden="1"/>
    <col min="14593" max="14593" width="0.85546875" style="166" customWidth="1"/>
    <col min="14594" max="14594" width="9.85546875" style="166" customWidth="1"/>
    <col min="14595" max="14595" width="40.140625" style="166" customWidth="1"/>
    <col min="14596" max="14596" width="10.5703125" style="166" customWidth="1"/>
    <col min="14597" max="14597" width="10.7109375" style="166" customWidth="1"/>
    <col min="14598" max="14599" width="13.140625" style="166" customWidth="1"/>
    <col min="14600" max="14600" width="10.7109375" style="166" customWidth="1"/>
    <col min="14601" max="14601" width="12" style="166" customWidth="1"/>
    <col min="14602" max="14602" width="12.42578125" style="166" customWidth="1"/>
    <col min="14603" max="14603" width="10.7109375" style="166" customWidth="1"/>
    <col min="14604" max="14604" width="11.28515625" style="166" bestFit="1" customWidth="1"/>
    <col min="14605" max="14605" width="11.42578125" style="166" customWidth="1"/>
    <col min="14606" max="14606" width="10.7109375" style="166" customWidth="1"/>
    <col min="14607" max="14607" width="11.28515625" style="166" customWidth="1"/>
    <col min="14608" max="14609" width="12.5703125" style="166" customWidth="1"/>
    <col min="14610" max="14610" width="0.85546875" style="166" customWidth="1"/>
    <col min="14611" max="14848" width="0" style="166" hidden="1"/>
    <col min="14849" max="14849" width="0.85546875" style="166" customWidth="1"/>
    <col min="14850" max="14850" width="9.85546875" style="166" customWidth="1"/>
    <col min="14851" max="14851" width="40.140625" style="166" customWidth="1"/>
    <col min="14852" max="14852" width="10.5703125" style="166" customWidth="1"/>
    <col min="14853" max="14853" width="10.7109375" style="166" customWidth="1"/>
    <col min="14854" max="14855" width="13.140625" style="166" customWidth="1"/>
    <col min="14856" max="14856" width="10.7109375" style="166" customWidth="1"/>
    <col min="14857" max="14857" width="12" style="166" customWidth="1"/>
    <col min="14858" max="14858" width="12.42578125" style="166" customWidth="1"/>
    <col min="14859" max="14859" width="10.7109375" style="166" customWidth="1"/>
    <col min="14860" max="14860" width="11.28515625" style="166" bestFit="1" customWidth="1"/>
    <col min="14861" max="14861" width="11.42578125" style="166" customWidth="1"/>
    <col min="14862" max="14862" width="10.7109375" style="166" customWidth="1"/>
    <col min="14863" max="14863" width="11.28515625" style="166" customWidth="1"/>
    <col min="14864" max="14865" width="12.5703125" style="166" customWidth="1"/>
    <col min="14866" max="14866" width="0.85546875" style="166" customWidth="1"/>
    <col min="14867" max="15104" width="0" style="166" hidden="1"/>
    <col min="15105" max="15105" width="0.85546875" style="166" customWidth="1"/>
    <col min="15106" max="15106" width="9.85546875" style="166" customWidth="1"/>
    <col min="15107" max="15107" width="40.140625" style="166" customWidth="1"/>
    <col min="15108" max="15108" width="10.5703125" style="166" customWidth="1"/>
    <col min="15109" max="15109" width="10.7109375" style="166" customWidth="1"/>
    <col min="15110" max="15111" width="13.140625" style="166" customWidth="1"/>
    <col min="15112" max="15112" width="10.7109375" style="166" customWidth="1"/>
    <col min="15113" max="15113" width="12" style="166" customWidth="1"/>
    <col min="15114" max="15114" width="12.42578125" style="166" customWidth="1"/>
    <col min="15115" max="15115" width="10.7109375" style="166" customWidth="1"/>
    <col min="15116" max="15116" width="11.28515625" style="166" bestFit="1" customWidth="1"/>
    <col min="15117" max="15117" width="11.42578125" style="166" customWidth="1"/>
    <col min="15118" max="15118" width="10.7109375" style="166" customWidth="1"/>
    <col min="15119" max="15119" width="11.28515625" style="166" customWidth="1"/>
    <col min="15120" max="15121" width="12.5703125" style="166" customWidth="1"/>
    <col min="15122" max="15122" width="0.85546875" style="166" customWidth="1"/>
    <col min="15123" max="15360" width="0" style="166" hidden="1"/>
    <col min="15361" max="15361" width="0.85546875" style="166" customWidth="1"/>
    <col min="15362" max="15362" width="9.85546875" style="166" customWidth="1"/>
    <col min="15363" max="15363" width="40.140625" style="166" customWidth="1"/>
    <col min="15364" max="15364" width="10.5703125" style="166" customWidth="1"/>
    <col min="15365" max="15365" width="10.7109375" style="166" customWidth="1"/>
    <col min="15366" max="15367" width="13.140625" style="166" customWidth="1"/>
    <col min="15368" max="15368" width="10.7109375" style="166" customWidth="1"/>
    <col min="15369" max="15369" width="12" style="166" customWidth="1"/>
    <col min="15370" max="15370" width="12.42578125" style="166" customWidth="1"/>
    <col min="15371" max="15371" width="10.7109375" style="166" customWidth="1"/>
    <col min="15372" max="15372" width="11.28515625" style="166" bestFit="1" customWidth="1"/>
    <col min="15373" max="15373" width="11.42578125" style="166" customWidth="1"/>
    <col min="15374" max="15374" width="10.7109375" style="166" customWidth="1"/>
    <col min="15375" max="15375" width="11.28515625" style="166" customWidth="1"/>
    <col min="15376" max="15377" width="12.5703125" style="166" customWidth="1"/>
    <col min="15378" max="15378" width="0.85546875" style="166" customWidth="1"/>
    <col min="15379" max="15616" width="0" style="166" hidden="1"/>
    <col min="15617" max="15617" width="0.85546875" style="166" customWidth="1"/>
    <col min="15618" max="15618" width="9.85546875" style="166" customWidth="1"/>
    <col min="15619" max="15619" width="40.140625" style="166" customWidth="1"/>
    <col min="15620" max="15620" width="10.5703125" style="166" customWidth="1"/>
    <col min="15621" max="15621" width="10.7109375" style="166" customWidth="1"/>
    <col min="15622" max="15623" width="13.140625" style="166" customWidth="1"/>
    <col min="15624" max="15624" width="10.7109375" style="166" customWidth="1"/>
    <col min="15625" max="15625" width="12" style="166" customWidth="1"/>
    <col min="15626" max="15626" width="12.42578125" style="166" customWidth="1"/>
    <col min="15627" max="15627" width="10.7109375" style="166" customWidth="1"/>
    <col min="15628" max="15628" width="11.28515625" style="166" bestFit="1" customWidth="1"/>
    <col min="15629" max="15629" width="11.42578125" style="166" customWidth="1"/>
    <col min="15630" max="15630" width="10.7109375" style="166" customWidth="1"/>
    <col min="15631" max="15631" width="11.28515625" style="166" customWidth="1"/>
    <col min="15632" max="15633" width="12.5703125" style="166" customWidth="1"/>
    <col min="15634" max="15634" width="0.85546875" style="166" customWidth="1"/>
    <col min="15635" max="15872" width="0" style="166" hidden="1"/>
    <col min="15873" max="15873" width="0.85546875" style="166" customWidth="1"/>
    <col min="15874" max="15874" width="9.85546875" style="166" customWidth="1"/>
    <col min="15875" max="15875" width="40.140625" style="166" customWidth="1"/>
    <col min="15876" max="15876" width="10.5703125" style="166" customWidth="1"/>
    <col min="15877" max="15877" width="10.7109375" style="166" customWidth="1"/>
    <col min="15878" max="15879" width="13.140625" style="166" customWidth="1"/>
    <col min="15880" max="15880" width="10.7109375" style="166" customWidth="1"/>
    <col min="15881" max="15881" width="12" style="166" customWidth="1"/>
    <col min="15882" max="15882" width="12.42578125" style="166" customWidth="1"/>
    <col min="15883" max="15883" width="10.7109375" style="166" customWidth="1"/>
    <col min="15884" max="15884" width="11.28515625" style="166" bestFit="1" customWidth="1"/>
    <col min="15885" max="15885" width="11.42578125" style="166" customWidth="1"/>
    <col min="15886" max="15886" width="10.7109375" style="166" customWidth="1"/>
    <col min="15887" max="15887" width="11.28515625" style="166" customWidth="1"/>
    <col min="15888" max="15889" width="12.5703125" style="166" customWidth="1"/>
    <col min="15890" max="15890" width="0.85546875" style="166" customWidth="1"/>
    <col min="15891" max="16128" width="0" style="166" hidden="1"/>
    <col min="16129" max="16129" width="0.85546875" style="166" customWidth="1"/>
    <col min="16130" max="16130" width="9.85546875" style="166" customWidth="1"/>
    <col min="16131" max="16131" width="40.140625" style="166" customWidth="1"/>
    <col min="16132" max="16132" width="10.5703125" style="166" customWidth="1"/>
    <col min="16133" max="16133" width="10.7109375" style="166" customWidth="1"/>
    <col min="16134" max="16135" width="13.140625" style="166" customWidth="1"/>
    <col min="16136" max="16136" width="10.7109375" style="166" customWidth="1"/>
    <col min="16137" max="16137" width="12" style="166" customWidth="1"/>
    <col min="16138" max="16138" width="12.42578125" style="166" customWidth="1"/>
    <col min="16139" max="16139" width="10.7109375" style="166" customWidth="1"/>
    <col min="16140" max="16140" width="11.28515625" style="166" bestFit="1" customWidth="1"/>
    <col min="16141" max="16141" width="11.42578125" style="166" customWidth="1"/>
    <col min="16142" max="16142" width="10.7109375" style="166" customWidth="1"/>
    <col min="16143" max="16143" width="11.28515625" style="166" customWidth="1"/>
    <col min="16144" max="16145" width="12.5703125" style="166" customWidth="1"/>
    <col min="16146" max="16146" width="0.85546875" style="166" customWidth="1"/>
    <col min="16147" max="16384" width="0" style="166" hidden="1"/>
  </cols>
  <sheetData>
    <row r="1" spans="1:29" s="11" customFormat="1" ht="20.100000000000001" customHeight="1" x14ac:dyDescent="0.25">
      <c r="A1" s="69"/>
      <c r="B1" s="569" t="s">
        <v>2794</v>
      </c>
      <c r="C1" s="569"/>
      <c r="D1" s="569"/>
      <c r="E1" s="569"/>
      <c r="F1" s="569"/>
      <c r="G1" s="569"/>
      <c r="H1" s="569"/>
      <c r="I1" s="569"/>
      <c r="J1" s="569"/>
      <c r="K1" s="569"/>
      <c r="L1" s="569"/>
      <c r="M1" s="569"/>
      <c r="N1" s="569"/>
      <c r="O1" s="569"/>
      <c r="P1" s="569"/>
      <c r="Q1" s="569"/>
      <c r="R1" s="226"/>
      <c r="S1" s="226"/>
      <c r="T1" s="226"/>
      <c r="U1" s="226"/>
      <c r="V1" s="226"/>
      <c r="W1" s="226"/>
      <c r="X1" s="226"/>
      <c r="Y1" s="69"/>
      <c r="Z1" s="69"/>
      <c r="AA1" s="69"/>
      <c r="AB1" s="69"/>
      <c r="AC1" s="69"/>
    </row>
    <row r="2" spans="1:29" s="11" customFormat="1" ht="20.100000000000001" customHeight="1" x14ac:dyDescent="0.25">
      <c r="A2" s="69"/>
      <c r="B2" s="569"/>
      <c r="C2" s="569"/>
      <c r="D2" s="569"/>
      <c r="E2" s="569"/>
      <c r="F2" s="569"/>
      <c r="G2" s="569"/>
      <c r="H2" s="569"/>
      <c r="I2" s="569"/>
      <c r="J2" s="569"/>
      <c r="K2" s="569"/>
      <c r="L2" s="569"/>
      <c r="M2" s="569"/>
      <c r="N2" s="569"/>
      <c r="O2" s="569"/>
      <c r="P2" s="569"/>
      <c r="Q2" s="569"/>
      <c r="R2" s="226"/>
      <c r="S2" s="226"/>
      <c r="T2" s="226"/>
      <c r="U2" s="226"/>
      <c r="V2" s="226"/>
      <c r="W2" s="226"/>
      <c r="X2" s="226"/>
      <c r="Y2" s="69"/>
      <c r="Z2" s="69"/>
      <c r="AA2" s="69"/>
      <c r="AB2" s="69"/>
      <c r="AC2" s="69"/>
    </row>
    <row r="3" spans="1:29" s="11" customFormat="1" ht="20.100000000000001" customHeight="1" x14ac:dyDescent="0.25">
      <c r="A3" s="69"/>
      <c r="B3" s="69"/>
      <c r="C3" s="69"/>
      <c r="D3" s="69"/>
      <c r="E3" s="69"/>
      <c r="F3" s="69"/>
      <c r="G3" s="69"/>
      <c r="H3" s="69"/>
      <c r="I3" s="69"/>
      <c r="J3" s="69"/>
      <c r="K3" s="69"/>
      <c r="L3" s="69"/>
      <c r="M3" s="69"/>
      <c r="N3" s="69"/>
      <c r="O3" s="69"/>
      <c r="P3" s="69"/>
      <c r="Q3" s="69"/>
      <c r="R3" s="69"/>
      <c r="S3" s="69"/>
      <c r="T3" s="69"/>
      <c r="U3" s="69"/>
      <c r="V3" s="69"/>
      <c r="W3" s="69"/>
      <c r="X3" s="181"/>
      <c r="Y3" s="69"/>
      <c r="Z3" s="69"/>
      <c r="AA3" s="69"/>
      <c r="AB3" s="69"/>
      <c r="AC3" s="69"/>
    </row>
    <row r="4" spans="1:29" s="5" customFormat="1" ht="24.95" customHeight="1" x14ac:dyDescent="0.25">
      <c r="B4" s="1" t="s">
        <v>16</v>
      </c>
      <c r="C4" s="674" t="str">
        <f>'DADOS DA OBRA'!$B$13</f>
        <v>DEMOLIÇÃO DO RESERVATÓRIO EXISTENTE, EXECUÇÃO DE RESERVATÓRIO METÁLICO ELEVADO E REESTRUTURAÇÃO (COM AMPLIAÇÃO) DA REDE DE DISTRIBUIÇÃO DE ÁGUA TRATADA EXISTENTE NO MUNICÍPIO DE MATRINCHÃ</v>
      </c>
      <c r="D4" s="674"/>
      <c r="E4" s="674"/>
      <c r="F4" s="674"/>
      <c r="G4" s="674"/>
      <c r="H4" s="674"/>
      <c r="I4" s="674"/>
      <c r="J4" s="674"/>
      <c r="K4" s="674"/>
      <c r="L4" s="674"/>
      <c r="M4" s="674"/>
      <c r="N4" s="674"/>
      <c r="O4" s="3" t="s">
        <v>96</v>
      </c>
      <c r="P4" s="4" t="str">
        <f>+'DADOS DA OBRA'!$N$22</f>
        <v>04/11/2024</v>
      </c>
      <c r="Q4" s="2"/>
      <c r="R4" s="2"/>
      <c r="S4" s="2"/>
      <c r="T4" s="2"/>
      <c r="X4" s="50"/>
      <c r="Z4" s="32"/>
      <c r="AA4" s="32"/>
      <c r="AB4" s="33"/>
      <c r="AC4" s="33"/>
    </row>
    <row r="5" spans="1:29" s="5" customFormat="1" ht="20.100000000000001" customHeight="1" x14ac:dyDescent="0.25">
      <c r="B5" s="1" t="s">
        <v>18</v>
      </c>
      <c r="C5" s="2" t="str">
        <f>+""&amp;'DADOS DA OBRA'!$B$16&amp;", "&amp;'DADOS DA OBRA'!$B$19&amp;", "&amp;'DADOS DA OBRA'!$J$19&amp;", "&amp;'DADOS DA OBRA'!$P$19</f>
        <v>RUAS DIVERSAS, DIVERSOS, MATRINCHÃ, GO</v>
      </c>
      <c r="D5" s="1"/>
      <c r="E5" s="1"/>
      <c r="F5" s="1"/>
      <c r="G5" s="1"/>
      <c r="H5" s="1"/>
      <c r="I5" s="1"/>
      <c r="O5" s="3" t="s">
        <v>17</v>
      </c>
      <c r="P5" s="4" t="str">
        <f>'DADOS DA OBRA'!$N$25</f>
        <v>00</v>
      </c>
      <c r="X5" s="50"/>
    </row>
    <row r="6" spans="1:29" s="5" customFormat="1" ht="20.100000000000001" customHeight="1" x14ac:dyDescent="0.25">
      <c r="X6" s="50"/>
    </row>
    <row r="7" spans="1:29" s="5" customFormat="1" ht="20.100000000000001" customHeight="1" x14ac:dyDescent="0.25">
      <c r="B7" s="1" t="s">
        <v>97</v>
      </c>
      <c r="C7" s="39" t="s">
        <v>239</v>
      </c>
      <c r="D7" s="1"/>
      <c r="E7" s="1"/>
      <c r="F7" s="1"/>
      <c r="G7" s="1"/>
      <c r="H7" s="1"/>
      <c r="I7" s="1"/>
      <c r="O7" s="3"/>
      <c r="P7" s="64"/>
      <c r="X7" s="50"/>
    </row>
    <row r="8" spans="1:29" s="8" customFormat="1" ht="20.100000000000001" customHeight="1" thickBot="1" x14ac:dyDescent="0.3">
      <c r="A8" s="67"/>
      <c r="B8" s="52"/>
      <c r="C8" s="52"/>
      <c r="D8" s="52"/>
      <c r="E8" s="52"/>
      <c r="F8" s="52"/>
      <c r="G8" s="52"/>
      <c r="H8" s="52"/>
      <c r="I8" s="52"/>
      <c r="J8" s="53"/>
      <c r="K8" s="9"/>
      <c r="L8" s="9"/>
      <c r="M8" s="9"/>
      <c r="N8" s="10"/>
      <c r="O8" s="10"/>
      <c r="P8" s="9"/>
      <c r="Q8" s="67"/>
      <c r="R8" s="67"/>
      <c r="S8" s="67"/>
      <c r="T8" s="67"/>
      <c r="U8" s="67"/>
      <c r="V8" s="67"/>
      <c r="W8" s="67"/>
      <c r="X8" s="164"/>
      <c r="Y8" s="67"/>
      <c r="Z8" s="67"/>
      <c r="AA8" s="67"/>
      <c r="AB8" s="67"/>
      <c r="AC8" s="67"/>
    </row>
    <row r="9" spans="1:29" x14ac:dyDescent="0.25">
      <c r="B9" s="951" t="s">
        <v>20</v>
      </c>
      <c r="C9" s="954" t="s">
        <v>2725</v>
      </c>
      <c r="D9" s="517" t="s">
        <v>2795</v>
      </c>
      <c r="E9" s="948" t="s">
        <v>2796</v>
      </c>
      <c r="F9" s="949"/>
      <c r="G9" s="950"/>
      <c r="H9" s="948" t="s">
        <v>2797</v>
      </c>
      <c r="I9" s="949"/>
      <c r="J9" s="950"/>
      <c r="K9" s="948" t="s">
        <v>2798</v>
      </c>
      <c r="L9" s="949"/>
      <c r="M9" s="950"/>
      <c r="N9" s="948"/>
      <c r="O9" s="949"/>
      <c r="P9" s="950"/>
      <c r="Q9" s="946" t="s">
        <v>2799</v>
      </c>
    </row>
    <row r="10" spans="1:29" x14ac:dyDescent="0.25">
      <c r="B10" s="952"/>
      <c r="C10" s="955"/>
      <c r="D10" s="518" t="s">
        <v>2800</v>
      </c>
      <c r="E10" s="936" t="s">
        <v>2801</v>
      </c>
      <c r="F10" s="937"/>
      <c r="G10" s="938"/>
      <c r="H10" s="936" t="s">
        <v>2802</v>
      </c>
      <c r="I10" s="937"/>
      <c r="J10" s="938"/>
      <c r="K10" s="936" t="s">
        <v>2803</v>
      </c>
      <c r="L10" s="937"/>
      <c r="M10" s="938"/>
      <c r="N10" s="936"/>
      <c r="O10" s="937"/>
      <c r="P10" s="938"/>
      <c r="Q10" s="947"/>
    </row>
    <row r="11" spans="1:29" x14ac:dyDescent="0.25">
      <c r="B11" s="952"/>
      <c r="C11" s="955"/>
      <c r="D11" s="518" t="s">
        <v>2804</v>
      </c>
      <c r="E11" s="957" t="s">
        <v>2805</v>
      </c>
      <c r="F11" s="937"/>
      <c r="G11" s="938"/>
      <c r="H11" s="936"/>
      <c r="I11" s="937"/>
      <c r="J11" s="938"/>
      <c r="K11" s="936" t="s">
        <v>2806</v>
      </c>
      <c r="L11" s="937"/>
      <c r="M11" s="938"/>
      <c r="N11" s="936"/>
      <c r="O11" s="937"/>
      <c r="P11" s="938"/>
      <c r="Q11" s="947"/>
    </row>
    <row r="12" spans="1:29" x14ac:dyDescent="0.25">
      <c r="B12" s="952"/>
      <c r="C12" s="955"/>
      <c r="D12" s="518" t="s">
        <v>2807</v>
      </c>
      <c r="E12" s="936" t="s">
        <v>2808</v>
      </c>
      <c r="F12" s="937"/>
      <c r="G12" s="938"/>
      <c r="H12" s="936" t="s">
        <v>2809</v>
      </c>
      <c r="I12" s="937"/>
      <c r="J12" s="938"/>
      <c r="K12" s="936" t="s">
        <v>2810</v>
      </c>
      <c r="L12" s="937"/>
      <c r="M12" s="938"/>
      <c r="N12" s="936"/>
      <c r="O12" s="937"/>
      <c r="P12" s="938"/>
      <c r="Q12" s="947"/>
    </row>
    <row r="13" spans="1:29" s="516" customFormat="1" ht="13.5" thickBot="1" x14ac:dyDescent="0.3">
      <c r="B13" s="953"/>
      <c r="C13" s="956"/>
      <c r="D13" s="519" t="s">
        <v>2811</v>
      </c>
      <c r="E13" s="520" t="s">
        <v>2812</v>
      </c>
      <c r="F13" s="521" t="s">
        <v>2813</v>
      </c>
      <c r="G13" s="522" t="s">
        <v>2814</v>
      </c>
      <c r="H13" s="520" t="s">
        <v>2812</v>
      </c>
      <c r="I13" s="521" t="s">
        <v>2813</v>
      </c>
      <c r="J13" s="522" t="s">
        <v>2814</v>
      </c>
      <c r="K13" s="520" t="s">
        <v>2812</v>
      </c>
      <c r="L13" s="521" t="s">
        <v>2813</v>
      </c>
      <c r="M13" s="522" t="s">
        <v>2814</v>
      </c>
      <c r="N13" s="520" t="s">
        <v>2812</v>
      </c>
      <c r="O13" s="521" t="s">
        <v>2813</v>
      </c>
      <c r="P13" s="522" t="s">
        <v>2814</v>
      </c>
      <c r="Q13" s="947"/>
    </row>
    <row r="14" spans="1:29" ht="25.5" x14ac:dyDescent="0.25">
      <c r="B14" s="523">
        <v>1</v>
      </c>
      <c r="C14" s="524" t="s">
        <v>2815</v>
      </c>
      <c r="D14" s="525" t="s">
        <v>783</v>
      </c>
      <c r="E14" s="526">
        <v>1</v>
      </c>
      <c r="F14" s="527">
        <v>540750</v>
      </c>
      <c r="G14" s="528">
        <f>+E14*F14</f>
        <v>540750</v>
      </c>
      <c r="H14" s="529">
        <f>+E14</f>
        <v>1</v>
      </c>
      <c r="I14" s="527">
        <v>487694.52</v>
      </c>
      <c r="J14" s="528">
        <f>+H14*I14</f>
        <v>487694.52</v>
      </c>
      <c r="K14" s="529">
        <f>+H14</f>
        <v>1</v>
      </c>
      <c r="L14" s="527">
        <v>440000</v>
      </c>
      <c r="M14" s="528">
        <f>+K14*L14</f>
        <v>440000</v>
      </c>
      <c r="N14" s="529"/>
      <c r="O14" s="527"/>
      <c r="P14" s="528">
        <f>+N14*O14</f>
        <v>0</v>
      </c>
      <c r="Q14" s="939">
        <f>+IF(O29="MÉDIA",AVERAGE(E18,H18,K18),IF(O29="MEDIANA",MEDIAN(E18,H18,K18)))</f>
        <v>491481.50666666665</v>
      </c>
    </row>
    <row r="15" spans="1:29" ht="51" x14ac:dyDescent="0.25">
      <c r="B15" s="523">
        <v>2</v>
      </c>
      <c r="C15" s="524" t="s">
        <v>2816</v>
      </c>
      <c r="D15" s="525" t="s">
        <v>81</v>
      </c>
      <c r="E15" s="526">
        <v>10</v>
      </c>
      <c r="F15" s="527">
        <v>300</v>
      </c>
      <c r="G15" s="528">
        <f>+E15*F15</f>
        <v>3000</v>
      </c>
      <c r="H15" s="529">
        <f>+E15</f>
        <v>10</v>
      </c>
      <c r="I15" s="527"/>
      <c r="J15" s="528">
        <f>+H15*I15</f>
        <v>0</v>
      </c>
      <c r="K15" s="529">
        <f>E15</f>
        <v>10</v>
      </c>
      <c r="L15" s="527">
        <f>+F15</f>
        <v>300</v>
      </c>
      <c r="M15" s="528">
        <f>+K15*L15</f>
        <v>3000</v>
      </c>
      <c r="N15" s="529"/>
      <c r="O15" s="527"/>
      <c r="P15" s="528">
        <f>+N15*O15</f>
        <v>0</v>
      </c>
      <c r="Q15" s="940"/>
    </row>
    <row r="16" spans="1:29" ht="15" x14ac:dyDescent="0.25">
      <c r="B16" s="523"/>
      <c r="C16" s="524"/>
      <c r="D16" s="525"/>
      <c r="E16" s="526"/>
      <c r="F16" s="527"/>
      <c r="G16" s="528"/>
      <c r="H16" s="530"/>
      <c r="I16" s="527"/>
      <c r="J16" s="528"/>
      <c r="K16" s="530"/>
      <c r="L16" s="527"/>
      <c r="M16" s="528"/>
      <c r="N16" s="526"/>
      <c r="O16" s="527"/>
      <c r="P16" s="528"/>
      <c r="Q16" s="531"/>
    </row>
    <row r="17" spans="2:17" ht="15.75" thickBot="1" x14ac:dyDescent="0.3">
      <c r="B17" s="523"/>
      <c r="C17" s="524"/>
      <c r="D17" s="525"/>
      <c r="E17" s="526"/>
      <c r="F17" s="527"/>
      <c r="G17" s="528"/>
      <c r="H17" s="529"/>
      <c r="I17" s="527"/>
      <c r="J17" s="528"/>
      <c r="K17" s="529"/>
      <c r="L17" s="527"/>
      <c r="M17" s="528"/>
      <c r="N17" s="529"/>
      <c r="O17" s="527"/>
      <c r="P17" s="528"/>
      <c r="Q17" s="532"/>
    </row>
    <row r="18" spans="2:17" ht="13.5" thickBot="1" x14ac:dyDescent="0.3">
      <c r="B18" s="941" t="s">
        <v>2817</v>
      </c>
      <c r="C18" s="942"/>
      <c r="D18" s="942"/>
      <c r="E18" s="943">
        <f>SUM(G14:G17)</f>
        <v>543750</v>
      </c>
      <c r="F18" s="944"/>
      <c r="G18" s="945"/>
      <c r="H18" s="943">
        <f>SUM(J14:J17)</f>
        <v>487694.52</v>
      </c>
      <c r="I18" s="944"/>
      <c r="J18" s="945"/>
      <c r="K18" s="943">
        <f>SUM(M14:M17)</f>
        <v>443000</v>
      </c>
      <c r="L18" s="944"/>
      <c r="M18" s="945"/>
      <c r="N18" s="943">
        <f>SUM(P14:P17)</f>
        <v>0</v>
      </c>
      <c r="O18" s="944"/>
      <c r="P18" s="945"/>
    </row>
    <row r="19" spans="2:17" hidden="1" x14ac:dyDescent="0.25">
      <c r="O19" s="167"/>
    </row>
    <row r="20" spans="2:17" x14ac:dyDescent="0.25"/>
    <row r="21" spans="2:17" x14ac:dyDescent="0.25"/>
    <row r="22" spans="2:17" x14ac:dyDescent="0.25"/>
    <row r="23" spans="2:17" ht="18" x14ac:dyDescent="0.25">
      <c r="C23" s="533" t="s">
        <v>2818</v>
      </c>
      <c r="N23" s="934"/>
      <c r="O23" s="934"/>
      <c r="P23" s="934"/>
      <c r="Q23" s="534"/>
    </row>
    <row r="24" spans="2:17" ht="15.75" x14ac:dyDescent="0.25">
      <c r="C24" s="535" t="s">
        <v>2819</v>
      </c>
      <c r="D24" s="536">
        <f>COUNT(E18,H18,K18)</f>
        <v>3</v>
      </c>
    </row>
    <row r="25" spans="2:17" ht="16.5" x14ac:dyDescent="0.25">
      <c r="C25" s="71"/>
      <c r="D25" s="537"/>
      <c r="N25" s="935"/>
      <c r="O25" s="935"/>
      <c r="P25" s="935"/>
      <c r="Q25" s="546"/>
    </row>
    <row r="26" spans="2:17" ht="16.5" x14ac:dyDescent="0.25">
      <c r="D26" s="537"/>
    </row>
    <row r="27" spans="2:17" ht="16.5" x14ac:dyDescent="0.25">
      <c r="C27" s="71"/>
      <c r="D27" s="539">
        <f>AVERAGE(E18,H18,K18)</f>
        <v>491481.50666666665</v>
      </c>
      <c r="H27" s="535" t="s">
        <v>2820</v>
      </c>
    </row>
    <row r="28" spans="2:17" ht="16.5" x14ac:dyDescent="0.25">
      <c r="D28" s="537"/>
    </row>
    <row r="29" spans="2:17" ht="16.5" x14ac:dyDescent="0.25">
      <c r="C29" s="71"/>
      <c r="D29" s="537"/>
      <c r="N29" s="542" t="s">
        <v>2821</v>
      </c>
      <c r="O29" s="538" t="str">
        <f t="array" ref="O29">_xlfn.IFS(D34&lt;0.25,"MÉDIA",D34&gt;=0.25,"MEDIANA")</f>
        <v>MÉDIA</v>
      </c>
    </row>
    <row r="30" spans="2:17" ht="16.5" x14ac:dyDescent="0.25">
      <c r="C30" s="71" t="s">
        <v>2822</v>
      </c>
      <c r="D30" s="539">
        <f>STDEVP(E18:M18)</f>
        <v>41218.091303133166</v>
      </c>
      <c r="N30" s="167"/>
    </row>
    <row r="31" spans="2:17" ht="16.5" x14ac:dyDescent="0.25">
      <c r="C31" s="71"/>
      <c r="D31" s="537"/>
    </row>
    <row r="32" spans="2:17" ht="16.5" x14ac:dyDescent="0.25">
      <c r="C32" s="71"/>
      <c r="D32" s="540"/>
    </row>
    <row r="33" spans="3:4" ht="16.5" x14ac:dyDescent="0.25">
      <c r="C33" s="71"/>
      <c r="D33" s="540"/>
    </row>
    <row r="34" spans="3:4" ht="15" x14ac:dyDescent="0.25">
      <c r="D34" s="541">
        <f>D30/D27</f>
        <v>8.3864989310957261E-2</v>
      </c>
    </row>
    <row r="35" spans="3:4" x14ac:dyDescent="0.25"/>
    <row r="36" spans="3:4" x14ac:dyDescent="0.25"/>
    <row r="37" spans="3:4" x14ac:dyDescent="0.25"/>
    <row r="38" spans="3:4" x14ac:dyDescent="0.25"/>
    <row r="39" spans="3:4" x14ac:dyDescent="0.25"/>
    <row r="40" spans="3:4" x14ac:dyDescent="0.25"/>
    <row r="41" spans="3:4" x14ac:dyDescent="0.25"/>
    <row r="42" spans="3:4" x14ac:dyDescent="0.25"/>
    <row r="43" spans="3:4" x14ac:dyDescent="0.25"/>
    <row r="44" spans="3:4" x14ac:dyDescent="0.25"/>
    <row r="45" spans="3:4" x14ac:dyDescent="0.25"/>
    <row r="46" spans="3:4" x14ac:dyDescent="0.25"/>
    <row r="47" spans="3:4" x14ac:dyDescent="0.25"/>
    <row r="48" spans="3:4"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sheetData>
  <mergeCells count="29">
    <mergeCell ref="C4:N4"/>
    <mergeCell ref="N9:P9"/>
    <mergeCell ref="H12:J12"/>
    <mergeCell ref="B9:B13"/>
    <mergeCell ref="C9:C13"/>
    <mergeCell ref="E9:G9"/>
    <mergeCell ref="H9:J9"/>
    <mergeCell ref="K9:M9"/>
    <mergeCell ref="E11:G11"/>
    <mergeCell ref="H11:J11"/>
    <mergeCell ref="K11:M11"/>
    <mergeCell ref="N11:P11"/>
    <mergeCell ref="E12:G12"/>
    <mergeCell ref="N23:P23"/>
    <mergeCell ref="N25:P25"/>
    <mergeCell ref="B1:Q2"/>
    <mergeCell ref="K12:M12"/>
    <mergeCell ref="N12:P12"/>
    <mergeCell ref="Q14:Q15"/>
    <mergeCell ref="B18:D18"/>
    <mergeCell ref="E18:G18"/>
    <mergeCell ref="H18:J18"/>
    <mergeCell ref="K18:M18"/>
    <mergeCell ref="N18:P18"/>
    <mergeCell ref="Q9:Q13"/>
    <mergeCell ref="E10:G10"/>
    <mergeCell ref="H10:J10"/>
    <mergeCell ref="K10:M10"/>
    <mergeCell ref="N10:P10"/>
  </mergeCells>
  <printOptions horizontalCentered="1"/>
  <pageMargins left="0.51181102362204722" right="0.51181102362204722" top="0.78740157480314965" bottom="0.78740157480314965" header="0.31496062992125984" footer="0.39370078740157483"/>
  <pageSetup paperSize="9" scale="63" orientation="landscape" r:id="rId1"/>
  <headerFooter>
    <oddHeader>&amp;L&amp;G</oddHeader>
    <oddFooter>&amp;L&amp;"Arial Narrow,Normal"&amp;10&amp;A
&amp;F&amp;R&amp;"Arial Narrow,Normal"&amp;10 192 de 192</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AE2156E2C64EAC4288D1C4C998CE28F9" ma:contentTypeVersion="0" ma:contentTypeDescription="Crie um novo documento." ma:contentTypeScope="" ma:versionID="2b6865b6910ca1b9a9fc223af4f1e869">
  <xsd:schema xmlns:xsd="http://www.w3.org/2001/XMLSchema" xmlns:xs="http://www.w3.org/2001/XMLSchema" xmlns:p="http://schemas.microsoft.com/office/2006/metadata/properties" targetNamespace="http://schemas.microsoft.com/office/2006/metadata/properties" ma:root="true" ma:fieldsID="6e078010f886becc52d8153076464ff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6FAE452-36B1-4419-AF9A-915F7049E0E6}">
  <ds:schemaRefs>
    <ds:schemaRef ds:uri="http://schemas.microsoft.com/office/2006/metadata/properties"/>
  </ds:schemaRefs>
</ds:datastoreItem>
</file>

<file path=customXml/itemProps2.xml><?xml version="1.0" encoding="utf-8"?>
<ds:datastoreItem xmlns:ds="http://schemas.openxmlformats.org/officeDocument/2006/customXml" ds:itemID="{091A0806-27C7-48D2-874B-E1231DFD0332}">
  <ds:schemaRefs>
    <ds:schemaRef ds:uri="http://schemas.microsoft.com/sharepoint/v3/contenttype/forms"/>
  </ds:schemaRefs>
</ds:datastoreItem>
</file>

<file path=customXml/itemProps3.xml><?xml version="1.0" encoding="utf-8"?>
<ds:datastoreItem xmlns:ds="http://schemas.openxmlformats.org/officeDocument/2006/customXml" ds:itemID="{3805243C-103E-46E3-8531-12C0F39565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53</vt:i4>
      </vt:variant>
      <vt:variant>
        <vt:lpstr>Intervalos Nomeados</vt:lpstr>
      </vt:variant>
      <vt:variant>
        <vt:i4>99</vt:i4>
      </vt:variant>
    </vt:vector>
  </HeadingPairs>
  <TitlesOfParts>
    <vt:vector size="152" baseType="lpstr">
      <vt:lpstr>DADOS DA OBRA</vt:lpstr>
      <vt:lpstr>CAPA - ORÇAMENTO</vt:lpstr>
      <vt:lpstr>CAPA - VANTAJOSIDADE</vt:lpstr>
      <vt:lpstr>VANTAJOSIDADE</vt:lpstr>
      <vt:lpstr>CAPA - ORÇAMENTO (SD)</vt:lpstr>
      <vt:lpstr>ORÇAMENTO RESUMO (SD)</vt:lpstr>
      <vt:lpstr>ORÇAMENTO SINTÉTICO (SD)</vt:lpstr>
      <vt:lpstr>COMPOSIÇÕES (SD)</vt:lpstr>
      <vt:lpstr>CRONOGRAMA (SD)</vt:lpstr>
      <vt:lpstr>CURVA ABC DE SERVIÇOS (SD)</vt:lpstr>
      <vt:lpstr>BDI NORMAL (SD) </vt:lpstr>
      <vt:lpstr>BDI DIFERENCIADO (SD) </vt:lpstr>
      <vt:lpstr>ENCARGOS SOCIAIS</vt:lpstr>
      <vt:lpstr>CAPA - ORÇAMENTO CD</vt:lpstr>
      <vt:lpstr>ORÇAMENTO SINTÉTICO (CD)</vt:lpstr>
      <vt:lpstr>BDI NORMAL (CD)</vt:lpstr>
      <vt:lpstr>BDI DIFERENCIADO (CD)</vt:lpstr>
      <vt:lpstr>CAPA - MEMORIAL DE CÁLCULO</vt:lpstr>
      <vt:lpstr>RESUMO LEVTO</vt:lpstr>
      <vt:lpstr>ADMINISTRAÇÃO LOCAL</vt:lpstr>
      <vt:lpstr>CANTEIRO</vt:lpstr>
      <vt:lpstr>SERVIÇOS PRELIMINARES</vt:lpstr>
      <vt:lpstr>DEMOLIÇÕES</vt:lpstr>
      <vt:lpstr>CAIXAS-MOV. TERRA</vt:lpstr>
      <vt:lpstr>CAIXAS-FUN-CONTENÇÕES</vt:lpstr>
      <vt:lpstr>CAIXAS-PAREDES</vt:lpstr>
      <vt:lpstr>CAIXAS-ESQUADRIAS</vt:lpstr>
      <vt:lpstr>CAIXAS-PAVIM</vt:lpstr>
      <vt:lpstr>RESERV-FUN-ESTACAS</vt:lpstr>
      <vt:lpstr>RESERV-FUN-BLOCO</vt:lpstr>
      <vt:lpstr>RESERV-EST-PILARES</vt:lpstr>
      <vt:lpstr>RESER-EST-VIGA</vt:lpstr>
      <vt:lpstr>RESER-EST-LAJE</vt:lpstr>
      <vt:lpstr>RESER-EST-LAJE CUBÍCULO</vt:lpstr>
      <vt:lpstr>RESER-PAREDES</vt:lpstr>
      <vt:lpstr>RESER-ESQUADRIAS</vt:lpstr>
      <vt:lpstr>RESERV-IMPERMEABILIZAÇÃO</vt:lpstr>
      <vt:lpstr>RESERV-REVESTIMENTOS</vt:lpstr>
      <vt:lpstr>RESERV-PAVIMENTAÇÃO</vt:lpstr>
      <vt:lpstr>RESER-ELE-ELETRODUTO E CABOS</vt:lpstr>
      <vt:lpstr>RESER-ELE-PEÇAS E CONEXÕES</vt:lpstr>
      <vt:lpstr>RESER-ELE-ESCAVAÇÕES</vt:lpstr>
      <vt:lpstr>RESER-SPDA-ELETRODUTO E CABOS</vt:lpstr>
      <vt:lpstr>RESER-SPDA-PEÇAS E CONEXÕES</vt:lpstr>
      <vt:lpstr>RESER-SPDA-ESCAVAÇÕES</vt:lpstr>
      <vt:lpstr>RESER-COMPLEMENTARES</vt:lpstr>
      <vt:lpstr>REDE ABAST-TUBOS E CONEXÕES</vt:lpstr>
      <vt:lpstr>REDE ABAST-MOV. TERRA</vt:lpstr>
      <vt:lpstr>REDE ABAST-CAIXAS e POÇOS</vt:lpstr>
      <vt:lpstr>REDE ABAST-ANCORAGEM</vt:lpstr>
      <vt:lpstr>REDE ABAST-PAVIMENTAÇÃO</vt:lpstr>
      <vt:lpstr>CAPA - MAPA DE COTAÇÕES</vt:lpstr>
      <vt:lpstr>COT-RESERVATÓRIO</vt:lpstr>
      <vt:lpstr>'ADMINISTRAÇÃO LOCAL'!Area_de_impressao</vt:lpstr>
      <vt:lpstr>'BDI DIFERENCIADO (CD)'!Area_de_impressao</vt:lpstr>
      <vt:lpstr>'BDI DIFERENCIADO (SD) '!Area_de_impressao</vt:lpstr>
      <vt:lpstr>'BDI NORMAL (CD)'!Area_de_impressao</vt:lpstr>
      <vt:lpstr>'BDI NORMAL (SD) '!Area_de_impressao</vt:lpstr>
      <vt:lpstr>'CAIXAS-ESQUADRIAS'!Area_de_impressao</vt:lpstr>
      <vt:lpstr>'CAIXAS-FUN-CONTENÇÕES'!Area_de_impressao</vt:lpstr>
      <vt:lpstr>'CAIXAS-MOV. TERRA'!Area_de_impressao</vt:lpstr>
      <vt:lpstr>'CAIXAS-PAREDES'!Area_de_impressao</vt:lpstr>
      <vt:lpstr>'CAIXAS-PAVIM'!Area_de_impressao</vt:lpstr>
      <vt:lpstr>CANTEIRO!Area_de_impressao</vt:lpstr>
      <vt:lpstr>'CAPA - MAPA DE COTAÇÕES'!Area_de_impressao</vt:lpstr>
      <vt:lpstr>'CAPA - MEMORIAL DE CÁLCULO'!Area_de_impressao</vt:lpstr>
      <vt:lpstr>'CAPA - ORÇAMENTO'!Area_de_impressao</vt:lpstr>
      <vt:lpstr>'CAPA - ORÇAMENTO (SD)'!Area_de_impressao</vt:lpstr>
      <vt:lpstr>'CAPA - ORÇAMENTO CD'!Area_de_impressao</vt:lpstr>
      <vt:lpstr>'CAPA - VANTAJOSIDADE'!Area_de_impressao</vt:lpstr>
      <vt:lpstr>'COT-RESERVATÓRIO'!Area_de_impressao</vt:lpstr>
      <vt:lpstr>'CRONOGRAMA (SD)'!Area_de_impressao</vt:lpstr>
      <vt:lpstr>'DADOS DA OBRA'!Area_de_impressao</vt:lpstr>
      <vt:lpstr>DEMOLIÇÕES!Area_de_impressao</vt:lpstr>
      <vt:lpstr>'ENCARGOS SOCIAIS'!Area_de_impressao</vt:lpstr>
      <vt:lpstr>'ORÇAMENTO RESUMO (SD)'!Area_de_impressao</vt:lpstr>
      <vt:lpstr>'ORÇAMENTO SINTÉTICO (CD)'!Area_de_impressao</vt:lpstr>
      <vt:lpstr>'ORÇAMENTO SINTÉTICO (SD)'!Area_de_impressao</vt:lpstr>
      <vt:lpstr>'REDE ABAST-ANCORAGEM'!Area_de_impressao</vt:lpstr>
      <vt:lpstr>'REDE ABAST-CAIXAS e POÇOS'!Area_de_impressao</vt:lpstr>
      <vt:lpstr>'REDE ABAST-MOV. TERRA'!Area_de_impressao</vt:lpstr>
      <vt:lpstr>'REDE ABAST-PAVIMENTAÇÃO'!Area_de_impressao</vt:lpstr>
      <vt:lpstr>'REDE ABAST-TUBOS E CONEXÕES'!Area_de_impressao</vt:lpstr>
      <vt:lpstr>'RESER-COMPLEMENTARES'!Area_de_impressao</vt:lpstr>
      <vt:lpstr>'RESER-ELE-ELETRODUTO E CABOS'!Area_de_impressao</vt:lpstr>
      <vt:lpstr>'RESER-ELE-ESCAVAÇÕES'!Area_de_impressao</vt:lpstr>
      <vt:lpstr>'RESER-ELE-PEÇAS E CONEXÕES'!Area_de_impressao</vt:lpstr>
      <vt:lpstr>'RESER-ESQUADRIAS'!Area_de_impressao</vt:lpstr>
      <vt:lpstr>'RESER-EST-LAJE'!Area_de_impressao</vt:lpstr>
      <vt:lpstr>'RESER-EST-LAJE CUBÍCULO'!Area_de_impressao</vt:lpstr>
      <vt:lpstr>'RESER-EST-VIGA'!Area_de_impressao</vt:lpstr>
      <vt:lpstr>'RESER-PAREDES'!Area_de_impressao</vt:lpstr>
      <vt:lpstr>'RESER-SPDA-ELETRODUTO E CABOS'!Area_de_impressao</vt:lpstr>
      <vt:lpstr>'RESER-SPDA-ESCAVAÇÕES'!Area_de_impressao</vt:lpstr>
      <vt:lpstr>'RESER-SPDA-PEÇAS E CONEXÕES'!Area_de_impressao</vt:lpstr>
      <vt:lpstr>'RESERV-EST-PILARES'!Area_de_impressao</vt:lpstr>
      <vt:lpstr>'RESERV-FUN-BLOCO'!Area_de_impressao</vt:lpstr>
      <vt:lpstr>'RESERV-FUN-ESTACAS'!Area_de_impressao</vt:lpstr>
      <vt:lpstr>'RESERV-IMPERMEABILIZAÇÃO'!Area_de_impressao</vt:lpstr>
      <vt:lpstr>'RESERV-PAVIMENTAÇÃO'!Area_de_impressao</vt:lpstr>
      <vt:lpstr>'RESERV-REVESTIMENTOS'!Area_de_impressao</vt:lpstr>
      <vt:lpstr>'RESUMO LEVTO'!Area_de_impressao</vt:lpstr>
      <vt:lpstr>'SERVIÇOS PRELIMINARES'!Area_de_impressao</vt:lpstr>
      <vt:lpstr>VANTAJOSIDADE!Area_de_impressao</vt:lpstr>
      <vt:lpstr>'ADMINISTRAÇÃO LOCAL'!Titulos_de_impressao</vt:lpstr>
      <vt:lpstr>'BDI DIFERENCIADO (CD)'!Titulos_de_impressao</vt:lpstr>
      <vt:lpstr>'BDI DIFERENCIADO (SD) '!Titulos_de_impressao</vt:lpstr>
      <vt:lpstr>'BDI NORMAL (CD)'!Titulos_de_impressao</vt:lpstr>
      <vt:lpstr>'BDI NORMAL (SD) '!Titulos_de_impressao</vt:lpstr>
      <vt:lpstr>'CAIXAS-ESQUADRIAS'!Titulos_de_impressao</vt:lpstr>
      <vt:lpstr>'CAIXAS-FUN-CONTENÇÕES'!Titulos_de_impressao</vt:lpstr>
      <vt:lpstr>'CAIXAS-MOV. TERRA'!Titulos_de_impressao</vt:lpstr>
      <vt:lpstr>'CAIXAS-PAREDES'!Titulos_de_impressao</vt:lpstr>
      <vt:lpstr>'CAIXAS-PAVIM'!Titulos_de_impressao</vt:lpstr>
      <vt:lpstr>CANTEIRO!Titulos_de_impressao</vt:lpstr>
      <vt:lpstr>'CAPA - MAPA DE COTAÇÕES'!Titulos_de_impressao</vt:lpstr>
      <vt:lpstr>'CAPA - MEMORIAL DE CÁLCULO'!Titulos_de_impressao</vt:lpstr>
      <vt:lpstr>'CAPA - ORÇAMENTO'!Titulos_de_impressao</vt:lpstr>
      <vt:lpstr>'CAPA - ORÇAMENTO (SD)'!Titulos_de_impressao</vt:lpstr>
      <vt:lpstr>'CAPA - ORÇAMENTO CD'!Titulos_de_impressao</vt:lpstr>
      <vt:lpstr>'CAPA - VANTAJOSIDADE'!Titulos_de_impressao</vt:lpstr>
      <vt:lpstr>'COMPOSIÇÕES (SD)'!Titulos_de_impressao</vt:lpstr>
      <vt:lpstr>'CRONOGRAMA (SD)'!Titulos_de_impressao</vt:lpstr>
      <vt:lpstr>'CURVA ABC DE SERVIÇOS (SD)'!Titulos_de_impressao</vt:lpstr>
      <vt:lpstr>DEMOLIÇÕES!Titulos_de_impressao</vt:lpstr>
      <vt:lpstr>'ORÇAMENTO SINTÉTICO (CD)'!Titulos_de_impressao</vt:lpstr>
      <vt:lpstr>'ORÇAMENTO SINTÉTICO (SD)'!Titulos_de_impressao</vt:lpstr>
      <vt:lpstr>'REDE ABAST-ANCORAGEM'!Titulos_de_impressao</vt:lpstr>
      <vt:lpstr>'REDE ABAST-CAIXAS e POÇOS'!Titulos_de_impressao</vt:lpstr>
      <vt:lpstr>'REDE ABAST-MOV. TERRA'!Titulos_de_impressao</vt:lpstr>
      <vt:lpstr>'REDE ABAST-PAVIMENTAÇÃO'!Titulos_de_impressao</vt:lpstr>
      <vt:lpstr>'REDE ABAST-TUBOS E CONEXÕES'!Titulos_de_impressao</vt:lpstr>
      <vt:lpstr>'RESER-COMPLEMENTARES'!Titulos_de_impressao</vt:lpstr>
      <vt:lpstr>'RESER-ELE-ELETRODUTO E CABOS'!Titulos_de_impressao</vt:lpstr>
      <vt:lpstr>'RESER-ELE-ESCAVAÇÕES'!Titulos_de_impressao</vt:lpstr>
      <vt:lpstr>'RESER-ELE-PEÇAS E CONEXÕES'!Titulos_de_impressao</vt:lpstr>
      <vt:lpstr>'RESER-ESQUADRIAS'!Titulos_de_impressao</vt:lpstr>
      <vt:lpstr>'RESER-EST-LAJE'!Titulos_de_impressao</vt:lpstr>
      <vt:lpstr>'RESER-EST-LAJE CUBÍCULO'!Titulos_de_impressao</vt:lpstr>
      <vt:lpstr>'RESER-EST-VIGA'!Titulos_de_impressao</vt:lpstr>
      <vt:lpstr>'RESER-PAREDES'!Titulos_de_impressao</vt:lpstr>
      <vt:lpstr>'RESER-SPDA-ELETRODUTO E CABOS'!Titulos_de_impressao</vt:lpstr>
      <vt:lpstr>'RESER-SPDA-ESCAVAÇÕES'!Titulos_de_impressao</vt:lpstr>
      <vt:lpstr>'RESERV-EST-PILARES'!Titulos_de_impressao</vt:lpstr>
      <vt:lpstr>'RESERV-FUN-BLOCO'!Titulos_de_impressao</vt:lpstr>
      <vt:lpstr>'RESERV-FUN-ESTACAS'!Titulos_de_impressao</vt:lpstr>
      <vt:lpstr>'RESERV-IMPERMEABILIZAÇÃO'!Titulos_de_impressao</vt:lpstr>
      <vt:lpstr>'RESERV-PAVIMENTAÇÃO'!Titulos_de_impressao</vt:lpstr>
      <vt:lpstr>'RESERV-REVESTIMENTOS'!Titulos_de_impressao</vt:lpstr>
      <vt:lpstr>'RESUMO LEVTO'!Titulos_de_impressao</vt:lpstr>
      <vt:lpstr>'SERVIÇOS PRELIMINARES'!Titulos_de_impressao</vt:lpstr>
      <vt:lpstr>VANTAJOSIDADE!Titulos_de_impressao</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Thiago Alves Silva</dc:creator>
  <cp:keywords/>
  <dc:description/>
  <cp:lastModifiedBy>MARCELO CORDEIRO COSTA</cp:lastModifiedBy>
  <cp:revision/>
  <cp:lastPrinted>2024-11-11T05:03:49Z</cp:lastPrinted>
  <dcterms:created xsi:type="dcterms:W3CDTF">2012-03-26T12:45:23Z</dcterms:created>
  <dcterms:modified xsi:type="dcterms:W3CDTF">2025-01-14T17:52:14Z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0x010100AE2156E2C64EAC4288D1C4C998CE28F9</vt:lpwstr>
  </property>
</Properties>
</file>