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PPI\13 - Vistorias\14 - Cavalhódromo de Pirenópolis\Orçamento\"/>
    </mc:Choice>
  </mc:AlternateContent>
  <xr:revisionPtr revIDLastSave="0" documentId="13_ncr:1_{C0D3F4B6-7CF7-4A3D-AA9C-4F11BEC30D3E}" xr6:coauthVersionLast="47" xr6:coauthVersionMax="47" xr10:uidLastSave="{00000000-0000-0000-0000-000000000000}"/>
  <bookViews>
    <workbookView xWindow="28680" yWindow="-120" windowWidth="29040" windowHeight="15720" tabRatio="962" firstSheet="5" activeTab="8" xr2:uid="{00000000-000D-0000-FFFF-FFFF00000000}"/>
  </bookViews>
  <sheets>
    <sheet name="DADOS DA OBRA" sheetId="551" r:id="rId1"/>
    <sheet name="CAPA - ORÇAMENTO" sheetId="858" r:id="rId2"/>
    <sheet name="CAPA - VANTAJOSIDADE" sheetId="848" r:id="rId3"/>
    <sheet name="VANTAJOSIDADE" sheetId="849" r:id="rId4"/>
    <sheet name="CAPA - ORÇAMENTO (SD)" sheetId="852" r:id="rId5"/>
    <sheet name="ORÇAMENTO RESUMO (SD)" sheetId="851" r:id="rId6"/>
    <sheet name="ORÇAMENTO SINTÉTICO (SD)" sheetId="809" r:id="rId7"/>
    <sheet name="CRONOGRAMA (SD)" sheetId="808" r:id="rId8"/>
    <sheet name="CURVA ABC DE SERVIÇOS (SD)" sheetId="853" r:id="rId9"/>
    <sheet name="COMPOSIÇÕES (SD)" sheetId="850" r:id="rId10"/>
    <sheet name="BDI NORMAL (SD) " sheetId="845" r:id="rId11"/>
    <sheet name="BDI DIFERENCIADO (SD) " sheetId="846" r:id="rId12"/>
    <sheet name="ENCARGOS SOCIAIS" sheetId="855" r:id="rId13"/>
    <sheet name="CAPA - ORÇAMENTO CD" sheetId="844" r:id="rId14"/>
    <sheet name="ORÇAMENTO SINTÉTICO (CD)" sheetId="868" r:id="rId15"/>
    <sheet name="BDI NORMAL (CD)" sheetId="843" r:id="rId16"/>
    <sheet name="BDI DIFERENCIADO (CD)" sheetId="840" r:id="rId17"/>
    <sheet name="CAPA - MEMORIAL DE CÁLCULO" sheetId="841" r:id="rId18"/>
    <sheet name="RESUMO LEVTO" sheetId="639" r:id="rId19"/>
    <sheet name="ADMINISTRAÇÃO LOCAL" sheetId="836" r:id="rId20"/>
    <sheet name="CANTEIRO" sheetId="830" r:id="rId21"/>
    <sheet name="EQUIPAMENTOS" sheetId="866" r:id="rId22"/>
    <sheet name="SEGURANÇA DO TRABALHO" sheetId="867" r:id="rId23"/>
    <sheet name="SERVIÇOS PRELIMINARES" sheetId="835" r:id="rId24"/>
    <sheet name="DEMOLIÇÕES - ESQUADRIAS " sheetId="859" r:id="rId25"/>
    <sheet name="DEMOLIÇÕES - GUARDA-CORPO" sheetId="831" r:id="rId26"/>
    <sheet name="DEMOLIÇÕES - ALVENARIAS" sheetId="860" r:id="rId27"/>
    <sheet name="DEMOLIÇÕES - COBERTURA" sheetId="861" r:id="rId28"/>
    <sheet name="DEMOLIÇÕES - CONCRETO" sheetId="862" r:id="rId29"/>
    <sheet name="DEMOLIÇÕES - MOVIMENTO DE TERRA" sheetId="863" r:id="rId30"/>
    <sheet name="DEMOLIÇÕES - TRANSPORTES" sheetId="864" r:id="rId31"/>
    <sheet name="DEMOLIÇÕES - RESÍDUOS" sheetId="865" r:id="rId32"/>
    <sheet name="CAPA - MAPA DE COTAÇÕES" sheetId="856" r:id="rId33"/>
    <sheet name="COT-CORTE DE PILAR" sheetId="857" r:id="rId34"/>
  </sheets>
  <definedNames>
    <definedName name="_xlnm.Print_Area" localSheetId="19">'ADMINISTRAÇÃO LOCAL'!$A$1:$P$31</definedName>
    <definedName name="_xlnm.Print_Area" localSheetId="16">'BDI DIFERENCIADO (CD)'!$A$1:$P$30</definedName>
    <definedName name="_xlnm.Print_Area" localSheetId="11">'BDI DIFERENCIADO (SD) '!$A$1:$P$30</definedName>
    <definedName name="_xlnm.Print_Area" localSheetId="15">'BDI NORMAL (CD)'!$A$1:$P$30</definedName>
    <definedName name="_xlnm.Print_Area" localSheetId="10">'BDI NORMAL (SD) '!$A$1:$P$30</definedName>
    <definedName name="_xlnm.Print_Area" localSheetId="20">CANTEIRO!$A$1:$Q$91</definedName>
    <definedName name="_xlnm.Print_Area" localSheetId="32">'CAPA - MAPA DE COTAÇÕES'!$A$1:$P$27</definedName>
    <definedName name="_xlnm.Print_Area" localSheetId="17">'CAPA - MEMORIAL DE CÁLCULO'!$A$1:$P$27</definedName>
    <definedName name="_xlnm.Print_Area" localSheetId="1">'CAPA - ORÇAMENTO'!$A$1:$P$26</definedName>
    <definedName name="_xlnm.Print_Area" localSheetId="4">'CAPA - ORÇAMENTO (SD)'!$A$1:$P$27</definedName>
    <definedName name="_xlnm.Print_Area" localSheetId="13">'CAPA - ORÇAMENTO CD'!$A$1:$P$27</definedName>
    <definedName name="_xlnm.Print_Area" localSheetId="2">'CAPA - VANTAJOSIDADE'!$A$1:$P$27</definedName>
    <definedName name="_xlnm.Print_Area" localSheetId="33">'COT-CORTE DE PILAR'!$A$1:$R$35</definedName>
    <definedName name="_xlnm.Print_Area" localSheetId="7">'CRONOGRAMA (SD)'!$A$1:$U$50</definedName>
    <definedName name="_xlnm.Print_Area" localSheetId="0">'DADOS DA OBRA'!$A$1:$Q$31</definedName>
    <definedName name="_xlnm.Print_Area" localSheetId="26">'DEMOLIÇÕES - ALVENARIAS'!$A$1:$O$87</definedName>
    <definedName name="_xlnm.Print_Area" localSheetId="27">'DEMOLIÇÕES - COBERTURA'!$A$1:$O$45</definedName>
    <definedName name="_xlnm.Print_Area" localSheetId="28">'DEMOLIÇÕES - CONCRETO'!$A$1:$O$68</definedName>
    <definedName name="_xlnm.Print_Area" localSheetId="24">'DEMOLIÇÕES - ESQUADRIAS '!$A$1:$O$63</definedName>
    <definedName name="_xlnm.Print_Area" localSheetId="25">'DEMOLIÇÕES - GUARDA-CORPO'!$A$1:$O$23</definedName>
    <definedName name="_xlnm.Print_Area" localSheetId="29">'DEMOLIÇÕES - MOVIMENTO DE TERRA'!$A$1:$O$27</definedName>
    <definedName name="_xlnm.Print_Area" localSheetId="31">'DEMOLIÇÕES - RESÍDUOS'!$A$1:$O$15</definedName>
    <definedName name="_xlnm.Print_Area" localSheetId="30">'DEMOLIÇÕES - TRANSPORTES'!$A$1:$O$44</definedName>
    <definedName name="_xlnm.Print_Area" localSheetId="12">'ENCARGOS SOCIAIS'!$A$1:$H$44</definedName>
    <definedName name="_xlnm.Print_Area" localSheetId="21">EQUIPAMENTOS!$A$1:$O$139</definedName>
    <definedName name="_xlnm.Print_Area" localSheetId="5">'ORÇAMENTO RESUMO (SD)'!$A$1:$L$23</definedName>
    <definedName name="_xlnm.Print_Area" localSheetId="14">'ORÇAMENTO SINTÉTICO (CD)'!$A$1:$M$79</definedName>
    <definedName name="_xlnm.Print_Area" localSheetId="6">'ORÇAMENTO SINTÉTICO (SD)'!$A$1:$M$79</definedName>
    <definedName name="_xlnm.Print_Area" localSheetId="18">'RESUMO LEVTO'!$A$1:$Y$82</definedName>
    <definedName name="_xlnm.Print_Area" localSheetId="22">'SEGURANÇA DO TRABALHO'!$A$1:$O$31</definedName>
    <definedName name="_xlnm.Print_Area" localSheetId="23">'SERVIÇOS PRELIMINARES'!$A$1:$O$14</definedName>
    <definedName name="_xlnm.Print_Area" localSheetId="3">VANTAJOSIDADE!$A$1:$P$26</definedName>
    <definedName name="_xlnm.Print_Titles" localSheetId="19">'ADMINISTRAÇÃO LOCAL'!$1:$8</definedName>
    <definedName name="_xlnm.Print_Titles" localSheetId="16">'BDI DIFERENCIADO (CD)'!$1:$7</definedName>
    <definedName name="_xlnm.Print_Titles" localSheetId="11">'BDI DIFERENCIADO (SD) '!$1:$7</definedName>
    <definedName name="_xlnm.Print_Titles" localSheetId="15">'BDI NORMAL (CD)'!$1:$7</definedName>
    <definedName name="_xlnm.Print_Titles" localSheetId="10">'BDI NORMAL (SD) '!$1:$7</definedName>
    <definedName name="_xlnm.Print_Titles" localSheetId="20">CANTEIRO!$1:$8</definedName>
    <definedName name="_xlnm.Print_Titles" localSheetId="32">'CAPA - MAPA DE COTAÇÕES'!$1:$8</definedName>
    <definedName name="_xlnm.Print_Titles" localSheetId="17">'CAPA - MEMORIAL DE CÁLCULO'!$1:$8</definedName>
    <definedName name="_xlnm.Print_Titles" localSheetId="1">'CAPA - ORÇAMENTO'!$1:$8</definedName>
    <definedName name="_xlnm.Print_Titles" localSheetId="4">'CAPA - ORÇAMENTO (SD)'!$1:$8</definedName>
    <definedName name="_xlnm.Print_Titles" localSheetId="13">'CAPA - ORÇAMENTO CD'!$1:$8</definedName>
    <definedName name="_xlnm.Print_Titles" localSheetId="2">'CAPA - VANTAJOSIDADE'!$1:$8</definedName>
    <definedName name="_xlnm.Print_Titles" localSheetId="9">'COMPOSIÇÕES (SD)'!$1:$7</definedName>
    <definedName name="_xlnm.Print_Titles" localSheetId="7">'CRONOGRAMA (SD)'!$1:$13</definedName>
    <definedName name="_xlnm.Print_Titles" localSheetId="8">'CURVA ABC DE SERVIÇOS (SD)'!$1:$8</definedName>
    <definedName name="_xlnm.Print_Titles" localSheetId="26">'DEMOLIÇÕES - ALVENARIAS'!$1:$10</definedName>
    <definedName name="_xlnm.Print_Titles" localSheetId="27">'DEMOLIÇÕES - COBERTURA'!$1:$10</definedName>
    <definedName name="_xlnm.Print_Titles" localSheetId="28">'DEMOLIÇÕES - CONCRETO'!$1:$8</definedName>
    <definedName name="_xlnm.Print_Titles" localSheetId="24">'DEMOLIÇÕES - ESQUADRIAS '!$1:$11</definedName>
    <definedName name="_xlnm.Print_Titles" localSheetId="25">'DEMOLIÇÕES - GUARDA-CORPO'!$1:$7</definedName>
    <definedName name="_xlnm.Print_Titles" localSheetId="29">'DEMOLIÇÕES - MOVIMENTO DE TERRA'!$1:$8</definedName>
    <definedName name="_xlnm.Print_Titles" localSheetId="31">'DEMOLIÇÕES - RESÍDUOS'!$1:$8</definedName>
    <definedName name="_xlnm.Print_Titles" localSheetId="30">'DEMOLIÇÕES - TRANSPORTES'!$1:$8</definedName>
    <definedName name="_xlnm.Print_Titles" localSheetId="12">'ENCARGOS SOCIAIS'!#REF!</definedName>
    <definedName name="_xlnm.Print_Titles" localSheetId="21">EQUIPAMENTOS!$1:$8</definedName>
    <definedName name="_xlnm.Print_Titles" localSheetId="5">'ORÇAMENTO RESUMO (SD)'!#REF!</definedName>
    <definedName name="_xlnm.Print_Titles" localSheetId="14">'ORÇAMENTO SINTÉTICO (CD)'!$1:$8</definedName>
    <definedName name="_xlnm.Print_Titles" localSheetId="6">'ORÇAMENTO SINTÉTICO (SD)'!$1:$8</definedName>
    <definedName name="_xlnm.Print_Titles" localSheetId="18">'RESUMO LEVTO'!$1:$14</definedName>
    <definedName name="_xlnm.Print_Titles" localSheetId="22">'SEGURANÇA DO TRABALHO'!$1:$8</definedName>
    <definedName name="_xlnm.Print_Titles" localSheetId="23">'SERVIÇOS PRELIMINARES'!$1:$7</definedName>
    <definedName name="_xlnm.Print_Titles" localSheetId="3">VANTAJOSIDADE!$1:$11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853" l="1"/>
  <c r="D27" i="857" l="1"/>
  <c r="D30" i="857"/>
  <c r="F19" i="843"/>
  <c r="G75" i="868"/>
  <c r="G73" i="868"/>
  <c r="G72" i="868"/>
  <c r="G71" i="868"/>
  <c r="G69" i="868"/>
  <c r="G68" i="868"/>
  <c r="G66" i="868"/>
  <c r="G65" i="868"/>
  <c r="G64" i="868"/>
  <c r="G62" i="868"/>
  <c r="G61" i="868"/>
  <c r="G60" i="868"/>
  <c r="G59" i="868"/>
  <c r="G57" i="868"/>
  <c r="G56" i="868"/>
  <c r="G55" i="868"/>
  <c r="G54" i="868"/>
  <c r="G53" i="868"/>
  <c r="G51" i="868"/>
  <c r="G50" i="868"/>
  <c r="G48" i="868"/>
  <c r="G46" i="868"/>
  <c r="G45" i="868"/>
  <c r="G44" i="868"/>
  <c r="G41" i="868"/>
  <c r="G39" i="868"/>
  <c r="G38" i="868"/>
  <c r="G37" i="868"/>
  <c r="G36" i="868"/>
  <c r="G33" i="868"/>
  <c r="G32" i="868"/>
  <c r="G31" i="868"/>
  <c r="G30" i="868"/>
  <c r="G28" i="868"/>
  <c r="G27" i="868"/>
  <c r="G26" i="868"/>
  <c r="G25" i="868"/>
  <c r="G24" i="868"/>
  <c r="G23" i="868"/>
  <c r="G22" i="868"/>
  <c r="G21" i="868"/>
  <c r="G20" i="868"/>
  <c r="G19" i="868"/>
  <c r="G18" i="868"/>
  <c r="G17" i="868"/>
  <c r="G16" i="868"/>
  <c r="G14" i="868"/>
  <c r="G13" i="868"/>
  <c r="G12" i="868"/>
  <c r="G11" i="868"/>
  <c r="G10" i="868"/>
  <c r="G56" i="809"/>
  <c r="G20" i="809"/>
  <c r="G14" i="809"/>
  <c r="G75" i="809"/>
  <c r="G73" i="809"/>
  <c r="G72" i="809"/>
  <c r="G71" i="809"/>
  <c r="G69" i="809"/>
  <c r="G68" i="809"/>
  <c r="G65" i="809"/>
  <c r="G64" i="809"/>
  <c r="G62" i="809"/>
  <c r="G61" i="809"/>
  <c r="G60" i="809"/>
  <c r="G59" i="809"/>
  <c r="G66" i="809"/>
  <c r="G57" i="809"/>
  <c r="G55" i="809"/>
  <c r="G54" i="809"/>
  <c r="G53" i="809"/>
  <c r="G51" i="809"/>
  <c r="G50" i="809"/>
  <c r="G48" i="809"/>
  <c r="G46" i="809"/>
  <c r="G45" i="809"/>
  <c r="G44" i="809"/>
  <c r="G41" i="809"/>
  <c r="A1" i="835"/>
  <c r="G39" i="809"/>
  <c r="G38" i="809"/>
  <c r="G37" i="809"/>
  <c r="G36" i="809"/>
  <c r="G33" i="809"/>
  <c r="G32" i="809"/>
  <c r="G31" i="809"/>
  <c r="G30" i="809"/>
  <c r="G28" i="809"/>
  <c r="G27" i="809"/>
  <c r="G26" i="809"/>
  <c r="G25" i="809"/>
  <c r="G24" i="809"/>
  <c r="G23" i="809"/>
  <c r="G22" i="809"/>
  <c r="G21" i="809"/>
  <c r="G19" i="809"/>
  <c r="G18" i="809"/>
  <c r="G17" i="809"/>
  <c r="G16" i="809"/>
  <c r="G13" i="809"/>
  <c r="G12" i="809"/>
  <c r="G11" i="809"/>
  <c r="G10" i="809"/>
  <c r="H43" i="853" l="1"/>
  <c r="H42" i="853"/>
  <c r="H41" i="853"/>
  <c r="H40" i="853"/>
  <c r="H39" i="853"/>
  <c r="H38" i="853"/>
  <c r="H10" i="853"/>
  <c r="H11" i="853"/>
  <c r="H12" i="853"/>
  <c r="H13" i="853"/>
  <c r="H14" i="853"/>
  <c r="H15" i="853"/>
  <c r="H16" i="853"/>
  <c r="H17" i="853"/>
  <c r="H18" i="853"/>
  <c r="H19" i="853"/>
  <c r="H20" i="853"/>
  <c r="H21" i="853"/>
  <c r="H22" i="853"/>
  <c r="H23" i="853"/>
  <c r="H24" i="853"/>
  <c r="H25" i="853"/>
  <c r="H26" i="853"/>
  <c r="H27" i="853"/>
  <c r="H28" i="853"/>
  <c r="H29" i="853"/>
  <c r="H30" i="853"/>
  <c r="H31" i="853"/>
  <c r="H32" i="853"/>
  <c r="H33" i="853"/>
  <c r="H34" i="853"/>
  <c r="H35" i="853"/>
  <c r="H36" i="853"/>
  <c r="H37" i="853"/>
  <c r="H44" i="853"/>
  <c r="H45" i="853"/>
  <c r="H46" i="853"/>
  <c r="H47" i="853"/>
  <c r="H48" i="853"/>
  <c r="H49" i="853"/>
  <c r="H50" i="853"/>
  <c r="H51" i="853"/>
  <c r="H52" i="853"/>
  <c r="H53" i="853"/>
  <c r="H54" i="853"/>
  <c r="H9" i="853"/>
  <c r="K6" i="850"/>
  <c r="K5" i="850"/>
  <c r="J6" i="853"/>
  <c r="J5" i="853"/>
  <c r="T47" i="808"/>
  <c r="S47" i="808"/>
  <c r="R47" i="808"/>
  <c r="P47" i="808"/>
  <c r="O47" i="808"/>
  <c r="N47" i="808"/>
  <c r="L47" i="808"/>
  <c r="K47" i="808"/>
  <c r="J47" i="808"/>
  <c r="E19" i="851"/>
  <c r="E18" i="851"/>
  <c r="E17" i="851"/>
  <c r="E16" i="851"/>
  <c r="E15" i="851"/>
  <c r="E14" i="851"/>
  <c r="E13" i="851"/>
  <c r="E12" i="851"/>
  <c r="E11" i="851"/>
  <c r="E10" i="851"/>
  <c r="E9" i="851"/>
  <c r="K6" i="851"/>
  <c r="K5" i="851"/>
  <c r="J25" i="551"/>
  <c r="J22" i="551"/>
  <c r="F22" i="551"/>
  <c r="L6" i="868"/>
  <c r="J75" i="868" s="1"/>
  <c r="K75" i="868" s="1"/>
  <c r="L75" i="868" s="1"/>
  <c r="L74" i="868" s="1"/>
  <c r="L4" i="868"/>
  <c r="L3" i="868"/>
  <c r="I75" i="868"/>
  <c r="I74" i="868" s="1"/>
  <c r="I73" i="868"/>
  <c r="I72" i="868"/>
  <c r="I71" i="868"/>
  <c r="I69" i="868"/>
  <c r="I68" i="868"/>
  <c r="I66" i="868"/>
  <c r="I65" i="868"/>
  <c r="I64" i="868"/>
  <c r="I62" i="868"/>
  <c r="I61" i="868"/>
  <c r="I60" i="868"/>
  <c r="I59" i="868"/>
  <c r="I57" i="868"/>
  <c r="I56" i="868"/>
  <c r="I55" i="868"/>
  <c r="I54" i="868"/>
  <c r="I53" i="868"/>
  <c r="I51" i="868"/>
  <c r="I50" i="868"/>
  <c r="I49" i="868"/>
  <c r="I48" i="868"/>
  <c r="I47" i="868" s="1"/>
  <c r="I46" i="868"/>
  <c r="I45" i="868"/>
  <c r="I44" i="868"/>
  <c r="I41" i="868"/>
  <c r="I40" i="868" s="1"/>
  <c r="I39" i="868"/>
  <c r="I38" i="868"/>
  <c r="I37" i="868"/>
  <c r="I36" i="868"/>
  <c r="I34" i="868"/>
  <c r="I33" i="868"/>
  <c r="I32" i="868"/>
  <c r="I31" i="868"/>
  <c r="I30" i="868"/>
  <c r="I28" i="868"/>
  <c r="I27" i="868"/>
  <c r="I26" i="868"/>
  <c r="I25" i="868"/>
  <c r="I24" i="868"/>
  <c r="I23" i="868"/>
  <c r="I22" i="868"/>
  <c r="I21" i="868"/>
  <c r="I20" i="868"/>
  <c r="I19" i="868"/>
  <c r="I18" i="868"/>
  <c r="I17" i="868"/>
  <c r="I16" i="868"/>
  <c r="I14" i="868"/>
  <c r="I13" i="868"/>
  <c r="I12" i="868"/>
  <c r="I11" i="868"/>
  <c r="I10" i="868"/>
  <c r="H5" i="868"/>
  <c r="C5" i="868"/>
  <c r="H4" i="868"/>
  <c r="C4" i="868"/>
  <c r="H3" i="868"/>
  <c r="C3" i="868"/>
  <c r="I67" i="868" l="1"/>
  <c r="I70" i="868"/>
  <c r="I58" i="868"/>
  <c r="I15" i="868"/>
  <c r="I9" i="868"/>
  <c r="I35" i="868"/>
  <c r="I63" i="868"/>
  <c r="I52" i="868"/>
  <c r="G56" i="853"/>
  <c r="I43" i="868"/>
  <c r="I29" i="868"/>
  <c r="J32" i="868"/>
  <c r="K32" i="868" s="1"/>
  <c r="L32" i="868" s="1"/>
  <c r="J57" i="868"/>
  <c r="K57" i="868" s="1"/>
  <c r="L57" i="868" s="1"/>
  <c r="I33" i="853" l="1"/>
  <c r="I9" i="853"/>
  <c r="J9" i="853" s="1"/>
  <c r="I32" i="853"/>
  <c r="I31" i="853"/>
  <c r="I54" i="853"/>
  <c r="I30" i="853"/>
  <c r="I53" i="853"/>
  <c r="I29" i="853"/>
  <c r="I52" i="853"/>
  <c r="I28" i="853"/>
  <c r="I51" i="853"/>
  <c r="I27" i="853"/>
  <c r="I50" i="853"/>
  <c r="I26" i="853"/>
  <c r="I25" i="853"/>
  <c r="I48" i="853"/>
  <c r="I24" i="853"/>
  <c r="I11" i="853"/>
  <c r="I10" i="853"/>
  <c r="I49" i="853"/>
  <c r="I47" i="853"/>
  <c r="I23" i="853"/>
  <c r="I46" i="853"/>
  <c r="I22" i="853"/>
  <c r="I45" i="853"/>
  <c r="I21" i="853"/>
  <c r="I44" i="853"/>
  <c r="I20" i="853"/>
  <c r="I43" i="853"/>
  <c r="I19" i="853"/>
  <c r="I42" i="853"/>
  <c r="I18" i="853"/>
  <c r="I41" i="853"/>
  <c r="I17" i="853"/>
  <c r="I40" i="853"/>
  <c r="I16" i="853"/>
  <c r="I39" i="853"/>
  <c r="I15" i="853"/>
  <c r="I38" i="853"/>
  <c r="I14" i="853"/>
  <c r="I37" i="853"/>
  <c r="I13" i="853"/>
  <c r="I36" i="853"/>
  <c r="I12" i="853"/>
  <c r="I35" i="853"/>
  <c r="I34" i="853"/>
  <c r="I42" i="868"/>
  <c r="L77" i="868" s="1"/>
  <c r="J10" i="853" l="1"/>
  <c r="J11" i="853" s="1"/>
  <c r="J12" i="853" s="1"/>
  <c r="J13" i="853" s="1"/>
  <c r="J14" i="853" s="1"/>
  <c r="J15" i="853" s="1"/>
  <c r="J16" i="853" s="1"/>
  <c r="J17" i="853" s="1"/>
  <c r="J18" i="853" s="1"/>
  <c r="J19" i="853" s="1"/>
  <c r="J20" i="853" s="1"/>
  <c r="J21" i="853" s="1"/>
  <c r="J22" i="853" s="1"/>
  <c r="J23" i="853" s="1"/>
  <c r="J24" i="853" s="1"/>
  <c r="J25" i="853" s="1"/>
  <c r="J26" i="853" s="1"/>
  <c r="J27" i="853" s="1"/>
  <c r="J28" i="853" s="1"/>
  <c r="J29" i="853" s="1"/>
  <c r="J30" i="853" s="1"/>
  <c r="J31" i="853" s="1"/>
  <c r="J32" i="853" s="1"/>
  <c r="J33" i="853" s="1"/>
  <c r="J34" i="853" s="1"/>
  <c r="J35" i="853" s="1"/>
  <c r="J36" i="853" s="1"/>
  <c r="J37" i="853" s="1"/>
  <c r="J38" i="853" s="1"/>
  <c r="J39" i="853" s="1"/>
  <c r="J40" i="853" s="1"/>
  <c r="J41" i="853" s="1"/>
  <c r="J42" i="853" s="1"/>
  <c r="J43" i="853" s="1"/>
  <c r="J44" i="853" s="1"/>
  <c r="J45" i="853" s="1"/>
  <c r="J46" i="853" s="1"/>
  <c r="J47" i="853" s="1"/>
  <c r="J48" i="853" s="1"/>
  <c r="J49" i="853" s="1"/>
  <c r="J50" i="853" s="1"/>
  <c r="J51" i="853" s="1"/>
  <c r="J52" i="853" s="1"/>
  <c r="J53" i="853" s="1"/>
  <c r="J54" i="853" s="1"/>
  <c r="I74" i="809"/>
  <c r="J75" i="809"/>
  <c r="K75" i="809" s="1"/>
  <c r="L75" i="809" s="1"/>
  <c r="L74" i="809" s="1"/>
  <c r="K19" i="851" s="1"/>
  <c r="I75" i="809"/>
  <c r="I73" i="809"/>
  <c r="I72" i="809"/>
  <c r="I71" i="809"/>
  <c r="I69" i="809"/>
  <c r="I68" i="809"/>
  <c r="I67" i="809" s="1"/>
  <c r="I66" i="809"/>
  <c r="I65" i="809"/>
  <c r="I64" i="809"/>
  <c r="I62" i="809"/>
  <c r="I61" i="809"/>
  <c r="I60" i="809"/>
  <c r="I59" i="809"/>
  <c r="I57" i="809"/>
  <c r="I56" i="809"/>
  <c r="I55" i="809"/>
  <c r="I54" i="809"/>
  <c r="I53" i="809"/>
  <c r="I51" i="809"/>
  <c r="I49" i="809" s="1"/>
  <c r="I50" i="809"/>
  <c r="I48" i="809"/>
  <c r="I47" i="809" s="1"/>
  <c r="I46" i="809"/>
  <c r="I45" i="809"/>
  <c r="I44" i="809"/>
  <c r="I41" i="809"/>
  <c r="I40" i="809" s="1"/>
  <c r="I39" i="809"/>
  <c r="I38" i="809"/>
  <c r="I37" i="809"/>
  <c r="I36" i="809"/>
  <c r="I34" i="809"/>
  <c r="I33" i="809"/>
  <c r="I32" i="809"/>
  <c r="I31" i="809"/>
  <c r="I30" i="809"/>
  <c r="I28" i="809"/>
  <c r="I27" i="809"/>
  <c r="I26" i="809"/>
  <c r="I25" i="809"/>
  <c r="I24" i="809"/>
  <c r="I23" i="809"/>
  <c r="I22" i="809"/>
  <c r="I21" i="809"/>
  <c r="I20" i="809"/>
  <c r="I19" i="809"/>
  <c r="I18" i="809"/>
  <c r="I17" i="809"/>
  <c r="I16" i="809"/>
  <c r="I14" i="809"/>
  <c r="I13" i="809"/>
  <c r="I12" i="809"/>
  <c r="I11" i="809"/>
  <c r="I10" i="809"/>
  <c r="I70" i="809" l="1"/>
  <c r="I63" i="809"/>
  <c r="I58" i="809"/>
  <c r="I52" i="809"/>
  <c r="I43" i="809"/>
  <c r="I15" i="809"/>
  <c r="I35" i="809"/>
  <c r="I9" i="809"/>
  <c r="I29" i="809"/>
  <c r="L6" i="809"/>
  <c r="L5" i="809"/>
  <c r="V20" i="639"/>
  <c r="V19" i="639"/>
  <c r="V18" i="639"/>
  <c r="V17" i="639"/>
  <c r="X17" i="639" s="1"/>
  <c r="V16" i="639"/>
  <c r="N20" i="639"/>
  <c r="N19" i="639"/>
  <c r="N18" i="639"/>
  <c r="N17" i="639"/>
  <c r="N16" i="639"/>
  <c r="H20" i="639"/>
  <c r="H19" i="639"/>
  <c r="H18" i="639"/>
  <c r="H17" i="639"/>
  <c r="H16" i="639"/>
  <c r="D20" i="639"/>
  <c r="D19" i="639"/>
  <c r="D18" i="639"/>
  <c r="D17" i="639"/>
  <c r="D16" i="639"/>
  <c r="C20" i="639"/>
  <c r="C19" i="639"/>
  <c r="C18" i="639"/>
  <c r="C17" i="639"/>
  <c r="C16" i="639"/>
  <c r="J130" i="866"/>
  <c r="J129" i="866"/>
  <c r="J128" i="866"/>
  <c r="J127" i="866"/>
  <c r="J126" i="866"/>
  <c r="J125" i="866"/>
  <c r="J124" i="866"/>
  <c r="J123" i="866"/>
  <c r="J122" i="866"/>
  <c r="J121" i="866"/>
  <c r="J120" i="866"/>
  <c r="J119" i="866"/>
  <c r="J118" i="866"/>
  <c r="J117" i="866"/>
  <c r="J116" i="866"/>
  <c r="J115" i="866"/>
  <c r="J114" i="866"/>
  <c r="J113" i="866"/>
  <c r="J112" i="866"/>
  <c r="J111" i="866"/>
  <c r="J110" i="866"/>
  <c r="J109" i="866"/>
  <c r="J108" i="866"/>
  <c r="J107" i="866"/>
  <c r="J106" i="866"/>
  <c r="J105" i="866"/>
  <c r="C135" i="866"/>
  <c r="N133" i="866"/>
  <c r="N134" i="866" s="1"/>
  <c r="K130" i="866"/>
  <c r="N130" i="866" s="1"/>
  <c r="K122" i="866"/>
  <c r="N122" i="866" s="1"/>
  <c r="N119" i="866"/>
  <c r="K119" i="866"/>
  <c r="K114" i="866"/>
  <c r="N114" i="866" s="1"/>
  <c r="N111" i="866"/>
  <c r="K111" i="866"/>
  <c r="K106" i="866"/>
  <c r="N106" i="866" s="1"/>
  <c r="K102" i="866"/>
  <c r="N102" i="866" s="1"/>
  <c r="K98" i="866"/>
  <c r="N98" i="866" s="1"/>
  <c r="K94" i="866"/>
  <c r="N94" i="866" s="1"/>
  <c r="K90" i="866"/>
  <c r="N90" i="866" s="1"/>
  <c r="M23" i="836"/>
  <c r="Q37" i="857"/>
  <c r="Q38" i="857"/>
  <c r="J63" i="830"/>
  <c r="I63" i="830"/>
  <c r="H63" i="830"/>
  <c r="G63" i="830"/>
  <c r="K57" i="830"/>
  <c r="K58" i="830" s="1"/>
  <c r="V32" i="639" s="1"/>
  <c r="F19" i="845"/>
  <c r="X18" i="639"/>
  <c r="H35" i="639"/>
  <c r="H34" i="639"/>
  <c r="H33" i="639"/>
  <c r="H32" i="639"/>
  <c r="D35" i="639"/>
  <c r="D34" i="639"/>
  <c r="D33" i="639"/>
  <c r="D32" i="639"/>
  <c r="C35" i="639"/>
  <c r="C34" i="639"/>
  <c r="C33" i="639"/>
  <c r="C32" i="639"/>
  <c r="N31" i="639"/>
  <c r="N32" i="639" s="1"/>
  <c r="N33" i="639" s="1"/>
  <c r="N30" i="639"/>
  <c r="N35" i="639" s="1"/>
  <c r="N29" i="639"/>
  <c r="H31" i="639"/>
  <c r="H30" i="639"/>
  <c r="H29" i="639"/>
  <c r="D31" i="639"/>
  <c r="D30" i="639"/>
  <c r="D29" i="639"/>
  <c r="C31" i="639"/>
  <c r="C30" i="639"/>
  <c r="C29" i="639"/>
  <c r="N28" i="639"/>
  <c r="N27" i="639"/>
  <c r="N26" i="639"/>
  <c r="H28" i="639"/>
  <c r="H27" i="639"/>
  <c r="H26" i="639"/>
  <c r="D28" i="639"/>
  <c r="D27" i="639"/>
  <c r="D26" i="639"/>
  <c r="C28" i="639"/>
  <c r="C27" i="639"/>
  <c r="C26" i="639"/>
  <c r="N25" i="639"/>
  <c r="N24" i="639"/>
  <c r="N23" i="639"/>
  <c r="H25" i="639"/>
  <c r="H24" i="639"/>
  <c r="H23" i="639"/>
  <c r="D25" i="639"/>
  <c r="D24" i="639"/>
  <c r="D23" i="639"/>
  <c r="C25" i="639"/>
  <c r="C24" i="639"/>
  <c r="C23" i="639"/>
  <c r="H42" i="639"/>
  <c r="D42" i="639"/>
  <c r="C42" i="639"/>
  <c r="X42" i="639"/>
  <c r="J76" i="866"/>
  <c r="J75" i="866"/>
  <c r="J74" i="866"/>
  <c r="J73" i="866"/>
  <c r="J72" i="866"/>
  <c r="J71" i="866"/>
  <c r="J70" i="866"/>
  <c r="J69" i="866"/>
  <c r="J68" i="866"/>
  <c r="J67" i="866"/>
  <c r="J66" i="866"/>
  <c r="J65" i="866"/>
  <c r="J64" i="866"/>
  <c r="J63" i="866"/>
  <c r="J62" i="866"/>
  <c r="J61" i="866"/>
  <c r="J60" i="866"/>
  <c r="J59" i="866"/>
  <c r="J58" i="866"/>
  <c r="J57" i="866"/>
  <c r="J56" i="866"/>
  <c r="J55" i="866"/>
  <c r="J54" i="866"/>
  <c r="J53" i="866"/>
  <c r="J52" i="866"/>
  <c r="J51" i="866"/>
  <c r="K51" i="830"/>
  <c r="K50" i="830"/>
  <c r="J46" i="830"/>
  <c r="V30" i="639" s="1"/>
  <c r="X30" i="639" s="1"/>
  <c r="H30" i="830"/>
  <c r="J30" i="830" s="1"/>
  <c r="J31" i="830" s="1"/>
  <c r="V27" i="639" s="1"/>
  <c r="J26" i="830"/>
  <c r="J27" i="830" s="1"/>
  <c r="V26" i="639" s="1"/>
  <c r="J21" i="830"/>
  <c r="J22" i="830" s="1"/>
  <c r="V25" i="639" s="1"/>
  <c r="J16" i="830"/>
  <c r="J17" i="830" s="1"/>
  <c r="V24" i="639" s="1"/>
  <c r="J11" i="830"/>
  <c r="J12" i="830" s="1"/>
  <c r="V23" i="639" s="1"/>
  <c r="N41" i="639"/>
  <c r="N40" i="639"/>
  <c r="N39" i="639"/>
  <c r="N38" i="639"/>
  <c r="H41" i="639"/>
  <c r="H40" i="639"/>
  <c r="H39" i="639"/>
  <c r="H38" i="639"/>
  <c r="D41" i="639"/>
  <c r="D40" i="639"/>
  <c r="D39" i="639"/>
  <c r="D38" i="639"/>
  <c r="C41" i="639"/>
  <c r="C40" i="639"/>
  <c r="C39" i="639"/>
  <c r="C38" i="639"/>
  <c r="X37" i="639"/>
  <c r="X36" i="639"/>
  <c r="J24" i="866"/>
  <c r="C81" i="866"/>
  <c r="K42" i="866" s="1"/>
  <c r="N42" i="866" s="1"/>
  <c r="J71" i="809" l="1"/>
  <c r="K71" i="809" s="1"/>
  <c r="L71" i="809" s="1"/>
  <c r="J73" i="809"/>
  <c r="K73" i="809" s="1"/>
  <c r="L73" i="809" s="1"/>
  <c r="J72" i="809"/>
  <c r="K72" i="809" s="1"/>
  <c r="L72" i="809" s="1"/>
  <c r="J69" i="809"/>
  <c r="K69" i="809" s="1"/>
  <c r="L69" i="809" s="1"/>
  <c r="J68" i="809"/>
  <c r="K68" i="809" s="1"/>
  <c r="L68" i="809" s="1"/>
  <c r="J66" i="809"/>
  <c r="K66" i="809" s="1"/>
  <c r="L66" i="809" s="1"/>
  <c r="J65" i="809"/>
  <c r="K65" i="809" s="1"/>
  <c r="L65" i="809" s="1"/>
  <c r="J64" i="809"/>
  <c r="K64" i="809" s="1"/>
  <c r="L64" i="809" s="1"/>
  <c r="J59" i="809"/>
  <c r="K59" i="809" s="1"/>
  <c r="L59" i="809" s="1"/>
  <c r="J60" i="809"/>
  <c r="K60" i="809" s="1"/>
  <c r="L60" i="809" s="1"/>
  <c r="J62" i="809"/>
  <c r="K62" i="809" s="1"/>
  <c r="L62" i="809" s="1"/>
  <c r="J61" i="809"/>
  <c r="K61" i="809" s="1"/>
  <c r="L61" i="809" s="1"/>
  <c r="I42" i="809"/>
  <c r="L77" i="809" s="1"/>
  <c r="K21" i="851" s="1"/>
  <c r="J41" i="809"/>
  <c r="K41" i="809" s="1"/>
  <c r="L41" i="809" s="1"/>
  <c r="L40" i="809" s="1"/>
  <c r="K13" i="851" s="1"/>
  <c r="J45" i="809"/>
  <c r="K45" i="809" s="1"/>
  <c r="L45" i="809" s="1"/>
  <c r="J56" i="809"/>
  <c r="K56" i="809" s="1"/>
  <c r="L56" i="809" s="1"/>
  <c r="J50" i="809"/>
  <c r="K50" i="809" s="1"/>
  <c r="L50" i="809" s="1"/>
  <c r="J54" i="809"/>
  <c r="K54" i="809" s="1"/>
  <c r="L54" i="809" s="1"/>
  <c r="J44" i="809"/>
  <c r="K44" i="809" s="1"/>
  <c r="L44" i="809" s="1"/>
  <c r="J48" i="809"/>
  <c r="K48" i="809" s="1"/>
  <c r="L48" i="809" s="1"/>
  <c r="L47" i="809" s="1"/>
  <c r="J46" i="809"/>
  <c r="K46" i="809" s="1"/>
  <c r="L46" i="809" s="1"/>
  <c r="J53" i="809"/>
  <c r="K53" i="809" s="1"/>
  <c r="L53" i="809" s="1"/>
  <c r="J55" i="809"/>
  <c r="K55" i="809" s="1"/>
  <c r="L55" i="809" s="1"/>
  <c r="J51" i="809"/>
  <c r="K51" i="809" s="1"/>
  <c r="L51" i="809" s="1"/>
  <c r="J32" i="809"/>
  <c r="K32" i="809" s="1"/>
  <c r="L32" i="809" s="1"/>
  <c r="J57" i="809"/>
  <c r="K57" i="809" s="1"/>
  <c r="L57" i="809" s="1"/>
  <c r="J37" i="809"/>
  <c r="K37" i="809" s="1"/>
  <c r="L37" i="809" s="1"/>
  <c r="J39" i="809"/>
  <c r="K39" i="809" s="1"/>
  <c r="L39" i="809" s="1"/>
  <c r="J36" i="809"/>
  <c r="K36" i="809" s="1"/>
  <c r="L36" i="809" s="1"/>
  <c r="J38" i="809"/>
  <c r="K38" i="809" s="1"/>
  <c r="L38" i="809" s="1"/>
  <c r="J30" i="809"/>
  <c r="K30" i="809" s="1"/>
  <c r="L30" i="809" s="1"/>
  <c r="J34" i="809"/>
  <c r="K34" i="809" s="1"/>
  <c r="L34" i="809" s="1"/>
  <c r="J33" i="809"/>
  <c r="K33" i="809" s="1"/>
  <c r="L33" i="809" s="1"/>
  <c r="J31" i="809"/>
  <c r="K31" i="809" s="1"/>
  <c r="L31" i="809" s="1"/>
  <c r="J26" i="809"/>
  <c r="K26" i="809" s="1"/>
  <c r="L26" i="809" s="1"/>
  <c r="J25" i="809"/>
  <c r="K25" i="809" s="1"/>
  <c r="L25" i="809" s="1"/>
  <c r="J22" i="809"/>
  <c r="K22" i="809" s="1"/>
  <c r="L22" i="809" s="1"/>
  <c r="J19" i="809"/>
  <c r="K19" i="809" s="1"/>
  <c r="L19" i="809" s="1"/>
  <c r="J20" i="809"/>
  <c r="K20" i="809" s="1"/>
  <c r="L20" i="809" s="1"/>
  <c r="J28" i="809"/>
  <c r="K28" i="809" s="1"/>
  <c r="L28" i="809" s="1"/>
  <c r="J16" i="809"/>
  <c r="K16" i="809" s="1"/>
  <c r="L16" i="809" s="1"/>
  <c r="J21" i="809"/>
  <c r="K21" i="809" s="1"/>
  <c r="L21" i="809" s="1"/>
  <c r="J23" i="809"/>
  <c r="K23" i="809" s="1"/>
  <c r="L23" i="809" s="1"/>
  <c r="J27" i="809"/>
  <c r="K27" i="809" s="1"/>
  <c r="L27" i="809" s="1"/>
  <c r="J24" i="809"/>
  <c r="K24" i="809" s="1"/>
  <c r="L24" i="809" s="1"/>
  <c r="J18" i="809"/>
  <c r="K18" i="809" s="1"/>
  <c r="L18" i="809" s="1"/>
  <c r="J17" i="809"/>
  <c r="K17" i="809" s="1"/>
  <c r="L17" i="809" s="1"/>
  <c r="J11" i="809"/>
  <c r="K11" i="809" s="1"/>
  <c r="L11" i="809" s="1"/>
  <c r="J14" i="809"/>
  <c r="K14" i="809" s="1"/>
  <c r="L14" i="809" s="1"/>
  <c r="J10" i="809"/>
  <c r="K10" i="809" s="1"/>
  <c r="L10" i="809" s="1"/>
  <c r="J13" i="809"/>
  <c r="K13" i="809" s="1"/>
  <c r="L13" i="809" s="1"/>
  <c r="J12" i="809"/>
  <c r="K12" i="809" s="1"/>
  <c r="L12" i="809" s="1"/>
  <c r="K91" i="866"/>
  <c r="N91" i="866" s="1"/>
  <c r="K99" i="866"/>
  <c r="N99" i="866" s="1"/>
  <c r="K104" i="866"/>
  <c r="N104" i="866" s="1"/>
  <c r="K112" i="866"/>
  <c r="N112" i="866" s="1"/>
  <c r="K120" i="866"/>
  <c r="N120" i="866" s="1"/>
  <c r="K107" i="866"/>
  <c r="N107" i="866" s="1"/>
  <c r="K115" i="866"/>
  <c r="N115" i="866" s="1"/>
  <c r="K123" i="866"/>
  <c r="N123" i="866" s="1"/>
  <c r="K95" i="866"/>
  <c r="N95" i="866" s="1"/>
  <c r="K128" i="866"/>
  <c r="N128" i="866" s="1"/>
  <c r="K92" i="866"/>
  <c r="N92" i="866" s="1"/>
  <c r="K126" i="866"/>
  <c r="N126" i="866" s="1"/>
  <c r="K105" i="866"/>
  <c r="N105" i="866" s="1"/>
  <c r="K113" i="866"/>
  <c r="N113" i="866" s="1"/>
  <c r="K121" i="866"/>
  <c r="N121" i="866" s="1"/>
  <c r="K129" i="866"/>
  <c r="N129" i="866" s="1"/>
  <c r="K96" i="866"/>
  <c r="N96" i="866" s="1"/>
  <c r="K100" i="866"/>
  <c r="N100" i="866" s="1"/>
  <c r="K110" i="866"/>
  <c r="N110" i="866" s="1"/>
  <c r="K118" i="866"/>
  <c r="N118" i="866" s="1"/>
  <c r="K89" i="866"/>
  <c r="N89" i="866" s="1"/>
  <c r="K93" i="866"/>
  <c r="N93" i="866" s="1"/>
  <c r="K97" i="866"/>
  <c r="N97" i="866" s="1"/>
  <c r="K101" i="866"/>
  <c r="N101" i="866" s="1"/>
  <c r="K108" i="866"/>
  <c r="N108" i="866" s="1"/>
  <c r="K116" i="866"/>
  <c r="N116" i="866" s="1"/>
  <c r="K124" i="866"/>
  <c r="N124" i="866" s="1"/>
  <c r="K127" i="866"/>
  <c r="N127" i="866" s="1"/>
  <c r="K109" i="866"/>
  <c r="N109" i="866" s="1"/>
  <c r="K117" i="866"/>
  <c r="N117" i="866" s="1"/>
  <c r="K125" i="866"/>
  <c r="N125" i="866" s="1"/>
  <c r="K63" i="830"/>
  <c r="K64" i="830" s="1"/>
  <c r="V33" i="639" s="1"/>
  <c r="K52" i="830"/>
  <c r="V31" i="639" s="1"/>
  <c r="X31" i="639" s="1"/>
  <c r="K43" i="866"/>
  <c r="N43" i="866" s="1"/>
  <c r="K37" i="866"/>
  <c r="N37" i="866" s="1"/>
  <c r="K45" i="866"/>
  <c r="N45" i="866" s="1"/>
  <c r="K35" i="866"/>
  <c r="N35" i="866" s="1"/>
  <c r="K36" i="866"/>
  <c r="N36" i="866" s="1"/>
  <c r="K44" i="866"/>
  <c r="N44" i="866" s="1"/>
  <c r="K46" i="866"/>
  <c r="N46" i="866" s="1"/>
  <c r="K39" i="866"/>
  <c r="N39" i="866" s="1"/>
  <c r="K47" i="866"/>
  <c r="N47" i="866" s="1"/>
  <c r="K38" i="866"/>
  <c r="N38" i="866" s="1"/>
  <c r="K40" i="866"/>
  <c r="N40" i="866" s="1"/>
  <c r="K48" i="866"/>
  <c r="N48" i="866" s="1"/>
  <c r="K41" i="866"/>
  <c r="N41" i="866" s="1"/>
  <c r="K50" i="866"/>
  <c r="H35" i="830"/>
  <c r="J41" i="830" s="1"/>
  <c r="V29" i="639" s="1"/>
  <c r="X29" i="639" s="1"/>
  <c r="L70" i="809" l="1"/>
  <c r="K18" i="851" s="1"/>
  <c r="L67" i="809"/>
  <c r="K17" i="851" s="1"/>
  <c r="L63" i="809"/>
  <c r="K16" i="851" s="1"/>
  <c r="L52" i="809"/>
  <c r="L58" i="809"/>
  <c r="K15" i="851" s="1"/>
  <c r="L43" i="809"/>
  <c r="L49" i="809"/>
  <c r="L29" i="809"/>
  <c r="K11" i="851" s="1"/>
  <c r="L35" i="809"/>
  <c r="K12" i="851" s="1"/>
  <c r="L15" i="809"/>
  <c r="K10" i="851" s="1"/>
  <c r="L9" i="809"/>
  <c r="N131" i="866"/>
  <c r="N135" i="866" s="1"/>
  <c r="N136" i="866" s="1"/>
  <c r="N137" i="866" s="1"/>
  <c r="N138" i="866" s="1"/>
  <c r="J35" i="830"/>
  <c r="J36" i="830" s="1"/>
  <c r="V28" i="639" s="1"/>
  <c r="X28" i="639" s="1"/>
  <c r="K9" i="851" l="1"/>
  <c r="L42" i="809"/>
  <c r="K14" i="851" s="1"/>
  <c r="K23" i="851" l="1"/>
  <c r="K22" i="851" s="1"/>
  <c r="G57" i="853" s="1"/>
  <c r="L79" i="809"/>
  <c r="J11" i="849" s="1"/>
  <c r="J29" i="866"/>
  <c r="J30" i="866" s="1"/>
  <c r="V41" i="639" s="1"/>
  <c r="X41" i="639" s="1"/>
  <c r="K11" i="866"/>
  <c r="K12" i="866" s="1"/>
  <c r="V38" i="639" s="1"/>
  <c r="X38" i="639" s="1"/>
  <c r="K18" i="866"/>
  <c r="K17" i="866"/>
  <c r="V48" i="639"/>
  <c r="X48" i="639" s="1"/>
  <c r="V47" i="639"/>
  <c r="X47" i="639" s="1"/>
  <c r="V46" i="639"/>
  <c r="X46" i="639" s="1"/>
  <c r="N48" i="639"/>
  <c r="N47" i="639"/>
  <c r="N46" i="639"/>
  <c r="H48" i="639"/>
  <c r="H47" i="639"/>
  <c r="H46" i="639"/>
  <c r="D48" i="639"/>
  <c r="D47" i="639"/>
  <c r="D46" i="639"/>
  <c r="C48" i="639"/>
  <c r="C47" i="639"/>
  <c r="C46" i="639"/>
  <c r="J28" i="867"/>
  <c r="J29" i="867" s="1"/>
  <c r="J23" i="867"/>
  <c r="J24" i="867" s="1"/>
  <c r="J18" i="867"/>
  <c r="N45" i="639"/>
  <c r="H45" i="639"/>
  <c r="D45" i="639"/>
  <c r="C45" i="639"/>
  <c r="J11" i="867"/>
  <c r="J12" i="867" s="1"/>
  <c r="V45" i="639" s="1"/>
  <c r="X45" i="639" s="1"/>
  <c r="N5" i="867"/>
  <c r="C5" i="867"/>
  <c r="N4" i="867"/>
  <c r="C4" i="867"/>
  <c r="X44" i="639"/>
  <c r="X43" i="639"/>
  <c r="V51" i="639"/>
  <c r="N51" i="639"/>
  <c r="N79" i="866"/>
  <c r="N80" i="866" s="1"/>
  <c r="K76" i="866"/>
  <c r="N76" i="866" s="1"/>
  <c r="K75" i="866"/>
  <c r="N75" i="866" s="1"/>
  <c r="K74" i="866"/>
  <c r="N74" i="866" s="1"/>
  <c r="K73" i="866"/>
  <c r="N73" i="866" s="1"/>
  <c r="K72" i="866"/>
  <c r="N72" i="866" s="1"/>
  <c r="K71" i="866"/>
  <c r="N71" i="866" s="1"/>
  <c r="K70" i="866"/>
  <c r="N70" i="866" s="1"/>
  <c r="K69" i="866"/>
  <c r="N69" i="866" s="1"/>
  <c r="K68" i="866"/>
  <c r="N68" i="866" s="1"/>
  <c r="K67" i="866"/>
  <c r="N67" i="866" s="1"/>
  <c r="K66" i="866"/>
  <c r="N66" i="866" s="1"/>
  <c r="K65" i="866"/>
  <c r="N65" i="866" s="1"/>
  <c r="K64" i="866"/>
  <c r="N64" i="866" s="1"/>
  <c r="K63" i="866"/>
  <c r="N63" i="866" s="1"/>
  <c r="K62" i="866"/>
  <c r="N62" i="866" s="1"/>
  <c r="K61" i="866"/>
  <c r="N61" i="866" s="1"/>
  <c r="K60" i="866"/>
  <c r="N60" i="866" s="1"/>
  <c r="K59" i="866"/>
  <c r="N59" i="866" s="1"/>
  <c r="K58" i="866"/>
  <c r="N58" i="866" s="1"/>
  <c r="K57" i="866"/>
  <c r="N57" i="866" s="1"/>
  <c r="K56" i="866"/>
  <c r="N56" i="866" s="1"/>
  <c r="K55" i="866"/>
  <c r="N55" i="866" s="1"/>
  <c r="K54" i="866"/>
  <c r="N54" i="866" s="1"/>
  <c r="K53" i="866"/>
  <c r="N53" i="866" s="1"/>
  <c r="K52" i="866"/>
  <c r="N52" i="866" s="1"/>
  <c r="K51" i="866"/>
  <c r="N51" i="866" s="1"/>
  <c r="N50" i="866"/>
  <c r="J25" i="866"/>
  <c r="V40" i="639" s="1"/>
  <c r="X40" i="639" s="1"/>
  <c r="N5" i="866"/>
  <c r="C5" i="866"/>
  <c r="N4" i="866"/>
  <c r="C4" i="866"/>
  <c r="B11" i="864"/>
  <c r="J11" i="835"/>
  <c r="J12" i="835" s="1"/>
  <c r="J11" i="864" s="1"/>
  <c r="M11" i="864" s="1"/>
  <c r="N77" i="639"/>
  <c r="H77" i="639"/>
  <c r="D77" i="639"/>
  <c r="C77" i="639"/>
  <c r="N74" i="639"/>
  <c r="H74" i="639"/>
  <c r="D74" i="639"/>
  <c r="C74" i="639"/>
  <c r="N73" i="639"/>
  <c r="D73" i="639"/>
  <c r="C73" i="639"/>
  <c r="H73" i="639"/>
  <c r="B13" i="865"/>
  <c r="B12" i="865"/>
  <c r="B11" i="865"/>
  <c r="N5" i="865"/>
  <c r="C5" i="865"/>
  <c r="N4" i="865"/>
  <c r="C4" i="865"/>
  <c r="B30" i="864"/>
  <c r="B25" i="864"/>
  <c r="B24" i="864"/>
  <c r="B23" i="864"/>
  <c r="N72" i="639"/>
  <c r="H72" i="639"/>
  <c r="D72" i="639"/>
  <c r="C72" i="639"/>
  <c r="B18" i="864"/>
  <c r="B17" i="864"/>
  <c r="B16" i="864"/>
  <c r="B15" i="864"/>
  <c r="J14" i="864"/>
  <c r="M14" i="864" s="1"/>
  <c r="B14" i="864"/>
  <c r="J13" i="864"/>
  <c r="M13" i="864" s="1"/>
  <c r="B13" i="864"/>
  <c r="J12" i="864"/>
  <c r="M12" i="864" s="1"/>
  <c r="B12" i="864"/>
  <c r="N5" i="864"/>
  <c r="C5" i="864"/>
  <c r="N4" i="864"/>
  <c r="C4" i="864"/>
  <c r="I14" i="857"/>
  <c r="F14" i="857"/>
  <c r="X68" i="639"/>
  <c r="X67" i="639"/>
  <c r="M56" i="862"/>
  <c r="K13" i="865" s="1"/>
  <c r="M13" i="865" s="1"/>
  <c r="K55" i="862"/>
  <c r="M55" i="862" s="1"/>
  <c r="U63" i="639" s="1"/>
  <c r="U69" i="639"/>
  <c r="N69" i="639"/>
  <c r="H69" i="639"/>
  <c r="D69" i="639"/>
  <c r="C69" i="639"/>
  <c r="J11" i="863"/>
  <c r="N5" i="863"/>
  <c r="C5" i="863"/>
  <c r="N4" i="863"/>
  <c r="C4" i="863"/>
  <c r="K65" i="862"/>
  <c r="T66" i="639" s="1"/>
  <c r="X66" i="639" s="1"/>
  <c r="N66" i="639"/>
  <c r="H66" i="639"/>
  <c r="D66" i="639"/>
  <c r="C66" i="639"/>
  <c r="K54" i="862"/>
  <c r="M54" i="862" s="1"/>
  <c r="K53" i="862"/>
  <c r="M53" i="862" s="1"/>
  <c r="K52" i="862"/>
  <c r="M52" i="862" s="1"/>
  <c r="T63" i="639" s="1"/>
  <c r="N65" i="639"/>
  <c r="H65" i="639"/>
  <c r="D65" i="639"/>
  <c r="C65" i="639"/>
  <c r="K36" i="861"/>
  <c r="K37" i="861" s="1"/>
  <c r="J18" i="864" s="1"/>
  <c r="M18" i="864" s="1"/>
  <c r="M33" i="862"/>
  <c r="M32" i="862"/>
  <c r="M31" i="862"/>
  <c r="M30" i="862"/>
  <c r="K22" i="862"/>
  <c r="M22" i="862" s="1"/>
  <c r="K21" i="862"/>
  <c r="M21" i="862" s="1"/>
  <c r="K20" i="862"/>
  <c r="M20" i="862" s="1"/>
  <c r="K19" i="862"/>
  <c r="M19" i="862" s="1"/>
  <c r="L78" i="860"/>
  <c r="L77" i="860"/>
  <c r="L76" i="860"/>
  <c r="L75" i="860"/>
  <c r="L83" i="860" s="1"/>
  <c r="K80" i="860"/>
  <c r="M80" i="860" s="1"/>
  <c r="K79" i="860"/>
  <c r="M79" i="860" s="1"/>
  <c r="K78" i="860"/>
  <c r="K77" i="860"/>
  <c r="M77" i="860" s="1"/>
  <c r="K76" i="860"/>
  <c r="K82" i="860"/>
  <c r="M82" i="860" s="1"/>
  <c r="K81" i="860"/>
  <c r="M81" i="860" s="1"/>
  <c r="K75" i="860"/>
  <c r="M75" i="860" s="1"/>
  <c r="N64" i="639"/>
  <c r="K61" i="862"/>
  <c r="R64" i="639" s="1"/>
  <c r="X64" i="639" s="1"/>
  <c r="H64" i="639"/>
  <c r="D64" i="639"/>
  <c r="C64" i="639"/>
  <c r="N63" i="639"/>
  <c r="H63" i="639"/>
  <c r="D63" i="639"/>
  <c r="C63" i="639"/>
  <c r="M51" i="862"/>
  <c r="M50" i="862"/>
  <c r="M49" i="862"/>
  <c r="M48" i="862"/>
  <c r="M47" i="862"/>
  <c r="M46" i="862"/>
  <c r="M45" i="862"/>
  <c r="H44" i="862"/>
  <c r="M44" i="862" s="1"/>
  <c r="H43" i="862"/>
  <c r="M43" i="862" s="1"/>
  <c r="M42" i="862"/>
  <c r="N62" i="639"/>
  <c r="H62" i="639"/>
  <c r="D62" i="639"/>
  <c r="C62" i="639"/>
  <c r="K38" i="862"/>
  <c r="R62" i="639" s="1"/>
  <c r="X62" i="639" s="1"/>
  <c r="N61" i="639"/>
  <c r="H61" i="639"/>
  <c r="D61" i="639"/>
  <c r="C61" i="639"/>
  <c r="J29" i="862"/>
  <c r="M29" i="862" s="1"/>
  <c r="J28" i="862"/>
  <c r="M28" i="862" s="1"/>
  <c r="J27" i="862"/>
  <c r="M27" i="862" s="1"/>
  <c r="N60" i="639"/>
  <c r="H60" i="639"/>
  <c r="D60" i="639"/>
  <c r="C60" i="639"/>
  <c r="K15" i="862"/>
  <c r="K14" i="862"/>
  <c r="K13" i="862"/>
  <c r="M13" i="862" s="1"/>
  <c r="K12" i="862"/>
  <c r="K11" i="862"/>
  <c r="M11" i="862" s="1"/>
  <c r="N5" i="862"/>
  <c r="C5" i="862"/>
  <c r="N4" i="862"/>
  <c r="C4" i="862"/>
  <c r="H59" i="639"/>
  <c r="D59" i="639"/>
  <c r="C59" i="639"/>
  <c r="N59" i="639"/>
  <c r="K31" i="861"/>
  <c r="Q59" i="639" s="1"/>
  <c r="X59" i="639" s="1"/>
  <c r="N58" i="639"/>
  <c r="H58" i="639"/>
  <c r="D58" i="639"/>
  <c r="C58" i="639"/>
  <c r="K12" i="861"/>
  <c r="K13" i="861" s="1"/>
  <c r="Q58" i="639" s="1"/>
  <c r="X58" i="639" s="1"/>
  <c r="N5" i="861"/>
  <c r="C5" i="861"/>
  <c r="N4" i="861"/>
  <c r="C4" i="861"/>
  <c r="N57" i="639"/>
  <c r="M74" i="860"/>
  <c r="K73" i="860"/>
  <c r="M73" i="860" s="1"/>
  <c r="K72" i="860"/>
  <c r="M72" i="860" s="1"/>
  <c r="K71" i="860"/>
  <c r="M71" i="860" s="1"/>
  <c r="K70" i="860"/>
  <c r="M70" i="860" s="1"/>
  <c r="K69" i="860"/>
  <c r="M69" i="860" s="1"/>
  <c r="K68" i="860"/>
  <c r="M68" i="860" s="1"/>
  <c r="K67" i="860"/>
  <c r="M67" i="860" s="1"/>
  <c r="K66" i="860"/>
  <c r="M66" i="860" s="1"/>
  <c r="K65" i="860"/>
  <c r="M65" i="860" s="1"/>
  <c r="K64" i="860"/>
  <c r="M64" i="860" s="1"/>
  <c r="K63" i="860"/>
  <c r="M63" i="860" s="1"/>
  <c r="K62" i="860"/>
  <c r="M62" i="860" s="1"/>
  <c r="K61" i="860"/>
  <c r="M61" i="860" s="1"/>
  <c r="K60" i="860"/>
  <c r="M60" i="860" s="1"/>
  <c r="K20" i="860"/>
  <c r="M20" i="860" s="1"/>
  <c r="K19" i="860"/>
  <c r="M19" i="860" s="1"/>
  <c r="K18" i="860"/>
  <c r="M18" i="860" s="1"/>
  <c r="K17" i="860"/>
  <c r="M17" i="860" s="1"/>
  <c r="K16" i="860"/>
  <c r="M16" i="860" s="1"/>
  <c r="K15" i="860"/>
  <c r="M15" i="860" s="1"/>
  <c r="K14" i="860"/>
  <c r="M14" i="860" s="1"/>
  <c r="K13" i="860"/>
  <c r="M13" i="860" s="1"/>
  <c r="K12" i="860"/>
  <c r="M12" i="860" s="1"/>
  <c r="K29" i="860"/>
  <c r="M29" i="860" s="1"/>
  <c r="K28" i="860"/>
  <c r="M28" i="860" s="1"/>
  <c r="K27" i="860"/>
  <c r="M27" i="860" s="1"/>
  <c r="K26" i="860"/>
  <c r="M26" i="860" s="1"/>
  <c r="K25" i="860"/>
  <c r="M25" i="860" s="1"/>
  <c r="K24" i="860"/>
  <c r="M24" i="860" s="1"/>
  <c r="K23" i="860"/>
  <c r="M23" i="860" s="1"/>
  <c r="K22" i="860"/>
  <c r="M22" i="860" s="1"/>
  <c r="K21" i="860"/>
  <c r="M21" i="860" s="1"/>
  <c r="K38" i="860"/>
  <c r="M38" i="860" s="1"/>
  <c r="K37" i="860"/>
  <c r="M37" i="860" s="1"/>
  <c r="K36" i="860"/>
  <c r="M36" i="860" s="1"/>
  <c r="K35" i="860"/>
  <c r="M35" i="860" s="1"/>
  <c r="K34" i="860"/>
  <c r="M34" i="860" s="1"/>
  <c r="K33" i="860"/>
  <c r="M33" i="860" s="1"/>
  <c r="K32" i="860"/>
  <c r="M32" i="860" s="1"/>
  <c r="K31" i="860"/>
  <c r="M31" i="860" s="1"/>
  <c r="K30" i="860"/>
  <c r="M30" i="860" s="1"/>
  <c r="K47" i="860"/>
  <c r="M47" i="860" s="1"/>
  <c r="K46" i="860"/>
  <c r="M46" i="860" s="1"/>
  <c r="K45" i="860"/>
  <c r="M45" i="860" s="1"/>
  <c r="K44" i="860"/>
  <c r="M44" i="860" s="1"/>
  <c r="K43" i="860"/>
  <c r="M43" i="860" s="1"/>
  <c r="K42" i="860"/>
  <c r="M42" i="860" s="1"/>
  <c r="K41" i="860"/>
  <c r="M41" i="860" s="1"/>
  <c r="K40" i="860"/>
  <c r="M40" i="860" s="1"/>
  <c r="K39" i="860"/>
  <c r="M39" i="860" s="1"/>
  <c r="K56" i="860"/>
  <c r="M56" i="860" s="1"/>
  <c r="K55" i="860"/>
  <c r="M55" i="860" s="1"/>
  <c r="K54" i="860"/>
  <c r="M54" i="860" s="1"/>
  <c r="K53" i="860"/>
  <c r="M53" i="860" s="1"/>
  <c r="K52" i="860"/>
  <c r="M52" i="860" s="1"/>
  <c r="K51" i="860"/>
  <c r="M51" i="860" s="1"/>
  <c r="K50" i="860"/>
  <c r="M50" i="860" s="1"/>
  <c r="K49" i="860"/>
  <c r="M49" i="860" s="1"/>
  <c r="K48" i="860"/>
  <c r="M48" i="860" s="1"/>
  <c r="H57" i="639"/>
  <c r="D57" i="639"/>
  <c r="C57" i="639"/>
  <c r="K59" i="860"/>
  <c r="M59" i="860" s="1"/>
  <c r="K58" i="860"/>
  <c r="M58" i="860" s="1"/>
  <c r="K57" i="860"/>
  <c r="M57" i="860" s="1"/>
  <c r="K11" i="860"/>
  <c r="N5" i="860"/>
  <c r="C5" i="860"/>
  <c r="N4" i="860"/>
  <c r="C4" i="860"/>
  <c r="N56" i="639"/>
  <c r="H56" i="639"/>
  <c r="D56" i="639"/>
  <c r="C56" i="639"/>
  <c r="C55" i="639"/>
  <c r="L21" i="831"/>
  <c r="T56" i="639" s="1"/>
  <c r="K21" i="831"/>
  <c r="K20" i="831"/>
  <c r="K19" i="831"/>
  <c r="K18" i="831"/>
  <c r="K17" i="831"/>
  <c r="K16" i="831"/>
  <c r="K15" i="831"/>
  <c r="K14" i="831"/>
  <c r="L20" i="831" s="1"/>
  <c r="K13" i="831"/>
  <c r="K12" i="831"/>
  <c r="K11" i="831"/>
  <c r="N55" i="639"/>
  <c r="N54" i="639"/>
  <c r="K61" i="859"/>
  <c r="K60" i="859"/>
  <c r="K59" i="859"/>
  <c r="K58" i="859"/>
  <c r="K57" i="859"/>
  <c r="K56" i="859"/>
  <c r="K55" i="859"/>
  <c r="K54" i="859"/>
  <c r="K53" i="859"/>
  <c r="K52" i="859"/>
  <c r="K51" i="859"/>
  <c r="K50" i="859"/>
  <c r="K49" i="859"/>
  <c r="K48" i="859"/>
  <c r="K47" i="859"/>
  <c r="K46" i="859"/>
  <c r="K45" i="859"/>
  <c r="K44" i="859"/>
  <c r="H54" i="639"/>
  <c r="D54" i="639"/>
  <c r="C54" i="639"/>
  <c r="H55" i="639"/>
  <c r="D55" i="639"/>
  <c r="K43" i="859"/>
  <c r="L43" i="859" s="1"/>
  <c r="K42" i="859"/>
  <c r="L42" i="859" s="1"/>
  <c r="K41" i="859"/>
  <c r="L41" i="859" s="1"/>
  <c r="K40" i="859"/>
  <c r="L40" i="859" s="1"/>
  <c r="K39" i="859"/>
  <c r="L39" i="859" s="1"/>
  <c r="K38" i="859"/>
  <c r="L38" i="859" s="1"/>
  <c r="K37" i="859"/>
  <c r="L37" i="859" s="1"/>
  <c r="K36" i="859"/>
  <c r="L36" i="859" s="1"/>
  <c r="K35" i="859"/>
  <c r="L35" i="859" s="1"/>
  <c r="K34" i="859"/>
  <c r="L34" i="859" s="1"/>
  <c r="K33" i="859"/>
  <c r="L33" i="859" s="1"/>
  <c r="K32" i="859"/>
  <c r="L32" i="859" s="1"/>
  <c r="K31" i="859"/>
  <c r="L31" i="859" s="1"/>
  <c r="K30" i="859"/>
  <c r="L30" i="859" s="1"/>
  <c r="K29" i="859"/>
  <c r="L29" i="859" s="1"/>
  <c r="K28" i="859"/>
  <c r="L28" i="859" s="1"/>
  <c r="K27" i="859"/>
  <c r="L27" i="859" s="1"/>
  <c r="K26" i="859"/>
  <c r="L26" i="859" s="1"/>
  <c r="K25" i="859"/>
  <c r="L25" i="859" s="1"/>
  <c r="K24" i="859"/>
  <c r="L24" i="859" s="1"/>
  <c r="K23" i="859"/>
  <c r="L23" i="859" s="1"/>
  <c r="K22" i="859"/>
  <c r="L22" i="859" s="1"/>
  <c r="K21" i="859"/>
  <c r="L21" i="859" s="1"/>
  <c r="K20" i="859"/>
  <c r="L20" i="859" s="1"/>
  <c r="K19" i="859"/>
  <c r="L19" i="859" s="1"/>
  <c r="K18" i="859"/>
  <c r="L18" i="859" s="1"/>
  <c r="K17" i="859"/>
  <c r="L17" i="859" s="1"/>
  <c r="K16" i="859"/>
  <c r="L16" i="859" s="1"/>
  <c r="K15" i="859"/>
  <c r="L15" i="859" s="1"/>
  <c r="K14" i="859"/>
  <c r="L14" i="859" s="1"/>
  <c r="K13" i="859"/>
  <c r="L13" i="859" s="1"/>
  <c r="K12" i="859"/>
  <c r="L12" i="859" s="1"/>
  <c r="N5" i="859"/>
  <c r="C5" i="859"/>
  <c r="N4" i="859"/>
  <c r="C4" i="859"/>
  <c r="N5" i="849"/>
  <c r="C5" i="849"/>
  <c r="N4" i="849"/>
  <c r="C4" i="849"/>
  <c r="D15" i="858"/>
  <c r="P5" i="857"/>
  <c r="C5" i="857"/>
  <c r="P4" i="857"/>
  <c r="C4" i="857"/>
  <c r="H14" i="857"/>
  <c r="J14" i="857" s="1"/>
  <c r="H18" i="857" s="1"/>
  <c r="G14" i="857"/>
  <c r="L4" i="809"/>
  <c r="L3" i="809"/>
  <c r="C5" i="855"/>
  <c r="G4" i="855"/>
  <c r="C4" i="855"/>
  <c r="G3" i="855"/>
  <c r="C3" i="855"/>
  <c r="G42" i="855"/>
  <c r="F42" i="855"/>
  <c r="E42" i="855"/>
  <c r="D42" i="855"/>
  <c r="G38" i="855"/>
  <c r="F38" i="855"/>
  <c r="E38" i="855"/>
  <c r="D38" i="855"/>
  <c r="G31" i="855"/>
  <c r="F31" i="855"/>
  <c r="E31" i="855"/>
  <c r="D31" i="855"/>
  <c r="G19" i="855"/>
  <c r="F19" i="855"/>
  <c r="E19" i="855"/>
  <c r="D19" i="855"/>
  <c r="F5" i="853"/>
  <c r="C5" i="853"/>
  <c r="J4" i="853"/>
  <c r="F4" i="853"/>
  <c r="C4" i="853"/>
  <c r="J3" i="853"/>
  <c r="F3" i="853"/>
  <c r="C3" i="853"/>
  <c r="D44" i="808"/>
  <c r="D41" i="808"/>
  <c r="D38" i="808"/>
  <c r="D35" i="808"/>
  <c r="D32" i="808"/>
  <c r="D29" i="808"/>
  <c r="D26" i="808"/>
  <c r="D23" i="808"/>
  <c r="D20" i="808"/>
  <c r="D17" i="808"/>
  <c r="D14" i="808"/>
  <c r="C44" i="808"/>
  <c r="C41" i="808"/>
  <c r="C38" i="808"/>
  <c r="C35" i="808"/>
  <c r="C32" i="808"/>
  <c r="C29" i="808"/>
  <c r="C26" i="808"/>
  <c r="C23" i="808"/>
  <c r="C20" i="808"/>
  <c r="C17" i="808"/>
  <c r="C14" i="808"/>
  <c r="B44" i="808"/>
  <c r="B41" i="808"/>
  <c r="B38" i="808"/>
  <c r="B35" i="808"/>
  <c r="B32" i="808"/>
  <c r="B29" i="808"/>
  <c r="B26" i="808"/>
  <c r="B23" i="808"/>
  <c r="B20" i="808"/>
  <c r="B17" i="808"/>
  <c r="B14" i="808"/>
  <c r="G5" i="851"/>
  <c r="C5" i="851"/>
  <c r="K4" i="851"/>
  <c r="G4" i="851"/>
  <c r="C4" i="851"/>
  <c r="D16" i="858" s="1"/>
  <c r="K3" i="851"/>
  <c r="G3" i="851"/>
  <c r="D17" i="858" s="1"/>
  <c r="C3" i="851"/>
  <c r="G5" i="850"/>
  <c r="B5" i="850"/>
  <c r="K4" i="850"/>
  <c r="G4" i="850"/>
  <c r="B4" i="850"/>
  <c r="K3" i="850"/>
  <c r="G3" i="850"/>
  <c r="B3" i="850"/>
  <c r="F25" i="551"/>
  <c r="H5" i="809"/>
  <c r="H4" i="809"/>
  <c r="X9" i="639" s="1"/>
  <c r="H3" i="809"/>
  <c r="X8" i="639" s="1"/>
  <c r="C5" i="809"/>
  <c r="C3" i="809"/>
  <c r="C8" i="639" s="1"/>
  <c r="C4" i="809"/>
  <c r="C9" i="639" s="1"/>
  <c r="F18" i="846"/>
  <c r="F17" i="846"/>
  <c r="F14" i="846"/>
  <c r="F21" i="846"/>
  <c r="O5" i="846"/>
  <c r="C5" i="846"/>
  <c r="O4" i="846"/>
  <c r="C4" i="846"/>
  <c r="F18" i="845"/>
  <c r="F17" i="845"/>
  <c r="F14" i="845"/>
  <c r="F21" i="845"/>
  <c r="O5" i="845"/>
  <c r="C5" i="845"/>
  <c r="O4" i="845"/>
  <c r="C4" i="845"/>
  <c r="F18" i="843"/>
  <c r="F17" i="843"/>
  <c r="F14" i="843"/>
  <c r="O5" i="843"/>
  <c r="C5" i="843"/>
  <c r="O4" i="843"/>
  <c r="C4" i="843"/>
  <c r="F14" i="840"/>
  <c r="F21" i="840"/>
  <c r="F17" i="840"/>
  <c r="F18" i="840"/>
  <c r="O5" i="840"/>
  <c r="C5" i="840"/>
  <c r="O4" i="840"/>
  <c r="C4" i="840"/>
  <c r="M30" i="836" l="1"/>
  <c r="L78" i="809"/>
  <c r="D47" i="808"/>
  <c r="N77" i="866"/>
  <c r="K19" i="866"/>
  <c r="V39" i="639" s="1"/>
  <c r="X39" i="639" s="1"/>
  <c r="K83" i="860"/>
  <c r="M76" i="860"/>
  <c r="S57" i="639" s="1"/>
  <c r="M78" i="860"/>
  <c r="J25" i="864"/>
  <c r="M25" i="864" s="1"/>
  <c r="N81" i="866"/>
  <c r="J16" i="864"/>
  <c r="M16" i="864" s="1"/>
  <c r="J17" i="864"/>
  <c r="M17" i="864" s="1"/>
  <c r="S65" i="639"/>
  <c r="X65" i="639" s="1"/>
  <c r="J12" i="863"/>
  <c r="R63" i="639"/>
  <c r="X63" i="639" s="1"/>
  <c r="S61" i="639"/>
  <c r="R61" i="639"/>
  <c r="M34" i="862"/>
  <c r="S60" i="639"/>
  <c r="K23" i="862"/>
  <c r="M11" i="860"/>
  <c r="M17" i="862"/>
  <c r="M18" i="862"/>
  <c r="M14" i="862"/>
  <c r="M15" i="862"/>
  <c r="M16" i="862"/>
  <c r="M12" i="862"/>
  <c r="O56" i="639"/>
  <c r="X56" i="639" s="1"/>
  <c r="L22" i="831"/>
  <c r="L62" i="859"/>
  <c r="O54" i="639" s="1"/>
  <c r="X54" i="639" s="1"/>
  <c r="K62" i="859"/>
  <c r="O55" i="639" s="1"/>
  <c r="X55" i="639" s="1"/>
  <c r="P14" i="857"/>
  <c r="E18" i="857"/>
  <c r="M14" i="857"/>
  <c r="K18" i="857" s="1"/>
  <c r="D43" i="855"/>
  <c r="E43" i="855"/>
  <c r="F43" i="855"/>
  <c r="G43" i="855"/>
  <c r="F21" i="843"/>
  <c r="L5" i="868" s="1"/>
  <c r="J68" i="868" l="1"/>
  <c r="K68" i="868" s="1"/>
  <c r="L68" i="868" s="1"/>
  <c r="J69" i="868"/>
  <c r="K69" i="868" s="1"/>
  <c r="L69" i="868" s="1"/>
  <c r="L67" i="868" s="1"/>
  <c r="J66" i="868"/>
  <c r="K66" i="868" s="1"/>
  <c r="L66" i="868" s="1"/>
  <c r="J24" i="868"/>
  <c r="K24" i="868" s="1"/>
  <c r="L24" i="868" s="1"/>
  <c r="J71" i="868"/>
  <c r="K71" i="868" s="1"/>
  <c r="L71" i="868" s="1"/>
  <c r="J37" i="868"/>
  <c r="K37" i="868" s="1"/>
  <c r="L37" i="868" s="1"/>
  <c r="J73" i="868"/>
  <c r="K73" i="868" s="1"/>
  <c r="L73" i="868" s="1"/>
  <c r="J59" i="868"/>
  <c r="K59" i="868" s="1"/>
  <c r="L59" i="868" s="1"/>
  <c r="J11" i="868"/>
  <c r="K11" i="868" s="1"/>
  <c r="L11" i="868" s="1"/>
  <c r="J31" i="868"/>
  <c r="K31" i="868" s="1"/>
  <c r="L31" i="868" s="1"/>
  <c r="J13" i="868"/>
  <c r="K13" i="868" s="1"/>
  <c r="L13" i="868" s="1"/>
  <c r="J54" i="868"/>
  <c r="K54" i="868" s="1"/>
  <c r="L54" i="868" s="1"/>
  <c r="J30" i="868"/>
  <c r="K30" i="868" s="1"/>
  <c r="L30" i="868" s="1"/>
  <c r="J14" i="868"/>
  <c r="K14" i="868" s="1"/>
  <c r="L14" i="868" s="1"/>
  <c r="J34" i="868"/>
  <c r="K34" i="868" s="1"/>
  <c r="L34" i="868" s="1"/>
  <c r="J20" i="868"/>
  <c r="K20" i="868" s="1"/>
  <c r="L20" i="868" s="1"/>
  <c r="J41" i="868"/>
  <c r="K41" i="868" s="1"/>
  <c r="L41" i="868" s="1"/>
  <c r="L40" i="868" s="1"/>
  <c r="J26" i="868"/>
  <c r="K26" i="868" s="1"/>
  <c r="L26" i="868" s="1"/>
  <c r="J44" i="868"/>
  <c r="K44" i="868" s="1"/>
  <c r="L44" i="868" s="1"/>
  <c r="J39" i="868"/>
  <c r="K39" i="868" s="1"/>
  <c r="L39" i="868" s="1"/>
  <c r="J46" i="868"/>
  <c r="K46" i="868" s="1"/>
  <c r="L46" i="868" s="1"/>
  <c r="J61" i="868"/>
  <c r="K61" i="868" s="1"/>
  <c r="L61" i="868" s="1"/>
  <c r="J51" i="868"/>
  <c r="K51" i="868" s="1"/>
  <c r="L51" i="868" s="1"/>
  <c r="J17" i="868"/>
  <c r="K17" i="868" s="1"/>
  <c r="L17" i="868" s="1"/>
  <c r="J60" i="868"/>
  <c r="K60" i="868" s="1"/>
  <c r="L60" i="868" s="1"/>
  <c r="J10" i="868"/>
  <c r="K10" i="868" s="1"/>
  <c r="L10" i="868" s="1"/>
  <c r="J19" i="868"/>
  <c r="K19" i="868" s="1"/>
  <c r="L19" i="868" s="1"/>
  <c r="J62" i="868"/>
  <c r="K62" i="868" s="1"/>
  <c r="L62" i="868" s="1"/>
  <c r="J65" i="868"/>
  <c r="K65" i="868" s="1"/>
  <c r="L65" i="868" s="1"/>
  <c r="J21" i="868"/>
  <c r="K21" i="868" s="1"/>
  <c r="L21" i="868" s="1"/>
  <c r="J23" i="868"/>
  <c r="K23" i="868" s="1"/>
  <c r="L23" i="868" s="1"/>
  <c r="J22" i="868"/>
  <c r="K22" i="868" s="1"/>
  <c r="L22" i="868" s="1"/>
  <c r="J25" i="868"/>
  <c r="K25" i="868" s="1"/>
  <c r="L25" i="868" s="1"/>
  <c r="J56" i="868"/>
  <c r="K56" i="868" s="1"/>
  <c r="L56" i="868" s="1"/>
  <c r="J27" i="868"/>
  <c r="K27" i="868" s="1"/>
  <c r="L27" i="868" s="1"/>
  <c r="J72" i="868"/>
  <c r="K72" i="868" s="1"/>
  <c r="L72" i="868" s="1"/>
  <c r="J36" i="868"/>
  <c r="K36" i="868" s="1"/>
  <c r="L36" i="868" s="1"/>
  <c r="J50" i="868"/>
  <c r="K50" i="868" s="1"/>
  <c r="L50" i="868" s="1"/>
  <c r="J38" i="868"/>
  <c r="K38" i="868" s="1"/>
  <c r="L38" i="868" s="1"/>
  <c r="J18" i="868"/>
  <c r="K18" i="868" s="1"/>
  <c r="L18" i="868" s="1"/>
  <c r="J48" i="868"/>
  <c r="K48" i="868" s="1"/>
  <c r="L48" i="868" s="1"/>
  <c r="L47" i="868" s="1"/>
  <c r="J33" i="868"/>
  <c r="K33" i="868" s="1"/>
  <c r="L33" i="868" s="1"/>
  <c r="J53" i="868"/>
  <c r="K53" i="868" s="1"/>
  <c r="L53" i="868" s="1"/>
  <c r="J12" i="868"/>
  <c r="K12" i="868" s="1"/>
  <c r="L12" i="868" s="1"/>
  <c r="J55" i="868"/>
  <c r="K55" i="868" s="1"/>
  <c r="L55" i="868" s="1"/>
  <c r="J45" i="868"/>
  <c r="K45" i="868" s="1"/>
  <c r="L45" i="868" s="1"/>
  <c r="J28" i="868"/>
  <c r="K28" i="868" s="1"/>
  <c r="L28" i="868" s="1"/>
  <c r="J64" i="868"/>
  <c r="K64" i="868" s="1"/>
  <c r="L64" i="868" s="1"/>
  <c r="L63" i="868" s="1"/>
  <c r="J16" i="868"/>
  <c r="K16" i="868" s="1"/>
  <c r="L16" i="868" s="1"/>
  <c r="P57" i="639"/>
  <c r="X57" i="639" s="1"/>
  <c r="M83" i="860"/>
  <c r="J15" i="864" s="1"/>
  <c r="M15" i="864" s="1"/>
  <c r="M19" i="864" s="1"/>
  <c r="V72" i="639" s="1"/>
  <c r="K12" i="865"/>
  <c r="M12" i="865" s="1"/>
  <c r="J24" i="864"/>
  <c r="M24" i="864" s="1"/>
  <c r="N82" i="866"/>
  <c r="N83" i="866" s="1"/>
  <c r="N84" i="866" s="1"/>
  <c r="X61" i="639"/>
  <c r="N18" i="857"/>
  <c r="D34" i="857"/>
  <c r="O29" i="857" s="1" a="1"/>
  <c r="O29" i="857" s="1"/>
  <c r="Q14" i="857" s="1"/>
  <c r="M23" i="862"/>
  <c r="R60" i="639"/>
  <c r="X60" i="639" s="1"/>
  <c r="L43" i="868" l="1"/>
  <c r="L49" i="868"/>
  <c r="L29" i="868"/>
  <c r="L52" i="868"/>
  <c r="L35" i="868"/>
  <c r="L58" i="868"/>
  <c r="L70" i="868"/>
  <c r="L9" i="868"/>
  <c r="L15" i="868"/>
  <c r="J23" i="864"/>
  <c r="M23" i="864" s="1"/>
  <c r="M26" i="864" s="1"/>
  <c r="K11" i="865"/>
  <c r="N90" i="830"/>
  <c r="L42" i="868" l="1"/>
  <c r="L79" i="868" s="1"/>
  <c r="M11" i="865"/>
  <c r="M14" i="865" s="1"/>
  <c r="V77" i="639" s="1"/>
  <c r="K30" i="864"/>
  <c r="M30" i="864" s="1"/>
  <c r="M31" i="864" s="1"/>
  <c r="V74" i="639" s="1"/>
  <c r="V73" i="639"/>
  <c r="L78" i="868" l="1"/>
  <c r="J10" i="849"/>
  <c r="N88" i="830"/>
  <c r="N87" i="830"/>
  <c r="N86" i="830"/>
  <c r="N85" i="830"/>
  <c r="N84" i="830"/>
  <c r="N83" i="830"/>
  <c r="N82" i="830"/>
  <c r="N81" i="830"/>
  <c r="N80" i="830"/>
  <c r="N79" i="830"/>
  <c r="N78" i="830"/>
  <c r="N77" i="830"/>
  <c r="N76" i="830"/>
  <c r="N75" i="830"/>
  <c r="N74" i="830"/>
  <c r="N73" i="830"/>
  <c r="N72" i="830"/>
  <c r="L88" i="830"/>
  <c r="L87" i="830"/>
  <c r="L86" i="830"/>
  <c r="L85" i="830"/>
  <c r="L84" i="830"/>
  <c r="L83" i="830"/>
  <c r="L82" i="830"/>
  <c r="L81" i="830"/>
  <c r="L80" i="830"/>
  <c r="L79" i="830"/>
  <c r="L78" i="830"/>
  <c r="L77" i="830"/>
  <c r="L76" i="830"/>
  <c r="L75" i="830"/>
  <c r="L74" i="830"/>
  <c r="L73" i="830"/>
  <c r="L72" i="830"/>
  <c r="K13" i="849" l="1"/>
  <c r="J15" i="849"/>
  <c r="N89" i="830"/>
  <c r="N91" i="830" s="1"/>
  <c r="L89" i="830"/>
  <c r="V35" i="639" l="1"/>
  <c r="X35" i="639" s="1"/>
  <c r="V34" i="639"/>
  <c r="E31" i="836" l="1"/>
  <c r="X20" i="639"/>
  <c r="E23" i="836"/>
  <c r="X19" i="639" s="1"/>
  <c r="M15" i="836"/>
  <c r="E15" i="836"/>
  <c r="O5" i="836" l="1"/>
  <c r="C5" i="836"/>
  <c r="O4" i="836"/>
  <c r="C4" i="836"/>
  <c r="X26" i="639"/>
  <c r="X25" i="639"/>
  <c r="X27" i="639"/>
  <c r="X78" i="639"/>
  <c r="X76" i="639"/>
  <c r="X75" i="639"/>
  <c r="X71" i="639"/>
  <c r="X70" i="639"/>
  <c r="X53" i="639"/>
  <c r="X52" i="639"/>
  <c r="X50" i="639"/>
  <c r="X49" i="639"/>
  <c r="X34" i="639"/>
  <c r="X33" i="639"/>
  <c r="X32" i="639"/>
  <c r="X23" i="639"/>
  <c r="X22" i="639"/>
  <c r="X21" i="639"/>
  <c r="X16" i="639"/>
  <c r="X15" i="639"/>
  <c r="X24" i="639"/>
  <c r="X51" i="639" l="1"/>
  <c r="H51" i="639"/>
  <c r="D51" i="639"/>
  <c r="C51" i="639"/>
  <c r="N5" i="835"/>
  <c r="C5" i="835"/>
  <c r="N4" i="835"/>
  <c r="C4" i="835"/>
  <c r="N5" i="831"/>
  <c r="C5" i="831"/>
  <c r="N4" i="831"/>
  <c r="C4" i="831"/>
  <c r="O5" i="830"/>
  <c r="C5" i="830"/>
  <c r="O4" i="830"/>
  <c r="C4" i="830"/>
  <c r="X69" i="639" l="1"/>
  <c r="X77" i="639" l="1"/>
  <c r="X72" i="639" l="1"/>
  <c r="X73" i="639"/>
  <c r="X74" i="639"/>
  <c r="H47" i="808" l="1"/>
  <c r="G47" i="808"/>
  <c r="F47" i="808"/>
  <c r="C9" i="808"/>
  <c r="R9" i="808"/>
  <c r="C8" i="808"/>
  <c r="R8" i="808"/>
  <c r="E32" i="808" l="1"/>
  <c r="I32" i="808"/>
  <c r="Q32" i="808"/>
  <c r="M32" i="808"/>
  <c r="Q26" i="808"/>
  <c r="M26" i="808"/>
  <c r="I26" i="808"/>
  <c r="E26" i="808"/>
  <c r="Q29" i="808"/>
  <c r="M29" i="808"/>
  <c r="I29" i="808"/>
  <c r="E29" i="808"/>
  <c r="Q35" i="808"/>
  <c r="M35" i="808"/>
  <c r="I35" i="808"/>
  <c r="E35" i="808"/>
  <c r="D16" i="808"/>
  <c r="Q44" i="808" l="1"/>
  <c r="M44" i="808"/>
  <c r="I44" i="808"/>
  <c r="E44" i="808"/>
  <c r="Q20" i="808"/>
  <c r="M20" i="808"/>
  <c r="I20" i="808"/>
  <c r="E20" i="808"/>
  <c r="Q38" i="808"/>
  <c r="M38" i="808"/>
  <c r="I38" i="808"/>
  <c r="E38" i="808"/>
  <c r="Q23" i="808"/>
  <c r="M23" i="808"/>
  <c r="I23" i="808"/>
  <c r="E23" i="808"/>
  <c r="Q41" i="808"/>
  <c r="M41" i="808"/>
  <c r="I41" i="808"/>
  <c r="E41" i="808"/>
  <c r="D40" i="808"/>
  <c r="D31" i="808"/>
  <c r="D37" i="808"/>
  <c r="D19" i="808"/>
  <c r="D34" i="808"/>
  <c r="D22" i="808"/>
  <c r="D25" i="808"/>
  <c r="D28" i="808"/>
  <c r="D46" i="808"/>
  <c r="D43" i="808"/>
  <c r="Q16" i="808" l="1"/>
  <c r="Q19" i="808" s="1"/>
  <c r="Q17" i="808" s="1"/>
  <c r="M16" i="808"/>
  <c r="M19" i="808" s="1"/>
  <c r="M17" i="808" s="1"/>
  <c r="E16" i="808"/>
  <c r="E14" i="808" s="1"/>
  <c r="I16" i="808"/>
  <c r="I19" i="808" s="1"/>
  <c r="I17" i="808" s="1"/>
  <c r="D48" i="808"/>
  <c r="Q14" i="808" l="1"/>
  <c r="Q47" i="808" s="1"/>
  <c r="Q48" i="808" s="1"/>
  <c r="M14" i="808"/>
  <c r="M47" i="808" s="1"/>
  <c r="M48" i="808" s="1"/>
  <c r="E19" i="808"/>
  <c r="E17" i="808" s="1"/>
  <c r="E47" i="808" s="1"/>
  <c r="E49" i="808" s="1"/>
  <c r="I14" i="808"/>
  <c r="I47" i="808" s="1"/>
  <c r="I48" i="808" s="1"/>
  <c r="X82" i="639"/>
  <c r="X81" i="639"/>
  <c r="X80" i="639"/>
  <c r="X79" i="639"/>
  <c r="E48" i="808" l="1"/>
  <c r="E50" i="808" s="1"/>
  <c r="I50" i="808" s="1"/>
  <c r="M50" i="808" s="1"/>
  <c r="Q50" i="808" s="1"/>
  <c r="I49" i="808"/>
  <c r="M49" i="808" s="1"/>
  <c r="Q49" i="8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tc={C42352B8-A706-4D19-9507-CB3FDB5D917E}</author>
    <author>tc={5344ECCD-B113-4446-BCB0-5A6ACF10E741}</author>
  </authors>
  <commentList>
    <comment ref="G56" authorId="0" shapeId="0" xr:uid="{C42352B8-A706-4D19-9507-CB3FDB5D917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incide BDI e os valores de EPI e Ferramentas</t>
      </text>
    </comment>
    <comment ref="G62" authorId="1" shapeId="0" xr:uid="{5344ECCD-B113-4446-BCB0-5A6ACF10E74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incide BDI e os valores de EPI e Ferramentas</t>
      </text>
    </comment>
  </commentList>
</comments>
</file>

<file path=xl/sharedStrings.xml><?xml version="1.0" encoding="utf-8"?>
<sst xmlns="http://schemas.openxmlformats.org/spreadsheetml/2006/main" count="5232" uniqueCount="1123">
  <si>
    <t>DADOS DO EMPREENDIMENTO</t>
  </si>
  <si>
    <t>OBJETO</t>
  </si>
  <si>
    <t>ENDEREÇO</t>
  </si>
  <si>
    <t>Bairro</t>
  </si>
  <si>
    <t>Cidade</t>
  </si>
  <si>
    <t>UF</t>
  </si>
  <si>
    <t>GO</t>
  </si>
  <si>
    <t>Área Total de Construção</t>
  </si>
  <si>
    <t xml:space="preserve">BDI </t>
  </si>
  <si>
    <t>ENCARGOS SOCIAIS HORISTAS</t>
  </si>
  <si>
    <t>Data do Orçamento</t>
  </si>
  <si>
    <t>Prazo</t>
  </si>
  <si>
    <t>BDI REDUZIDO</t>
  </si>
  <si>
    <t>ENCARGOS SOCIAIS MENSALISTAS</t>
  </si>
  <si>
    <t>Revisão</t>
  </si>
  <si>
    <t>BASE</t>
  </si>
  <si>
    <t>OBJETO:</t>
  </si>
  <si>
    <t>REVISÃO:</t>
  </si>
  <si>
    <t>LOCAL:</t>
  </si>
  <si>
    <t>m²</t>
  </si>
  <si>
    <t>ITEM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</si>
  <si>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</si>
  <si>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</si>
  <si>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</si>
  <si>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</si>
  <si>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</si>
  <si>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</si>
  <si>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</si>
  <si>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</si>
  <si>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</si>
  <si>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</si>
  <si>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</si>
  <si>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</si>
  <si>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UN</t>
  </si>
  <si>
    <t>TOTAL</t>
  </si>
  <si>
    <t>SERVIÇOS PRELIMINARES</t>
  </si>
  <si>
    <t>m</t>
  </si>
  <si>
    <t>IMPLANTAÇÃO DA OBRA</t>
  </si>
  <si>
    <t>MOVIMENTO DE TERRA</t>
  </si>
  <si>
    <t>m³</t>
  </si>
  <si>
    <t>un</t>
  </si>
  <si>
    <t>ESTRUTURA DE CONCRETO</t>
  </si>
  <si>
    <t>SERVIÇOS COMPLEMENTARES</t>
  </si>
  <si>
    <t>Código</t>
  </si>
  <si>
    <t>Tipo</t>
  </si>
  <si>
    <t>Quantidade</t>
  </si>
  <si>
    <t>Composição</t>
  </si>
  <si>
    <t>h</t>
  </si>
  <si>
    <t>H</t>
  </si>
  <si>
    <t>CÓDIGO</t>
  </si>
  <si>
    <t>SERVIÇO</t>
  </si>
  <si>
    <t>VALORES</t>
  </si>
  <si>
    <t>MESES</t>
  </si>
  <si>
    <t>MÊS 01</t>
  </si>
  <si>
    <t>MÊS 02</t>
  </si>
  <si>
    <t>MÊS 03</t>
  </si>
  <si>
    <t>MÊS 04</t>
  </si>
  <si>
    <t>TOTAL SIMPLES COM BDI</t>
  </si>
  <si>
    <t>PERCENTUAL SIMPLES</t>
  </si>
  <si>
    <t>TOTAL ACUMULADO COM BDI</t>
  </si>
  <si>
    <t>PERCENTUAL ACUMULADO</t>
  </si>
  <si>
    <t>RESUMO GERAL DE LEVANTAMENTOS</t>
  </si>
  <si>
    <t>DATA:</t>
  </si>
  <si>
    <t>SERVIÇOS:</t>
  </si>
  <si>
    <t>LEVANTAMENTOS</t>
  </si>
  <si>
    <t>INDICADOS</t>
  </si>
  <si>
    <t>Item</t>
  </si>
  <si>
    <t>Serviço</t>
  </si>
  <si>
    <t>Und</t>
  </si>
  <si>
    <t>Total</t>
  </si>
  <si>
    <t>13.0</t>
  </si>
  <si>
    <t>13.1</t>
  </si>
  <si>
    <t>CONCERTINA EM AÇO GALVANIZADO, ESPIRAL DE Ø = 450 MM, 3 CLIPES PARA ESPIRAL, LÂMINA DE 30 MM E FIO INTERNO DE 2,50 MM, INCLUSIVE INSTALAÇÃO</t>
  </si>
  <si>
    <t>M</t>
  </si>
  <si>
    <t>13.2</t>
  </si>
  <si>
    <t>LIMPEZA GERAL</t>
  </si>
  <si>
    <t>MEMORIAL DE CÁLCULO</t>
  </si>
  <si>
    <t>Comp.</t>
  </si>
  <si>
    <t>Quant.</t>
  </si>
  <si>
    <t>Comp.
(m)</t>
  </si>
  <si>
    <t>Larg.
(m)</t>
  </si>
  <si>
    <t>Altura
(m)</t>
  </si>
  <si>
    <t>B2</t>
  </si>
  <si>
    <t>B3</t>
  </si>
  <si>
    <t>B4</t>
  </si>
  <si>
    <t>Descrição</t>
  </si>
  <si>
    <t>Área</t>
  </si>
  <si>
    <t>A</t>
  </si>
  <si>
    <t>B</t>
  </si>
  <si>
    <t>Espessura</t>
  </si>
  <si>
    <t>Local</t>
  </si>
  <si>
    <t>GOINFRA</t>
  </si>
  <si>
    <t>M3</t>
  </si>
  <si>
    <t>M2</t>
  </si>
  <si>
    <t>PRÓPRIO</t>
  </si>
  <si>
    <t>B1</t>
  </si>
  <si>
    <t xml:space="preserve">UN </t>
  </si>
  <si>
    <t>Base</t>
  </si>
  <si>
    <t>Pavimento</t>
  </si>
  <si>
    <t>Repetição</t>
  </si>
  <si>
    <t>ORSE</t>
  </si>
  <si>
    <t>Média</t>
  </si>
  <si>
    <t>041004</t>
  </si>
  <si>
    <t>CANTEIRO DE OBRAS</t>
  </si>
  <si>
    <t>DEMOLIÇÕES</t>
  </si>
  <si>
    <t>Volume</t>
  </si>
  <si>
    <t>PRELIMINARES</t>
  </si>
  <si>
    <t>LIMPEZA MECÂNICA DE TERRENO</t>
  </si>
  <si>
    <t>020190</t>
  </si>
  <si>
    <t>LIGAÇÃO PROVISÓRIA DE ÁGUA (INCLUSO RETIRADA DO ESGOTO SANITÁRIO) - PD. GOINFRA</t>
  </si>
  <si>
    <t>020400</t>
  </si>
  <si>
    <t>LIGAÇÃO PROVISÓRIA LUZ E FORÇA - PD. GOINFRA</t>
  </si>
  <si>
    <t>020501</t>
  </si>
  <si>
    <t>EPI/PGR/PCMSO/EXAMES/TREINAMENTOS/VISITAS - ÁREAS EDIFICADAS/COBERTAS/FECHADAS</t>
  </si>
  <si>
    <t>021602</t>
  </si>
  <si>
    <t>FERRAMENTAS (MANUAIS/ELÉTRICAS) E MATERIAL DE LIMPEZA PERMANENTE DA OBRA - ÁREAS EDIFICADAS/COBERTAS/FECHADAS</t>
  </si>
  <si>
    <t>020200</t>
  </si>
  <si>
    <t>PLACA DE OBRA PLOTADA EM CHAPA METÁLICA 26 , AFIXADA EM CAVALETES DE MADEIRA DE LEI (VIGOTAS 6X12CM) - PADRÃO GOINFRA</t>
  </si>
  <si>
    <t>021301</t>
  </si>
  <si>
    <t>ADMINISTRAÇÃO LOCAL</t>
  </si>
  <si>
    <t>Total de visitas por semana</t>
  </si>
  <si>
    <t>visitas</t>
  </si>
  <si>
    <t>Tempo de duração na obra</t>
  </si>
  <si>
    <t>horas</t>
  </si>
  <si>
    <t>Total de semanas no mês</t>
  </si>
  <si>
    <t>semanas</t>
  </si>
  <si>
    <t>Total de meses</t>
  </si>
  <si>
    <t>meses</t>
  </si>
  <si>
    <t>Total de horas efetivas</t>
  </si>
  <si>
    <t xml:space="preserve">ENGENHEIRO - (OBRAS CIVIS) </t>
  </si>
  <si>
    <t>Total de profissionais</t>
  </si>
  <si>
    <t xml:space="preserve">un </t>
  </si>
  <si>
    <t>ENCARREGADO - (OBRAS CIVIS)</t>
  </si>
  <si>
    <t>250103</t>
  </si>
  <si>
    <t>TÉCNICO EM SEGURANÇA DO TRABALHO (O. CIVIS)</t>
  </si>
  <si>
    <t>3.1</t>
  </si>
  <si>
    <t>4.1</t>
  </si>
  <si>
    <t>4.2</t>
  </si>
  <si>
    <t>4.3</t>
  </si>
  <si>
    <t>4.4</t>
  </si>
  <si>
    <t xml:space="preserve">VIGIA DE OBRAS - (NOTURNO E NO SÁBADO/DOMINGO DIURNO) - O.C.	</t>
  </si>
  <si>
    <t>Fiscalização</t>
  </si>
  <si>
    <t>Obra</t>
  </si>
  <si>
    <t>Altura</t>
  </si>
  <si>
    <t>Equipamento</t>
  </si>
  <si>
    <t>Mobilizador</t>
  </si>
  <si>
    <t>FU
(A)</t>
  </si>
  <si>
    <t>DT
(C)</t>
  </si>
  <si>
    <t>Custo
(D=AxB/60)</t>
  </si>
  <si>
    <t>Quantidade
(E)</t>
  </si>
  <si>
    <t>Autopropelidos</t>
  </si>
  <si>
    <t>CAMINHÃO APLICADOR DE MATERIAL TERMOPLÁSTICO</t>
  </si>
  <si>
    <t>CAMINHÃO BASCULANTE 10 M3 - 15 T</t>
  </si>
  <si>
    <t>CAMINHÃO BASCULANTE 6 M3 - 10,5 T</t>
  </si>
  <si>
    <t>CAMINHÃO CARROCERIA MADEIRA - 15 T</t>
  </si>
  <si>
    <t>CAMINHÃO COM BATE ESTACAS HIDRÁULICO PARA DEFENSA</t>
  </si>
  <si>
    <t>CAMINHÃO COM DOLLY - 57 t</t>
  </si>
  <si>
    <t>CAMINHÃO DISTRIBUIDOR DE CIMENTO</t>
  </si>
  <si>
    <t>CAMINHÃO MUNCK (GUINDAUTO)</t>
  </si>
  <si>
    <t>CAMINHÃO PARA HIDROSSEMEADURA</t>
  </si>
  <si>
    <t>CAMINHÃO PARA PINTURA A FRIO COM DEMARCADOR DE FAIXAS</t>
  </si>
  <si>
    <t>CAMINHÃO TANQUE 10.000L</t>
  </si>
  <si>
    <t>CAMINHÃO TANQUE 6.000L</t>
  </si>
  <si>
    <t>CAMINHÃO TANQUE DISTRIBUIDOR DE ASFALTO</t>
  </si>
  <si>
    <t>USINA MÓVEL PARA MICRO REVESTIMENTO</t>
  </si>
  <si>
    <t>Rebocados</t>
  </si>
  <si>
    <t>CARREGADEIRA DE PNEUS CAT - 924 H OU EQUIVALENTE</t>
  </si>
  <si>
    <t>CARREGADEIRA DE PNEUS CAT - 950 H OU EQUIVALENTE</t>
  </si>
  <si>
    <t>ESCAVADEIRA HIDRÁULICA - 320DL OU EQUIVALENTE</t>
  </si>
  <si>
    <t>ESCAVADEIRA HIDRÁULICA - CAT 323DL OU EQUIVALENTE</t>
  </si>
  <si>
    <t>FRESADORA A FRIO - W 200 F OU EQUIVALENTE</t>
  </si>
  <si>
    <t>MINI-CARREGADEIRA DE PNEUS COM FRESADORA</t>
  </si>
  <si>
    <t>MINI-CARREGADEIRA DE PNEUS COM VASSOURA DE 1,8 m</t>
  </si>
  <si>
    <t>MOTONIVELADORA - CAT 120K OU EQUIVALENTE</t>
  </si>
  <si>
    <t>PERFURATRIZ HIDRÁULICA SOBRE ESTEIRAS PARA ESTACA RAIZ</t>
  </si>
  <si>
    <t>PERFURATRIZ SOBRE ESTEIRAS - CRAWLER DRILL OU EQUIVALENTE</t>
  </si>
  <si>
    <t>RECICLADORA DE PAVIMENTO À FRIO - CATERPILLAR RM-500 OU EQUIVALENTE</t>
  </si>
  <si>
    <t>RETRO ESCAVADEIRA DE PNEUS - CATERPILLAR 416E OU EQUIVALENTE</t>
  </si>
  <si>
    <t>ROLO COMPACTADOR DE PNEUS AUTOPROPELIDO - 27 T</t>
  </si>
  <si>
    <t>ROLO LISO TANDEN - 6/8 T - CA-150 OU EQUIVALENTE</t>
  </si>
  <si>
    <t>ROLO LISO VIBRATÓRIO AUTOPROPELIDO - CS533 E OU EQUIVALENTE</t>
  </si>
  <si>
    <t>ROLO PÉ DE CARNEIRO AUTOPROPELIDO - CA 250 OU EQUIVALENTE</t>
  </si>
  <si>
    <t>TANQUE DE ESTOCAGEM ASFALTO (30.000L)</t>
  </si>
  <si>
    <t>TRATOR DE PNEUS AGRÍCOLA - MF 4292 OU EQUIVALENTE</t>
  </si>
  <si>
    <t>TRATOR DE PNEUS COM ROÇADEIRA</t>
  </si>
  <si>
    <t>TRATOR ESTEIRAS COM LÂMINA - CAT D8 OU EQUIVALENTE</t>
  </si>
  <si>
    <t>TRATOR ESTEIRAS COM ESCARIFICADOR - CAT D8 OU EQUIVALENTE</t>
  </si>
  <si>
    <t>TRATOR ESTEIRAS COM LAMINA - CAT D4 OU EQUIVALENTE</t>
  </si>
  <si>
    <t>TRATOR ESTEIRAS COM LAMINA - CAT D6 OU EQUIVALENTE</t>
  </si>
  <si>
    <t>USINA DE ASFALTO A QUENTE 80 t/h</t>
  </si>
  <si>
    <t>USINA MISTURADORA DE SOLO 300 t/h</t>
  </si>
  <si>
    <t>USINA PRÉ-MISTURADO A FRIO 60 t/h</t>
  </si>
  <si>
    <t>VIBROACABADORA DE ASFALTO SOBRE ESTEIRAS</t>
  </si>
  <si>
    <t>Sub Total de Equipamento (D) :</t>
  </si>
  <si>
    <t>Mão de Obra</t>
  </si>
  <si>
    <t>Percentual mobilizado (G)</t>
  </si>
  <si>
    <t>Total
(GxHxI)</t>
  </si>
  <si>
    <t>-</t>
  </si>
  <si>
    <t>EFETIVO PESSOAL A SER MOBILIZADO</t>
  </si>
  <si>
    <t>Sub Total de Mão de Obra (J) :</t>
  </si>
  <si>
    <t>Custo por Mobilização (K=F+J) :</t>
  </si>
  <si>
    <t>Preço por Mobilização (M=K+L) :</t>
  </si>
  <si>
    <t>Total Mobilização / Desmobilização (2xM) :</t>
  </si>
  <si>
    <t>GOINFRA
RODOVIÁRIA</t>
  </si>
  <si>
    <t>MOBILIZAÇÃO / DESMOBILIZAÇÃO - CONFORME DEMONSTRATIVO</t>
  </si>
  <si>
    <t>Hora
Produtiva
(B)</t>
  </si>
  <si>
    <t>Total
(CxDxE)</t>
  </si>
  <si>
    <t>Custo
(H)</t>
  </si>
  <si>
    <t>Total de
operários 
(I)</t>
  </si>
  <si>
    <t>BDI:  (L) :</t>
  </si>
  <si>
    <t>KM</t>
  </si>
  <si>
    <t>DT =</t>
  </si>
  <si>
    <t>CANTINA - (OBRAS CIVIS)</t>
  </si>
  <si>
    <t>Banco</t>
  </si>
  <si>
    <t xml:space="preserve"> 0005 </t>
  </si>
  <si>
    <t>AGETOP CIVIL</t>
  </si>
  <si>
    <t>SERVENTE</t>
  </si>
  <si>
    <t xml:space="preserve"> 0037 </t>
  </si>
  <si>
    <t>VIGIA DE OBRA NOTURNO-SÁBADO/DOMINGO DIURNO (SALÁRIO X 1,5864)</t>
  </si>
  <si>
    <t xml:space="preserve"> 0002 </t>
  </si>
  <si>
    <t>ENCARREGADO</t>
  </si>
  <si>
    <t xml:space="preserve"> 0008 </t>
  </si>
  <si>
    <t>AJUDANTE</t>
  </si>
  <si>
    <t xml:space="preserve"> 0038 </t>
  </si>
  <si>
    <t>TÉCNICO EM SEGURANÇA DO TRABALHO</t>
  </si>
  <si>
    <t xml:space="preserve"> 0004 </t>
  </si>
  <si>
    <t>PEDREIRO</t>
  </si>
  <si>
    <t xml:space="preserve"> 0006 </t>
  </si>
  <si>
    <t>ARMADOR</t>
  </si>
  <si>
    <t xml:space="preserve"> 0010 </t>
  </si>
  <si>
    <t>CARPINTEIRO</t>
  </si>
  <si>
    <t xml:space="preserve"> 0011 </t>
  </si>
  <si>
    <t>ENCANADOR</t>
  </si>
  <si>
    <t xml:space="preserve"> 0025 </t>
  </si>
  <si>
    <t>OFICIAL "B"</t>
  </si>
  <si>
    <t xml:space="preserve"> 0030 </t>
  </si>
  <si>
    <t>AJUDANTE DE CARPINTEIRO</t>
  </si>
  <si>
    <t xml:space="preserve"> 0012 </t>
  </si>
  <si>
    <t>ELETRICISTA</t>
  </si>
  <si>
    <t xml:space="preserve"> 0032 </t>
  </si>
  <si>
    <t>OPERADOR DE BETONEIRA</t>
  </si>
  <si>
    <t xml:space="preserve"> 0018 </t>
  </si>
  <si>
    <t>PINTOR</t>
  </si>
  <si>
    <t xml:space="preserve"> 0021 </t>
  </si>
  <si>
    <t>SERRALHEIRO</t>
  </si>
  <si>
    <t>Quantidade
Horas</t>
  </si>
  <si>
    <t xml:space="preserve">Total </t>
  </si>
  <si>
    <t>CAFE DA MANHA</t>
  </si>
  <si>
    <t>Total 
Profissionais</t>
  </si>
  <si>
    <t>PRAZO =</t>
  </si>
  <si>
    <t>0001</t>
  </si>
  <si>
    <t>ENGENHEIRO</t>
  </si>
  <si>
    <t>AGETOP RODOVIARIA</t>
  </si>
  <si>
    <t>Área virtual</t>
  </si>
  <si>
    <t>MEMORIAL DE CÁLCULO E LEVANTAMENTOS</t>
  </si>
  <si>
    <t>Município da Obra</t>
  </si>
  <si>
    <t>Base de cálculo ISS do município</t>
  </si>
  <si>
    <t>ISS:</t>
  </si>
  <si>
    <t>Valor percentual adotado</t>
  </si>
  <si>
    <t>Limites das parcelas do BDI para obras do tipo acima selecionado.
Acórdão TCU 2622/2013</t>
  </si>
  <si>
    <t>Mín</t>
  </si>
  <si>
    <t>Med.</t>
  </si>
  <si>
    <t>Máx.</t>
  </si>
  <si>
    <r>
      <t xml:space="preserve">(AC) - </t>
    </r>
    <r>
      <rPr>
        <sz val="10"/>
        <rFont val="Arial Narrow"/>
        <family val="2"/>
      </rPr>
      <t>Administração Central</t>
    </r>
  </si>
  <si>
    <r>
      <t xml:space="preserve">(S) + (G) - </t>
    </r>
    <r>
      <rPr>
        <sz val="10"/>
        <rFont val="Arial Narrow"/>
        <family val="2"/>
      </rPr>
      <t>Seguro e Garantia</t>
    </r>
  </si>
  <si>
    <r>
      <t xml:space="preserve">(R) - </t>
    </r>
    <r>
      <rPr>
        <sz val="10"/>
        <rFont val="Arial Narrow"/>
        <family val="2"/>
      </rPr>
      <t>Risco</t>
    </r>
  </si>
  <si>
    <r>
      <t xml:space="preserve">(DF) - </t>
    </r>
    <r>
      <rPr>
        <sz val="10"/>
        <rFont val="Arial Narrow"/>
        <family val="2"/>
      </rPr>
      <t>Despesas Financeiras</t>
    </r>
  </si>
  <si>
    <r>
      <t xml:space="preserve">(L) - </t>
    </r>
    <r>
      <rPr>
        <sz val="10"/>
        <rFont val="Arial Narrow"/>
        <family val="2"/>
      </rPr>
      <t>Lucro</t>
    </r>
  </si>
  <si>
    <r>
      <t xml:space="preserve">(I1) - </t>
    </r>
    <r>
      <rPr>
        <sz val="10"/>
        <rFont val="Arial Narrow"/>
        <family val="2"/>
      </rPr>
      <t>PIS</t>
    </r>
  </si>
  <si>
    <r>
      <t xml:space="preserve">(I2) - </t>
    </r>
    <r>
      <rPr>
        <sz val="10"/>
        <rFont val="Arial Narrow"/>
        <family val="2"/>
      </rPr>
      <t>COFINS</t>
    </r>
  </si>
  <si>
    <r>
      <t xml:space="preserve">(I3) - </t>
    </r>
    <r>
      <rPr>
        <sz val="10"/>
        <rFont val="Arial Narrow"/>
        <family val="2"/>
      </rPr>
      <t>ISS</t>
    </r>
  </si>
  <si>
    <r>
      <t xml:space="preserve">(I4) - </t>
    </r>
    <r>
      <rPr>
        <sz val="10"/>
        <rFont val="Arial Narrow"/>
        <family val="2"/>
      </rPr>
      <t>Contribuição Previdenciária (CPRB)</t>
    </r>
  </si>
  <si>
    <t>BDI Adotado</t>
  </si>
  <si>
    <t>Limites do valor do BDI para obras do tipo acima selecionado.
Acórdão TCU 2622/2013</t>
  </si>
  <si>
    <t>O valores do BDI acima foram calculados com emprego da equação a seguir:</t>
  </si>
  <si>
    <t>Onde:</t>
  </si>
  <si>
    <t>AC - taxa de rateio da Administração Central</t>
  </si>
  <si>
    <t>DF - taxa das despesas financeiras</t>
  </si>
  <si>
    <t>R, S, G - taxa de risco, seguro e garantia do empreendimento</t>
  </si>
  <si>
    <t>I - taxa de tributos (onerado: I = COFINS+PIS+ISS / desonerado: I = COFINS+PIS+ISS+CPRB)</t>
  </si>
  <si>
    <t>L - taxa de lucro</t>
  </si>
  <si>
    <t>*Fonte da composição, valores de referência e fórmula do BDI: Acórdão 2622/2013-TCU-Plenário</t>
  </si>
  <si>
    <t>BONIFICAÇÃO DE DESPESAS INDIRETAS
BDI - DIFERENCIADO COM DESONERAÇÃO</t>
  </si>
  <si>
    <t>BONIFICAÇÃO DE DESPESAS INDIRETAS
BDI - NORMAL COM DESONERAÇÃO</t>
  </si>
  <si>
    <t>BONIFICAÇÃO DE DESPESAS INDIRETAS
BDI - DIFERENCIADO SEM DESONERAÇÃO</t>
  </si>
  <si>
    <t>Unidade</t>
  </si>
  <si>
    <t>Preço Unitário</t>
  </si>
  <si>
    <t>GOINFRA CIVIL</t>
  </si>
  <si>
    <t>und</t>
  </si>
  <si>
    <t>SINAPI</t>
  </si>
  <si>
    <t>Qtd</t>
  </si>
  <si>
    <t>Valor Unit</t>
  </si>
  <si>
    <t>Peso (%)</t>
  </si>
  <si>
    <t xml:space="preserve"> 1</t>
  </si>
  <si>
    <t xml:space="preserve"> 1.1 </t>
  </si>
  <si>
    <t xml:space="preserve"> 250101 </t>
  </si>
  <si>
    <t>ENGENHEIRO - (OBRAS CIVIS)</t>
  </si>
  <si>
    <t xml:space="preserve"> 1.2 </t>
  </si>
  <si>
    <t xml:space="preserve"> 1.3 </t>
  </si>
  <si>
    <t xml:space="preserve"> 250103 </t>
  </si>
  <si>
    <t xml:space="preserve"> 1.4 </t>
  </si>
  <si>
    <t xml:space="preserve"> 250110 </t>
  </si>
  <si>
    <t>VIGIA DE OBRAS - (NOTURNO  E NO SÁBADO/DOMINGO DIURNO) - O.C.</t>
  </si>
  <si>
    <t xml:space="preserve"> 2</t>
  </si>
  <si>
    <t xml:space="preserve"> 2.1 </t>
  </si>
  <si>
    <t xml:space="preserve"> 2.2 </t>
  </si>
  <si>
    <t xml:space="preserve"> 2.3 </t>
  </si>
  <si>
    <t xml:space="preserve"> 020400 </t>
  </si>
  <si>
    <t>Un</t>
  </si>
  <si>
    <t xml:space="preserve"> 2.4 </t>
  </si>
  <si>
    <t xml:space="preserve"> 020501 </t>
  </si>
  <si>
    <t xml:space="preserve"> 2.5 </t>
  </si>
  <si>
    <t xml:space="preserve"> 021602 </t>
  </si>
  <si>
    <t xml:space="preserve"> 2.6 </t>
  </si>
  <si>
    <t xml:space="preserve"> 020200 </t>
  </si>
  <si>
    <t xml:space="preserve"> 2.7 </t>
  </si>
  <si>
    <t xml:space="preserve"> 021301 </t>
  </si>
  <si>
    <t xml:space="preserve"> 2.8 </t>
  </si>
  <si>
    <t xml:space="preserve"> 271502 </t>
  </si>
  <si>
    <t>RE</t>
  </si>
  <si>
    <t xml:space="preserve"> 2.9 </t>
  </si>
  <si>
    <t xml:space="preserve"> 271500 </t>
  </si>
  <si>
    <t xml:space="preserve"> 3</t>
  </si>
  <si>
    <t xml:space="preserve"> 3.1 </t>
  </si>
  <si>
    <t xml:space="preserve"> 020190 </t>
  </si>
  <si>
    <t xml:space="preserve"> 3.2 </t>
  </si>
  <si>
    <t xml:space="preserve"> 3.3 </t>
  </si>
  <si>
    <t xml:space="preserve"> 3.4 </t>
  </si>
  <si>
    <t xml:space="preserve"> 3.5 </t>
  </si>
  <si>
    <t>Próprio</t>
  </si>
  <si>
    <t xml:space="preserve"> 42301 </t>
  </si>
  <si>
    <t xml:space="preserve"> 4</t>
  </si>
  <si>
    <t xml:space="preserve"> 4.1 </t>
  </si>
  <si>
    <t xml:space="preserve"> 4.2 </t>
  </si>
  <si>
    <t xml:space="preserve"> 4.3 </t>
  </si>
  <si>
    <t xml:space="preserve"> 4.4 </t>
  </si>
  <si>
    <t xml:space="preserve"> 5</t>
  </si>
  <si>
    <t xml:space="preserve"> 5.1 </t>
  </si>
  <si>
    <t xml:space="preserve"> 041004 </t>
  </si>
  <si>
    <t>ESCAVACAO MECANICA</t>
  </si>
  <si>
    <t>m3km</t>
  </si>
  <si>
    <t xml:space="preserve"> 6</t>
  </si>
  <si>
    <t xml:space="preserve"> 6.1</t>
  </si>
  <si>
    <t xml:space="preserve"> 6.1.1 </t>
  </si>
  <si>
    <t xml:space="preserve"> 6.1.2 </t>
  </si>
  <si>
    <t xml:space="preserve"> 6.1.3 </t>
  </si>
  <si>
    <t>Kg</t>
  </si>
  <si>
    <t xml:space="preserve"> 6.2</t>
  </si>
  <si>
    <t xml:space="preserve"> 6.2.1 </t>
  </si>
  <si>
    <t xml:space="preserve"> 6.3</t>
  </si>
  <si>
    <t xml:space="preserve"> 6.3.1 </t>
  </si>
  <si>
    <t xml:space="preserve"> 6.3.2 </t>
  </si>
  <si>
    <t xml:space="preserve"> 7</t>
  </si>
  <si>
    <t xml:space="preserve"> 8</t>
  </si>
  <si>
    <t xml:space="preserve"> 8.1 </t>
  </si>
  <si>
    <t xml:space="preserve"> 8.2 </t>
  </si>
  <si>
    <t xml:space="preserve"> 8.3 </t>
  </si>
  <si>
    <t xml:space="preserve"> 9</t>
  </si>
  <si>
    <t xml:space="preserve"> 10</t>
  </si>
  <si>
    <t xml:space="preserve"> 11</t>
  </si>
  <si>
    <t>DISJUNTOR MONOPOLAR DE 10 A 32-A</t>
  </si>
  <si>
    <t>JOELHO 90 GRAUS SOLDAVEL DIAMETRO 25 MM</t>
  </si>
  <si>
    <t>TUBO SOLDAVEL PVC MARROM DIAM. 25 MM</t>
  </si>
  <si>
    <t>Total sem BDI</t>
  </si>
  <si>
    <t>Total do BDI</t>
  </si>
  <si>
    <t>Total Geral</t>
  </si>
  <si>
    <t>ENCARGOS SOCIAIS HORISTAS:</t>
  </si>
  <si>
    <t>ENCARGOS SOCIAIS MENSALISTAS:</t>
  </si>
  <si>
    <t>BDI OBRA:</t>
  </si>
  <si>
    <t>BASE:</t>
  </si>
  <si>
    <t>BDI DIFERENCIADO:</t>
  </si>
  <si>
    <t>LOCAIS:</t>
  </si>
  <si>
    <t>Verificação do atendimento ao Acórdão TCU 2622/2013, que rege o percentual de administração local</t>
  </si>
  <si>
    <t>1° Quartil</t>
  </si>
  <si>
    <t>2° Quartil</t>
  </si>
  <si>
    <t>3° Quartil</t>
  </si>
  <si>
    <t>Resultado Orçamento</t>
  </si>
  <si>
    <t>ORÇAMENTO SINTÉTICO
SEM DESONERAÇÃO</t>
  </si>
  <si>
    <t>ORÇAMENTO SINTÉTICO
COM DESONERAÇÃO</t>
  </si>
  <si>
    <t>CÁLCULO DE VANTAJOSIDADE</t>
  </si>
  <si>
    <t>VANTAJOSIDADE</t>
  </si>
  <si>
    <t>O cálculo de vantajosidade se baseia na comparação direta entre os valores totais do orçamento e a escolha pelo que representa o menor valor, para tanto temos:</t>
  </si>
  <si>
    <t>% de Diferença (a / b)</t>
  </si>
  <si>
    <t>a. Orçamento com desoneração:</t>
  </si>
  <si>
    <t>b. Orçamento sem desoneração:</t>
  </si>
  <si>
    <t>ORÇAMENTO COM MELHOR VANTAJOSIDADE</t>
  </si>
  <si>
    <t>ORÇAMENTO COM DESONERAÇÃO</t>
  </si>
  <si>
    <t>Porcent.</t>
  </si>
  <si>
    <t>Insumo</t>
  </si>
  <si>
    <t xml:space="preserve"> 0001 </t>
  </si>
  <si>
    <t>MES</t>
  </si>
  <si>
    <t>MO sem LS =&gt;</t>
  </si>
  <si>
    <t>LS =&gt;</t>
  </si>
  <si>
    <t>MO com LS =&gt;</t>
  </si>
  <si>
    <t>Valor do BDI =&gt;</t>
  </si>
  <si>
    <t>Valor com BDI =&gt;</t>
  </si>
  <si>
    <t>Material</t>
  </si>
  <si>
    <t xml:space="preserve"> 2788 </t>
  </si>
  <si>
    <t>COMPRESSOR DE 1,5HP-70L-140LB COM PISTOLA DE RESERVATÓRIO SUPERIOR E MANGUEIRA (MANUTENÇÃO E DEPRECIAÇÃO DO EQUIPAMENTO) - PREÇO DO EQUIPAMENTO NOVO DIVIDIDO POR 1.000</t>
  </si>
  <si>
    <t>l</t>
  </si>
  <si>
    <t xml:space="preserve"> 1861 </t>
  </si>
  <si>
    <t>PREGO 18x24</t>
  </si>
  <si>
    <t xml:space="preserve"> 2491 </t>
  </si>
  <si>
    <t>PARAFUSO DIAM.3/8" - 10 CM</t>
  </si>
  <si>
    <t xml:space="preserve"> 1704 </t>
  </si>
  <si>
    <t>MADEIRA DE LEI PARA TELHADO (ANGELIM VERMELHO)</t>
  </si>
  <si>
    <t xml:space="preserve"> H164 </t>
  </si>
  <si>
    <t xml:space="preserve"> 3337 </t>
  </si>
  <si>
    <t>INTERRUPTOR SIMPLES (1 SECAO) - (SUPORTE+MÓDULO+ESPELHO)</t>
  </si>
  <si>
    <t xml:space="preserve"> 3314 </t>
  </si>
  <si>
    <t>FIO ISOLADO 750 V, PIRASTIC 2,5 MM2</t>
  </si>
  <si>
    <t xml:space="preserve"> 3259 </t>
  </si>
  <si>
    <t xml:space="preserve"> 1215 </t>
  </si>
  <si>
    <t>CIMENTO PORTLAND CPII-32</t>
  </si>
  <si>
    <t xml:space="preserve"> 3138 </t>
  </si>
  <si>
    <t>CAIXA METALICA RETANGULAR 4"X2"X2"</t>
  </si>
  <si>
    <t xml:space="preserve"> 1218 </t>
  </si>
  <si>
    <t>CAIBRO 5x6 CM</t>
  </si>
  <si>
    <t xml:space="preserve"> 2386 </t>
  </si>
  <si>
    <t>BRITA Nº 1</t>
  </si>
  <si>
    <t xml:space="preserve"> H102 </t>
  </si>
  <si>
    <t>ADAPTADOR SOLDÁVEL CURTO COM BOLSA E ROSCA PARA REGISTRO 32X1"</t>
  </si>
  <si>
    <t xml:space="preserve"> H284 </t>
  </si>
  <si>
    <t>TUBO SOLDAVEL PARA ESGOTO DIAMETRO 100 MM</t>
  </si>
  <si>
    <t xml:space="preserve"> H248 </t>
  </si>
  <si>
    <t xml:space="preserve"> 3477 </t>
  </si>
  <si>
    <t>TOMADA HEXAGONAL 2P + T - 20A - 250V (SUPORTE+MÓDULO+ESPELHO)</t>
  </si>
  <si>
    <t xml:space="preserve"> 2023 </t>
  </si>
  <si>
    <t>TABUA PARA FORMA (30CM)</t>
  </si>
  <si>
    <t xml:space="preserve"> 1970 </t>
  </si>
  <si>
    <t>DILUENTE AGUARRÁS</t>
  </si>
  <si>
    <t xml:space="preserve"> 1968 </t>
  </si>
  <si>
    <t>SARRAFO DE MADEIRA 10 CM</t>
  </si>
  <si>
    <t xml:space="preserve"> 1862 </t>
  </si>
  <si>
    <t>PREGO 19x27</t>
  </si>
  <si>
    <t xml:space="preserve"> H249 </t>
  </si>
  <si>
    <t>TUBO SOLDAVEL PVC MARROM DIAM. 32 MM</t>
  </si>
  <si>
    <t xml:space="preserve"> 0104 </t>
  </si>
  <si>
    <t>AREIA MÉDIA</t>
  </si>
  <si>
    <t xml:space="preserve"> 1674 </t>
  </si>
  <si>
    <t>LIXA PARA PAREDE Nº 100</t>
  </si>
  <si>
    <t xml:space="preserve"> H229 </t>
  </si>
  <si>
    <t>TE DE REDUCAO 90 GRAUS SOLDAVEL 32 X 25 MM</t>
  </si>
  <si>
    <t xml:space="preserve"> H319 </t>
  </si>
  <si>
    <t>LUVA SOLDAVEL 25 MM</t>
  </si>
  <si>
    <t xml:space="preserve"> H320 </t>
  </si>
  <si>
    <t>LUVA SOLDAVEL 32 MM</t>
  </si>
  <si>
    <t xml:space="preserve"> 2033 </t>
  </si>
  <si>
    <t>TIJOLO COMUM MACIÇO (4,5x9x19cm)</t>
  </si>
  <si>
    <t xml:space="preserve"> 2034 </t>
  </si>
  <si>
    <t>TIJOLO FURADO 9x19x19 CM</t>
  </si>
  <si>
    <t xml:space="preserve"> 2054 </t>
  </si>
  <si>
    <t>TINTA GRAFITE</t>
  </si>
  <si>
    <t xml:space="preserve"> 2051 </t>
  </si>
  <si>
    <t>TINTA LATEX ACRILICA - SEMI BRILHO</t>
  </si>
  <si>
    <t xml:space="preserve"> H484 </t>
  </si>
  <si>
    <t>TORNEIRA DE JARDIM DIAMETRO 1/2 E 3/4" COM BICO</t>
  </si>
  <si>
    <t xml:space="preserve"> 2294 </t>
  </si>
  <si>
    <t>SELADOR ACRILICO</t>
  </si>
  <si>
    <t xml:space="preserve"> 1973 </t>
  </si>
  <si>
    <t>ADITIVO IMPERMEABILIZANTE DE PEGA NORMAL PARA ARGAMASSA E CONCRETO REF.: SIKA 1 / VEDACIT (D=1,00) OU EQUIVALENTE</t>
  </si>
  <si>
    <t xml:space="preserve"> H214 </t>
  </si>
  <si>
    <t>SOLUCAO LIMPADORA 1000 CM3 (FRASCO PLASTICO)</t>
  </si>
  <si>
    <t xml:space="preserve"> H559 </t>
  </si>
  <si>
    <t>REGISTRO DE ESFERA DIAM. 1" (METAL)</t>
  </si>
  <si>
    <t xml:space="preserve"> 1672 </t>
  </si>
  <si>
    <t>LIXA PARA FERRO Nº 100</t>
  </si>
  <si>
    <t xml:space="preserve"> H444 </t>
  </si>
  <si>
    <t>JOELHO DE REDUÇÃO 90 GRAUS SOLDAVEL DIAM. 32 MM X 25 MM</t>
  </si>
  <si>
    <t xml:space="preserve"> H158 </t>
  </si>
  <si>
    <t>JOELHO 90 GRAUS SOLD.C/BUCHA LATAO DIAM. 25 X 3/4"</t>
  </si>
  <si>
    <t xml:space="preserve"> H665 </t>
  </si>
  <si>
    <t>KIT CAVALETE (D=25MM P/ HIDRÔMETROS 1,5 M3; 3 M3 E 5 M3) +  CAIXA PADRÃO "A" DA SANEAGO</t>
  </si>
  <si>
    <t xml:space="preserve"> H689 </t>
  </si>
  <si>
    <t>FITA VEDAROSCA 18 MM</t>
  </si>
  <si>
    <t xml:space="preserve"> 1221 </t>
  </si>
  <si>
    <t>CAL HIDRATADA</t>
  </si>
  <si>
    <t xml:space="preserve"> 2437 </t>
  </si>
  <si>
    <t>AÇO CA-50 - 6,3 MM (1/4")</t>
  </si>
  <si>
    <t xml:space="preserve"> H112 </t>
  </si>
  <si>
    <t>ADESIVO PLASTICO - FRASCO 850 G</t>
  </si>
  <si>
    <t xml:space="preserve"> 2426 </t>
  </si>
  <si>
    <t>ARAME GALVANIZADO Nº 12 BWG</t>
  </si>
  <si>
    <t xml:space="preserve"> 0102 </t>
  </si>
  <si>
    <t>ARAME RECOZIDO 18 BWG</t>
  </si>
  <si>
    <t xml:space="preserve"> 2502 </t>
  </si>
  <si>
    <t>AREIA FINA</t>
  </si>
  <si>
    <t xml:space="preserve"> 4050 </t>
  </si>
  <si>
    <t>LÂMPADA BULBO LED, BASE E27, BIVOLT 12/15 W, 1000 A 1400 LUMENS, LUZ BRANCA</t>
  </si>
  <si>
    <t xml:space="preserve"> 2133 </t>
  </si>
  <si>
    <t>VIGOTA DE MADEIRA 6x12</t>
  </si>
  <si>
    <t xml:space="preserve"> 3604 </t>
  </si>
  <si>
    <t>SOQUETE INDUSTRIAL 1570 PARA USO AO TEMPO</t>
  </si>
  <si>
    <t xml:space="preserve"> 3459 </t>
  </si>
  <si>
    <t>TAMPA TIPO DZ ATE 63A</t>
  </si>
  <si>
    <t xml:space="preserve"> 2425 </t>
  </si>
  <si>
    <t>PARAFUSO 12,5 X 130 C/PORCA E ARRUELA</t>
  </si>
  <si>
    <t xml:space="preserve"> 3389 </t>
  </si>
  <si>
    <t>PARAFUSO DE AJUSTE TIPO DZ ATE 63A</t>
  </si>
  <si>
    <t xml:space="preserve"> 3751 </t>
  </si>
  <si>
    <t>RELE DE FALTA DE FASE 380 V - 60 HZ</t>
  </si>
  <si>
    <t xml:space="preserve"> 3764 </t>
  </si>
  <si>
    <t>RELE DE SOBRECORRENTE 16 - 36A</t>
  </si>
  <si>
    <t xml:space="preserve"> 3742 </t>
  </si>
  <si>
    <t>QUADRO DE DISTRIBUICAO DE EMBUTIR EM PVC CB 12E - 80A</t>
  </si>
  <si>
    <t xml:space="preserve"> 3106 </t>
  </si>
  <si>
    <t>CABO FLEXÍVEL, PVC (70° C), 450/750 V, 16 MM2</t>
  </si>
  <si>
    <t xml:space="preserve"> 2255 </t>
  </si>
  <si>
    <t>CADEADO SIMPLES EM LATÃO Nº 20</t>
  </si>
  <si>
    <t xml:space="preserve"> 3131 </t>
  </si>
  <si>
    <t>CAIXA DE PASSAGEM METALICA DE EMBUTIR 40X40X15 CM</t>
  </si>
  <si>
    <t xml:space="preserve"> 3174 </t>
  </si>
  <si>
    <t>CHAVE TRIPOLAR TIPO PACCO 63A</t>
  </si>
  <si>
    <t xml:space="preserve"> 3215 </t>
  </si>
  <si>
    <t>CONTATOR TRIPOLAR - 25A, 500V NOMINAL, COMANDO 220V, CATEGORIA AC-3.</t>
  </si>
  <si>
    <t xml:space="preserve"> 3261 </t>
  </si>
  <si>
    <t>DISJUNTOR TRIPOLAR 40 A 50A</t>
  </si>
  <si>
    <t xml:space="preserve"> 3262 </t>
  </si>
  <si>
    <t>DISJUNTOR TRIPOLAR DE 10 A 35-A</t>
  </si>
  <si>
    <t xml:space="preserve"> 3269 </t>
  </si>
  <si>
    <t>DISJUNTOR TRIPOLAR DE 60 A 100-A</t>
  </si>
  <si>
    <t xml:space="preserve"> 3313 </t>
  </si>
  <si>
    <t>FIO ISOLADO 750 V, PIRASTIC 10 MM2</t>
  </si>
  <si>
    <t xml:space="preserve"> 3318 </t>
  </si>
  <si>
    <t>FITA DE AUTO FUSAO, ROLO DE 10,00 M</t>
  </si>
  <si>
    <t xml:space="preserve"> 3320 </t>
  </si>
  <si>
    <t>FITA ISOLANTE, ROLO DE 20,00 M</t>
  </si>
  <si>
    <t xml:space="preserve"> 3323 </t>
  </si>
  <si>
    <t>FUSIVEL DZ RETARDADO DE 35A A 63A</t>
  </si>
  <si>
    <t xml:space="preserve"> 3329 </t>
  </si>
  <si>
    <t>HASTE COPPERWELD  5/8" X 2,40 M COM CONECTOR</t>
  </si>
  <si>
    <t xml:space="preserve"> 3752 </t>
  </si>
  <si>
    <t>INTERRUPTOR PARA QUADRO DE COMANDO</t>
  </si>
  <si>
    <t xml:space="preserve"> 3349 </t>
  </si>
  <si>
    <t>ISOLADOR ROLDANA PVC GRANDE (103)</t>
  </si>
  <si>
    <t xml:space="preserve"> 3939 </t>
  </si>
  <si>
    <t>DISPOSITIVO DE PROTEÇÃO CONTRA SURTOS(DPS) 275V DE 8 A 40KA</t>
  </si>
  <si>
    <t xml:space="preserve"> 3022 </t>
  </si>
  <si>
    <t>BASE DZ DE 25A A 63A</t>
  </si>
  <si>
    <t xml:space="preserve"> 3042 </t>
  </si>
  <si>
    <t>BOTOEIRA "LIGA-DESLIGA" PARA INSTALAÇÃO EM PORTA DE QUADRO</t>
  </si>
  <si>
    <t xml:space="preserve"> 2538 </t>
  </si>
  <si>
    <t>EPI/PGR/PCMSO / EXAMES/TREINAMENTOS/VISITAS  (COMP. AUXILIAR)</t>
  </si>
  <si>
    <t xml:space="preserve"> 2758 </t>
  </si>
  <si>
    <t>FERRAMENTAS/EQUIPAMENTOS E MATERIAL DE LIMPEZA PERMANENTE (COMPOSIÇÃO AUXILIAR )</t>
  </si>
  <si>
    <t xml:space="preserve"> 1893 </t>
  </si>
  <si>
    <t>PARAFUSO 8x110 MM</t>
  </si>
  <si>
    <t xml:space="preserve"> 1374 </t>
  </si>
  <si>
    <t>CHAPA DE EMENDA PARA MADEIRAMENTO</t>
  </si>
  <si>
    <t xml:space="preserve"> 1890 </t>
  </si>
  <si>
    <t>PLACA DE OBRA PLOTADA NA CHAPA 26 (0,50 MM)</t>
  </si>
  <si>
    <t xml:space="preserve"> 1941 </t>
  </si>
  <si>
    <t>REFEICAO</t>
  </si>
  <si>
    <t xml:space="preserve"> 2537 </t>
  </si>
  <si>
    <t>CAFÉ DA MANHA (COMP. AUXILIAR)**</t>
  </si>
  <si>
    <t xml:space="preserve"> 2433 </t>
  </si>
  <si>
    <t>LIMPEZA MECANICA DO TERRENO (O. RODOV.)</t>
  </si>
  <si>
    <t>SERP - SERVIÇOS PRELIMINARES</t>
  </si>
  <si>
    <t>Custo Horário de Execução =&gt;</t>
  </si>
  <si>
    <t>Fator de Influencia da Chuva - FIC =&gt;</t>
  </si>
  <si>
    <t>Custo do FIC =&gt;</t>
  </si>
  <si>
    <t>Produção de Equipe =&gt;</t>
  </si>
  <si>
    <t>Custo Unitário de Execução =&gt;</t>
  </si>
  <si>
    <t>G</t>
  </si>
  <si>
    <t>Outros Tipos</t>
  </si>
  <si>
    <t>Custo Horário</t>
  </si>
  <si>
    <t>S0006</t>
  </si>
  <si>
    <t>Custo unitário total dos outros insumos =&gt;</t>
  </si>
  <si>
    <t>Composição Auxiliar</t>
  </si>
  <si>
    <t>CHOR - CUSTOS HORÁRIOS DE MÁQUINAS E EQUIPAMENTOS</t>
  </si>
  <si>
    <t>CHI</t>
  </si>
  <si>
    <t>CHP</t>
  </si>
  <si>
    <t xml:space="preserve"> 2453 </t>
  </si>
  <si>
    <t>ESCAVACAO MECANICA (O. RODOV.)</t>
  </si>
  <si>
    <t>Serviços</t>
  </si>
  <si>
    <t xml:space="preserve"> 1120 </t>
  </si>
  <si>
    <t>AÇO CA-25</t>
  </si>
  <si>
    <t>Equipamentos</t>
  </si>
  <si>
    <t>Utilização</t>
  </si>
  <si>
    <t>Custo Operacional</t>
  </si>
  <si>
    <t>Operativa</t>
  </si>
  <si>
    <t>Improdutiva</t>
  </si>
  <si>
    <t>Custo Horário de Equipamentos =&gt;</t>
  </si>
  <si>
    <t>Salário Hora</t>
  </si>
  <si>
    <t>Custo Horário da Mão de Obra =&gt;</t>
  </si>
  <si>
    <t>Adc.M.O. - Ferramentas (0,0%) =&gt;</t>
  </si>
  <si>
    <t>D</t>
  </si>
  <si>
    <t>Atividades Auxiliares</t>
  </si>
  <si>
    <t>Atividade Auxiliar</t>
  </si>
  <si>
    <t>Custo Total das Atividades =&gt;</t>
  </si>
  <si>
    <t xml:space="preserve"> 3679 </t>
  </si>
  <si>
    <t>LOCAÇÃO DE CAMINHAO MUNCK 12 TON. ( MÍNIMO 4 HORAS)</t>
  </si>
  <si>
    <t>CPOS</t>
  </si>
  <si>
    <t>Edificação</t>
  </si>
  <si>
    <t>SIURB</t>
  </si>
  <si>
    <t>SEDI - SERVIÇOS DIVERSOS</t>
  </si>
  <si>
    <t>SEES - SERVIÇOS ESPECIAIS</t>
  </si>
  <si>
    <t>Composições Auxiliares</t>
  </si>
  <si>
    <t>Equipamento para Aquisição Permanente</t>
  </si>
  <si>
    <t xml:space="preserve"> 102270 </t>
  </si>
  <si>
    <t>MARTELO DEMOLIDOR ELÉTRICO, COM POTÊNCIA DE 2.000 W, 1.000 IMPACTOS POR MINUTO, PESO DE 30 KG - DEPRECIAÇÃO. AF_01/2021</t>
  </si>
  <si>
    <t xml:space="preserve"> 102271 </t>
  </si>
  <si>
    <t>MARTELO DEMOLIDOR ELÉTRICO, COM POTÊNCIA DE 2.000 W, 1.000 IMPACTOS POR MINUTO, PESO DE 30 KG - JUROS. AF_01/2021</t>
  </si>
  <si>
    <t xml:space="preserve"> 102272 </t>
  </si>
  <si>
    <t>MARTELO DEMOLIDOR ELÉTRICO, COM POTÊNCIA DE 2.000 W, 1.000 IMPACTOS POR MINUTO, PESO DE 30 KG - MANUTENÇÃO. AF_01/2021</t>
  </si>
  <si>
    <t xml:space="preserve"> 102273 </t>
  </si>
  <si>
    <t>MARTELO DEMOLIDOR ELÉTRICO, COM POTÊNCIA DE 2.000 W, 1.000 IMPACTOS POR MINUTO, PESO DE 30 KG - MATERIAIS NA OPERAÇÃO. AF_01/2021</t>
  </si>
  <si>
    <t xml:space="preserve"> 00040703 </t>
  </si>
  <si>
    <t>MARTELO DEMOLIDOR ELETRICO, COM POTENCIA DE 2.000 W, FREQUENCIA DE 1.000 IMPACTOS POR MINUTO, FORCA DE IMPACTO ENTRE 60 E 65 J, PESO DE 30 KG</t>
  </si>
  <si>
    <t xml:space="preserve"> 1317 </t>
  </si>
  <si>
    <t>ENERGIA ELETRICA KWH (B3-DEMAIS CLASSES)</t>
  </si>
  <si>
    <t>kwh</t>
  </si>
  <si>
    <t>C</t>
  </si>
  <si>
    <t>Custo Total do Material =&gt;</t>
  </si>
  <si>
    <t xml:space="preserve"> 1 </t>
  </si>
  <si>
    <t xml:space="preserve"> 2 </t>
  </si>
  <si>
    <t xml:space="preserve"> 3 </t>
  </si>
  <si>
    <t xml:space="preserve"> 4 </t>
  </si>
  <si>
    <t xml:space="preserve"> 5 </t>
  </si>
  <si>
    <t xml:space="preserve"> 6 </t>
  </si>
  <si>
    <t xml:space="preserve"> 7 </t>
  </si>
  <si>
    <t xml:space="preserve"> 8 </t>
  </si>
  <si>
    <t xml:space="preserve"> 9 </t>
  </si>
  <si>
    <t xml:space="preserve"> 10 </t>
  </si>
  <si>
    <t xml:space="preserve"> 11 </t>
  </si>
  <si>
    <t>ORÇAMENTO SEM DESONERAÇÃO</t>
  </si>
  <si>
    <t/>
  </si>
  <si>
    <t>Valor  Unit</t>
  </si>
  <si>
    <t>Peso Acumulado (%)</t>
  </si>
  <si>
    <t>DESCRIÇÃO</t>
  </si>
  <si>
    <r>
      <rPr>
        <b/>
        <sz val="10"/>
        <rFont val="Arial Narrow"/>
        <family val="2"/>
      </rPr>
      <t>COM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DESONERAÇÃO</t>
    </r>
  </si>
  <si>
    <r>
      <rPr>
        <b/>
        <sz val="10"/>
        <rFont val="Arial Narrow"/>
        <family val="2"/>
      </rPr>
      <t>SEM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DESONERAÇÃO</t>
    </r>
  </si>
  <si>
    <r>
      <rPr>
        <b/>
        <sz val="10"/>
        <rFont val="Arial Narrow"/>
        <family val="2"/>
      </rPr>
      <t>HORISTA
%</t>
    </r>
  </si>
  <si>
    <r>
      <rPr>
        <b/>
        <sz val="10"/>
        <rFont val="Arial Narrow"/>
        <family val="2"/>
      </rPr>
      <t>MENSALISTA
%</t>
    </r>
  </si>
  <si>
    <r>
      <rPr>
        <b/>
        <sz val="10"/>
        <rFont val="Arial Narrow"/>
        <family val="2"/>
      </rPr>
      <t>GRUPO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A</t>
    </r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</si>
  <si>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</si>
  <si>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</si>
  <si>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</si>
  <si>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</si>
  <si>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</si>
  <si>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</si>
  <si>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</si>
  <si>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</si>
  <si>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</si>
  <si>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</si>
  <si>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</si>
  <si>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</si>
  <si>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</si>
  <si>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</si>
  <si>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</si>
  <si>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</si>
  <si>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</si>
  <si>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</si>
  <si>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r>
      <rPr>
        <b/>
        <sz val="10"/>
        <rFont val="Arial Narrow"/>
        <family val="2"/>
      </rPr>
      <t>GRUPO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B</t>
    </r>
  </si>
  <si>
    <t>Repouso Semanal Remunerado</t>
  </si>
  <si>
    <t>Não incide</t>
  </si>
  <si>
    <t>Feriados</t>
  </si>
  <si>
    <t>Auxílio - Enfermidade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</si>
  <si>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</si>
  <si>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</si>
  <si>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</si>
  <si>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</si>
  <si>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</si>
  <si>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</si>
  <si>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</si>
  <si>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</si>
  <si>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</si>
  <si>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</si>
  <si>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</si>
  <si>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</si>
  <si>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</si>
  <si>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r>
      <rPr>
        <b/>
        <sz val="10"/>
        <rFont val="Arial Narrow"/>
        <family val="2"/>
      </rPr>
      <t>GRUPO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C</t>
    </r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</si>
  <si>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</si>
  <si>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</si>
  <si>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</si>
  <si>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</si>
  <si>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</si>
  <si>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</si>
  <si>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</si>
  <si>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</si>
  <si>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</si>
  <si>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</si>
  <si>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r>
      <rPr>
        <b/>
        <sz val="10"/>
        <rFont val="Arial Narrow"/>
        <family val="2"/>
      </rPr>
      <t>GRUPO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D</t>
    </r>
  </si>
  <si>
    <t>D1</t>
  </si>
  <si>
    <t>Reincidência de Grupo A sobre Grupo B</t>
  </si>
  <si>
    <t>D2</t>
  </si>
  <si>
    <t>Reincidência de Grupo A sobre Aviso Prévio Trabalhado e Reincidência do FGTS sobre Aviso
Prévio Indenizado</t>
  </si>
  <si>
    <t>TOTAL(A+B+C+D)</t>
  </si>
  <si>
    <t>FONTE: SINAPI - INFORMAÇÃO DIAS DE CHUVA – INMET</t>
  </si>
  <si>
    <t>DEMONSTRATIVO DE ENCARGOS SOCIAIS</t>
  </si>
  <si>
    <t>PRAZO :</t>
  </si>
  <si>
    <t>PRAZO:</t>
  </si>
  <si>
    <t>MAPA DE COTAÇÃO</t>
  </si>
  <si>
    <t>EMPRESA:</t>
  </si>
  <si>
    <t>VALOR ADOTADO</t>
  </si>
  <si>
    <t>CNPJ:</t>
  </si>
  <si>
    <t>CONTATO:</t>
  </si>
  <si>
    <t>TELEFONE:</t>
  </si>
  <si>
    <t>(62) 3952-0035</t>
  </si>
  <si>
    <t>UND</t>
  </si>
  <si>
    <t>QUANT</t>
  </si>
  <si>
    <t>VL. UNIT</t>
  </si>
  <si>
    <t>VL. TOTAL</t>
  </si>
  <si>
    <t>TOTAL BRUTO</t>
  </si>
  <si>
    <t>DETERMINAÇÃO DO COEFICIENTE DE VARIAÇÃO DO PREÇO</t>
  </si>
  <si>
    <t>Numero de amostras</t>
  </si>
  <si>
    <t>Portanto:</t>
  </si>
  <si>
    <t xml:space="preserve">                                                                     =</t>
  </si>
  <si>
    <t>RESPONSÁVEL:</t>
  </si>
  <si>
    <t>ART:</t>
  </si>
  <si>
    <t>CREA:</t>
  </si>
  <si>
    <t>MAPA DE COTAÇÕES</t>
  </si>
  <si>
    <t>1ª Etapa</t>
  </si>
  <si>
    <t>2ª Etapa</t>
  </si>
  <si>
    <t>3ª Etapa</t>
  </si>
  <si>
    <t>4ª Etapa</t>
  </si>
  <si>
    <t xml:space="preserve">REMOÇÃO MANUAL DE JANELA OU PORTAL COM TRANSPORTE ATÉ CAÇAMBA E CARGA	</t>
  </si>
  <si>
    <t>020106</t>
  </si>
  <si>
    <t>Etapa</t>
  </si>
  <si>
    <t>Área Esquadria</t>
  </si>
  <si>
    <t>Área 
Vidro</t>
  </si>
  <si>
    <t>1º Pavimento</t>
  </si>
  <si>
    <t>2º Pavimento</t>
  </si>
  <si>
    <t>3º Pavimento</t>
  </si>
  <si>
    <t>Camarote</t>
  </si>
  <si>
    <t>Torre de Rádio</t>
  </si>
  <si>
    <t>1ª etapa</t>
  </si>
  <si>
    <t>39</t>
  </si>
  <si>
    <t>Portas</t>
  </si>
  <si>
    <t>Janelas</t>
  </si>
  <si>
    <t>SIURB-SP</t>
  </si>
  <si>
    <t>Torres</t>
  </si>
  <si>
    <t>Arquibancada Menor</t>
  </si>
  <si>
    <t>Arrimo</t>
  </si>
  <si>
    <t>Arquibancada Principal</t>
  </si>
  <si>
    <t>Escada cabines</t>
  </si>
  <si>
    <t>Escada interna</t>
  </si>
  <si>
    <t>Rampa de acesso</t>
  </si>
  <si>
    <t>Subtotal</t>
  </si>
  <si>
    <t>DEMOLIÇÕES - ESQUADRIAS</t>
  </si>
  <si>
    <t>DEMOLIÇÕES - GUARDA CORPO</t>
  </si>
  <si>
    <t>DEMOLIÇÕES - ALVENARIAS</t>
  </si>
  <si>
    <t>020118</t>
  </si>
  <si>
    <t xml:space="preserve">DEMOLIÇÃO MANUAL ALVENARIA TIJOLO SEM REAPROVEITAMENTO COM TRANSPORTE ATE CAÇAMBA E CARGA	</t>
  </si>
  <si>
    <t>Piso 1</t>
  </si>
  <si>
    <t>Piso 2</t>
  </si>
  <si>
    <t>Piso 3</t>
  </si>
  <si>
    <t>Piso 4</t>
  </si>
  <si>
    <t>Piso 5</t>
  </si>
  <si>
    <t>Espessura
15 cm</t>
  </si>
  <si>
    <t>ANDAIME METALICO FACHADEIRO (ALUGUEL/MES)</t>
  </si>
  <si>
    <t>060105</t>
  </si>
  <si>
    <t>Total:</t>
  </si>
  <si>
    <t>M2xMÊS</t>
  </si>
  <si>
    <t>DEMOLIÇÕES - COBERTURA</t>
  </si>
  <si>
    <t>Cobertura</t>
  </si>
  <si>
    <t>Lateral</t>
  </si>
  <si>
    <t xml:space="preserve">DEMOLIÇÃO MANUAL - COBERTURA TELHA METÁLICA COM TRANSPORTE ATÉ CAÇAMBA E CARGA	</t>
  </si>
  <si>
    <t>020100</t>
  </si>
  <si>
    <t>REMOÇÃO DE VIDRO (adaptado conforme Decreto Estadual 9900/2021)</t>
  </si>
  <si>
    <t>RETIRADA DE GRADIL, PORTÕES E GUARDA-CORPO (adaptado conforme Decreto Estadual 9900/2021)</t>
  </si>
  <si>
    <t>DESMONTAGEM DE ESTRUTURA METÁLICA COM RETIRADA DE SOLDA E CORTE DE PEÇAS POR MEIO DE LIXADEIRA (adaptado conforme Decreto Estadual 9900/2021)</t>
  </si>
  <si>
    <t xml:space="preserve">ANDAIME METALICO TORRE (ALUGUEL/MES)	</t>
  </si>
  <si>
    <t>060104</t>
  </si>
  <si>
    <t>MxMÊS</t>
  </si>
  <si>
    <t>DEMOLIÇÕES - CONCRETO</t>
  </si>
  <si>
    <t>Piso 1 - Laje</t>
  </si>
  <si>
    <t>Piso 1 - Escada</t>
  </si>
  <si>
    <t>Piso 2 - Laje</t>
  </si>
  <si>
    <t>Piso 2 - Escada</t>
  </si>
  <si>
    <t>Piso 3 - Laje</t>
  </si>
  <si>
    <t>Piso 3 - Escada</t>
  </si>
  <si>
    <t>Piso 4 - Laje</t>
  </si>
  <si>
    <t>Piso 4 - Escada</t>
  </si>
  <si>
    <t>Piso 5 - Laje</t>
  </si>
  <si>
    <t>DEMOLIÇÃO DE LAJES, EM CONCRETO ARMADO, DE FORMA MECANIZADA COM MARTELETE, SEM REAPROVEITAMENTO. AF_09/2023 (adaptado conforme Decreto Estadual 9900/2021)</t>
  </si>
  <si>
    <t>DEMOLIÇÃO DE PILARES E VIGAS EM CONCRETO ARMADO, DE FORMA MECANIZADA COM MARTELETE, SEM REAPROVEITAMENTO. AF_09/2023 (adaptado conforme Decreto Estadual 9900/2021)</t>
  </si>
  <si>
    <t>Vigas Internas 2° piso</t>
  </si>
  <si>
    <t>Vigas Internas 3° piso</t>
  </si>
  <si>
    <t>Vigas Internas 4° piso</t>
  </si>
  <si>
    <t>SEINFRA-0010</t>
  </si>
  <si>
    <t>DEMOLIÇÃO DE PILARES DE CONCRETO ARMADO POR TOMBAMENTO COM CABO DE AÇO</t>
  </si>
  <si>
    <t>Pilares externos ao lado dos imóveis existentes, dimensões: 80x21x1169 cm</t>
  </si>
  <si>
    <t xml:space="preserve">	</t>
  </si>
  <si>
    <t>DEMOLIÇÃO MECÂNICA DE CONCRETO ARMADO COM ESCAVADEIRA HIDRÁULICA (adaptado conforme Decreto Estadual 9900/2021)</t>
  </si>
  <si>
    <t>SICRO</t>
  </si>
  <si>
    <t>Vigas Internas 1° piso esquerda</t>
  </si>
  <si>
    <t>Vigas Internas 1° piso direita</t>
  </si>
  <si>
    <t>Pilares Internos 1° Piso</t>
  </si>
  <si>
    <t>Pilares Externos 1° e 2° Piso</t>
  </si>
  <si>
    <t>Pilares Externos 1° ao 3° Piso</t>
  </si>
  <si>
    <t>Pilares Principais</t>
  </si>
  <si>
    <t>Pilares Internos 2° Piso</t>
  </si>
  <si>
    <t>SEINFRA-0014</t>
  </si>
  <si>
    <t>Corte com fio diamantado em 02 pilares, sendo 10 cortes em cada pilar e execução de furos</t>
  </si>
  <si>
    <t>Quantidade de pilares:</t>
  </si>
  <si>
    <t>EXECUÇÃO DE CORTES EM PILARES COM FIO DIAMANTADO, INCLUSO MOBILIZAÇÃO E DESMOBILIZAÇÃO</t>
  </si>
  <si>
    <t>Medido no local</t>
  </si>
  <si>
    <t>Desconto
(m²)</t>
  </si>
  <si>
    <t>Área
(m²)</t>
  </si>
  <si>
    <t>Azul</t>
  </si>
  <si>
    <t>Marrom</t>
  </si>
  <si>
    <t>Torre Azul</t>
  </si>
  <si>
    <t>Laje maior</t>
  </si>
  <si>
    <t>Laje menor</t>
  </si>
  <si>
    <t>Largura
(m)</t>
  </si>
  <si>
    <t>Torre Marrom</t>
  </si>
  <si>
    <t>Pilares Arco</t>
  </si>
  <si>
    <t>Pilar até cobertura</t>
  </si>
  <si>
    <t>DEMOLIÇÃO MANUAL DE COBERTURA EM TELHA CERAMICA COM TRANSPORTE ATÉ CAÇAMBA E CARGA</t>
  </si>
  <si>
    <t>020101</t>
  </si>
  <si>
    <t>Telhado</t>
  </si>
  <si>
    <t>Piso pedra</t>
  </si>
  <si>
    <t>Piso arquibancada</t>
  </si>
  <si>
    <t>04.21.130</t>
  </si>
  <si>
    <t>REMOÇÃO DE POSTE DE CONCRETO (adaptado conforme Decreto Estadual 9900/2021)</t>
  </si>
  <si>
    <t>Total de postes a serem retirados na aquibancada menor</t>
  </si>
  <si>
    <t>ESCAVAÇÃO MECÂNICA</t>
  </si>
  <si>
    <t>Considerado somente metade do volume</t>
  </si>
  <si>
    <t>DEMOLIÇÕES - MOVIMENTO DE TERRA</t>
  </si>
  <si>
    <t>Aquibancada Maior</t>
  </si>
  <si>
    <t>CORTE DE PILAR COM FITA DIAMANTADA</t>
  </si>
  <si>
    <t>ÁGUIA GNY</t>
  </si>
  <si>
    <t>(19) 98299-3216</t>
  </si>
  <si>
    <t>EXECUÇÃO DE CORTES EM PILARES COM FITA DIAMANTADA, INCLUSIVE FUROS PARA IÇAMENTO, MOOBILIZAÇÃO E DESMOBILIZAÇÃO</t>
  </si>
  <si>
    <t>FURACON</t>
  </si>
  <si>
    <t>(11) 4224-4697</t>
  </si>
  <si>
    <t>ALFA PERFURAÇÕES</t>
  </si>
  <si>
    <t>Mediana</t>
  </si>
  <si>
    <t>TRANSPORTE</t>
  </si>
  <si>
    <t>DEMOLIÇÕES - TRANSPORTES</t>
  </si>
  <si>
    <t>TRANSPORTE DE ENTULHO CAÇAMBA ESTACIONÁRIA SEM CARGA</t>
  </si>
  <si>
    <t>030104</t>
  </si>
  <si>
    <t>Empolamento</t>
  </si>
  <si>
    <t>Transporte</t>
  </si>
  <si>
    <t xml:space="preserve">CARGA MECANIZADA	</t>
  </si>
  <si>
    <t>041005</t>
  </si>
  <si>
    <t>TRANSPORTE DE ENTULHOS (PAV.URB.)</t>
  </si>
  <si>
    <t>M3xKM</t>
  </si>
  <si>
    <t>Destinação mais próxima que trata os residuos de construção civil.</t>
  </si>
  <si>
    <t>Observação:</t>
  </si>
  <si>
    <t>Peso Específico</t>
  </si>
  <si>
    <t>TON</t>
  </si>
  <si>
    <t>DEMOLIÇÕES - DESTINAÇÃO DE RESÍDUOS</t>
  </si>
  <si>
    <t>DESCARTE DE RESÍDUOS DA CONSTRUÇÃO CIVIL EM ÁREA LICENCIADA / USINA DE RECICLAGEM (adaptado conforme Decreto Estadual 9900/2021)</t>
  </si>
  <si>
    <t>Campo</t>
  </si>
  <si>
    <t>Diversos</t>
  </si>
  <si>
    <t xml:space="preserve">SEGURANÇA </t>
  </si>
  <si>
    <t>TELA DE NYLON PARA PROTEÇÃO DE FACHADA (adaptado conforme Decreto Estadual 9900/2021)</t>
  </si>
  <si>
    <t>Arquibancada</t>
  </si>
  <si>
    <t>CONSTRUÇÃO DE BANDEJA SALVA VIDAS PRIMÁRIA DE MADEIRA - LARGURA 2,50M</t>
  </si>
  <si>
    <t>021001</t>
  </si>
  <si>
    <t>GUARDA-CORPO FIXADO EM FÔRMA DE MADEIRA COM MONTANTES E TRAVESSÕES EM MADEIRA PRÉ-MONTADOS PARA EDIFÍCIOS COM 3 PAVIMENTOS. AF_03/2024 (adaptado conforme Decreto Estadual 9900/2021)</t>
  </si>
  <si>
    <t>SETOP</t>
  </si>
  <si>
    <t>ED-9128</t>
  </si>
  <si>
    <t>LINHA DE VIDA HORIZONTAL PERMANENTE EM CABO DE AÇO GALVANIZADO PARA TRABALHOS EM COBERTURAS E TELHADOS, EXCLUSIVE PROJETO E ART (adaptado conforme Decreto Estadual 9900/2021)</t>
  </si>
  <si>
    <t>Período
(mês)</t>
  </si>
  <si>
    <t>Arquibancada - 2ª etapa</t>
  </si>
  <si>
    <t>Arquibancada - 3ª etapa</t>
  </si>
  <si>
    <t xml:space="preserve">GUINDASTE 60 T - MÍNIMO 10H/DIA	</t>
  </si>
  <si>
    <t>LOCAÇÃO DE PLATAFORMA ELEVATÓRIA ARTICULADA, COM ALTURA APROXIMADA DE 20 M, CAPACIDADE DE CARGA DE 227 KG, DIESEL (adaptado conforme Decreto Estadual 9900/2021)</t>
  </si>
  <si>
    <t>Tempo
(h)</t>
  </si>
  <si>
    <t>Tempo
(mês)</t>
  </si>
  <si>
    <t>MÊS</t>
  </si>
  <si>
    <t>02.06.040</t>
  </si>
  <si>
    <t>Dias</t>
  </si>
  <si>
    <t>EQUIPAMENTOS</t>
  </si>
  <si>
    <t>Canteiro</t>
  </si>
  <si>
    <t>LOCAÇÃO DE CONTAINER SANITÁRIO MISTO 6,00 X 2,40 M, COM 3 VASOS, 6 CHUVEIROS, LAVATÓRIO E MICTÓRIO (EXCLUSO MOBILIZAÇÃO / DESMOBILIZAÇÃO)</t>
  </si>
  <si>
    <t>020232</t>
  </si>
  <si>
    <t>LOCAÇÃO DE CONTAINER COM REVESTIMENTO INTERNO, PARA ESCRITÓRIO SEM SANITÁRIOS 6,00 X 2,40 M, INCLUSIVE APARELHO DE AR CONDICIONADO E MOBILIÁRIO (EXCLUSO MOBILIZAÇÃO / DESMOBILIZAÇÃO)</t>
  </si>
  <si>
    <t>020231</t>
  </si>
  <si>
    <t>LOCAÇÃO DE CONTAINER SEM REVESTIMENTO INTERNO PARA ALMOXARIFADO / DEPÓSITO 6,00 X 2,40 M, INCLUSIVE MOBILIÁRIO (EXCLUSO MOBILIZAÇÃO / DESMOBILIZAÇÃO)</t>
  </si>
  <si>
    <t>020230</t>
  </si>
  <si>
    <t>LOCAÇÃO DE CONTAINER - REFEITÓRIO SEM BANHEIRO (adaptado conforme Decreto Estadual 9900/2021)</t>
  </si>
  <si>
    <t>MOBILIZAÇÃO DE CONTAINER</t>
  </si>
  <si>
    <t>Distância
(km)</t>
  </si>
  <si>
    <t>UNxKM</t>
  </si>
  <si>
    <t>DESMOBILIZAÇÃO DE CONTAINER</t>
  </si>
  <si>
    <t>030117</t>
  </si>
  <si>
    <t>030118</t>
  </si>
  <si>
    <t>Placa</t>
  </si>
  <si>
    <t>ARQUEÓLOGO, NÍVEL SÊNIOR (adaptado conforme Decreto Estadual 9900/2021)</t>
  </si>
  <si>
    <t>CO-33095</t>
  </si>
  <si>
    <t>CONSTRUÇÃO DE EDIFÍCIOS</t>
  </si>
  <si>
    <t>PIRENÓPOLIS - GO</t>
  </si>
  <si>
    <t xml:space="preserve"> MOCO-33022 </t>
  </si>
  <si>
    <t>ARQUEÓLOGO (NÍVEL: SÊNIOR)</t>
  </si>
  <si>
    <t xml:space="preserve"> 0015 </t>
  </si>
  <si>
    <t>MONTADOR DE ESTRUTURA METALICA</t>
  </si>
  <si>
    <t>Custo total</t>
  </si>
  <si>
    <t>Administração</t>
  </si>
  <si>
    <t>Custo Virtual</t>
  </si>
  <si>
    <t>MOBILIZAÇÃO / DESMOBILIZAÇÃO - CONFORME DEMONSTRATIVO - SEM DESONERAÇÃO</t>
  </si>
  <si>
    <t>MOBILIZAÇÃO / DESMOBILIZAÇÃO - CONFORME DEMONSTRATIVO - COM DESONERAÇÃO</t>
  </si>
  <si>
    <t>1.5</t>
  </si>
  <si>
    <t>2.9</t>
  </si>
  <si>
    <t>2.10</t>
  </si>
  <si>
    <t>2.11</t>
  </si>
  <si>
    <t>2.12</t>
  </si>
  <si>
    <t>2.13</t>
  </si>
  <si>
    <t>3.2</t>
  </si>
  <si>
    <t>3.3</t>
  </si>
  <si>
    <t>3.4</t>
  </si>
  <si>
    <t>3.5</t>
  </si>
  <si>
    <t>5.1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</si>
  <si>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</si>
  <si>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</si>
  <si>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</si>
  <si>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</si>
  <si>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</si>
  <si>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</si>
  <si>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</si>
  <si>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</si>
  <si>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</si>
  <si>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</si>
  <si>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</si>
  <si>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</si>
  <si>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</si>
  <si>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7.1</t>
  </si>
  <si>
    <t>8.1</t>
  </si>
  <si>
    <t>8.2</t>
  </si>
  <si>
    <t>8.3</t>
  </si>
  <si>
    <t>9.1</t>
  </si>
  <si>
    <t xml:space="preserve"> 250113 </t>
  </si>
  <si>
    <t xml:space="preserve"> 1.5 </t>
  </si>
  <si>
    <t xml:space="preserve"> CO-33095 </t>
  </si>
  <si>
    <t>ARQUEÓLOGO, NÍVEL SÊNIOR, INCLUSIVE ENCARGOS COMPLEMENTARES</t>
  </si>
  <si>
    <t>hora</t>
  </si>
  <si>
    <t>BDI</t>
  </si>
  <si>
    <t xml:space="preserve"> 020232 </t>
  </si>
  <si>
    <t>mes</t>
  </si>
  <si>
    <t xml:space="preserve"> 020231 </t>
  </si>
  <si>
    <t xml:space="preserve"> 020230 </t>
  </si>
  <si>
    <t xml:space="preserve"> 4659 </t>
  </si>
  <si>
    <t>mês</t>
  </si>
  <si>
    <t xml:space="preserve"> 030117 </t>
  </si>
  <si>
    <t>UNXKM</t>
  </si>
  <si>
    <t xml:space="preserve"> 030118 </t>
  </si>
  <si>
    <t xml:space="preserve"> 2.10 </t>
  </si>
  <si>
    <t xml:space="preserve"> 2.11 </t>
  </si>
  <si>
    <t xml:space="preserve"> 2.12 </t>
  </si>
  <si>
    <t xml:space="preserve"> 2.13 </t>
  </si>
  <si>
    <t xml:space="preserve"> 060104 </t>
  </si>
  <si>
    <t>ANDAIME METALICO TORRE (ALUGUEL/MES)</t>
  </si>
  <si>
    <t>mxmes</t>
  </si>
  <si>
    <t xml:space="preserve"> 060105 </t>
  </si>
  <si>
    <t>m2xmes</t>
  </si>
  <si>
    <t xml:space="preserve"> 40194 </t>
  </si>
  <si>
    <t>GUINDASTE 60 T - MÍNIMO 10H/DIA</t>
  </si>
  <si>
    <t xml:space="preserve"> 02.06.040 </t>
  </si>
  <si>
    <t>UNMES</t>
  </si>
  <si>
    <t>SEGURANÇA DO TRABALHO</t>
  </si>
  <si>
    <t xml:space="preserve"> 270603 </t>
  </si>
  <si>
    <t>REDE PROTECAO DE NYLON COM GANCHOS E BUCHAS S8</t>
  </si>
  <si>
    <t xml:space="preserve"> 021001 </t>
  </si>
  <si>
    <t xml:space="preserve"> 97017 </t>
  </si>
  <si>
    <t xml:space="preserve"> ED-9128 </t>
  </si>
  <si>
    <t>DEMOLIÇÕES - ARQUIBANCADA PRINCIPAL</t>
  </si>
  <si>
    <t>1ª ETAPA</t>
  </si>
  <si>
    <t xml:space="preserve"> 39 </t>
  </si>
  <si>
    <t xml:space="preserve"> 020106 </t>
  </si>
  <si>
    <t>REMOÇÃO MANUAL DE JANELA OU PORTAL COM TRANSPORTE ATÉ CAÇAMBA E CARGA</t>
  </si>
  <si>
    <t xml:space="preserve"> 17060102 </t>
  </si>
  <si>
    <t>2ª ETAPA</t>
  </si>
  <si>
    <t xml:space="preserve"> 020118 </t>
  </si>
  <si>
    <t>DEMOLIÇÃO MANUAL ALVENARIA TIJOLO SEM REAPROVEITAMENTO COM TRANSPORTE ATE CAÇAMBA E CARGA</t>
  </si>
  <si>
    <t>3ª ETAPA</t>
  </si>
  <si>
    <t xml:space="preserve"> 020100 </t>
  </si>
  <si>
    <t>DEMOLIÇÃO MANUAL - COBERTURA TELHA METÁLICA COM TRANSPORTE ATÉ CAÇAMBA E CARGA</t>
  </si>
  <si>
    <t xml:space="preserve"> 8344 </t>
  </si>
  <si>
    <t xml:space="preserve"> 6.4</t>
  </si>
  <si>
    <t>4ª ETAPA</t>
  </si>
  <si>
    <t xml:space="preserve"> 6.4.1 </t>
  </si>
  <si>
    <t xml:space="preserve"> 97629 </t>
  </si>
  <si>
    <t xml:space="preserve"> 6.4.2 </t>
  </si>
  <si>
    <t xml:space="preserve"> 97627 </t>
  </si>
  <si>
    <t xml:space="preserve"> 6.4.3 </t>
  </si>
  <si>
    <t xml:space="preserve"> SEINFRA-0010 </t>
  </si>
  <si>
    <t xml:space="preserve"> 6.4.4 </t>
  </si>
  <si>
    <t>SICRO3</t>
  </si>
  <si>
    <t xml:space="preserve"> 1619003 </t>
  </si>
  <si>
    <t xml:space="preserve"> 6.4.5 </t>
  </si>
  <si>
    <t xml:space="preserve"> SEINFRA-0014 </t>
  </si>
  <si>
    <t>DEMOLIÇÃO - TORRES</t>
  </si>
  <si>
    <t xml:space="preserve"> 7.1 </t>
  </si>
  <si>
    <t xml:space="preserve"> 7.2 </t>
  </si>
  <si>
    <t xml:space="preserve"> 7.3 </t>
  </si>
  <si>
    <t xml:space="preserve"> 7.4 </t>
  </si>
  <si>
    <t xml:space="preserve"> 020101 </t>
  </si>
  <si>
    <t>DEMOLIÇÕES - ARQUIBANCADA MENOR</t>
  </si>
  <si>
    <t xml:space="preserve"> 04.21.130 </t>
  </si>
  <si>
    <t>DEMOLIÇÕES - ARRIMO</t>
  </si>
  <si>
    <t xml:space="preserve"> 9.1 </t>
  </si>
  <si>
    <t xml:space="preserve"> 9.2 </t>
  </si>
  <si>
    <t>TRANSPORTES</t>
  </si>
  <si>
    <t xml:space="preserve"> 10.1 </t>
  </si>
  <si>
    <t xml:space="preserve"> 030104 </t>
  </si>
  <si>
    <t xml:space="preserve"> 10.2 </t>
  </si>
  <si>
    <t xml:space="preserve"> 041005 </t>
  </si>
  <si>
    <t>CARGA MECANIZADA</t>
  </si>
  <si>
    <t xml:space="preserve"> 10.3 </t>
  </si>
  <si>
    <t xml:space="preserve"> 44011 </t>
  </si>
  <si>
    <t>GERENCIAMENTO DE RESÍDUOS</t>
  </si>
  <si>
    <t xml:space="preserve"> 11.1 </t>
  </si>
  <si>
    <t xml:space="preserve"> 10039 </t>
  </si>
  <si>
    <t>t</t>
  </si>
  <si>
    <t>Valor Unit 
sem BDI</t>
  </si>
  <si>
    <t>Valor Total
sem BDI</t>
  </si>
  <si>
    <t>Valor Unit 
com BDI</t>
  </si>
  <si>
    <t>Total Geral 
com BDI</t>
  </si>
  <si>
    <t>AGETOP CIVIL - 06/2024 - Goiás &gt; AGETOP RODOVIARIA - 06/2024 - Goiás &gt; SINAPI - 09/2024 - Goiás &gt; SICRO3 - 04/2024 - Goiás &gt; ORSE - 06/2024 - Sergipe &gt; SETOP - 07/2024 - Minas Gerais &gt; SIURB - 01/2024 - São Paulo &gt; CPOS - 06/2024 - São Paulo</t>
  </si>
  <si>
    <t>BONIFICAÇÃO DE DESPESAS INDIRETAS
BDI - NORMAL SEM DESONERAÇÃO</t>
  </si>
  <si>
    <t>02</t>
  </si>
  <si>
    <t>18/11/2024</t>
  </si>
  <si>
    <t>ORÇAMENTO RESUMO
SEM DESONERAÇÃO</t>
  </si>
  <si>
    <t>CRONOGRAMA FISICO-FINANCEIRO
SEM DESONERAÇÃO</t>
  </si>
  <si>
    <t>CURVA ABC DE SERVIÇOS
SEM DESONERAÇÃO</t>
  </si>
  <si>
    <t>COMPOSIÇÃO DE PREÇOS UNITÁRIOS
SEM DESONERAÇÃO</t>
  </si>
  <si>
    <t>Composições Principais</t>
  </si>
  <si>
    <t>CO-</t>
  </si>
  <si>
    <t>MOCO-33022</t>
  </si>
  <si>
    <t xml:space="preserve"> 5006 </t>
  </si>
  <si>
    <t xml:space="preserve"> 5005 </t>
  </si>
  <si>
    <t xml:space="preserve"> 5004 </t>
  </si>
  <si>
    <t>Mobilização / Instalações Provisórias / Desmobilização</t>
  </si>
  <si>
    <t xml:space="preserve"> 4296 </t>
  </si>
  <si>
    <t>Aluguel de container - Refeitório sem banheiro - 6,00 x 2,40m equipado com 01\ar condicionado e mesa para 12 pessoas</t>
  </si>
  <si>
    <t xml:space="preserve"> 5010 </t>
  </si>
  <si>
    <t>CAMINHÃO MUNCK - HORA PRODUTIVA</t>
  </si>
  <si>
    <t>VHP</t>
  </si>
  <si>
    <t xml:space="preserve"> 1121 </t>
  </si>
  <si>
    <t>ANDAIME METALICO (ALUGUEL)</t>
  </si>
  <si>
    <t xml:space="preserve"> 2432 </t>
  </si>
  <si>
    <t>ANDAIME METALICO FACHADEIRO (ALUGUEL)</t>
  </si>
  <si>
    <t xml:space="preserve"> A.05.000.080374 </t>
  </si>
  <si>
    <t>Plataforma articulada à diesel, autopropelida, com altura aproximada de 20m e capacidade para 227kg, ref. 600 AJ da JLG, Z60/34 RT da Genie ou equivalente</t>
  </si>
  <si>
    <t xml:space="preserve"> 2414 </t>
  </si>
  <si>
    <t>REDE DE PROTECAO FIO 2MM MALHA 5X5MM COM GANCHO E BUCHA S8 (INCLUSO INSTALAÇÃO)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</si>
  <si>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</si>
  <si>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</si>
  <si>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</si>
  <si>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</si>
  <si>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00037525 </t>
  </si>
  <si>
    <t>TELA PLASTICA TECIDA LISTRADA BRANCA E LARANJA, TIPO GUARDA CORPO, EM POLIETILENO MONOFILADO, ROLO 1,20 X 50 M (L X C)</t>
  </si>
  <si>
    <t xml:space="preserve"> 2427 </t>
  </si>
  <si>
    <t>PREGO 17 X 21</t>
  </si>
  <si>
    <t xml:space="preserve"> 2385 </t>
  </si>
  <si>
    <t>TABUA DE 20 CM APARELHADA</t>
  </si>
  <si>
    <t>ED-</t>
  </si>
  <si>
    <t>MATED-33221</t>
  </si>
  <si>
    <t>CLIPS/GRAMPO (DIÂMETRO NOMINAL: 5/16" [7,94MM]|MATERIAL: AÇO|ACABAMENTO: GALVANIZADO|SÉRIE: PESADO|APLICAÇÃO: USO GERAL PARA CABOS OU BARRAS)</t>
  </si>
  <si>
    <t>MATED-33222</t>
  </si>
  <si>
    <t>CABO DE AÇO GALVANIZADO (TIPO: 6X19|DIÂMETRO 8MM[5/16"]|MASSA LINEAR: 0,268KG/M)</t>
  </si>
  <si>
    <t>MATED-33223</t>
  </si>
  <si>
    <t>OLHAL DE ANCORAGEM FÊMEA (ACABAMENTO: GALVANIZADO|DIÂMETRO: 12,7MM[1/2"])</t>
  </si>
  <si>
    <t>MATED-33224</t>
  </si>
  <si>
    <t>ESTICADOR PARA CABO DE AÇO (TIPO: MANILHA-MANILHA|BITOLA DO CABO: 5/16"|BITOLA DA ROSCA: 5/8")</t>
  </si>
  <si>
    <t>MATED-33259</t>
  </si>
  <si>
    <t>CHUMBADOR EXPANSÍVEL (TIPO: CBA COM PRISIONEIRO|MATERIAL: AÇO CARBONO|COMPRIMENTO: 95MM|DIÂMETRO DA ROSCA: 1/2"|DIÂMETRO DO FURO: 3/4"[19MM])</t>
  </si>
  <si>
    <t>SAPATILHA EM ACO GALVANIZADO PARA CABOS COM DIAMETRO NOMINAL ATE 5/8"</t>
  </si>
  <si>
    <t>Demolições / Remoções</t>
  </si>
  <si>
    <t>Estrutura Metálica</t>
  </si>
  <si>
    <t xml:space="preserve"> 4182 </t>
  </si>
  <si>
    <t>Aluguel de lixadeira Industrial marca Bosch</t>
  </si>
  <si>
    <t xml:space="preserve"> 6789 </t>
  </si>
  <si>
    <t>Disco de desbaste 7", para ferro</t>
  </si>
  <si>
    <t xml:space="preserve"> 102274 </t>
  </si>
  <si>
    <t>MARTELO DEMOLIDOR ELÉTRICO, COM POTÊNCIA DE 2.000 W, 1.000 IMPACTOS POR MINUTO, PESO DE 30 KG -  CHI DIURNO. AF_01/2021</t>
  </si>
  <si>
    <t xml:space="preserve"> 102275 </t>
  </si>
  <si>
    <t>MARTELO DEMOLIDOR ELÉTRICO, COM POTÊNCIA DE 2.000 W, 1.000 IMPACTOS POR MINUTO, PESO DE 30 KG - CHP DIURNO. AF_01/2021</t>
  </si>
  <si>
    <t xml:space="preserve"> 30011 </t>
  </si>
  <si>
    <t xml:space="preserve"> M3527 </t>
  </si>
  <si>
    <t>Cabo de aço - D = 42,00 mm (1 5/8")</t>
  </si>
  <si>
    <t>E9127</t>
  </si>
  <si>
    <t>Escavadeira hidráulica com martelo hidráulico de 520 kg - 75 kW</t>
  </si>
  <si>
    <t>M0603</t>
  </si>
  <si>
    <t>Ponteiro para rompedor hidráulico de 520 kg</t>
  </si>
  <si>
    <t>Corte de barras de aço CA-50 com maçarico oxiacetileno</t>
  </si>
  <si>
    <t>cm²</t>
  </si>
  <si>
    <t>Carga, manobra e descarga de material demolido em caminhão basculante de 6 m³ - carga com carregadeira de 1,72 m³ e descarga livre</t>
  </si>
  <si>
    <t xml:space="preserve"> S0003 </t>
  </si>
  <si>
    <t>SERVIÇO DE EXECUÇÃO DE CORTES EM PILARES COM FITA DIAMANTADA, INCLUSIVE FUROS PARA IÇAMENTO, MOOBILIZAÇÃO E DESMOBILIZAÇÃO</t>
  </si>
  <si>
    <t xml:space="preserve"> 2691 </t>
  </si>
  <si>
    <t>TRANSPORTE DE ENTULHO EM CACAMBA ESTACIONARIA</t>
  </si>
  <si>
    <t xml:space="preserve"> 2451 </t>
  </si>
  <si>
    <t>CARGA MECANIZADA (O. RODOV.)</t>
  </si>
  <si>
    <t>Limpeza</t>
  </si>
  <si>
    <t xml:space="preserve"> 10503 </t>
  </si>
  <si>
    <t>Descarte de resíduos misturado da construção civil em área licenciada.</t>
  </si>
  <si>
    <t xml:space="preserve"> 5914675 </t>
  </si>
  <si>
    <t>E9506</t>
  </si>
  <si>
    <t>Caminhão basculante com capacidade de 6 m³ - 136 kW</t>
  </si>
  <si>
    <t>E9584</t>
  </si>
  <si>
    <t>Carregadeira de pneus com capacidade de 1,72 m³ - 113 kW</t>
  </si>
  <si>
    <t xml:space="preserve"> 1416201 </t>
  </si>
  <si>
    <t>E9662</t>
  </si>
  <si>
    <t>Equipamento para solda e corte com oxiacetileno</t>
  </si>
  <si>
    <t>M1796</t>
  </si>
  <si>
    <t>Gás acetileno</t>
  </si>
  <si>
    <t>kg</t>
  </si>
  <si>
    <t>M1795</t>
  </si>
  <si>
    <t>Gás oxigênio</t>
  </si>
  <si>
    <t xml:space="preserve"> 91688 </t>
  </si>
  <si>
    <t>SERRA CIRCULAR DE BANCADA COM MOTOR ELÉTRICO POTÊNCIA DE 5HP, COM COIFA PARA DISCO 10" - DEPRECIAÇÃO. AF_08/2015</t>
  </si>
  <si>
    <t xml:space="preserve"> 91689 </t>
  </si>
  <si>
    <t>SERRA CIRCULAR DE BANCADA COM MOTOR ELÉTRICO POTÊNCIA DE 5HP, COM COIFA PARA DISCO 10" - JUROS. AF_08/2015</t>
  </si>
  <si>
    <t xml:space="preserve"> 91690 </t>
  </si>
  <si>
    <t>SERRA CIRCULAR DE BANCADA COM MOTOR ELÉTRICO POTÊNCIA DE 5HP, COM COIFA PARA DISCO 10" - MANUTENÇÃO. AF_08/2015</t>
  </si>
  <si>
    <t xml:space="preserve"> 91691 </t>
  </si>
  <si>
    <t>SERRA CIRCULAR DE BANCADA COM MOTOR ELÉTRICO POTÊNCIA DE 5HP, COM COIFA PARA DISCO 10" - MATERIAIS NA OPERAÇÃO. AF_08/2015</t>
  </si>
  <si>
    <t xml:space="preserve"> 00014618 </t>
  </si>
  <si>
    <t>SERRA CIRCULAR DE BANCADA COM MOTOR ELETRICO, POTENCIA DE *1600* W, PARA DISCO DE DIAMETRO DE 10" (250 MM)</t>
  </si>
  <si>
    <t xml:space="preserve"> R. 21 de Abril, 10 </t>
  </si>
  <si>
    <t>Demolição do Estádio Ulisses Jayme, em Pirenópolis-GO, e Destinação Final de Resíduos de Construção.</t>
  </si>
  <si>
    <t>Vila Anduzeiro</t>
  </si>
  <si>
    <t>Pirenópolis</t>
  </si>
  <si>
    <t>04 Meses</t>
  </si>
  <si>
    <t>ENG. CIVIL SAID ELIAS JORGE JUNIOR</t>
  </si>
  <si>
    <t>1014811937/D-GO</t>
  </si>
  <si>
    <t>O "Manual de Orientação: Pesquisa de Preços - 4ª Edição", orienta que:</t>
  </si>
  <si>
    <t>VOLUME DE ORÇAMENTO</t>
  </si>
  <si>
    <t>Eng. Said Elias Jorge Júnior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</si>
</sst>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;;;"/>
    <numFmt numFmtId="166" formatCode="#.##000"/>
    <numFmt numFmtId="167" formatCode="#,#00"/>
    <numFmt numFmtId="168" formatCode="%#,#00"/>
    <numFmt numFmtId="169" formatCode="#,"/>
    <numFmt numFmtId="170" formatCode="_([$€-2]* #,##0.00_);_([$€-2]* \(#,##0.00\);_([$€-2]* &quot;-&quot;??_)"/>
    <numFmt numFmtId="171" formatCode="_(&quot;R$ &quot;* #,##0.00_);_(&quot;R$ &quot;* \(#,##0.00\);_(&quot;R$ &quot;* &quot;-&quot;??_);_(@_)"/>
    <numFmt numFmtId="172" formatCode="[$-416]mmmm\-yy;@"/>
    <numFmt numFmtId="173" formatCode="0.0000"/>
    <numFmt numFmtId="174" formatCode="&quot;Parede&quot;\ 0"/>
    <numFmt numFmtId="175" formatCode="0_);\(0\)"/>
    <numFmt numFmtId="176" formatCode="#,##0.0000"/>
    <numFmt numFmtId="177" formatCode="#,##0.00_ ;\-#,##0.00\ "/>
    <numFmt numFmtId="178" formatCode="0.0%"/>
    <numFmt numFmtId="179" formatCode="#,##0.0000000"/>
    <numFmt numFmtId="180" formatCode="0.00000%"/>
  </numFmts>
  <fonts count="6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 Narrow"/>
      <family val="2"/>
    </font>
    <font>
      <sz val="1"/>
      <color indexed="8"/>
      <name val="Courier"/>
      <family val="3"/>
    </font>
    <font>
      <sz val="10"/>
      <name val="Arial"/>
      <family val="2"/>
    </font>
    <font>
      <sz val="9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b/>
      <sz val="1"/>
      <color indexed="8"/>
      <name val="Courier"/>
      <family val="3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b/>
      <i/>
      <sz val="10"/>
      <color theme="1"/>
      <name val="Arial Narrow"/>
      <family val="2"/>
    </font>
    <font>
      <b/>
      <sz val="20"/>
      <name val="Arial Narrow"/>
      <family val="2"/>
    </font>
    <font>
      <sz val="10"/>
      <color indexed="8"/>
      <name val="Arial Narrow"/>
      <family val="2"/>
    </font>
    <font>
      <sz val="10"/>
      <color theme="0" tint="-0.499984740745262"/>
      <name val="Arial Narrow"/>
      <family val="2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b/>
      <sz val="11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i/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0"/>
      <color rgb="FF000000"/>
      <name val="Arial"/>
      <family val="2"/>
    </font>
    <font>
      <b/>
      <sz val="14"/>
      <name val="Arial Narrow"/>
      <family val="2"/>
    </font>
    <font>
      <b/>
      <sz val="11"/>
      <color rgb="FFFF0000"/>
      <name val="Aptos Narrow"/>
      <family val="2"/>
    </font>
    <font>
      <b/>
      <i/>
      <sz val="9"/>
      <name val="Arial Narrow"/>
      <family val="2"/>
    </font>
  </fonts>
  <fills count="4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FF"/>
      </patternFill>
    </fill>
    <fill>
      <patternFill patternType="solid">
        <fgColor rgb="FFDEE2E3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FEFEF"/>
      </patternFill>
    </fill>
    <fill>
      <patternFill patternType="solid">
        <fgColor rgb="FFD6D6D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AFF"/>
      </patternFill>
    </fill>
  </fills>
  <borders count="1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hair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medium">
        <color theme="0" tint="-0.499984740745262"/>
      </bottom>
      <diagonal/>
    </border>
  </borders>
  <cellStyleXfs count="20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>
      <protection locked="0"/>
    </xf>
    <xf numFmtId="170" fontId="6" fillId="0" borderId="0" applyFont="0" applyFill="0" applyBorder="0" applyAlignment="0" applyProtection="0"/>
    <xf numFmtId="167" fontId="5" fillId="0" borderId="0"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5" fillId="0" borderId="0">
      <protection locked="0"/>
    </xf>
    <xf numFmtId="166" fontId="5" fillId="0" borderId="0">
      <protection locked="0"/>
    </xf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8" fillId="0" borderId="1">
      <alignment vertical="center"/>
    </xf>
    <xf numFmtId="4" fontId="9" fillId="0" borderId="0">
      <alignment vertical="center"/>
    </xf>
    <xf numFmtId="169" fontId="10" fillId="0" borderId="0">
      <protection locked="0"/>
    </xf>
    <xf numFmtId="169" fontId="10" fillId="0" borderId="0">
      <protection locked="0"/>
    </xf>
    <xf numFmtId="49" fontId="11" fillId="2" borderId="2">
      <alignment horizontal="left" vertical="center" indent="1"/>
    </xf>
    <xf numFmtId="169" fontId="5" fillId="0" borderId="3">
      <protection locked="0"/>
    </xf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3" fillId="4" borderId="0" applyNumberFormat="0" applyBorder="0" applyAlignment="0" applyProtection="0"/>
    <xf numFmtId="172" fontId="13" fillId="5" borderId="0" applyNumberFormat="0" applyBorder="0" applyAlignment="0" applyProtection="0"/>
    <xf numFmtId="172" fontId="13" fillId="6" borderId="0" applyNumberFormat="0" applyBorder="0" applyAlignment="0" applyProtection="0"/>
    <xf numFmtId="172" fontId="13" fillId="7" borderId="0" applyNumberFormat="0" applyBorder="0" applyAlignment="0" applyProtection="0"/>
    <xf numFmtId="172" fontId="13" fillId="8" borderId="0" applyNumberFormat="0" applyBorder="0" applyAlignment="0" applyProtection="0"/>
    <xf numFmtId="172" fontId="13" fillId="9" borderId="0" applyNumberFormat="0" applyBorder="0" applyAlignment="0" applyProtection="0"/>
    <xf numFmtId="172" fontId="13" fillId="10" borderId="0" applyNumberFormat="0" applyBorder="0" applyAlignment="0" applyProtection="0"/>
    <xf numFmtId="172" fontId="13" fillId="11" borderId="0" applyNumberFormat="0" applyBorder="0" applyAlignment="0" applyProtection="0"/>
    <xf numFmtId="172" fontId="13" fillId="12" borderId="0" applyNumberFormat="0" applyBorder="0" applyAlignment="0" applyProtection="0"/>
    <xf numFmtId="172" fontId="13" fillId="7" borderId="0" applyNumberFormat="0" applyBorder="0" applyAlignment="0" applyProtection="0"/>
    <xf numFmtId="172" fontId="13" fillId="10" borderId="0" applyNumberFormat="0" applyBorder="0" applyAlignment="0" applyProtection="0"/>
    <xf numFmtId="172" fontId="13" fillId="13" borderId="0" applyNumberFormat="0" applyBorder="0" applyAlignment="0" applyProtection="0"/>
    <xf numFmtId="172" fontId="14" fillId="14" borderId="0" applyNumberFormat="0" applyBorder="0" applyAlignment="0" applyProtection="0"/>
    <xf numFmtId="172" fontId="14" fillId="11" borderId="0" applyNumberFormat="0" applyBorder="0" applyAlignment="0" applyProtection="0"/>
    <xf numFmtId="172" fontId="14" fillId="12" borderId="0" applyNumberFormat="0" applyBorder="0" applyAlignment="0" applyProtection="0"/>
    <xf numFmtId="172" fontId="14" fillId="15" borderId="0" applyNumberFormat="0" applyBorder="0" applyAlignment="0" applyProtection="0"/>
    <xf numFmtId="172" fontId="14" fillId="16" borderId="0" applyNumberFormat="0" applyBorder="0" applyAlignment="0" applyProtection="0"/>
    <xf numFmtId="172" fontId="14" fillId="17" borderId="0" applyNumberFormat="0" applyBorder="0" applyAlignment="0" applyProtection="0"/>
    <xf numFmtId="172" fontId="15" fillId="6" borderId="0" applyNumberFormat="0" applyBorder="0" applyAlignment="0" applyProtection="0"/>
    <xf numFmtId="172" fontId="16" fillId="18" borderId="12" applyNumberFormat="0" applyAlignment="0" applyProtection="0"/>
    <xf numFmtId="172" fontId="17" fillId="19" borderId="13" applyNumberFormat="0" applyAlignment="0" applyProtection="0"/>
    <xf numFmtId="172" fontId="18" fillId="0" borderId="14" applyNumberFormat="0" applyFill="0" applyAlignment="0" applyProtection="0"/>
    <xf numFmtId="172" fontId="5" fillId="0" borderId="0">
      <protection locked="0"/>
    </xf>
    <xf numFmtId="172" fontId="14" fillId="20" borderId="0" applyNumberFormat="0" applyBorder="0" applyAlignment="0" applyProtection="0"/>
    <xf numFmtId="172" fontId="14" fillId="21" borderId="0" applyNumberFormat="0" applyBorder="0" applyAlignment="0" applyProtection="0"/>
    <xf numFmtId="172" fontId="14" fillId="22" borderId="0" applyNumberFormat="0" applyBorder="0" applyAlignment="0" applyProtection="0"/>
    <xf numFmtId="172" fontId="14" fillId="15" borderId="0" applyNumberFormat="0" applyBorder="0" applyAlignment="0" applyProtection="0"/>
    <xf numFmtId="172" fontId="14" fillId="16" borderId="0" applyNumberFormat="0" applyBorder="0" applyAlignment="0" applyProtection="0"/>
    <xf numFmtId="172" fontId="14" fillId="23" borderId="0" applyNumberFormat="0" applyBorder="0" applyAlignment="0" applyProtection="0"/>
    <xf numFmtId="172" fontId="19" fillId="9" borderId="12" applyNumberFormat="0" applyAlignment="0" applyProtection="0"/>
    <xf numFmtId="172" fontId="6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1" fillId="24" borderId="0" applyNumberFormat="0" applyBorder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12" fillId="0" borderId="0"/>
    <xf numFmtId="172" fontId="6" fillId="0" borderId="0"/>
    <xf numFmtId="172" fontId="4" fillId="0" borderId="0"/>
    <xf numFmtId="172" fontId="6" fillId="0" borderId="0"/>
    <xf numFmtId="0" fontId="6" fillId="0" borderId="0"/>
    <xf numFmtId="0" fontId="22" fillId="0" borderId="0"/>
    <xf numFmtId="172" fontId="6" fillId="25" borderId="15" applyNumberFormat="0" applyFont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23" fillId="18" borderId="16" applyNumberFormat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24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6" fillId="0" borderId="17" applyNumberFormat="0" applyFill="0" applyAlignment="0" applyProtection="0"/>
    <xf numFmtId="172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173" fontId="7" fillId="0" borderId="0"/>
    <xf numFmtId="9" fontId="6" fillId="0" borderId="0" applyFont="0" applyFill="0" applyBorder="0" applyAlignment="0" applyProtection="0"/>
    <xf numFmtId="173" fontId="7" fillId="0" borderId="0"/>
    <xf numFmtId="173" fontId="7" fillId="0" borderId="0"/>
    <xf numFmtId="173" fontId="4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73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7" fillId="0" borderId="0"/>
    <xf numFmtId="0" fontId="4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ill="0" applyBorder="0" applyAlignment="0" applyProtection="0"/>
    <xf numFmtId="164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73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52" fillId="0" borderId="0"/>
    <xf numFmtId="164" fontId="53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</cellStyleXfs>
  <cellXfs count="684">
    <xf numFmtId="0" fontId="0" fillId="0" borderId="0" xfId="0"/>
    <xf numFmtId="172" fontId="28" fillId="0" borderId="0" xfId="92" applyFont="1" applyAlignment="1">
      <alignment horizontal="left" vertical="center"/>
    </xf>
    <xf numFmtId="172" fontId="29" fillId="0" borderId="0" xfId="92" applyFont="1" applyAlignment="1">
      <alignment vertical="center"/>
    </xf>
    <xf numFmtId="172" fontId="28" fillId="0" borderId="0" xfId="92" applyFont="1" applyAlignment="1">
      <alignment horizontal="right" vertical="center"/>
    </xf>
    <xf numFmtId="172" fontId="29" fillId="0" borderId="0" xfId="92" applyFont="1" applyAlignment="1">
      <alignment horizontal="center" vertical="center"/>
    </xf>
    <xf numFmtId="172" fontId="28" fillId="0" borderId="0" xfId="92" applyFont="1" applyAlignment="1">
      <alignment vertical="center"/>
    </xf>
    <xf numFmtId="172" fontId="29" fillId="0" borderId="0" xfId="92" applyFont="1" applyAlignment="1">
      <alignment horizontal="left" vertical="center"/>
    </xf>
    <xf numFmtId="0" fontId="33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4" fontId="28" fillId="0" borderId="0" xfId="200" applyNumberFormat="1" applyFont="1" applyAlignment="1">
      <alignment vertical="center"/>
    </xf>
    <xf numFmtId="4" fontId="29" fillId="0" borderId="0" xfId="200" applyNumberFormat="1" applyFont="1" applyAlignment="1">
      <alignment vertical="center"/>
    </xf>
    <xf numFmtId="0" fontId="31" fillId="0" borderId="0" xfId="0" applyFont="1" applyAlignment="1">
      <alignment vertical="center"/>
    </xf>
    <xf numFmtId="175" fontId="29" fillId="3" borderId="25" xfId="9" applyNumberFormat="1" applyFont="1" applyFill="1" applyBorder="1" applyAlignment="1">
      <alignment horizontal="center" vertical="center"/>
    </xf>
    <xf numFmtId="0" fontId="29" fillId="3" borderId="28" xfId="9" quotePrefix="1" applyFont="1" applyFill="1" applyBorder="1" applyAlignment="1">
      <alignment vertical="center"/>
    </xf>
    <xf numFmtId="0" fontId="29" fillId="3" borderId="29" xfId="9" applyFont="1" applyFill="1" applyBorder="1" applyAlignment="1">
      <alignment vertical="center"/>
    </xf>
    <xf numFmtId="0" fontId="29" fillId="3" borderId="30" xfId="9" applyFont="1" applyFill="1" applyBorder="1" applyAlignment="1">
      <alignment vertical="center"/>
    </xf>
    <xf numFmtId="0" fontId="29" fillId="3" borderId="26" xfId="9" applyFont="1" applyFill="1" applyBorder="1" applyAlignment="1">
      <alignment horizontal="center" vertical="center"/>
    </xf>
    <xf numFmtId="4" fontId="28" fillId="3" borderId="26" xfId="26" applyNumberFormat="1" applyFont="1" applyFill="1" applyBorder="1" applyAlignment="1">
      <alignment vertical="center"/>
    </xf>
    <xf numFmtId="4" fontId="32" fillId="28" borderId="27" xfId="26" applyNumberFormat="1" applyFont="1" applyFill="1" applyBorder="1" applyAlignment="1">
      <alignment vertical="center"/>
    </xf>
    <xf numFmtId="175" fontId="29" fillId="3" borderId="25" xfId="9" quotePrefix="1" applyNumberFormat="1" applyFont="1" applyFill="1" applyBorder="1" applyAlignment="1">
      <alignment horizontal="center" vertical="center"/>
    </xf>
    <xf numFmtId="0" fontId="28" fillId="3" borderId="28" xfId="9" quotePrefix="1" applyFont="1" applyFill="1" applyBorder="1" applyAlignment="1">
      <alignment vertical="center"/>
    </xf>
    <xf numFmtId="0" fontId="28" fillId="3" borderId="29" xfId="9" applyFont="1" applyFill="1" applyBorder="1" applyAlignment="1">
      <alignment vertical="center"/>
    </xf>
    <xf numFmtId="0" fontId="28" fillId="3" borderId="26" xfId="9" applyFont="1" applyFill="1" applyBorder="1" applyAlignment="1">
      <alignment horizontal="center" vertical="center"/>
    </xf>
    <xf numFmtId="175" fontId="28" fillId="3" borderId="25" xfId="9" quotePrefix="1" applyNumberFormat="1" applyFont="1" applyFill="1" applyBorder="1" applyAlignment="1">
      <alignment horizontal="center" vertical="center"/>
    </xf>
    <xf numFmtId="0" fontId="29" fillId="3" borderId="29" xfId="9" quotePrefix="1" applyFont="1" applyFill="1" applyBorder="1" applyAlignment="1">
      <alignment vertical="center"/>
    </xf>
    <xf numFmtId="0" fontId="28" fillId="3" borderId="31" xfId="9" quotePrefix="1" applyFont="1" applyFill="1" applyBorder="1" applyAlignment="1">
      <alignment vertical="center"/>
    </xf>
    <xf numFmtId="0" fontId="28" fillId="3" borderId="32" xfId="9" applyFont="1" applyFill="1" applyBorder="1" applyAlignment="1">
      <alignment vertical="center"/>
    </xf>
    <xf numFmtId="0" fontId="28" fillId="3" borderId="35" xfId="9" applyFont="1" applyFill="1" applyBorder="1" applyAlignment="1">
      <alignment horizontal="center" vertical="center"/>
    </xf>
    <xf numFmtId="4" fontId="28" fillId="3" borderId="35" xfId="26" applyNumberFormat="1" applyFont="1" applyFill="1" applyBorder="1" applyAlignment="1">
      <alignment vertical="center"/>
    </xf>
    <xf numFmtId="4" fontId="32" fillId="28" borderId="36" xfId="26" applyNumberFormat="1" applyFont="1" applyFill="1" applyBorder="1" applyAlignment="1">
      <alignment vertical="center"/>
    </xf>
    <xf numFmtId="0" fontId="28" fillId="3" borderId="0" xfId="145" applyFill="1" applyAlignment="1">
      <alignment vertical="center"/>
    </xf>
    <xf numFmtId="164" fontId="28" fillId="0" borderId="0" xfId="190" applyFont="1" applyFill="1" applyBorder="1" applyAlignment="1">
      <alignment vertical="center" wrapText="1"/>
    </xf>
    <xf numFmtId="164" fontId="28" fillId="0" borderId="0" xfId="190" applyFont="1" applyBorder="1" applyAlignment="1">
      <alignment vertical="center" wrapText="1"/>
    </xf>
    <xf numFmtId="0" fontId="28" fillId="3" borderId="0" xfId="7" applyFont="1" applyFill="1" applyAlignment="1">
      <alignment vertical="center"/>
    </xf>
    <xf numFmtId="0" fontId="37" fillId="3" borderId="0" xfId="10" applyFont="1" applyFill="1" applyAlignment="1">
      <alignment vertical="center"/>
    </xf>
    <xf numFmtId="1" fontId="37" fillId="3" borderId="0" xfId="10" applyNumberFormat="1" applyFont="1" applyFill="1" applyAlignment="1">
      <alignment horizontal="center" vertical="center"/>
    </xf>
    <xf numFmtId="4" fontId="37" fillId="3" borderId="0" xfId="10" applyNumberFormat="1" applyFont="1" applyFill="1" applyAlignment="1">
      <alignment vertical="center"/>
    </xf>
    <xf numFmtId="4" fontId="38" fillId="3" borderId="0" xfId="10" applyNumberFormat="1" applyFont="1" applyFill="1" applyAlignment="1">
      <alignment vertical="center"/>
    </xf>
    <xf numFmtId="172" fontId="32" fillId="0" borderId="0" xfId="92" applyFont="1" applyAlignment="1">
      <alignment vertical="center"/>
    </xf>
    <xf numFmtId="43" fontId="28" fillId="0" borderId="0" xfId="1" applyFont="1" applyBorder="1" applyAlignment="1">
      <alignment horizontal="right" vertical="center"/>
    </xf>
    <xf numFmtId="0" fontId="29" fillId="3" borderId="0" xfId="8" applyFont="1" applyFill="1" applyAlignment="1">
      <alignment vertical="center"/>
    </xf>
    <xf numFmtId="0" fontId="29" fillId="3" borderId="0" xfId="9" quotePrefix="1" applyFont="1" applyFill="1" applyAlignment="1">
      <alignment vertical="center"/>
    </xf>
    <xf numFmtId="0" fontId="28" fillId="3" borderId="0" xfId="9" quotePrefix="1" applyFont="1" applyFill="1" applyAlignment="1">
      <alignment vertical="center"/>
    </xf>
    <xf numFmtId="4" fontId="31" fillId="3" borderId="0" xfId="0" applyNumberFormat="1" applyFont="1" applyFill="1" applyAlignment="1">
      <alignment vertic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29" fillId="0" borderId="0" xfId="1" applyFont="1" applyBorder="1" applyAlignment="1">
      <alignment vertical="center"/>
    </xf>
    <xf numFmtId="43" fontId="28" fillId="0" borderId="0" xfId="1" applyFont="1" applyFill="1" applyAlignment="1" applyProtection="1">
      <alignment vertical="center"/>
    </xf>
    <xf numFmtId="172" fontId="28" fillId="0" borderId="0" xfId="92" applyFont="1" applyAlignment="1">
      <alignment horizontal="center" vertical="center"/>
    </xf>
    <xf numFmtId="175" fontId="28" fillId="3" borderId="34" xfId="9" quotePrefix="1" applyNumberFormat="1" applyFont="1" applyFill="1" applyBorder="1" applyAlignment="1">
      <alignment horizontal="center" vertical="center"/>
    </xf>
    <xf numFmtId="4" fontId="32" fillId="0" borderId="0" xfId="200" quotePrefix="1" applyNumberFormat="1" applyFont="1" applyAlignment="1">
      <alignment horizontal="center" vertical="center"/>
    </xf>
    <xf numFmtId="4" fontId="32" fillId="0" borderId="0" xfId="200" applyNumberFormat="1" applyFont="1" applyAlignment="1">
      <alignment vertical="center"/>
    </xf>
    <xf numFmtId="43" fontId="28" fillId="0" borderId="0" xfId="1" applyFont="1" applyFill="1" applyAlignment="1" applyProtection="1">
      <alignment horizontal="right" vertical="center"/>
    </xf>
    <xf numFmtId="43" fontId="29" fillId="0" borderId="0" xfId="1" applyFont="1" applyFill="1" applyAlignment="1" applyProtection="1">
      <alignment horizontal="center" vertical="center"/>
    </xf>
    <xf numFmtId="175" fontId="29" fillId="3" borderId="48" xfId="9" quotePrefix="1" applyNumberFormat="1" applyFont="1" applyFill="1" applyBorder="1" applyAlignment="1">
      <alignment horizontal="center" vertical="center"/>
    </xf>
    <xf numFmtId="0" fontId="29" fillId="3" borderId="51" xfId="9" quotePrefix="1" applyFont="1" applyFill="1" applyBorder="1" applyAlignment="1">
      <alignment vertical="center"/>
    </xf>
    <xf numFmtId="0" fontId="29" fillId="3" borderId="50" xfId="9" applyFont="1" applyFill="1" applyBorder="1" applyAlignment="1">
      <alignment vertical="center"/>
    </xf>
    <xf numFmtId="0" fontId="29" fillId="3" borderId="50" xfId="9" quotePrefix="1" applyFont="1" applyFill="1" applyBorder="1" applyAlignment="1">
      <alignment vertical="center"/>
    </xf>
    <xf numFmtId="0" fontId="29" fillId="3" borderId="52" xfId="9" applyFont="1" applyFill="1" applyBorder="1" applyAlignment="1">
      <alignment vertical="center"/>
    </xf>
    <xf numFmtId="0" fontId="29" fillId="3" borderId="49" xfId="9" applyFont="1" applyFill="1" applyBorder="1" applyAlignment="1">
      <alignment horizontal="center" vertical="center"/>
    </xf>
    <xf numFmtId="4" fontId="28" fillId="3" borderId="49" xfId="26" applyNumberFormat="1" applyFont="1" applyFill="1" applyBorder="1" applyAlignment="1">
      <alignment vertical="center"/>
    </xf>
    <xf numFmtId="4" fontId="32" fillId="28" borderId="53" xfId="26" applyNumberFormat="1" applyFont="1" applyFill="1" applyBorder="1" applyAlignment="1">
      <alignment vertical="center"/>
    </xf>
    <xf numFmtId="172" fontId="32" fillId="0" borderId="0" xfId="92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3" fillId="0" borderId="0" xfId="0" applyFont="1"/>
    <xf numFmtId="0" fontId="43" fillId="0" borderId="24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3" borderId="0" xfId="0" applyFont="1" applyFill="1" applyAlignment="1">
      <alignment vertical="center"/>
    </xf>
    <xf numFmtId="0" fontId="36" fillId="27" borderId="20" xfId="0" applyFont="1" applyFill="1" applyBorder="1" applyAlignment="1">
      <alignment horizontal="left" vertical="center"/>
    </xf>
    <xf numFmtId="0" fontId="30" fillId="3" borderId="0" xfId="145" applyFont="1" applyFill="1" applyAlignment="1">
      <alignment vertical="center"/>
    </xf>
    <xf numFmtId="4" fontId="30" fillId="3" borderId="0" xfId="145" applyNumberFormat="1" applyFont="1" applyFill="1" applyAlignment="1">
      <alignment vertical="center"/>
    </xf>
    <xf numFmtId="4" fontId="47" fillId="3" borderId="0" xfId="145" applyNumberFormat="1" applyFont="1" applyFill="1" applyAlignment="1">
      <alignment vertical="center"/>
    </xf>
    <xf numFmtId="0" fontId="39" fillId="3" borderId="0" xfId="0" applyFont="1" applyFill="1" applyAlignment="1">
      <alignment horizontal="justify" vertical="center"/>
    </xf>
    <xf numFmtId="0" fontId="3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164" fontId="28" fillId="29" borderId="80" xfId="22" applyFont="1" applyFill="1" applyBorder="1" applyAlignment="1">
      <alignment vertical="center"/>
    </xf>
    <xf numFmtId="164" fontId="28" fillId="29" borderId="18" xfId="22" applyFont="1" applyFill="1" applyBorder="1" applyAlignment="1">
      <alignment vertical="center"/>
    </xf>
    <xf numFmtId="0" fontId="28" fillId="26" borderId="69" xfId="0" applyFont="1" applyFill="1" applyBorder="1" applyAlignment="1">
      <alignment horizontal="center" vertical="center"/>
    </xf>
    <xf numFmtId="0" fontId="28" fillId="26" borderId="92" xfId="0" applyFont="1" applyFill="1" applyBorder="1" applyAlignment="1">
      <alignment vertical="center"/>
    </xf>
    <xf numFmtId="0" fontId="28" fillId="26" borderId="91" xfId="0" applyFont="1" applyFill="1" applyBorder="1" applyAlignment="1">
      <alignment horizontal="center" vertical="center"/>
    </xf>
    <xf numFmtId="0" fontId="28" fillId="26" borderId="86" xfId="0" applyFont="1" applyFill="1" applyBorder="1" applyAlignment="1">
      <alignment vertical="center"/>
    </xf>
    <xf numFmtId="0" fontId="28" fillId="30" borderId="69" xfId="0" applyFont="1" applyFill="1" applyBorder="1" applyAlignment="1">
      <alignment horizontal="right" vertical="center"/>
    </xf>
    <xf numFmtId="0" fontId="28" fillId="30" borderId="92" xfId="0" applyFont="1" applyFill="1" applyBorder="1" applyAlignment="1">
      <alignment vertical="center"/>
    </xf>
    <xf numFmtId="0" fontId="28" fillId="30" borderId="74" xfId="0" applyFont="1" applyFill="1" applyBorder="1" applyAlignment="1">
      <alignment horizontal="right" vertical="center"/>
    </xf>
    <xf numFmtId="0" fontId="28" fillId="30" borderId="101" xfId="0" applyFont="1" applyFill="1" applyBorder="1" applyAlignment="1">
      <alignment vertical="center"/>
    </xf>
    <xf numFmtId="43" fontId="28" fillId="0" borderId="0" xfId="0" applyNumberFormat="1" applyFont="1" applyAlignment="1">
      <alignment vertical="center"/>
    </xf>
    <xf numFmtId="164" fontId="28" fillId="29" borderId="79" xfId="22" applyFont="1" applyFill="1" applyBorder="1" applyAlignment="1">
      <alignment vertical="center"/>
    </xf>
    <xf numFmtId="164" fontId="28" fillId="29" borderId="10" xfId="22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3" borderId="0" xfId="1" applyFont="1" applyFill="1" applyBorder="1" applyAlignment="1">
      <alignment vertical="center"/>
    </xf>
    <xf numFmtId="0" fontId="30" fillId="3" borderId="0" xfId="145" applyFont="1" applyFill="1" applyAlignment="1">
      <alignment horizontal="center" vertical="center"/>
    </xf>
    <xf numFmtId="0" fontId="28" fillId="3" borderId="0" xfId="145" applyFill="1" applyAlignment="1">
      <alignment horizontal="center" vertical="center"/>
    </xf>
    <xf numFmtId="4" fontId="28" fillId="3" borderId="0" xfId="145" applyNumberFormat="1" applyFill="1" applyAlignment="1">
      <alignment vertical="center"/>
    </xf>
    <xf numFmtId="0" fontId="28" fillId="3" borderId="0" xfId="145" quotePrefix="1" applyFill="1" applyAlignment="1">
      <alignment horizontal="center" vertical="center"/>
    </xf>
    <xf numFmtId="175" fontId="29" fillId="3" borderId="29" xfId="9" applyNumberFormat="1" applyFont="1" applyFill="1" applyBorder="1" applyAlignment="1">
      <alignment horizontal="center" vertical="center"/>
    </xf>
    <xf numFmtId="175" fontId="29" fillId="3" borderId="29" xfId="9" quotePrefix="1" applyNumberFormat="1" applyFont="1" applyFill="1" applyBorder="1" applyAlignment="1">
      <alignment horizontal="center" vertical="center"/>
    </xf>
    <xf numFmtId="175" fontId="28" fillId="3" borderId="29" xfId="9" quotePrefix="1" applyNumberFormat="1" applyFont="1" applyFill="1" applyBorder="1" applyAlignment="1">
      <alignment horizontal="center" vertical="center"/>
    </xf>
    <xf numFmtId="175" fontId="28" fillId="3" borderId="32" xfId="9" quotePrefix="1" applyNumberFormat="1" applyFont="1" applyFill="1" applyBorder="1" applyAlignment="1">
      <alignment horizontal="center" vertical="center"/>
    </xf>
    <xf numFmtId="175" fontId="29" fillId="3" borderId="50" xfId="9" quotePrefix="1" applyNumberFormat="1" applyFont="1" applyFill="1" applyBorder="1" applyAlignment="1">
      <alignment horizontal="center" vertical="center"/>
    </xf>
    <xf numFmtId="175" fontId="29" fillId="3" borderId="26" xfId="9" applyNumberFormat="1" applyFont="1" applyFill="1" applyBorder="1" applyAlignment="1">
      <alignment horizontal="center" vertical="center"/>
    </xf>
    <xf numFmtId="175" fontId="29" fillId="3" borderId="26" xfId="9" quotePrefix="1" applyNumberFormat="1" applyFont="1" applyFill="1" applyBorder="1" applyAlignment="1">
      <alignment horizontal="center" vertical="center"/>
    </xf>
    <xf numFmtId="175" fontId="28" fillId="3" borderId="26" xfId="9" quotePrefix="1" applyNumberFormat="1" applyFont="1" applyFill="1" applyBorder="1" applyAlignment="1">
      <alignment horizontal="center" vertical="center"/>
    </xf>
    <xf numFmtId="175" fontId="28" fillId="3" borderId="35" xfId="9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/>
    </xf>
    <xf numFmtId="2" fontId="28" fillId="3" borderId="0" xfId="145" applyNumberFormat="1" applyFill="1" applyAlignment="1">
      <alignment horizontal="center" vertical="center"/>
    </xf>
    <xf numFmtId="2" fontId="28" fillId="3" borderId="0" xfId="145" applyNumberFormat="1" applyFill="1" applyAlignment="1">
      <alignment horizontal="left" vertical="center"/>
    </xf>
    <xf numFmtId="2" fontId="29" fillId="3" borderId="0" xfId="145" applyNumberFormat="1" applyFont="1" applyFill="1" applyAlignment="1">
      <alignment horizontal="center" vertical="center"/>
    </xf>
    <xf numFmtId="0" fontId="29" fillId="3" borderId="0" xfId="145" applyFont="1" applyFill="1" applyAlignment="1">
      <alignment vertical="center"/>
    </xf>
    <xf numFmtId="0" fontId="47" fillId="3" borderId="0" xfId="145" applyFont="1" applyFill="1" applyAlignment="1">
      <alignment horizontal="left" vertical="center"/>
    </xf>
    <xf numFmtId="0" fontId="28" fillId="3" borderId="0" xfId="145" applyFill="1" applyAlignment="1">
      <alignment horizontal="right" vertical="center"/>
    </xf>
    <xf numFmtId="0" fontId="29" fillId="3" borderId="0" xfId="145" applyFont="1" applyFill="1" applyAlignment="1">
      <alignment horizontal="center" vertical="center"/>
    </xf>
    <xf numFmtId="2" fontId="29" fillId="3" borderId="0" xfId="145" applyNumberFormat="1" applyFont="1" applyFill="1" applyAlignment="1">
      <alignment vertical="center"/>
    </xf>
    <xf numFmtId="2" fontId="28" fillId="3" borderId="26" xfId="9" applyNumberFormat="1" applyFont="1" applyFill="1" applyBorder="1" applyAlignment="1">
      <alignment horizontal="center" vertical="center"/>
    </xf>
    <xf numFmtId="0" fontId="30" fillId="3" borderId="0" xfId="145" applyFont="1" applyFill="1" applyAlignment="1">
      <alignment horizontal="left" vertical="center"/>
    </xf>
    <xf numFmtId="0" fontId="30" fillId="3" borderId="0" xfId="145" quotePrefix="1" applyFont="1" applyFill="1" applyAlignment="1">
      <alignment horizontal="center" vertical="center"/>
    </xf>
    <xf numFmtId="2" fontId="30" fillId="3" borderId="0" xfId="145" applyNumberFormat="1" applyFont="1" applyFill="1" applyAlignment="1">
      <alignment horizontal="center" vertical="center"/>
    </xf>
    <xf numFmtId="0" fontId="30" fillId="3" borderId="0" xfId="145" applyFont="1" applyFill="1" applyAlignment="1">
      <alignment horizontal="right" vertical="center"/>
    </xf>
    <xf numFmtId="0" fontId="47" fillId="3" borderId="0" xfId="145" applyFont="1" applyFill="1" applyAlignment="1">
      <alignment horizontal="right" vertical="center"/>
    </xf>
    <xf numFmtId="2" fontId="47" fillId="3" borderId="0" xfId="145" applyNumberFormat="1" applyFont="1" applyFill="1" applyAlignment="1">
      <alignment horizontal="center" vertical="center"/>
    </xf>
    <xf numFmtId="0" fontId="29" fillId="3" borderId="0" xfId="145" applyFont="1" applyFill="1" applyAlignment="1">
      <alignment horizontal="right" vertical="center"/>
    </xf>
    <xf numFmtId="0" fontId="28" fillId="3" borderId="0" xfId="145" applyFill="1" applyAlignment="1">
      <alignment horizontal="center" vertical="center" wrapText="1"/>
    </xf>
    <xf numFmtId="1" fontId="35" fillId="0" borderId="106" xfId="2" applyNumberFormat="1" applyFont="1" applyBorder="1" applyAlignment="1">
      <alignment horizontal="center" vertical="center" shrinkToFit="1"/>
    </xf>
    <xf numFmtId="0" fontId="35" fillId="0" borderId="106" xfId="2" applyFont="1" applyBorder="1" applyAlignment="1">
      <alignment horizontal="center" vertical="center" wrapText="1"/>
    </xf>
    <xf numFmtId="0" fontId="28" fillId="0" borderId="106" xfId="2" applyFont="1" applyBorder="1" applyAlignment="1">
      <alignment horizontal="center" vertical="center" wrapText="1"/>
    </xf>
    <xf numFmtId="2" fontId="35" fillId="0" borderId="106" xfId="2" applyNumberFormat="1" applyFont="1" applyBorder="1" applyAlignment="1">
      <alignment horizontal="center" vertical="center" shrinkToFit="1"/>
    </xf>
    <xf numFmtId="1" fontId="35" fillId="0" borderId="120" xfId="2" applyNumberFormat="1" applyFont="1" applyBorder="1" applyAlignment="1">
      <alignment horizontal="center" vertical="center" shrinkToFit="1"/>
    </xf>
    <xf numFmtId="0" fontId="35" fillId="0" borderId="120" xfId="2" applyFont="1" applyBorder="1" applyAlignment="1">
      <alignment horizontal="center" vertical="center" wrapText="1"/>
    </xf>
    <xf numFmtId="0" fontId="28" fillId="0" borderId="120" xfId="2" applyFont="1" applyBorder="1" applyAlignment="1">
      <alignment horizontal="center" vertical="center" wrapText="1"/>
    </xf>
    <xf numFmtId="0" fontId="35" fillId="0" borderId="121" xfId="2" applyFont="1" applyBorder="1" applyAlignment="1">
      <alignment horizontal="left" vertical="center"/>
    </xf>
    <xf numFmtId="0" fontId="28" fillId="3" borderId="122" xfId="145" applyFill="1" applyBorder="1" applyAlignment="1">
      <alignment vertical="center"/>
    </xf>
    <xf numFmtId="0" fontId="28" fillId="3" borderId="118" xfId="145" applyFill="1" applyBorder="1" applyAlignment="1">
      <alignment vertical="center"/>
    </xf>
    <xf numFmtId="0" fontId="35" fillId="0" borderId="123" xfId="2" applyFont="1" applyBorder="1" applyAlignment="1">
      <alignment horizontal="left" vertical="center"/>
    </xf>
    <xf numFmtId="0" fontId="28" fillId="3" borderId="124" xfId="145" applyFill="1" applyBorder="1" applyAlignment="1">
      <alignment vertical="center"/>
    </xf>
    <xf numFmtId="0" fontId="28" fillId="3" borderId="125" xfId="145" applyFill="1" applyBorder="1" applyAlignment="1">
      <alignment vertical="center"/>
    </xf>
    <xf numFmtId="0" fontId="34" fillId="32" borderId="119" xfId="2" applyFont="1" applyFill="1" applyBorder="1" applyAlignment="1">
      <alignment horizontal="center" vertical="center" wrapText="1"/>
    </xf>
    <xf numFmtId="43" fontId="35" fillId="0" borderId="106" xfId="1" applyFont="1" applyBorder="1" applyAlignment="1">
      <alignment horizontal="center" vertical="center" shrinkToFit="1"/>
    </xf>
    <xf numFmtId="43" fontId="35" fillId="0" borderId="120" xfId="1" applyFont="1" applyBorder="1" applyAlignment="1">
      <alignment horizontal="center" vertical="center" shrinkToFit="1"/>
    </xf>
    <xf numFmtId="0" fontId="34" fillId="31" borderId="117" xfId="2" applyFont="1" applyFill="1" applyBorder="1" applyAlignment="1">
      <alignment horizontal="center" vertical="center" wrapText="1"/>
    </xf>
    <xf numFmtId="0" fontId="35" fillId="0" borderId="117" xfId="2" applyFont="1" applyBorder="1" applyAlignment="1">
      <alignment horizontal="center" vertical="center" wrapText="1"/>
    </xf>
    <xf numFmtId="0" fontId="35" fillId="0" borderId="117" xfId="2" applyFont="1" applyBorder="1" applyAlignment="1">
      <alignment horizontal="left" vertical="center"/>
    </xf>
    <xf numFmtId="0" fontId="28" fillId="3" borderId="117" xfId="145" applyFill="1" applyBorder="1" applyAlignment="1">
      <alignment vertical="center"/>
    </xf>
    <xf numFmtId="0" fontId="35" fillId="0" borderId="117" xfId="2" applyFont="1" applyBorder="1" applyAlignment="1">
      <alignment horizontal="left" vertical="center" wrapText="1"/>
    </xf>
    <xf numFmtId="9" fontId="28" fillId="0" borderId="117" xfId="2" applyNumberFormat="1" applyFont="1" applyBorder="1" applyAlignment="1">
      <alignment horizontal="center" vertical="center" wrapText="1"/>
    </xf>
    <xf numFmtId="2" fontId="35" fillId="0" borderId="117" xfId="2" applyNumberFormat="1" applyFont="1" applyBorder="1" applyAlignment="1">
      <alignment horizontal="center" vertical="center" shrinkToFit="1"/>
    </xf>
    <xf numFmtId="0" fontId="28" fillId="0" borderId="117" xfId="2" applyFont="1" applyBorder="1" applyAlignment="1">
      <alignment horizontal="center" vertical="center" wrapText="1"/>
    </xf>
    <xf numFmtId="43" fontId="34" fillId="0" borderId="119" xfId="1" applyFont="1" applyBorder="1" applyAlignment="1">
      <alignment horizontal="right" vertical="center" shrinkToFit="1"/>
    </xf>
    <xf numFmtId="43" fontId="34" fillId="31" borderId="106" xfId="1" applyFont="1" applyFill="1" applyBorder="1" applyAlignment="1">
      <alignment horizontal="right" vertical="center" shrinkToFit="1"/>
    </xf>
    <xf numFmtId="43" fontId="34" fillId="31" borderId="120" xfId="1" applyFont="1" applyFill="1" applyBorder="1" applyAlignment="1">
      <alignment horizontal="right" vertical="center" shrinkToFit="1"/>
    </xf>
    <xf numFmtId="43" fontId="34" fillId="0" borderId="117" xfId="1" applyFont="1" applyBorder="1" applyAlignment="1">
      <alignment horizontal="center" vertical="center" shrinkToFit="1"/>
    </xf>
    <xf numFmtId="175" fontId="28" fillId="3" borderId="26" xfId="9" quotePrefix="1" applyNumberFormat="1" applyFont="1" applyFill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43" fontId="28" fillId="0" borderId="106" xfId="1" applyFont="1" applyFill="1" applyBorder="1" applyAlignment="1">
      <alignment horizontal="right" vertical="center" wrapText="1"/>
    </xf>
    <xf numFmtId="0" fontId="47" fillId="26" borderId="117" xfId="145" applyFont="1" applyFill="1" applyBorder="1" applyAlignment="1">
      <alignment horizontal="center" vertical="center"/>
    </xf>
    <xf numFmtId="43" fontId="47" fillId="26" borderId="117" xfId="145" applyNumberFormat="1" applyFont="1" applyFill="1" applyBorder="1" applyAlignment="1">
      <alignment vertical="center"/>
    </xf>
    <xf numFmtId="0" fontId="28" fillId="0" borderId="106" xfId="1" applyNumberFormat="1" applyFont="1" applyFill="1" applyBorder="1" applyAlignment="1">
      <alignment horizontal="center" vertical="center" wrapText="1"/>
    </xf>
    <xf numFmtId="0" fontId="42" fillId="3" borderId="0" xfId="0" applyFont="1" applyFill="1" applyAlignment="1">
      <alignment vertical="center"/>
    </xf>
    <xf numFmtId="174" fontId="1" fillId="3" borderId="0" xfId="0" applyNumberFormat="1" applyFont="1" applyFill="1" applyAlignment="1">
      <alignment vertical="center"/>
    </xf>
    <xf numFmtId="1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justify" vertical="center"/>
    </xf>
    <xf numFmtId="4" fontId="48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1" fontId="33" fillId="3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43" fontId="32" fillId="3" borderId="0" xfId="1" applyFont="1" applyFill="1" applyBorder="1" applyAlignment="1">
      <alignment vertical="center"/>
    </xf>
    <xf numFmtId="0" fontId="47" fillId="26" borderId="0" xfId="145" applyFont="1" applyFill="1" applyAlignment="1">
      <alignment horizontal="center" vertical="center"/>
    </xf>
    <xf numFmtId="43" fontId="47" fillId="26" borderId="0" xfId="145" applyNumberFormat="1" applyFont="1" applyFill="1" applyAlignment="1">
      <alignment vertical="center"/>
    </xf>
    <xf numFmtId="0" fontId="28" fillId="0" borderId="106" xfId="0" quotePrefix="1" applyFont="1" applyBorder="1" applyAlignment="1">
      <alignment horizontal="center" vertical="center" wrapText="1"/>
    </xf>
    <xf numFmtId="0" fontId="49" fillId="3" borderId="0" xfId="145" applyFont="1" applyFill="1" applyAlignment="1">
      <alignment horizontal="center" vertical="center"/>
    </xf>
    <xf numFmtId="10" fontId="28" fillId="0" borderId="0" xfId="144" applyNumberFormat="1" applyFont="1" applyFill="1" applyBorder="1" applyAlignment="1" applyProtection="1">
      <alignment horizontal="right" vertical="center"/>
      <protection locked="0"/>
    </xf>
    <xf numFmtId="10" fontId="28" fillId="0" borderId="0" xfId="144" applyNumberFormat="1" applyFont="1" applyFill="1" applyBorder="1" applyAlignment="1" applyProtection="1">
      <alignment vertical="center"/>
      <protection locked="0"/>
    </xf>
    <xf numFmtId="164" fontId="28" fillId="0" borderId="0" xfId="190" applyFont="1" applyFill="1" applyBorder="1" applyAlignment="1" applyProtection="1">
      <alignment vertical="center" wrapText="1"/>
    </xf>
    <xf numFmtId="0" fontId="28" fillId="0" borderId="0" xfId="152" applyFont="1" applyAlignment="1">
      <alignment horizontal="left" vertical="center"/>
    </xf>
    <xf numFmtId="0" fontId="29" fillId="0" borderId="0" xfId="152" applyFont="1" applyAlignment="1">
      <alignment horizontal="center" vertical="center"/>
    </xf>
    <xf numFmtId="9" fontId="28" fillId="0" borderId="0" xfId="195" applyFont="1" applyFill="1" applyBorder="1" applyAlignment="1" applyProtection="1">
      <alignment horizontal="center" vertical="center"/>
    </xf>
    <xf numFmtId="178" fontId="29" fillId="0" borderId="0" xfId="195" applyNumberFormat="1" applyFont="1" applyFill="1" applyBorder="1" applyAlignment="1" applyProtection="1">
      <alignment horizontal="center" vertical="center"/>
    </xf>
    <xf numFmtId="172" fontId="28" fillId="0" borderId="0" xfId="92" applyFont="1" applyAlignment="1">
      <alignment horizontal="justify" vertical="center"/>
    </xf>
    <xf numFmtId="0" fontId="29" fillId="0" borderId="0" xfId="152" applyFont="1" applyAlignment="1">
      <alignment horizontal="left" vertical="center"/>
    </xf>
    <xf numFmtId="0" fontId="29" fillId="0" borderId="0" xfId="152" applyFont="1" applyAlignment="1">
      <alignment vertical="center"/>
    </xf>
    <xf numFmtId="172" fontId="50" fillId="0" borderId="0" xfId="92" applyFont="1" applyAlignment="1">
      <alignment vertical="center"/>
    </xf>
    <xf numFmtId="10" fontId="28" fillId="0" borderId="0" xfId="144" applyNumberFormat="1" applyFont="1" applyFill="1" applyBorder="1" applyAlignment="1" applyProtection="1">
      <alignment horizontal="left" vertical="center"/>
      <protection locked="0"/>
    </xf>
    <xf numFmtId="172" fontId="28" fillId="0" borderId="0" xfId="92" applyFont="1" applyAlignment="1" applyProtection="1">
      <alignment vertical="center"/>
      <protection locked="0"/>
    </xf>
    <xf numFmtId="172" fontId="29" fillId="0" borderId="137" xfId="92" applyFont="1" applyBorder="1" applyAlignment="1">
      <alignment horizontal="left" vertical="center"/>
    </xf>
    <xf numFmtId="172" fontId="29" fillId="0" borderId="122" xfId="92" applyFont="1" applyBorder="1" applyAlignment="1">
      <alignment horizontal="left" vertical="center" wrapText="1"/>
    </xf>
    <xf numFmtId="177" fontId="28" fillId="0" borderId="115" xfId="190" applyNumberFormat="1" applyFont="1" applyFill="1" applyBorder="1" applyAlignment="1" applyProtection="1">
      <alignment horizontal="center" vertical="center" wrapText="1"/>
      <protection locked="0"/>
    </xf>
    <xf numFmtId="177" fontId="29" fillId="27" borderId="116" xfId="190" applyNumberFormat="1" applyFont="1" applyFill="1" applyBorder="1" applyAlignment="1" applyProtection="1">
      <alignment horizontal="center" vertical="center" wrapText="1"/>
    </xf>
    <xf numFmtId="172" fontId="28" fillId="0" borderId="0" xfId="92" applyFont="1" applyAlignment="1">
      <alignment vertical="center" wrapText="1"/>
    </xf>
    <xf numFmtId="164" fontId="51" fillId="0" borderId="111" xfId="190" applyFont="1" applyFill="1" applyBorder="1" applyAlignment="1" applyProtection="1">
      <alignment horizontal="center" vertical="center" wrapText="1"/>
    </xf>
    <xf numFmtId="164" fontId="51" fillId="0" borderId="112" xfId="190" applyFont="1" applyFill="1" applyBorder="1" applyAlignment="1" applyProtection="1">
      <alignment horizontal="center" vertical="center" wrapText="1"/>
    </xf>
    <xf numFmtId="164" fontId="51" fillId="0" borderId="113" xfId="190" applyFont="1" applyFill="1" applyBorder="1" applyAlignment="1" applyProtection="1">
      <alignment horizontal="center" vertical="center" wrapText="1"/>
    </xf>
    <xf numFmtId="2" fontId="51" fillId="0" borderId="105" xfId="190" applyNumberFormat="1" applyFont="1" applyFill="1" applyBorder="1" applyAlignment="1" applyProtection="1">
      <alignment horizontal="center" vertical="center" wrapText="1"/>
    </xf>
    <xf numFmtId="2" fontId="51" fillId="0" borderId="106" xfId="190" applyNumberFormat="1" applyFont="1" applyFill="1" applyBorder="1" applyAlignment="1" applyProtection="1">
      <alignment horizontal="center" vertical="center" wrapText="1"/>
    </xf>
    <xf numFmtId="2" fontId="51" fillId="0" borderId="107" xfId="190" applyNumberFormat="1" applyFont="1" applyFill="1" applyBorder="1" applyAlignment="1" applyProtection="1">
      <alignment horizontal="center" vertical="center" wrapText="1"/>
    </xf>
    <xf numFmtId="2" fontId="51" fillId="0" borderId="108" xfId="190" applyNumberFormat="1" applyFont="1" applyFill="1" applyBorder="1" applyAlignment="1" applyProtection="1">
      <alignment horizontal="center" vertical="center" wrapText="1"/>
    </xf>
    <xf numFmtId="2" fontId="51" fillId="0" borderId="109" xfId="190" applyNumberFormat="1" applyFont="1" applyFill="1" applyBorder="1" applyAlignment="1" applyProtection="1">
      <alignment horizontal="center" vertical="center" wrapText="1"/>
    </xf>
    <xf numFmtId="2" fontId="51" fillId="0" borderId="110" xfId="190" applyNumberFormat="1" applyFont="1" applyFill="1" applyBorder="1" applyAlignment="1" applyProtection="1">
      <alignment horizontal="center" vertical="center" wrapText="1"/>
    </xf>
    <xf numFmtId="164" fontId="51" fillId="0" borderId="145" xfId="190" applyFont="1" applyFill="1" applyBorder="1" applyAlignment="1" applyProtection="1">
      <alignment vertical="center" wrapText="1"/>
    </xf>
    <xf numFmtId="164" fontId="51" fillId="0" borderId="146" xfId="190" applyFont="1" applyFill="1" applyBorder="1" applyAlignment="1" applyProtection="1">
      <alignment vertical="center" wrapText="1"/>
    </xf>
    <xf numFmtId="164" fontId="51" fillId="0" borderId="147" xfId="190" applyFont="1" applyFill="1" applyBorder="1" applyAlignment="1" applyProtection="1">
      <alignment vertical="center" wrapText="1"/>
    </xf>
    <xf numFmtId="172" fontId="1" fillId="0" borderId="0" xfId="92" applyFont="1" applyAlignment="1">
      <alignment vertical="center"/>
    </xf>
    <xf numFmtId="0" fontId="57" fillId="33" borderId="0" xfId="0" applyFont="1" applyFill="1" applyAlignment="1">
      <alignment horizontal="center" vertical="center" wrapText="1"/>
    </xf>
    <xf numFmtId="0" fontId="55" fillId="33" borderId="0" xfId="0" applyFont="1" applyFill="1" applyAlignment="1">
      <alignment horizontal="right" vertical="center" wrapText="1"/>
    </xf>
    <xf numFmtId="0" fontId="57" fillId="33" borderId="0" xfId="0" applyFont="1" applyFill="1" applyAlignment="1">
      <alignment horizontal="left" vertical="center" wrapText="1"/>
    </xf>
    <xf numFmtId="0" fontId="28" fillId="33" borderId="0" xfId="0" applyFont="1" applyFill="1" applyAlignment="1">
      <alignment horizontal="center" vertical="center" wrapText="1"/>
    </xf>
    <xf numFmtId="0" fontId="29" fillId="33" borderId="0" xfId="0" applyFont="1" applyFill="1" applyAlignment="1">
      <alignment horizontal="right" vertical="center" wrapText="1"/>
    </xf>
    <xf numFmtId="0" fontId="28" fillId="33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/>
    </xf>
    <xf numFmtId="172" fontId="40" fillId="0" borderId="0" xfId="92" applyFont="1" applyAlignment="1">
      <alignment vertical="center"/>
    </xf>
    <xf numFmtId="172" fontId="40" fillId="0" borderId="0" xfId="92" applyFont="1" applyAlignment="1">
      <alignment horizontal="left" vertical="center"/>
    </xf>
    <xf numFmtId="172" fontId="41" fillId="0" borderId="0" xfId="92" applyFont="1" applyAlignment="1">
      <alignment horizontal="left" vertical="center"/>
    </xf>
    <xf numFmtId="172" fontId="41" fillId="0" borderId="0" xfId="92" applyFont="1" applyAlignment="1">
      <alignment vertical="center"/>
    </xf>
    <xf numFmtId="172" fontId="40" fillId="0" borderId="0" xfId="92" applyFont="1" applyAlignment="1">
      <alignment horizontal="right" vertical="center"/>
    </xf>
    <xf numFmtId="172" fontId="41" fillId="0" borderId="0" xfId="92" applyFont="1" applyAlignment="1">
      <alignment horizontal="center" vertical="center"/>
    </xf>
    <xf numFmtId="10" fontId="41" fillId="0" borderId="0" xfId="144" applyNumberFormat="1" applyFont="1" applyFill="1" applyAlignment="1" applyProtection="1">
      <alignment horizontal="center" vertical="center"/>
    </xf>
    <xf numFmtId="0" fontId="39" fillId="3" borderId="0" xfId="0" applyFont="1" applyFill="1" applyAlignment="1">
      <alignment vertical="center"/>
    </xf>
    <xf numFmtId="0" fontId="40" fillId="3" borderId="0" xfId="7" applyFont="1" applyFill="1" applyAlignment="1">
      <alignment vertical="center"/>
    </xf>
    <xf numFmtId="0" fontId="58" fillId="3" borderId="0" xfId="10" applyFont="1" applyFill="1" applyAlignment="1">
      <alignment vertical="center"/>
    </xf>
    <xf numFmtId="0" fontId="36" fillId="0" borderId="0" xfId="0" applyFont="1" applyAlignment="1">
      <alignment vertical="center" wrapText="1"/>
    </xf>
    <xf numFmtId="0" fontId="35" fillId="0" borderId="148" xfId="0" applyFont="1" applyBorder="1" applyAlignment="1">
      <alignment horizontal="center" vertical="center" wrapText="1"/>
    </xf>
    <xf numFmtId="0" fontId="34" fillId="34" borderId="148" xfId="0" applyFont="1" applyFill="1" applyBorder="1" applyAlignment="1">
      <alignment horizontal="left" vertical="center" wrapText="1"/>
    </xf>
    <xf numFmtId="0" fontId="34" fillId="34" borderId="148" xfId="0" applyFont="1" applyFill="1" applyBorder="1" applyAlignment="1">
      <alignment horizontal="center" vertical="center" wrapText="1"/>
    </xf>
    <xf numFmtId="4" fontId="34" fillId="34" borderId="148" xfId="0" applyNumberFormat="1" applyFont="1" applyFill="1" applyBorder="1" applyAlignment="1">
      <alignment horizontal="right" vertical="center" wrapText="1"/>
    </xf>
    <xf numFmtId="0" fontId="35" fillId="33" borderId="148" xfId="0" applyFont="1" applyFill="1" applyBorder="1" applyAlignment="1">
      <alignment horizontal="left" vertical="center" wrapText="1"/>
    </xf>
    <xf numFmtId="4" fontId="35" fillId="33" borderId="148" xfId="0" applyNumberFormat="1" applyFont="1" applyFill="1" applyBorder="1" applyAlignment="1">
      <alignment horizontal="right" vertical="center" wrapText="1"/>
    </xf>
    <xf numFmtId="0" fontId="35" fillId="33" borderId="148" xfId="0" applyFont="1" applyFill="1" applyBorder="1" applyAlignment="1">
      <alignment horizontal="center" vertical="center" wrapText="1"/>
    </xf>
    <xf numFmtId="0" fontId="35" fillId="34" borderId="148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right" vertical="center" wrapText="1"/>
    </xf>
    <xf numFmtId="0" fontId="35" fillId="3" borderId="148" xfId="0" applyFont="1" applyFill="1" applyBorder="1" applyAlignment="1">
      <alignment horizontal="center" vertical="center" wrapText="1"/>
    </xf>
    <xf numFmtId="0" fontId="29" fillId="35" borderId="148" xfId="0" applyFont="1" applyFill="1" applyBorder="1" applyAlignment="1">
      <alignment horizontal="center" vertical="center" wrapText="1"/>
    </xf>
    <xf numFmtId="10" fontId="30" fillId="3" borderId="0" xfId="144" applyNumberFormat="1" applyFont="1" applyFill="1" applyAlignment="1">
      <alignment horizontal="center" vertical="center"/>
    </xf>
    <xf numFmtId="172" fontId="60" fillId="0" borderId="0" xfId="92" applyFont="1" applyAlignment="1">
      <alignment vertical="center"/>
    </xf>
    <xf numFmtId="0" fontId="45" fillId="3" borderId="0" xfId="0" applyFont="1" applyFill="1" applyAlignment="1">
      <alignment vertical="center"/>
    </xf>
    <xf numFmtId="4" fontId="59" fillId="0" borderId="0" xfId="200" applyNumberFormat="1" applyFont="1" applyAlignment="1">
      <alignment vertical="center"/>
    </xf>
    <xf numFmtId="0" fontId="60" fillId="3" borderId="0" xfId="145" applyFont="1" applyFill="1" applyAlignment="1">
      <alignment vertical="center"/>
    </xf>
    <xf numFmtId="10" fontId="60" fillId="3" borderId="0" xfId="144" applyNumberFormat="1" applyFont="1" applyFill="1" applyAlignment="1">
      <alignment vertical="center"/>
    </xf>
    <xf numFmtId="0" fontId="60" fillId="3" borderId="0" xfId="145" applyFont="1" applyFill="1" applyAlignment="1">
      <alignment horizontal="left" vertical="center"/>
    </xf>
    <xf numFmtId="0" fontId="59" fillId="3" borderId="0" xfId="145" applyFont="1" applyFill="1" applyAlignment="1">
      <alignment horizontal="left" vertical="center"/>
    </xf>
    <xf numFmtId="0" fontId="61" fillId="3" borderId="0" xfId="145" applyFont="1" applyFill="1" applyAlignment="1">
      <alignment vertical="center"/>
    </xf>
    <xf numFmtId="0" fontId="61" fillId="3" borderId="0" xfId="145" applyFont="1" applyFill="1" applyAlignment="1">
      <alignment horizontal="left" vertical="center"/>
    </xf>
    <xf numFmtId="172" fontId="60" fillId="0" borderId="0" xfId="92" applyFont="1" applyAlignment="1">
      <alignment horizontal="left" vertical="center"/>
    </xf>
    <xf numFmtId="164" fontId="29" fillId="0" borderId="24" xfId="22" applyFont="1" applyFill="1" applyBorder="1" applyAlignment="1">
      <alignment vertical="center"/>
    </xf>
    <xf numFmtId="10" fontId="29" fillId="0" borderId="23" xfId="195" applyNumberFormat="1" applyFont="1" applyFill="1" applyBorder="1" applyAlignment="1">
      <alignment vertical="center"/>
    </xf>
    <xf numFmtId="164" fontId="29" fillId="26" borderId="93" xfId="22" applyFont="1" applyFill="1" applyBorder="1" applyAlignment="1">
      <alignment vertical="center"/>
    </xf>
    <xf numFmtId="10" fontId="29" fillId="26" borderId="24" xfId="195" applyNumberFormat="1" applyFont="1" applyFill="1" applyBorder="1" applyAlignment="1">
      <alignment vertical="center"/>
    </xf>
    <xf numFmtId="43" fontId="29" fillId="30" borderId="93" xfId="0" applyNumberFormat="1" applyFont="1" applyFill="1" applyBorder="1" applyAlignment="1">
      <alignment vertical="center"/>
    </xf>
    <xf numFmtId="0" fontId="28" fillId="30" borderId="97" xfId="0" applyFont="1" applyFill="1" applyBorder="1" applyAlignment="1">
      <alignment vertical="center"/>
    </xf>
    <xf numFmtId="164" fontId="28" fillId="29" borderId="159" xfId="22" applyFont="1" applyFill="1" applyBorder="1" applyAlignment="1">
      <alignment vertical="center"/>
    </xf>
    <xf numFmtId="43" fontId="29" fillId="0" borderId="0" xfId="1" applyFont="1" applyFill="1" applyAlignment="1" applyProtection="1">
      <alignment horizontal="left" vertical="center"/>
    </xf>
    <xf numFmtId="4" fontId="62" fillId="0" borderId="148" xfId="0" applyNumberFormat="1" applyFont="1" applyBorder="1" applyAlignment="1">
      <alignment horizontal="right" vertical="center" wrapText="1"/>
    </xf>
    <xf numFmtId="164" fontId="28" fillId="0" borderId="159" xfId="22" applyFont="1" applyFill="1" applyBorder="1" applyAlignment="1">
      <alignment vertical="center"/>
    </xf>
    <xf numFmtId="164" fontId="28" fillId="0" borderId="80" xfId="22" applyFont="1" applyFill="1" applyBorder="1" applyAlignment="1">
      <alignment vertical="center"/>
    </xf>
    <xf numFmtId="164" fontId="28" fillId="0" borderId="18" xfId="22" applyFont="1" applyFill="1" applyBorder="1" applyAlignment="1">
      <alignment vertical="center"/>
    </xf>
    <xf numFmtId="164" fontId="28" fillId="0" borderId="79" xfId="22" applyFont="1" applyFill="1" applyBorder="1" applyAlignment="1">
      <alignment vertical="center"/>
    </xf>
    <xf numFmtId="164" fontId="28" fillId="0" borderId="10" xfId="22" applyFont="1" applyFill="1" applyBorder="1" applyAlignment="1">
      <alignment vertical="center"/>
    </xf>
    <xf numFmtId="0" fontId="0" fillId="0" borderId="0" xfId="0" applyAlignment="1">
      <alignment horizontal="justify" vertical="center"/>
    </xf>
    <xf numFmtId="0" fontId="34" fillId="34" borderId="148" xfId="0" applyFont="1" applyFill="1" applyBorder="1" applyAlignment="1">
      <alignment horizontal="justify" vertical="center" wrapText="1"/>
    </xf>
    <xf numFmtId="0" fontId="35" fillId="33" borderId="148" xfId="0" applyFont="1" applyFill="1" applyBorder="1" applyAlignment="1">
      <alignment horizontal="justify" vertical="center" wrapText="1"/>
    </xf>
    <xf numFmtId="0" fontId="56" fillId="33" borderId="15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justify" vertical="center"/>
    </xf>
    <xf numFmtId="172" fontId="40" fillId="0" borderId="0" xfId="92" applyFont="1" applyAlignment="1">
      <alignment horizontal="justify" vertical="center"/>
    </xf>
    <xf numFmtId="0" fontId="56" fillId="33" borderId="150" xfId="0" applyFont="1" applyFill="1" applyBorder="1" applyAlignment="1">
      <alignment horizontal="justify" vertical="center" wrapText="1"/>
    </xf>
    <xf numFmtId="0" fontId="44" fillId="33" borderId="163" xfId="0" applyFont="1" applyFill="1" applyBorder="1" applyAlignment="1">
      <alignment horizontal="center" vertical="center" wrapText="1"/>
    </xf>
    <xf numFmtId="0" fontId="35" fillId="33" borderId="163" xfId="0" applyFont="1" applyFill="1" applyBorder="1" applyAlignment="1">
      <alignment horizontal="right" vertical="center" wrapText="1"/>
    </xf>
    <xf numFmtId="0" fontId="28" fillId="33" borderId="0" xfId="0" applyFont="1" applyFill="1" applyAlignment="1">
      <alignment horizontal="justify" vertical="center" wrapText="1"/>
    </xf>
    <xf numFmtId="0" fontId="44" fillId="26" borderId="148" xfId="0" applyFont="1" applyFill="1" applyBorder="1" applyAlignment="1">
      <alignment horizontal="center" vertical="center" wrapText="1"/>
    </xf>
    <xf numFmtId="0" fontId="54" fillId="26" borderId="148" xfId="0" applyFont="1" applyFill="1" applyBorder="1" applyAlignment="1">
      <alignment horizontal="center" vertical="center" wrapText="1"/>
    </xf>
    <xf numFmtId="0" fontId="28" fillId="27" borderId="101" xfId="0" applyFont="1" applyFill="1" applyBorder="1" applyAlignment="1">
      <alignment horizontal="center" vertical="center" wrapText="1"/>
    </xf>
    <xf numFmtId="0" fontId="28" fillId="27" borderId="164" xfId="0" applyFont="1" applyFill="1" applyBorder="1" applyAlignment="1">
      <alignment horizontal="center" vertical="center" wrapText="1"/>
    </xf>
    <xf numFmtId="0" fontId="28" fillId="3" borderId="70" xfId="0" applyFont="1" applyFill="1" applyBorder="1" applyAlignment="1">
      <alignment horizontal="center" vertical="center" wrapText="1"/>
    </xf>
    <xf numFmtId="0" fontId="28" fillId="3" borderId="149" xfId="0" applyFont="1" applyFill="1" applyBorder="1" applyAlignment="1">
      <alignment horizontal="left" vertical="center" wrapText="1"/>
    </xf>
    <xf numFmtId="10" fontId="28" fillId="3" borderId="149" xfId="0" applyNumberFormat="1" applyFont="1" applyFill="1" applyBorder="1" applyAlignment="1">
      <alignment horizontal="center" vertical="center" shrinkToFit="1"/>
    </xf>
    <xf numFmtId="10" fontId="28" fillId="3" borderId="165" xfId="0" applyNumberFormat="1" applyFont="1" applyFill="1" applyBorder="1" applyAlignment="1">
      <alignment horizontal="center" vertical="center" shrinkToFit="1"/>
    </xf>
    <xf numFmtId="0" fontId="29" fillId="3" borderId="70" xfId="0" applyFont="1" applyFill="1" applyBorder="1" applyAlignment="1">
      <alignment horizontal="center" vertical="center" wrapText="1"/>
    </xf>
    <xf numFmtId="0" fontId="29" fillId="3" borderId="149" xfId="0" applyFont="1" applyFill="1" applyBorder="1" applyAlignment="1">
      <alignment horizontal="center" vertical="center" wrapText="1"/>
    </xf>
    <xf numFmtId="10" fontId="29" fillId="3" borderId="149" xfId="0" applyNumberFormat="1" applyFont="1" applyFill="1" applyBorder="1" applyAlignment="1">
      <alignment horizontal="center" vertical="center" shrinkToFit="1"/>
    </xf>
    <xf numFmtId="10" fontId="29" fillId="3" borderId="165" xfId="0" applyNumberFormat="1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wrapText="1"/>
    </xf>
    <xf numFmtId="0" fontId="28" fillId="3" borderId="165" xfId="0" applyFont="1" applyFill="1" applyBorder="1" applyAlignment="1">
      <alignment horizontal="center" vertical="center" wrapText="1"/>
    </xf>
    <xf numFmtId="0" fontId="28" fillId="3" borderId="149" xfId="0" applyFont="1" applyFill="1" applyBorder="1" applyAlignment="1">
      <alignment horizontal="justify" vertical="center" wrapText="1"/>
    </xf>
    <xf numFmtId="10" fontId="29" fillId="27" borderId="101" xfId="0" applyNumberFormat="1" applyFont="1" applyFill="1" applyBorder="1" applyAlignment="1">
      <alignment horizontal="center" vertical="center" shrinkToFit="1"/>
    </xf>
    <xf numFmtId="10" fontId="29" fillId="27" borderId="164" xfId="0" applyNumberFormat="1" applyFont="1" applyFill="1" applyBorder="1" applyAlignment="1">
      <alignment horizontal="center" vertical="center" shrinkToFit="1"/>
    </xf>
    <xf numFmtId="43" fontId="28" fillId="0" borderId="0" xfId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27" borderId="170" xfId="0" applyFont="1" applyFill="1" applyBorder="1" applyAlignment="1">
      <alignment horizontal="right" vertical="center"/>
    </xf>
    <xf numFmtId="0" fontId="29" fillId="27" borderId="26" xfId="0" applyFont="1" applyFill="1" applyBorder="1" applyAlignment="1">
      <alignment horizontal="right" vertical="center"/>
    </xf>
    <xf numFmtId="0" fontId="29" fillId="27" borderId="35" xfId="0" applyFont="1" applyFill="1" applyBorder="1" applyAlignment="1">
      <alignment horizontal="center" vertical="center"/>
    </xf>
    <xf numFmtId="0" fontId="29" fillId="27" borderId="178" xfId="0" applyFont="1" applyFill="1" applyBorder="1" applyAlignment="1">
      <alignment horizontal="center" vertical="center"/>
    </xf>
    <xf numFmtId="0" fontId="29" fillId="27" borderId="33" xfId="0" applyFont="1" applyFill="1" applyBorder="1" applyAlignment="1">
      <alignment horizontal="center" vertical="center"/>
    </xf>
    <xf numFmtId="0" fontId="29" fillId="27" borderId="36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justify" vertical="center"/>
    </xf>
    <xf numFmtId="0" fontId="28" fillId="0" borderId="26" xfId="0" applyFont="1" applyBorder="1" applyAlignment="1">
      <alignment horizontal="center" vertical="center"/>
    </xf>
    <xf numFmtId="4" fontId="6" fillId="3" borderId="179" xfId="1" applyNumberFormat="1" applyFont="1" applyFill="1" applyBorder="1" applyAlignment="1">
      <alignment vertical="center"/>
    </xf>
    <xf numFmtId="43" fontId="2" fillId="3" borderId="30" xfId="1" applyFill="1" applyBorder="1" applyAlignment="1">
      <alignment vertical="center"/>
    </xf>
    <xf numFmtId="43" fontId="2" fillId="3" borderId="27" xfId="1" applyFill="1" applyBorder="1" applyAlignment="1">
      <alignment vertical="center"/>
    </xf>
    <xf numFmtId="43" fontId="2" fillId="3" borderId="179" xfId="1" applyFill="1" applyBorder="1" applyAlignment="1">
      <alignment vertical="center"/>
    </xf>
    <xf numFmtId="43" fontId="6" fillId="3" borderId="179" xfId="1" applyFont="1" applyFill="1" applyBorder="1" applyAlignment="1">
      <alignment vertical="center"/>
    </xf>
    <xf numFmtId="43" fontId="2" fillId="3" borderId="181" xfId="1" applyFill="1" applyBorder="1" applyAlignment="1">
      <alignment vertical="center"/>
    </xf>
    <xf numFmtId="43" fontId="2" fillId="3" borderId="182" xfId="1" applyFill="1" applyBorder="1" applyAlignment="1">
      <alignment vertical="center"/>
    </xf>
    <xf numFmtId="0" fontId="63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4" fontId="4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0" fontId="64" fillId="0" borderId="0" xfId="144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1" fontId="30" fillId="3" borderId="0" xfId="145" applyNumberFormat="1" applyFont="1" applyFill="1" applyAlignment="1">
      <alignment horizontal="left" vertical="center"/>
    </xf>
    <xf numFmtId="0" fontId="28" fillId="3" borderId="29" xfId="9" applyFont="1" applyFill="1" applyBorder="1" applyAlignment="1" applyProtection="1">
      <alignment horizontal="justify" vertical="center"/>
      <protection locked="0"/>
    </xf>
    <xf numFmtId="0" fontId="28" fillId="3" borderId="30" xfId="9" applyFont="1" applyFill="1" applyBorder="1" applyAlignment="1" applyProtection="1">
      <alignment horizontal="justify" vertical="center"/>
      <protection locked="0"/>
    </xf>
    <xf numFmtId="4" fontId="29" fillId="28" borderId="43" xfId="26" applyNumberFormat="1" applyFont="1" applyFill="1" applyBorder="1" applyAlignment="1">
      <alignment horizontal="center" vertical="center"/>
    </xf>
    <xf numFmtId="0" fontId="30" fillId="3" borderId="0" xfId="145" applyFont="1" applyFill="1" applyAlignment="1">
      <alignment horizontal="center" vertical="center" wrapText="1"/>
    </xf>
    <xf numFmtId="0" fontId="47" fillId="3" borderId="0" xfId="145" applyFont="1" applyFill="1" applyAlignment="1">
      <alignment horizontal="center" vertical="center"/>
    </xf>
    <xf numFmtId="0" fontId="29" fillId="3" borderId="0" xfId="145" applyFont="1" applyFill="1" applyAlignment="1">
      <alignment horizontal="center" vertical="center" wrapText="1"/>
    </xf>
    <xf numFmtId="0" fontId="29" fillId="3" borderId="186" xfId="145" applyFont="1" applyFill="1" applyBorder="1" applyAlignment="1">
      <alignment horizontal="center" vertical="center"/>
    </xf>
    <xf numFmtId="0" fontId="29" fillId="3" borderId="186" xfId="145" applyFont="1" applyFill="1" applyBorder="1" applyAlignment="1">
      <alignment horizontal="center" vertical="center" wrapText="1"/>
    </xf>
    <xf numFmtId="0" fontId="28" fillId="3" borderId="187" xfId="145" applyFill="1" applyBorder="1" applyAlignment="1">
      <alignment horizontal="center" vertical="center"/>
    </xf>
    <xf numFmtId="2" fontId="28" fillId="3" borderId="187" xfId="145" applyNumberFormat="1" applyFill="1" applyBorder="1" applyAlignment="1">
      <alignment horizontal="center" vertical="center"/>
    </xf>
    <xf numFmtId="0" fontId="28" fillId="3" borderId="187" xfId="145" applyFill="1" applyBorder="1" applyAlignment="1">
      <alignment vertical="center"/>
    </xf>
    <xf numFmtId="2" fontId="28" fillId="3" borderId="187" xfId="145" applyNumberFormat="1" applyFill="1" applyBorder="1" applyAlignment="1">
      <alignment vertical="center"/>
    </xf>
    <xf numFmtId="0" fontId="28" fillId="3" borderId="187" xfId="145" applyFill="1" applyBorder="1" applyAlignment="1">
      <alignment horizontal="right" vertical="center"/>
    </xf>
    <xf numFmtId="0" fontId="28" fillId="3" borderId="186" xfId="145" applyFill="1" applyBorder="1" applyAlignment="1">
      <alignment vertical="center"/>
    </xf>
    <xf numFmtId="0" fontId="28" fillId="3" borderId="186" xfId="145" applyFill="1" applyBorder="1" applyAlignment="1">
      <alignment horizontal="right" vertical="center"/>
    </xf>
    <xf numFmtId="0" fontId="28" fillId="3" borderId="186" xfId="145" applyFill="1" applyBorder="1" applyAlignment="1">
      <alignment horizontal="center" vertical="center"/>
    </xf>
    <xf numFmtId="2" fontId="28" fillId="3" borderId="186" xfId="145" applyNumberFormat="1" applyFill="1" applyBorder="1" applyAlignment="1">
      <alignment horizontal="center" vertical="center"/>
    </xf>
    <xf numFmtId="2" fontId="28" fillId="3" borderId="186" xfId="145" applyNumberFormat="1" applyFill="1" applyBorder="1" applyAlignment="1">
      <alignment vertical="center"/>
    </xf>
    <xf numFmtId="0" fontId="28" fillId="3" borderId="188" xfId="145" applyFill="1" applyBorder="1" applyAlignment="1">
      <alignment vertical="center"/>
    </xf>
    <xf numFmtId="0" fontId="28" fillId="3" borderId="188" xfId="145" applyFill="1" applyBorder="1" applyAlignment="1">
      <alignment horizontal="right" vertical="center"/>
    </xf>
    <xf numFmtId="0" fontId="28" fillId="3" borderId="188" xfId="145" applyFill="1" applyBorder="1" applyAlignment="1">
      <alignment horizontal="center" vertical="center"/>
    </xf>
    <xf numFmtId="2" fontId="28" fillId="3" borderId="188" xfId="145" applyNumberFormat="1" applyFill="1" applyBorder="1" applyAlignment="1">
      <alignment horizontal="center" vertical="center"/>
    </xf>
    <xf numFmtId="2" fontId="28" fillId="3" borderId="188" xfId="145" applyNumberFormat="1" applyFill="1" applyBorder="1" applyAlignment="1">
      <alignment vertical="center"/>
    </xf>
    <xf numFmtId="0" fontId="29" fillId="3" borderId="188" xfId="145" applyFont="1" applyFill="1" applyBorder="1" applyAlignment="1">
      <alignment vertical="center"/>
    </xf>
    <xf numFmtId="0" fontId="28" fillId="3" borderId="189" xfId="145" applyFill="1" applyBorder="1" applyAlignment="1">
      <alignment vertical="center"/>
    </xf>
    <xf numFmtId="0" fontId="28" fillId="3" borderId="189" xfId="145" applyFill="1" applyBorder="1" applyAlignment="1">
      <alignment horizontal="center" vertical="center"/>
    </xf>
    <xf numFmtId="2" fontId="28" fillId="3" borderId="189" xfId="145" applyNumberFormat="1" applyFill="1" applyBorder="1" applyAlignment="1">
      <alignment horizontal="center" vertical="center"/>
    </xf>
    <xf numFmtId="2" fontId="28" fillId="3" borderId="189" xfId="145" applyNumberFormat="1" applyFill="1" applyBorder="1" applyAlignment="1">
      <alignment vertical="center"/>
    </xf>
    <xf numFmtId="2" fontId="29" fillId="3" borderId="189" xfId="145" applyNumberFormat="1" applyFont="1" applyFill="1" applyBorder="1" applyAlignment="1">
      <alignment vertical="center"/>
    </xf>
    <xf numFmtId="4" fontId="29" fillId="3" borderId="0" xfId="145" applyNumberFormat="1" applyFont="1" applyFill="1" applyAlignment="1">
      <alignment vertical="center"/>
    </xf>
    <xf numFmtId="2" fontId="28" fillId="3" borderId="0" xfId="145" applyNumberFormat="1" applyFill="1" applyAlignment="1">
      <alignment horizontal="right" vertical="center"/>
    </xf>
    <xf numFmtId="0" fontId="47" fillId="3" borderId="0" xfId="145" applyFont="1" applyFill="1" applyAlignment="1">
      <alignment vertical="center"/>
    </xf>
    <xf numFmtId="0" fontId="1" fillId="0" borderId="0" xfId="0" quotePrefix="1" applyFont="1" applyAlignment="1">
      <alignment vertical="center"/>
    </xf>
    <xf numFmtId="43" fontId="28" fillId="3" borderId="187" xfId="1" applyFont="1" applyFill="1" applyBorder="1" applyAlignment="1">
      <alignment vertical="center"/>
    </xf>
    <xf numFmtId="43" fontId="28" fillId="3" borderId="188" xfId="1" applyFont="1" applyFill="1" applyBorder="1" applyAlignment="1">
      <alignment vertical="center"/>
    </xf>
    <xf numFmtId="43" fontId="28" fillId="3" borderId="186" xfId="1" applyFont="1" applyFill="1" applyBorder="1" applyAlignment="1">
      <alignment vertical="center"/>
    </xf>
    <xf numFmtId="4" fontId="29" fillId="3" borderId="0" xfId="145" applyNumberFormat="1" applyFont="1" applyFill="1" applyAlignment="1">
      <alignment horizontal="right" vertical="center"/>
    </xf>
    <xf numFmtId="0" fontId="28" fillId="3" borderId="189" xfId="145" applyFill="1" applyBorder="1" applyAlignment="1">
      <alignment horizontal="right" vertical="center"/>
    </xf>
    <xf numFmtId="43" fontId="28" fillId="3" borderId="189" xfId="1" applyFont="1" applyFill="1" applyBorder="1" applyAlignment="1">
      <alignment vertical="center"/>
    </xf>
    <xf numFmtId="4" fontId="61" fillId="0" borderId="0" xfId="0" applyNumberFormat="1" applyFont="1" applyAlignment="1">
      <alignment horizontal="center" vertical="center"/>
    </xf>
    <xf numFmtId="43" fontId="2" fillId="3" borderId="180" xfId="1" applyFill="1" applyBorder="1" applyAlignment="1">
      <alignment vertical="center"/>
    </xf>
    <xf numFmtId="0" fontId="47" fillId="3" borderId="0" xfId="145" applyFont="1" applyFill="1" applyAlignment="1">
      <alignment horizontal="center" vertical="center" wrapText="1"/>
    </xf>
    <xf numFmtId="0" fontId="30" fillId="3" borderId="187" xfId="145" applyFont="1" applyFill="1" applyBorder="1" applyAlignment="1">
      <alignment vertical="center"/>
    </xf>
    <xf numFmtId="2" fontId="30" fillId="3" borderId="187" xfId="145" applyNumberFormat="1" applyFont="1" applyFill="1" applyBorder="1" applyAlignment="1">
      <alignment horizontal="center" vertical="center"/>
    </xf>
    <xf numFmtId="9" fontId="28" fillId="3" borderId="187" xfId="144" applyFont="1" applyFill="1" applyBorder="1" applyAlignment="1">
      <alignment horizontal="center" vertical="center"/>
    </xf>
    <xf numFmtId="9" fontId="28" fillId="3" borderId="188" xfId="144" applyFont="1" applyFill="1" applyBorder="1" applyAlignment="1">
      <alignment horizontal="center" vertical="center"/>
    </xf>
    <xf numFmtId="0" fontId="30" fillId="3" borderId="187" xfId="145" applyFont="1" applyFill="1" applyBorder="1" applyAlignment="1">
      <alignment horizontal="right" vertical="center"/>
    </xf>
    <xf numFmtId="0" fontId="30" fillId="3" borderId="187" xfId="145" applyFont="1" applyFill="1" applyBorder="1" applyAlignment="1">
      <alignment horizontal="center" vertical="center"/>
    </xf>
    <xf numFmtId="0" fontId="30" fillId="3" borderId="188" xfId="145" applyFont="1" applyFill="1" applyBorder="1" applyAlignment="1">
      <alignment vertical="center"/>
    </xf>
    <xf numFmtId="0" fontId="30" fillId="3" borderId="188" xfId="145" applyFont="1" applyFill="1" applyBorder="1" applyAlignment="1">
      <alignment horizontal="right" vertical="center"/>
    </xf>
    <xf numFmtId="0" fontId="30" fillId="3" borderId="188" xfId="145" applyFont="1" applyFill="1" applyBorder="1" applyAlignment="1">
      <alignment horizontal="center" vertical="center"/>
    </xf>
    <xf numFmtId="2" fontId="30" fillId="3" borderId="188" xfId="145" applyNumberFormat="1" applyFont="1" applyFill="1" applyBorder="1" applyAlignment="1">
      <alignment horizontal="center" vertical="center"/>
    </xf>
    <xf numFmtId="0" fontId="40" fillId="3" borderId="0" xfId="145" applyFont="1" applyFill="1" applyAlignment="1">
      <alignment horizontal="center" vertical="center" wrapText="1"/>
    </xf>
    <xf numFmtId="2" fontId="28" fillId="3" borderId="187" xfId="144" applyNumberFormat="1" applyFont="1" applyFill="1" applyBorder="1" applyAlignment="1">
      <alignment horizontal="center" vertical="center"/>
    </xf>
    <xf numFmtId="0" fontId="65" fillId="3" borderId="0" xfId="145" applyFont="1" applyFill="1" applyAlignment="1">
      <alignment horizontal="left" vertical="center"/>
    </xf>
    <xf numFmtId="43" fontId="30" fillId="3" borderId="0" xfId="1" applyFont="1" applyFill="1" applyAlignment="1">
      <alignment vertical="center"/>
    </xf>
    <xf numFmtId="0" fontId="28" fillId="3" borderId="187" xfId="144" applyNumberFormat="1" applyFont="1" applyFill="1" applyBorder="1" applyAlignment="1">
      <alignment horizontal="center" vertical="center"/>
    </xf>
    <xf numFmtId="0" fontId="28" fillId="3" borderId="188" xfId="144" applyNumberFormat="1" applyFont="1" applyFill="1" applyBorder="1" applyAlignment="1">
      <alignment horizontal="center" vertical="center"/>
    </xf>
    <xf numFmtId="43" fontId="28" fillId="3" borderId="188" xfId="1" applyFont="1" applyFill="1" applyBorder="1" applyAlignment="1">
      <alignment horizontal="center" vertical="center"/>
    </xf>
    <xf numFmtId="43" fontId="29" fillId="3" borderId="0" xfId="1" applyFont="1" applyFill="1" applyAlignment="1">
      <alignment vertical="center"/>
    </xf>
    <xf numFmtId="4" fontId="28" fillId="3" borderId="187" xfId="145" applyNumberFormat="1" applyFill="1" applyBorder="1" applyAlignment="1">
      <alignment horizontal="center" vertical="center"/>
    </xf>
    <xf numFmtId="0" fontId="28" fillId="3" borderId="191" xfId="145" applyFill="1" applyBorder="1" applyAlignment="1">
      <alignment horizontal="right" vertical="center"/>
    </xf>
    <xf numFmtId="2" fontId="28" fillId="3" borderId="191" xfId="145" applyNumberFormat="1" applyFill="1" applyBorder="1" applyAlignment="1">
      <alignment horizontal="center" vertical="center"/>
    </xf>
    <xf numFmtId="43" fontId="28" fillId="3" borderId="191" xfId="1" applyFont="1" applyFill="1" applyBorder="1" applyAlignment="1">
      <alignment horizontal="center" vertical="center"/>
    </xf>
    <xf numFmtId="0" fontId="28" fillId="3" borderId="190" xfId="145" applyFill="1" applyBorder="1" applyAlignment="1">
      <alignment horizontal="right" vertical="center"/>
    </xf>
    <xf numFmtId="2" fontId="28" fillId="3" borderId="190" xfId="145" applyNumberFormat="1" applyFill="1" applyBorder="1" applyAlignment="1">
      <alignment horizontal="center" vertical="center"/>
    </xf>
    <xf numFmtId="43" fontId="28" fillId="3" borderId="190" xfId="1" applyFont="1" applyFill="1" applyBorder="1" applyAlignment="1">
      <alignment horizontal="center" vertical="center"/>
    </xf>
    <xf numFmtId="2" fontId="35" fillId="0" borderId="106" xfId="2" applyNumberFormat="1" applyFont="1" applyBorder="1" applyAlignment="1">
      <alignment horizontal="center" vertical="center" wrapText="1"/>
    </xf>
    <xf numFmtId="2" fontId="35" fillId="0" borderId="120" xfId="2" applyNumberFormat="1" applyFont="1" applyBorder="1" applyAlignment="1">
      <alignment horizontal="center" vertical="center" wrapText="1"/>
    </xf>
    <xf numFmtId="4" fontId="28" fillId="3" borderId="26" xfId="9" applyNumberFormat="1" applyFont="1" applyFill="1" applyBorder="1" applyAlignment="1">
      <alignment horizontal="center" vertical="center"/>
    </xf>
    <xf numFmtId="43" fontId="28" fillId="3" borderId="26" xfId="9" applyNumberFormat="1" applyFont="1" applyFill="1" applyBorder="1" applyAlignment="1">
      <alignment horizontal="center" vertical="center"/>
    </xf>
    <xf numFmtId="4" fontId="28" fillId="3" borderId="188" xfId="145" applyNumberFormat="1" applyFill="1" applyBorder="1" applyAlignment="1">
      <alignment horizontal="center" vertical="center"/>
    </xf>
    <xf numFmtId="10" fontId="47" fillId="3" borderId="0" xfId="144" applyNumberFormat="1" applyFont="1" applyFill="1" applyAlignment="1">
      <alignment horizontal="left" vertical="center"/>
    </xf>
    <xf numFmtId="172" fontId="40" fillId="38" borderId="0" xfId="92" applyFont="1" applyFill="1" applyAlignment="1">
      <alignment vertical="center"/>
    </xf>
    <xf numFmtId="172" fontId="40" fillId="39" borderId="0" xfId="92" applyFont="1" applyFill="1" applyAlignment="1">
      <alignment vertical="center"/>
    </xf>
    <xf numFmtId="10" fontId="35" fillId="38" borderId="148" xfId="144" applyNumberFormat="1" applyFont="1" applyFill="1" applyBorder="1" applyAlignment="1">
      <alignment horizontal="center" vertical="center" wrapText="1"/>
    </xf>
    <xf numFmtId="10" fontId="35" fillId="39" borderId="148" xfId="144" applyNumberFormat="1" applyFont="1" applyFill="1" applyBorder="1" applyAlignment="1">
      <alignment horizontal="center" vertical="center" wrapText="1"/>
    </xf>
    <xf numFmtId="10" fontId="30" fillId="3" borderId="0" xfId="144" applyNumberFormat="1" applyFont="1" applyFill="1" applyAlignment="1">
      <alignment vertical="center"/>
    </xf>
    <xf numFmtId="2" fontId="35" fillId="33" borderId="148" xfId="0" applyNumberFormat="1" applyFont="1" applyFill="1" applyBorder="1" applyAlignment="1">
      <alignment horizontal="right" vertical="center" wrapText="1"/>
    </xf>
    <xf numFmtId="43" fontId="35" fillId="33" borderId="148" xfId="1" applyFont="1" applyFill="1" applyBorder="1" applyAlignment="1">
      <alignment horizontal="right" vertical="center" wrapText="1"/>
    </xf>
    <xf numFmtId="180" fontId="35" fillId="33" borderId="148" xfId="144" applyNumberFormat="1" applyFont="1" applyFill="1" applyBorder="1" applyAlignment="1">
      <alignment horizontal="right" vertical="center" wrapText="1"/>
    </xf>
    <xf numFmtId="180" fontId="35" fillId="33" borderId="148" xfId="0" applyNumberFormat="1" applyFont="1" applyFill="1" applyBorder="1" applyAlignment="1">
      <alignment horizontal="right" vertical="center" wrapText="1"/>
    </xf>
    <xf numFmtId="0" fontId="54" fillId="33" borderId="148" xfId="0" applyFont="1" applyFill="1" applyBorder="1" applyAlignment="1">
      <alignment horizontal="left" vertical="top" wrapText="1"/>
    </xf>
    <xf numFmtId="0" fontId="54" fillId="33" borderId="148" xfId="0" applyFont="1" applyFill="1" applyBorder="1" applyAlignment="1">
      <alignment horizontal="right" vertical="top" wrapText="1"/>
    </xf>
    <xf numFmtId="0" fontId="54" fillId="33" borderId="148" xfId="0" applyFont="1" applyFill="1" applyBorder="1" applyAlignment="1">
      <alignment horizontal="center" vertical="top" wrapText="1"/>
    </xf>
    <xf numFmtId="0" fontId="56" fillId="40" borderId="148" xfId="0" applyFont="1" applyFill="1" applyBorder="1" applyAlignment="1">
      <alignment horizontal="left" vertical="top" wrapText="1"/>
    </xf>
    <xf numFmtId="0" fontId="56" fillId="40" borderId="148" xfId="0" applyFont="1" applyFill="1" applyBorder="1" applyAlignment="1">
      <alignment horizontal="right" vertical="top" wrapText="1"/>
    </xf>
    <xf numFmtId="0" fontId="56" fillId="40" borderId="148" xfId="0" applyFont="1" applyFill="1" applyBorder="1" applyAlignment="1">
      <alignment horizontal="center" vertical="top" wrapText="1"/>
    </xf>
    <xf numFmtId="179" fontId="56" fillId="40" borderId="148" xfId="0" applyNumberFormat="1" applyFont="1" applyFill="1" applyBorder="1" applyAlignment="1">
      <alignment horizontal="right" vertical="top" wrapText="1"/>
    </xf>
    <xf numFmtId="4" fontId="56" fillId="40" borderId="148" xfId="0" applyNumberFormat="1" applyFont="1" applyFill="1" applyBorder="1" applyAlignment="1">
      <alignment horizontal="right" vertical="top" wrapText="1"/>
    </xf>
    <xf numFmtId="0" fontId="57" fillId="36" borderId="148" xfId="0" applyFont="1" applyFill="1" applyBorder="1" applyAlignment="1">
      <alignment horizontal="left" vertical="top" wrapText="1"/>
    </xf>
    <xf numFmtId="0" fontId="57" fillId="36" borderId="148" xfId="0" applyFont="1" applyFill="1" applyBorder="1" applyAlignment="1">
      <alignment horizontal="right" vertical="top" wrapText="1"/>
    </xf>
    <xf numFmtId="0" fontId="57" fillId="36" borderId="148" xfId="0" applyFont="1" applyFill="1" applyBorder="1" applyAlignment="1">
      <alignment horizontal="center" vertical="top" wrapText="1"/>
    </xf>
    <xf numFmtId="179" fontId="57" fillId="36" borderId="148" xfId="0" applyNumberFormat="1" applyFont="1" applyFill="1" applyBorder="1" applyAlignment="1">
      <alignment horizontal="right" vertical="top" wrapText="1"/>
    </xf>
    <xf numFmtId="4" fontId="57" fillId="36" borderId="148" xfId="0" applyNumberFormat="1" applyFont="1" applyFill="1" applyBorder="1" applyAlignment="1">
      <alignment horizontal="right" vertical="top" wrapText="1"/>
    </xf>
    <xf numFmtId="0" fontId="57" fillId="33" borderId="0" xfId="0" applyFont="1" applyFill="1" applyAlignment="1">
      <alignment horizontal="right" vertical="top" wrapText="1"/>
    </xf>
    <xf numFmtId="4" fontId="57" fillId="33" borderId="0" xfId="0" applyNumberFormat="1" applyFont="1" applyFill="1" applyAlignment="1">
      <alignment horizontal="right" vertical="top" wrapText="1"/>
    </xf>
    <xf numFmtId="0" fontId="56" fillId="40" borderId="150" xfId="0" applyFont="1" applyFill="1" applyBorder="1" applyAlignment="1">
      <alignment horizontal="left" vertical="top" wrapText="1"/>
    </xf>
    <xf numFmtId="176" fontId="57" fillId="36" borderId="148" xfId="0" applyNumberFormat="1" applyFont="1" applyFill="1" applyBorder="1" applyAlignment="1">
      <alignment horizontal="right" vertical="top" wrapText="1"/>
    </xf>
    <xf numFmtId="176" fontId="55" fillId="33" borderId="0" xfId="0" applyNumberFormat="1" applyFont="1" applyFill="1" applyAlignment="1">
      <alignment horizontal="right" vertical="top" wrapText="1"/>
    </xf>
    <xf numFmtId="0" fontId="57" fillId="37" borderId="148" xfId="0" applyFont="1" applyFill="1" applyBorder="1" applyAlignment="1">
      <alignment horizontal="left" vertical="top" wrapText="1"/>
    </xf>
    <xf numFmtId="0" fontId="57" fillId="37" borderId="148" xfId="0" applyFont="1" applyFill="1" applyBorder="1" applyAlignment="1">
      <alignment horizontal="right" vertical="top" wrapText="1"/>
    </xf>
    <xf numFmtId="0" fontId="57" fillId="37" borderId="148" xfId="0" applyFont="1" applyFill="1" applyBorder="1" applyAlignment="1">
      <alignment horizontal="center" vertical="top" wrapText="1"/>
    </xf>
    <xf numFmtId="179" fontId="57" fillId="37" borderId="148" xfId="0" applyNumberFormat="1" applyFont="1" applyFill="1" applyBorder="1" applyAlignment="1">
      <alignment horizontal="right" vertical="top" wrapText="1"/>
    </xf>
    <xf numFmtId="4" fontId="57" fillId="37" borderId="148" xfId="0" applyNumberFormat="1" applyFont="1" applyFill="1" applyBorder="1" applyAlignment="1">
      <alignment horizontal="right" vertical="top" wrapText="1"/>
    </xf>
    <xf numFmtId="176" fontId="57" fillId="37" borderId="148" xfId="0" applyNumberFormat="1" applyFont="1" applyFill="1" applyBorder="1" applyAlignment="1">
      <alignment horizontal="right" vertical="top" wrapText="1"/>
    </xf>
    <xf numFmtId="43" fontId="1" fillId="0" borderId="0" xfId="0" applyNumberFormat="1" applyFont="1" applyAlignment="1">
      <alignment vertical="center"/>
    </xf>
    <xf numFmtId="0" fontId="35" fillId="0" borderId="148" xfId="0" applyFont="1" applyBorder="1" applyAlignment="1">
      <alignment horizontal="justify" vertical="center" wrapText="1"/>
    </xf>
    <xf numFmtId="2" fontId="35" fillId="0" borderId="148" xfId="0" applyNumberFormat="1" applyFont="1" applyBorder="1" applyAlignment="1">
      <alignment horizontal="right" vertical="center" wrapText="1"/>
    </xf>
    <xf numFmtId="43" fontId="35" fillId="0" borderId="148" xfId="1" applyFont="1" applyFill="1" applyBorder="1" applyAlignment="1">
      <alignment horizontal="right" vertical="center" wrapText="1"/>
    </xf>
    <xf numFmtId="180" fontId="35" fillId="0" borderId="148" xfId="144" applyNumberFormat="1" applyFont="1" applyFill="1" applyBorder="1" applyAlignment="1">
      <alignment horizontal="right" vertical="center" wrapText="1"/>
    </xf>
    <xf numFmtId="4" fontId="35" fillId="0" borderId="148" xfId="0" applyNumberFormat="1" applyFont="1" applyBorder="1" applyAlignment="1">
      <alignment horizontal="right" vertical="center" wrapText="1"/>
    </xf>
    <xf numFmtId="0" fontId="36" fillId="27" borderId="23" xfId="0" applyFont="1" applyFill="1" applyBorder="1" applyAlignment="1">
      <alignment horizontal="left" vertical="center"/>
    </xf>
    <xf numFmtId="0" fontId="36" fillId="27" borderId="21" xfId="0" applyFont="1" applyFill="1" applyBorder="1" applyAlignment="1">
      <alignment horizontal="left" vertical="center"/>
    </xf>
    <xf numFmtId="0" fontId="36" fillId="27" borderId="22" xfId="0" applyFont="1" applyFill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" fontId="36" fillId="27" borderId="23" xfId="0" applyNumberFormat="1" applyFont="1" applyFill="1" applyBorder="1" applyAlignment="1">
      <alignment horizontal="center" vertical="center"/>
    </xf>
    <xf numFmtId="4" fontId="36" fillId="27" borderId="21" xfId="0" applyNumberFormat="1" applyFont="1" applyFill="1" applyBorder="1" applyAlignment="1">
      <alignment horizontal="center" vertical="center"/>
    </xf>
    <xf numFmtId="4" fontId="36" fillId="27" borderId="22" xfId="0" applyNumberFormat="1" applyFont="1" applyFill="1" applyBorder="1" applyAlignment="1">
      <alignment horizontal="center" vertical="center"/>
    </xf>
    <xf numFmtId="10" fontId="36" fillId="27" borderId="23" xfId="144" applyNumberFormat="1" applyFont="1" applyFill="1" applyBorder="1" applyAlignment="1">
      <alignment horizontal="center" vertical="center"/>
    </xf>
    <xf numFmtId="10" fontId="36" fillId="27" borderId="21" xfId="144" applyNumberFormat="1" applyFont="1" applyFill="1" applyBorder="1" applyAlignment="1">
      <alignment horizontal="center" vertical="center"/>
    </xf>
    <xf numFmtId="10" fontId="36" fillId="27" borderId="22" xfId="144" applyNumberFormat="1" applyFont="1" applyFill="1" applyBorder="1" applyAlignment="1">
      <alignment horizontal="center" vertical="center"/>
    </xf>
    <xf numFmtId="10" fontId="36" fillId="27" borderId="23" xfId="144" quotePrefix="1" applyNumberFormat="1" applyFont="1" applyFill="1" applyBorder="1" applyAlignment="1">
      <alignment horizontal="center" vertical="center"/>
    </xf>
    <xf numFmtId="14" fontId="36" fillId="27" borderId="23" xfId="0" quotePrefix="1" applyNumberFormat="1" applyFont="1" applyFill="1" applyBorder="1" applyAlignment="1">
      <alignment horizontal="center" vertical="center"/>
    </xf>
    <xf numFmtId="0" fontId="36" fillId="27" borderId="21" xfId="0" applyFont="1" applyFill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23" xfId="0" quotePrefix="1" applyFont="1" applyFill="1" applyBorder="1" applyAlignment="1">
      <alignment horizontal="center" vertical="center"/>
    </xf>
    <xf numFmtId="0" fontId="36" fillId="27" borderId="23" xfId="0" applyFont="1" applyFill="1" applyBorder="1" applyAlignment="1">
      <alignment horizontal="justify" vertical="center" wrapText="1"/>
    </xf>
    <xf numFmtId="0" fontId="36" fillId="27" borderId="21" xfId="0" applyFont="1" applyFill="1" applyBorder="1" applyAlignment="1">
      <alignment horizontal="justify" vertical="center" wrapText="1"/>
    </xf>
    <xf numFmtId="0" fontId="36" fillId="27" borderId="22" xfId="0" applyFont="1" applyFill="1" applyBorder="1" applyAlignment="1">
      <alignment horizontal="justify" vertical="center" wrapText="1"/>
    </xf>
    <xf numFmtId="0" fontId="49" fillId="3" borderId="0" xfId="145" applyFont="1" applyFill="1" applyAlignment="1">
      <alignment horizontal="center" vertical="center"/>
    </xf>
    <xf numFmtId="0" fontId="30" fillId="3" borderId="0" xfId="145" applyFont="1" applyFill="1" applyAlignment="1">
      <alignment horizontal="center" vertical="center"/>
    </xf>
    <xf numFmtId="0" fontId="30" fillId="3" borderId="1" xfId="145" applyFont="1" applyFill="1" applyBorder="1" applyAlignment="1">
      <alignment horizontal="center" vertical="center"/>
    </xf>
    <xf numFmtId="0" fontId="44" fillId="3" borderId="0" xfId="145" applyFont="1" applyFill="1" applyAlignment="1">
      <alignment horizontal="center" vertical="center"/>
    </xf>
    <xf numFmtId="43" fontId="60" fillId="0" borderId="0" xfId="1" applyFont="1" applyAlignment="1">
      <alignment horizontal="center" vertical="center"/>
    </xf>
    <xf numFmtId="0" fontId="61" fillId="3" borderId="0" xfId="145" applyFont="1" applyFill="1" applyAlignment="1">
      <alignment horizontal="center" vertical="center"/>
    </xf>
    <xf numFmtId="0" fontId="62" fillId="0" borderId="148" xfId="0" applyFont="1" applyBorder="1" applyAlignment="1">
      <alignment horizontal="center" vertical="center" wrapText="1"/>
    </xf>
    <xf numFmtId="0" fontId="62" fillId="0" borderId="148" xfId="0" applyFont="1" applyBorder="1" applyAlignment="1">
      <alignment horizontal="left" vertical="center" wrapText="1"/>
    </xf>
    <xf numFmtId="0" fontId="54" fillId="26" borderId="148" xfId="0" applyFont="1" applyFill="1" applyBorder="1" applyAlignment="1">
      <alignment horizontal="center" vertical="center" wrapText="1"/>
    </xf>
    <xf numFmtId="4" fontId="32" fillId="26" borderId="155" xfId="0" applyNumberFormat="1" applyFont="1" applyFill="1" applyBorder="1" applyAlignment="1">
      <alignment horizontal="center" vertical="center" wrapText="1"/>
    </xf>
    <xf numFmtId="4" fontId="32" fillId="26" borderId="156" xfId="0" applyNumberFormat="1" applyFont="1" applyFill="1" applyBorder="1" applyAlignment="1">
      <alignment horizontal="center" vertical="center" wrapText="1"/>
    </xf>
    <xf numFmtId="172" fontId="41" fillId="0" borderId="0" xfId="92" applyFont="1" applyAlignment="1">
      <alignment horizontal="justify" vertical="center" wrapText="1"/>
    </xf>
    <xf numFmtId="0" fontId="55" fillId="33" borderId="0" xfId="0" applyFont="1" applyFill="1" applyAlignment="1">
      <alignment horizontal="right" vertical="center" wrapText="1"/>
    </xf>
    <xf numFmtId="0" fontId="55" fillId="33" borderId="0" xfId="0" applyFont="1" applyFill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29" fillId="26" borderId="154" xfId="0" applyFont="1" applyFill="1" applyBorder="1" applyAlignment="1">
      <alignment horizontal="right" vertical="center" wrapText="1"/>
    </xf>
    <xf numFmtId="0" fontId="29" fillId="26" borderId="66" xfId="0" applyFont="1" applyFill="1" applyBorder="1" applyAlignment="1">
      <alignment horizontal="right" vertical="center" wrapText="1"/>
    </xf>
    <xf numFmtId="4" fontId="29" fillId="26" borderId="65" xfId="0" applyNumberFormat="1" applyFont="1" applyFill="1" applyBorder="1" applyAlignment="1">
      <alignment horizontal="center" vertical="center" wrapText="1"/>
    </xf>
    <xf numFmtId="4" fontId="29" fillId="26" borderId="153" xfId="0" applyNumberFormat="1" applyFont="1" applyFill="1" applyBorder="1" applyAlignment="1">
      <alignment horizontal="center" vertical="center" wrapText="1"/>
    </xf>
    <xf numFmtId="0" fontId="29" fillId="26" borderId="152" xfId="0" applyFont="1" applyFill="1" applyBorder="1" applyAlignment="1">
      <alignment horizontal="right" vertical="center" wrapText="1"/>
    </xf>
    <xf numFmtId="0" fontId="29" fillId="26" borderId="68" xfId="0" applyFont="1" applyFill="1" applyBorder="1" applyAlignment="1">
      <alignment horizontal="right" vertical="center" wrapText="1"/>
    </xf>
    <xf numFmtId="4" fontId="29" fillId="26" borderId="67" xfId="0" applyNumberFormat="1" applyFont="1" applyFill="1" applyBorder="1" applyAlignment="1">
      <alignment horizontal="center" vertical="center" wrapText="1"/>
    </xf>
    <xf numFmtId="4" fontId="29" fillId="26" borderId="151" xfId="0" applyNumberFormat="1" applyFont="1" applyFill="1" applyBorder="1" applyAlignment="1">
      <alignment horizontal="center" vertical="center" wrapText="1"/>
    </xf>
    <xf numFmtId="0" fontId="32" fillId="26" borderId="157" xfId="0" applyFont="1" applyFill="1" applyBorder="1" applyAlignment="1">
      <alignment horizontal="right" vertical="center" wrapText="1"/>
    </xf>
    <xf numFmtId="0" fontId="32" fillId="26" borderId="102" xfId="0" applyFont="1" applyFill="1" applyBorder="1" applyAlignment="1">
      <alignment horizontal="right" vertical="center" wrapText="1"/>
    </xf>
    <xf numFmtId="0" fontId="29" fillId="33" borderId="0" xfId="0" applyFont="1" applyFill="1" applyAlignment="1">
      <alignment horizontal="right" vertical="center" wrapText="1"/>
    </xf>
    <xf numFmtId="0" fontId="32" fillId="26" borderId="62" xfId="0" applyFont="1" applyFill="1" applyBorder="1" applyAlignment="1">
      <alignment horizontal="right" vertical="center" wrapText="1"/>
    </xf>
    <xf numFmtId="0" fontId="32" fillId="26" borderId="63" xfId="0" applyFont="1" applyFill="1" applyBorder="1" applyAlignment="1">
      <alignment horizontal="right" vertical="center" wrapText="1"/>
    </xf>
    <xf numFmtId="4" fontId="32" fillId="26" borderId="63" xfId="0" applyNumberFormat="1" applyFont="1" applyFill="1" applyBorder="1" applyAlignment="1">
      <alignment horizontal="center" vertical="center" wrapText="1"/>
    </xf>
    <xf numFmtId="0" fontId="32" fillId="26" borderId="64" xfId="0" applyFont="1" applyFill="1" applyBorder="1" applyAlignment="1">
      <alignment horizontal="center" vertical="center" wrapText="1"/>
    </xf>
    <xf numFmtId="0" fontId="29" fillId="26" borderId="56" xfId="0" applyFont="1" applyFill="1" applyBorder="1" applyAlignment="1">
      <alignment horizontal="right" vertical="center" wrapText="1"/>
    </xf>
    <xf numFmtId="0" fontId="29" fillId="26" borderId="57" xfId="0" applyFont="1" applyFill="1" applyBorder="1" applyAlignment="1">
      <alignment horizontal="right" vertical="center" wrapText="1"/>
    </xf>
    <xf numFmtId="4" fontId="29" fillId="26" borderId="57" xfId="0" applyNumberFormat="1" applyFont="1" applyFill="1" applyBorder="1" applyAlignment="1">
      <alignment horizontal="center" vertical="center" wrapText="1"/>
    </xf>
    <xf numFmtId="0" fontId="29" fillId="26" borderId="58" xfId="0" applyFont="1" applyFill="1" applyBorder="1" applyAlignment="1">
      <alignment horizontal="center" vertical="center" wrapText="1"/>
    </xf>
    <xf numFmtId="0" fontId="29" fillId="26" borderId="59" xfId="0" applyFont="1" applyFill="1" applyBorder="1" applyAlignment="1">
      <alignment horizontal="right" vertical="center" wrapText="1"/>
    </xf>
    <xf numFmtId="0" fontId="29" fillId="26" borderId="60" xfId="0" applyFont="1" applyFill="1" applyBorder="1" applyAlignment="1">
      <alignment horizontal="right" vertical="center" wrapText="1"/>
    </xf>
    <xf numFmtId="4" fontId="29" fillId="26" borderId="60" xfId="0" applyNumberFormat="1" applyFont="1" applyFill="1" applyBorder="1" applyAlignment="1">
      <alignment horizontal="center" vertical="center" wrapText="1"/>
    </xf>
    <xf numFmtId="0" fontId="29" fillId="26" borderId="61" xfId="0" applyFont="1" applyFill="1" applyBorder="1" applyAlignment="1">
      <alignment horizontal="center" vertical="center" wrapText="1"/>
    </xf>
    <xf numFmtId="172" fontId="41" fillId="0" borderId="0" xfId="92" applyFont="1" applyAlignment="1">
      <alignment horizontal="justify" vertical="center"/>
    </xf>
    <xf numFmtId="0" fontId="28" fillId="0" borderId="91" xfId="0" quotePrefix="1" applyFont="1" applyBorder="1" applyAlignment="1">
      <alignment horizontal="center" vertical="center"/>
    </xf>
    <xf numFmtId="0" fontId="28" fillId="0" borderId="78" xfId="0" quotePrefix="1" applyFont="1" applyBorder="1" applyAlignment="1">
      <alignment horizontal="center" vertical="center"/>
    </xf>
    <xf numFmtId="0" fontId="28" fillId="0" borderId="81" xfId="0" quotePrefix="1" applyFont="1" applyBorder="1" applyAlignment="1">
      <alignment horizontal="center" vertical="center"/>
    </xf>
    <xf numFmtId="0" fontId="28" fillId="0" borderId="86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164" fontId="28" fillId="0" borderId="158" xfId="22" applyFont="1" applyFill="1" applyBorder="1" applyAlignment="1">
      <alignment horizontal="center" vertical="center"/>
    </xf>
    <xf numFmtId="164" fontId="28" fillId="0" borderId="88" xfId="22" applyFont="1" applyFill="1" applyBorder="1" applyAlignment="1">
      <alignment horizontal="center" vertical="center"/>
    </xf>
    <xf numFmtId="164" fontId="28" fillId="0" borderId="89" xfId="22" applyFont="1" applyFill="1" applyBorder="1" applyAlignment="1">
      <alignment horizontal="center" vertical="center"/>
    </xf>
    <xf numFmtId="164" fontId="28" fillId="0" borderId="87" xfId="22" applyFont="1" applyFill="1" applyBorder="1" applyAlignment="1">
      <alignment horizontal="center" vertical="center"/>
    </xf>
    <xf numFmtId="164" fontId="28" fillId="0" borderId="90" xfId="22" applyFont="1" applyFill="1" applyBorder="1" applyAlignment="1">
      <alignment horizontal="center" vertical="center"/>
    </xf>
    <xf numFmtId="10" fontId="28" fillId="0" borderId="82" xfId="195" applyNumberFormat="1" applyFont="1" applyFill="1" applyBorder="1" applyAlignment="1">
      <alignment horizontal="center" vertical="center"/>
    </xf>
    <xf numFmtId="10" fontId="28" fillId="0" borderId="83" xfId="195" applyNumberFormat="1" applyFont="1" applyFill="1" applyBorder="1" applyAlignment="1">
      <alignment horizontal="center" vertical="center"/>
    </xf>
    <xf numFmtId="10" fontId="28" fillId="0" borderId="84" xfId="195" applyNumberFormat="1" applyFont="1" applyFill="1" applyBorder="1" applyAlignment="1">
      <alignment horizontal="center" vertical="center"/>
    </xf>
    <xf numFmtId="10" fontId="28" fillId="0" borderId="85" xfId="195" applyNumberFormat="1" applyFont="1" applyFill="1" applyBorder="1" applyAlignment="1">
      <alignment horizontal="center" vertical="center"/>
    </xf>
    <xf numFmtId="10" fontId="28" fillId="0" borderId="160" xfId="195" applyNumberFormat="1" applyFont="1" applyFill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4" fontId="29" fillId="30" borderId="161" xfId="195" applyNumberFormat="1" applyFont="1" applyFill="1" applyBorder="1" applyAlignment="1">
      <alignment horizontal="center" vertical="center"/>
    </xf>
    <xf numFmtId="4" fontId="29" fillId="30" borderId="94" xfId="195" applyNumberFormat="1" applyFont="1" applyFill="1" applyBorder="1" applyAlignment="1">
      <alignment horizontal="center" vertical="center"/>
    </xf>
    <xf numFmtId="4" fontId="29" fillId="30" borderId="95" xfId="195" applyNumberFormat="1" applyFont="1" applyFill="1" applyBorder="1" applyAlignment="1">
      <alignment horizontal="center" vertical="center"/>
    </xf>
    <xf numFmtId="164" fontId="29" fillId="30" borderId="93" xfId="195" applyNumberFormat="1" applyFont="1" applyFill="1" applyBorder="1" applyAlignment="1">
      <alignment horizontal="center" vertical="center"/>
    </xf>
    <xf numFmtId="164" fontId="29" fillId="30" borderId="94" xfId="195" applyNumberFormat="1" applyFont="1" applyFill="1" applyBorder="1" applyAlignment="1">
      <alignment horizontal="center" vertical="center"/>
    </xf>
    <xf numFmtId="164" fontId="29" fillId="30" borderId="95" xfId="195" applyNumberFormat="1" applyFont="1" applyFill="1" applyBorder="1" applyAlignment="1">
      <alignment horizontal="center" vertical="center"/>
    </xf>
    <xf numFmtId="4" fontId="29" fillId="26" borderId="161" xfId="22" applyNumberFormat="1" applyFont="1" applyFill="1" applyBorder="1" applyAlignment="1">
      <alignment horizontal="center" vertical="center"/>
    </xf>
    <xf numFmtId="4" fontId="29" fillId="26" borderId="94" xfId="22" applyNumberFormat="1" applyFont="1" applyFill="1" applyBorder="1" applyAlignment="1">
      <alignment horizontal="center" vertical="center"/>
    </xf>
    <xf numFmtId="4" fontId="29" fillId="26" borderId="95" xfId="22" applyNumberFormat="1" applyFont="1" applyFill="1" applyBorder="1" applyAlignment="1">
      <alignment horizontal="center" vertical="center"/>
    </xf>
    <xf numFmtId="10" fontId="28" fillId="26" borderId="162" xfId="195" applyNumberFormat="1" applyFont="1" applyFill="1" applyBorder="1" applyAlignment="1">
      <alignment horizontal="center" vertical="center"/>
    </xf>
    <xf numFmtId="10" fontId="28" fillId="26" borderId="98" xfId="195" applyNumberFormat="1" applyFont="1" applyFill="1" applyBorder="1" applyAlignment="1">
      <alignment horizontal="center" vertical="center"/>
    </xf>
    <xf numFmtId="10" fontId="28" fillId="26" borderId="99" xfId="195" applyNumberFormat="1" applyFont="1" applyFill="1" applyBorder="1" applyAlignment="1">
      <alignment horizontal="center" vertical="center"/>
    </xf>
    <xf numFmtId="164" fontId="28" fillId="3" borderId="87" xfId="22" applyFont="1" applyFill="1" applyBorder="1" applyAlignment="1">
      <alignment horizontal="center" vertical="center"/>
    </xf>
    <xf numFmtId="164" fontId="28" fillId="3" borderId="88" xfId="22" applyFont="1" applyFill="1" applyBorder="1" applyAlignment="1">
      <alignment horizontal="center" vertical="center"/>
    </xf>
    <xf numFmtId="164" fontId="28" fillId="3" borderId="89" xfId="22" applyFont="1" applyFill="1" applyBorder="1" applyAlignment="1">
      <alignment horizontal="center" vertical="center"/>
    </xf>
    <xf numFmtId="164" fontId="28" fillId="3" borderId="90" xfId="22" applyFont="1" applyFill="1" applyBorder="1" applyAlignment="1">
      <alignment horizontal="center" vertical="center"/>
    </xf>
    <xf numFmtId="0" fontId="29" fillId="26" borderId="69" xfId="0" applyFont="1" applyFill="1" applyBorder="1" applyAlignment="1">
      <alignment horizontal="center" vertical="center"/>
    </xf>
    <xf numFmtId="0" fontId="29" fillId="26" borderId="70" xfId="0" applyFont="1" applyFill="1" applyBorder="1" applyAlignment="1">
      <alignment horizontal="center" vertical="center"/>
    </xf>
    <xf numFmtId="0" fontId="29" fillId="26" borderId="74" xfId="0" applyFont="1" applyFill="1" applyBorder="1" applyAlignment="1">
      <alignment horizontal="center" vertical="center"/>
    </xf>
    <xf numFmtId="0" fontId="29" fillId="26" borderId="45" xfId="0" applyFont="1" applyFill="1" applyBorder="1" applyAlignment="1">
      <alignment horizontal="center" vertical="center" wrapText="1"/>
    </xf>
    <xf numFmtId="0" fontId="29" fillId="26" borderId="4" xfId="0" applyFont="1" applyFill="1" applyBorder="1" applyAlignment="1">
      <alignment horizontal="center" vertical="center" wrapText="1"/>
    </xf>
    <xf numFmtId="0" fontId="29" fillId="26" borderId="46" xfId="0" applyFont="1" applyFill="1" applyBorder="1" applyAlignment="1">
      <alignment horizontal="center" vertical="center" wrapText="1"/>
    </xf>
    <xf numFmtId="0" fontId="29" fillId="26" borderId="72" xfId="0" applyFont="1" applyFill="1" applyBorder="1" applyAlignment="1">
      <alignment horizontal="center" vertical="center" wrapText="1"/>
    </xf>
    <xf numFmtId="0" fontId="29" fillId="26" borderId="24" xfId="0" applyFont="1" applyFill="1" applyBorder="1" applyAlignment="1">
      <alignment horizontal="center" vertical="center" wrapText="1"/>
    </xf>
    <xf numFmtId="0" fontId="29" fillId="26" borderId="76" xfId="0" applyFont="1" applyFill="1" applyBorder="1" applyAlignment="1">
      <alignment horizontal="center" vertical="center" wrapText="1"/>
    </xf>
    <xf numFmtId="0" fontId="29" fillId="26" borderId="19" xfId="0" applyFont="1" applyFill="1" applyBorder="1" applyAlignment="1">
      <alignment horizontal="center" vertical="center" wrapText="1"/>
    </xf>
    <xf numFmtId="0" fontId="29" fillId="26" borderId="9" xfId="0" applyFont="1" applyFill="1" applyBorder="1" applyAlignment="1">
      <alignment horizontal="center" vertical="center" wrapText="1"/>
    </xf>
    <xf numFmtId="0" fontId="29" fillId="26" borderId="47" xfId="0" applyFont="1" applyFill="1" applyBorder="1" applyAlignment="1">
      <alignment horizontal="center" vertical="center" wrapText="1"/>
    </xf>
    <xf numFmtId="164" fontId="28" fillId="3" borderId="158" xfId="22" applyFont="1" applyFill="1" applyBorder="1" applyAlignment="1">
      <alignment horizontal="center" vertical="center"/>
    </xf>
    <xf numFmtId="10" fontId="28" fillId="0" borderId="160" xfId="144" applyNumberFormat="1" applyFont="1" applyFill="1" applyBorder="1" applyAlignment="1">
      <alignment horizontal="center" vertical="center"/>
    </xf>
    <xf numFmtId="10" fontId="28" fillId="0" borderId="83" xfId="144" applyNumberFormat="1" applyFont="1" applyFill="1" applyBorder="1" applyAlignment="1">
      <alignment horizontal="center" vertical="center"/>
    </xf>
    <xf numFmtId="10" fontId="28" fillId="0" borderId="84" xfId="144" applyNumberFormat="1" applyFont="1" applyFill="1" applyBorder="1" applyAlignment="1">
      <alignment horizontal="center" vertical="center"/>
    </xf>
    <xf numFmtId="0" fontId="29" fillId="26" borderId="6" xfId="0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/>
    </xf>
    <xf numFmtId="0" fontId="29" fillId="26" borderId="71" xfId="0" applyFont="1" applyFill="1" applyBorder="1" applyAlignment="1">
      <alignment horizontal="center" vertical="center"/>
    </xf>
    <xf numFmtId="0" fontId="29" fillId="26" borderId="7" xfId="0" applyFont="1" applyFill="1" applyBorder="1" applyAlignment="1">
      <alignment horizontal="center" vertical="center"/>
    </xf>
    <xf numFmtId="0" fontId="29" fillId="26" borderId="8" xfId="0" applyFont="1" applyFill="1" applyBorder="1" applyAlignment="1">
      <alignment horizontal="center" vertical="center"/>
    </xf>
    <xf numFmtId="0" fontId="29" fillId="26" borderId="75" xfId="0" applyFont="1" applyFill="1" applyBorder="1" applyAlignment="1">
      <alignment horizontal="center" vertical="center"/>
    </xf>
    <xf numFmtId="0" fontId="29" fillId="26" borderId="72" xfId="0" applyFont="1" applyFill="1" applyBorder="1" applyAlignment="1">
      <alignment horizontal="center" vertical="center"/>
    </xf>
    <xf numFmtId="0" fontId="29" fillId="26" borderId="76" xfId="0" applyFont="1" applyFill="1" applyBorder="1" applyAlignment="1">
      <alignment horizontal="center" vertical="center"/>
    </xf>
    <xf numFmtId="0" fontId="29" fillId="26" borderId="73" xfId="0" applyFont="1" applyFill="1" applyBorder="1" applyAlignment="1">
      <alignment horizontal="center" vertical="center"/>
    </xf>
    <xf numFmtId="0" fontId="29" fillId="26" borderId="77" xfId="0" applyFont="1" applyFill="1" applyBorder="1" applyAlignment="1">
      <alignment horizontal="center" vertical="center"/>
    </xf>
    <xf numFmtId="10" fontId="28" fillId="30" borderId="162" xfId="195" applyNumberFormat="1" applyFont="1" applyFill="1" applyBorder="1" applyAlignment="1">
      <alignment horizontal="center" vertical="center"/>
    </xf>
    <xf numFmtId="10" fontId="28" fillId="30" borderId="98" xfId="195" applyNumberFormat="1" applyFont="1" applyFill="1" applyBorder="1" applyAlignment="1">
      <alignment horizontal="center" vertical="center"/>
    </xf>
    <xf numFmtId="10" fontId="28" fillId="30" borderId="99" xfId="195" applyNumberFormat="1" applyFont="1" applyFill="1" applyBorder="1" applyAlignment="1">
      <alignment horizontal="center" vertical="center"/>
    </xf>
    <xf numFmtId="10" fontId="28" fillId="30" borderId="97" xfId="195" applyNumberFormat="1" applyFont="1" applyFill="1" applyBorder="1" applyAlignment="1">
      <alignment horizontal="center" vertical="center"/>
    </xf>
    <xf numFmtId="10" fontId="28" fillId="30" borderId="100" xfId="195" applyNumberFormat="1" applyFont="1" applyFill="1" applyBorder="1" applyAlignment="1">
      <alignment horizontal="center" vertical="center"/>
    </xf>
    <xf numFmtId="4" fontId="29" fillId="26" borderId="93" xfId="22" applyNumberFormat="1" applyFont="1" applyFill="1" applyBorder="1" applyAlignment="1">
      <alignment horizontal="center" vertical="center"/>
    </xf>
    <xf numFmtId="4" fontId="29" fillId="26" borderId="96" xfId="22" applyNumberFormat="1" applyFont="1" applyFill="1" applyBorder="1" applyAlignment="1">
      <alignment horizontal="center" vertical="center"/>
    </xf>
    <xf numFmtId="10" fontId="28" fillId="26" borderId="97" xfId="195" applyNumberFormat="1" applyFont="1" applyFill="1" applyBorder="1" applyAlignment="1">
      <alignment horizontal="center" vertical="center"/>
    </xf>
    <xf numFmtId="10" fontId="28" fillId="26" borderId="100" xfId="195" applyNumberFormat="1" applyFont="1" applyFill="1" applyBorder="1" applyAlignment="1">
      <alignment horizontal="center" vertical="center"/>
    </xf>
    <xf numFmtId="164" fontId="29" fillId="30" borderId="96" xfId="195" applyNumberFormat="1" applyFont="1" applyFill="1" applyBorder="1" applyAlignment="1">
      <alignment horizontal="center" vertical="center"/>
    </xf>
    <xf numFmtId="0" fontId="29" fillId="33" borderId="0" xfId="0" applyFont="1" applyFill="1" applyAlignment="1">
      <alignment horizontal="left" vertical="center" wrapText="1"/>
    </xf>
    <xf numFmtId="4" fontId="29" fillId="33" borderId="0" xfId="0" applyNumberFormat="1" applyFont="1" applyFill="1" applyAlignment="1">
      <alignment horizontal="right" vertical="center" wrapText="1"/>
    </xf>
    <xf numFmtId="0" fontId="57" fillId="33" borderId="0" xfId="0" applyFont="1" applyFill="1" applyAlignment="1">
      <alignment horizontal="right" vertical="top" wrapText="1"/>
    </xf>
    <xf numFmtId="0" fontId="54" fillId="33" borderId="148" xfId="0" applyFont="1" applyFill="1" applyBorder="1" applyAlignment="1">
      <alignment horizontal="left" vertical="top" wrapText="1"/>
    </xf>
    <xf numFmtId="0" fontId="57" fillId="37" borderId="148" xfId="0" applyFont="1" applyFill="1" applyBorder="1" applyAlignment="1">
      <alignment horizontal="left" vertical="top" wrapText="1"/>
    </xf>
    <xf numFmtId="0" fontId="57" fillId="36" borderId="148" xfId="0" applyFont="1" applyFill="1" applyBorder="1" applyAlignment="1">
      <alignment horizontal="left" vertical="top" wrapText="1"/>
    </xf>
    <xf numFmtId="0" fontId="56" fillId="40" borderId="148" xfId="0" applyFont="1" applyFill="1" applyBorder="1" applyAlignment="1">
      <alignment horizontal="left" vertical="top" wrapText="1"/>
    </xf>
    <xf numFmtId="0" fontId="54" fillId="33" borderId="148" xfId="0" applyFont="1" applyFill="1" applyBorder="1" applyAlignment="1">
      <alignment horizontal="right" vertical="top" wrapText="1"/>
    </xf>
    <xf numFmtId="0" fontId="54" fillId="33" borderId="148" xfId="0" applyFont="1" applyFill="1" applyBorder="1" applyAlignment="1">
      <alignment horizontal="center" vertical="top" wrapText="1"/>
    </xf>
    <xf numFmtId="0" fontId="55" fillId="33" borderId="0" xfId="0" applyFont="1" applyFill="1" applyAlignment="1">
      <alignment horizontal="right" vertical="top" wrapText="1"/>
    </xf>
    <xf numFmtId="176" fontId="57" fillId="36" borderId="148" xfId="0" applyNumberFormat="1" applyFont="1" applyFill="1" applyBorder="1" applyAlignment="1">
      <alignment horizontal="right" vertical="top" wrapText="1"/>
    </xf>
    <xf numFmtId="0" fontId="54" fillId="33" borderId="0" xfId="0" applyFont="1" applyFill="1" applyAlignment="1">
      <alignment horizontal="center" wrapText="1"/>
    </xf>
    <xf numFmtId="0" fontId="0" fillId="0" borderId="0" xfId="0"/>
    <xf numFmtId="176" fontId="57" fillId="37" borderId="148" xfId="0" applyNumberFormat="1" applyFont="1" applyFill="1" applyBorder="1" applyAlignment="1">
      <alignment horizontal="right" vertical="top" wrapText="1"/>
    </xf>
    <xf numFmtId="172" fontId="28" fillId="0" borderId="0" xfId="92" applyFont="1" applyAlignment="1">
      <alignment horizontal="justify" vertical="center"/>
    </xf>
    <xf numFmtId="172" fontId="29" fillId="28" borderId="103" xfId="92" applyFont="1" applyFill="1" applyBorder="1" applyAlignment="1">
      <alignment horizontal="center" vertical="center"/>
    </xf>
    <xf numFmtId="172" fontId="29" fillId="28" borderId="104" xfId="92" applyFont="1" applyFill="1" applyBorder="1" applyAlignment="1">
      <alignment horizontal="center" vertical="center"/>
    </xf>
    <xf numFmtId="172" fontId="29" fillId="28" borderId="140" xfId="92" applyFont="1" applyFill="1" applyBorder="1" applyAlignment="1">
      <alignment horizontal="center" vertical="center"/>
    </xf>
    <xf numFmtId="172" fontId="29" fillId="28" borderId="105" xfId="92" applyFont="1" applyFill="1" applyBorder="1" applyAlignment="1">
      <alignment horizontal="center" vertical="center"/>
    </xf>
    <xf numFmtId="172" fontId="29" fillId="28" borderId="106" xfId="92" applyFont="1" applyFill="1" applyBorder="1" applyAlignment="1">
      <alignment horizontal="center" vertical="center"/>
    </xf>
    <xf numFmtId="172" fontId="29" fillId="28" borderId="121" xfId="92" applyFont="1" applyFill="1" applyBorder="1" applyAlignment="1">
      <alignment horizontal="center" vertical="center"/>
    </xf>
    <xf numFmtId="172" fontId="29" fillId="28" borderId="114" xfId="92" applyFont="1" applyFill="1" applyBorder="1" applyAlignment="1">
      <alignment horizontal="center" vertical="center" wrapText="1"/>
    </xf>
    <xf numFmtId="172" fontId="29" fillId="28" borderId="115" xfId="92" applyFont="1" applyFill="1" applyBorder="1" applyAlignment="1">
      <alignment horizontal="center" vertical="center" wrapText="1"/>
    </xf>
    <xf numFmtId="172" fontId="51" fillId="0" borderId="142" xfId="92" applyFont="1" applyBorder="1" applyAlignment="1">
      <alignment horizontal="center" vertical="center" wrapText="1"/>
    </xf>
    <xf numFmtId="172" fontId="51" fillId="0" borderId="143" xfId="92" applyFont="1" applyBorder="1" applyAlignment="1">
      <alignment horizontal="center" vertical="center" wrapText="1"/>
    </xf>
    <xf numFmtId="172" fontId="51" fillId="0" borderId="144" xfId="92" applyFont="1" applyBorder="1" applyAlignment="1">
      <alignment horizontal="center" vertical="center" wrapText="1"/>
    </xf>
    <xf numFmtId="172" fontId="29" fillId="27" borderId="138" xfId="92" applyFont="1" applyFill="1" applyBorder="1" applyAlignment="1">
      <alignment horizontal="center" vertical="center"/>
    </xf>
    <xf numFmtId="172" fontId="29" fillId="27" borderId="139" xfId="92" applyFont="1" applyFill="1" applyBorder="1" applyAlignment="1">
      <alignment horizontal="center" vertical="center"/>
    </xf>
    <xf numFmtId="172" fontId="29" fillId="27" borderId="141" xfId="92" applyFont="1" applyFill="1" applyBorder="1" applyAlignment="1">
      <alignment horizontal="center" vertical="center"/>
    </xf>
    <xf numFmtId="0" fontId="28" fillId="3" borderId="161" xfId="0" applyFont="1" applyFill="1" applyBorder="1" applyAlignment="1">
      <alignment horizontal="center" vertical="center" wrapText="1"/>
    </xf>
    <xf numFmtId="0" fontId="28" fillId="3" borderId="94" xfId="0" applyFont="1" applyFill="1" applyBorder="1" applyAlignment="1">
      <alignment horizontal="center" vertical="center" wrapText="1"/>
    </xf>
    <xf numFmtId="0" fontId="28" fillId="3" borderId="96" xfId="0" applyFont="1" applyFill="1" applyBorder="1" applyAlignment="1">
      <alignment horizontal="center" vertical="center" wrapText="1"/>
    </xf>
    <xf numFmtId="0" fontId="28" fillId="3" borderId="166" xfId="0" applyFont="1" applyFill="1" applyBorder="1" applyAlignment="1">
      <alignment horizontal="center" vertical="center" wrapText="1"/>
    </xf>
    <xf numFmtId="0" fontId="28" fillId="3" borderId="167" xfId="0" applyFont="1" applyFill="1" applyBorder="1" applyAlignment="1">
      <alignment horizontal="center" vertical="center" wrapText="1"/>
    </xf>
    <xf numFmtId="0" fontId="28" fillId="3" borderId="168" xfId="0" applyFont="1" applyFill="1" applyBorder="1" applyAlignment="1">
      <alignment horizontal="center" vertical="center" wrapText="1"/>
    </xf>
    <xf numFmtId="0" fontId="29" fillId="27" borderId="74" xfId="0" applyFont="1" applyFill="1" applyBorder="1" applyAlignment="1">
      <alignment horizontal="center" vertical="center" wrapText="1"/>
    </xf>
    <xf numFmtId="0" fontId="29" fillId="27" borderId="101" xfId="0" applyFont="1" applyFill="1" applyBorder="1" applyAlignment="1">
      <alignment horizontal="center" vertical="center" wrapText="1"/>
    </xf>
    <xf numFmtId="0" fontId="29" fillId="27" borderId="69" xfId="0" applyFont="1" applyFill="1" applyBorder="1" applyAlignment="1">
      <alignment horizontal="center" vertical="center" wrapText="1"/>
    </xf>
    <xf numFmtId="0" fontId="29" fillId="27" borderId="72" xfId="0" applyFont="1" applyFill="1" applyBorder="1" applyAlignment="1">
      <alignment horizontal="center" vertical="center" wrapText="1"/>
    </xf>
    <xf numFmtId="0" fontId="29" fillId="27" borderId="76" xfId="0" applyFont="1" applyFill="1" applyBorder="1" applyAlignment="1">
      <alignment horizontal="center" vertical="center" wrapText="1"/>
    </xf>
    <xf numFmtId="0" fontId="28" fillId="27" borderId="92" xfId="0" applyFont="1" applyFill="1" applyBorder="1" applyAlignment="1">
      <alignment horizontal="center" vertical="center" wrapText="1"/>
    </xf>
    <xf numFmtId="0" fontId="28" fillId="27" borderId="93" xfId="0" applyFont="1" applyFill="1" applyBorder="1" applyAlignment="1">
      <alignment horizontal="center" vertical="center" wrapText="1"/>
    </xf>
    <xf numFmtId="0" fontId="28" fillId="27" borderId="96" xfId="0" applyFont="1" applyFill="1" applyBorder="1" applyAlignment="1">
      <alignment horizontal="center" vertical="center" wrapText="1"/>
    </xf>
    <xf numFmtId="0" fontId="28" fillId="3" borderId="29" xfId="9" applyFont="1" applyFill="1" applyBorder="1" applyAlignment="1" applyProtection="1">
      <alignment horizontal="justify" vertical="center"/>
      <protection locked="0"/>
    </xf>
    <xf numFmtId="0" fontId="28" fillId="3" borderId="30" xfId="9" applyFont="1" applyFill="1" applyBorder="1" applyAlignment="1" applyProtection="1">
      <alignment horizontal="justify" vertical="center"/>
      <protection locked="0"/>
    </xf>
    <xf numFmtId="0" fontId="28" fillId="3" borderId="32" xfId="9" applyFont="1" applyFill="1" applyBorder="1" applyAlignment="1" applyProtection="1">
      <alignment horizontal="justify" vertical="center"/>
      <protection locked="0"/>
    </xf>
    <xf numFmtId="0" fontId="28" fillId="3" borderId="33" xfId="9" applyFont="1" applyFill="1" applyBorder="1" applyAlignment="1" applyProtection="1">
      <alignment horizontal="justify" vertical="center"/>
      <protection locked="0"/>
    </xf>
    <xf numFmtId="0" fontId="29" fillId="28" borderId="37" xfId="8" applyFont="1" applyFill="1" applyBorder="1" applyAlignment="1">
      <alignment horizontal="center" vertical="center"/>
    </xf>
    <xf numFmtId="0" fontId="29" fillId="28" borderId="40" xfId="8" applyFont="1" applyFill="1" applyBorder="1" applyAlignment="1">
      <alignment horizontal="center" vertical="center"/>
    </xf>
    <xf numFmtId="0" fontId="29" fillId="28" borderId="38" xfId="8" applyFont="1" applyFill="1" applyBorder="1" applyAlignment="1">
      <alignment horizontal="center" vertical="center"/>
    </xf>
    <xf numFmtId="0" fontId="29" fillId="28" borderId="41" xfId="8" applyFont="1" applyFill="1" applyBorder="1" applyAlignment="1">
      <alignment horizontal="center" vertical="center"/>
    </xf>
    <xf numFmtId="4" fontId="29" fillId="28" borderId="44" xfId="26" applyNumberFormat="1" applyFont="1" applyFill="1" applyBorder="1" applyAlignment="1">
      <alignment horizontal="center" vertical="center"/>
    </xf>
    <xf numFmtId="4" fontId="29" fillId="28" borderId="43" xfId="26" applyNumberFormat="1" applyFont="1" applyFill="1" applyBorder="1" applyAlignment="1">
      <alignment horizontal="center" vertical="center"/>
    </xf>
    <xf numFmtId="4" fontId="29" fillId="28" borderId="39" xfId="26" applyNumberFormat="1" applyFont="1" applyFill="1" applyBorder="1" applyAlignment="1">
      <alignment horizontal="center" vertical="center"/>
    </xf>
    <xf numFmtId="4" fontId="29" fillId="28" borderId="42" xfId="26" applyNumberFormat="1" applyFont="1" applyFill="1" applyBorder="1" applyAlignment="1">
      <alignment horizontal="center" vertical="center"/>
    </xf>
    <xf numFmtId="4" fontId="29" fillId="28" borderId="44" xfId="26" applyNumberFormat="1" applyFont="1" applyFill="1" applyBorder="1" applyAlignment="1">
      <alignment horizontal="center" vertical="center" wrapText="1"/>
    </xf>
    <xf numFmtId="4" fontId="29" fillId="28" borderId="183" xfId="26" applyNumberFormat="1" applyFont="1" applyFill="1" applyBorder="1" applyAlignment="1">
      <alignment horizontal="center" vertical="center" wrapText="1"/>
    </xf>
    <xf numFmtId="4" fontId="29" fillId="28" borderId="184" xfId="26" applyNumberFormat="1" applyFont="1" applyFill="1" applyBorder="1" applyAlignment="1">
      <alignment horizontal="center" vertical="center" wrapText="1"/>
    </xf>
    <xf numFmtId="4" fontId="29" fillId="28" borderId="185" xfId="26" applyNumberFormat="1" applyFont="1" applyFill="1" applyBorder="1" applyAlignment="1">
      <alignment horizontal="center" vertical="center" wrapText="1"/>
    </xf>
    <xf numFmtId="0" fontId="47" fillId="3" borderId="0" xfId="145" applyFont="1" applyFill="1" applyAlignment="1">
      <alignment horizontal="center" vertical="center"/>
    </xf>
    <xf numFmtId="10" fontId="47" fillId="3" borderId="0" xfId="144" applyNumberFormat="1" applyFont="1" applyFill="1" applyAlignment="1">
      <alignment horizontal="center" vertical="center"/>
    </xf>
    <xf numFmtId="0" fontId="30" fillId="3" borderId="0" xfId="145" applyFont="1" applyFill="1" applyAlignment="1">
      <alignment horizontal="justify" vertical="center"/>
    </xf>
    <xf numFmtId="0" fontId="30" fillId="3" borderId="0" xfId="145" applyFont="1" applyFill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28" fillId="3" borderId="0" xfId="145" applyFill="1" applyAlignment="1">
      <alignment horizontal="justify" vertical="center"/>
    </xf>
    <xf numFmtId="0" fontId="47" fillId="3" borderId="0" xfId="145" applyFont="1" applyFill="1" applyAlignment="1">
      <alignment horizontal="left" vertical="center"/>
    </xf>
    <xf numFmtId="0" fontId="47" fillId="26" borderId="117" xfId="145" applyFont="1" applyFill="1" applyBorder="1" applyAlignment="1">
      <alignment horizontal="center" vertical="center"/>
    </xf>
    <xf numFmtId="0" fontId="29" fillId="26" borderId="127" xfId="0" applyFont="1" applyFill="1" applyBorder="1" applyAlignment="1">
      <alignment horizontal="center" vertical="center" wrapText="1"/>
    </xf>
    <xf numFmtId="0" fontId="29" fillId="26" borderId="112" xfId="0" applyFont="1" applyFill="1" applyBorder="1" applyAlignment="1">
      <alignment horizontal="center" vertical="center" wrapText="1"/>
    </xf>
    <xf numFmtId="0" fontId="29" fillId="26" borderId="119" xfId="0" applyFont="1" applyFill="1" applyBorder="1" applyAlignment="1">
      <alignment horizontal="center" vertical="center" wrapText="1"/>
    </xf>
    <xf numFmtId="0" fontId="29" fillId="26" borderId="106" xfId="0" applyFont="1" applyFill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/>
    </xf>
    <xf numFmtId="0" fontId="28" fillId="0" borderId="106" xfId="0" applyFont="1" applyBorder="1" applyAlignment="1">
      <alignment horizontal="left" vertical="center"/>
    </xf>
    <xf numFmtId="0" fontId="34" fillId="31" borderId="117" xfId="2" applyFont="1" applyFill="1" applyBorder="1" applyAlignment="1">
      <alignment horizontal="center" vertical="center" wrapText="1"/>
    </xf>
    <xf numFmtId="0" fontId="34" fillId="0" borderId="119" xfId="2" applyFont="1" applyBorder="1" applyAlignment="1">
      <alignment horizontal="right" vertical="center" wrapText="1"/>
    </xf>
    <xf numFmtId="0" fontId="29" fillId="3" borderId="127" xfId="145" applyFont="1" applyFill="1" applyBorder="1" applyAlignment="1">
      <alignment horizontal="center" vertical="center"/>
    </xf>
    <xf numFmtId="0" fontId="29" fillId="3" borderId="128" xfId="145" applyFont="1" applyFill="1" applyBorder="1" applyAlignment="1">
      <alignment horizontal="center" vertical="center"/>
    </xf>
    <xf numFmtId="0" fontId="29" fillId="3" borderId="129" xfId="145" applyFont="1" applyFill="1" applyBorder="1" applyAlignment="1">
      <alignment horizontal="center" vertical="center"/>
    </xf>
    <xf numFmtId="0" fontId="29" fillId="3" borderId="130" xfId="145" applyFont="1" applyFill="1" applyBorder="1" applyAlignment="1">
      <alignment horizontal="center" vertical="center"/>
    </xf>
    <xf numFmtId="0" fontId="29" fillId="3" borderId="126" xfId="145" applyFont="1" applyFill="1" applyBorder="1" applyAlignment="1">
      <alignment horizontal="center" vertical="center"/>
    </xf>
    <xf numFmtId="0" fontId="29" fillId="3" borderId="132" xfId="145" applyFont="1" applyFill="1" applyBorder="1" applyAlignment="1">
      <alignment horizontal="center" vertical="center"/>
    </xf>
    <xf numFmtId="0" fontId="29" fillId="3" borderId="0" xfId="145" applyFont="1" applyFill="1" applyAlignment="1">
      <alignment horizontal="center" vertical="center"/>
    </xf>
    <xf numFmtId="0" fontId="29" fillId="3" borderId="134" xfId="145" applyFont="1" applyFill="1" applyBorder="1" applyAlignment="1">
      <alignment horizontal="center" vertical="center"/>
    </xf>
    <xf numFmtId="0" fontId="29" fillId="3" borderId="135" xfId="145" applyFont="1" applyFill="1" applyBorder="1" applyAlignment="1">
      <alignment horizontal="center" vertical="center"/>
    </xf>
    <xf numFmtId="0" fontId="29" fillId="3" borderId="131" xfId="145" applyFont="1" applyFill="1" applyBorder="1" applyAlignment="1">
      <alignment horizontal="left" vertical="center"/>
    </xf>
    <xf numFmtId="0" fontId="29" fillId="3" borderId="133" xfId="145" applyFont="1" applyFill="1" applyBorder="1" applyAlignment="1">
      <alignment horizontal="left" vertical="center"/>
    </xf>
    <xf numFmtId="0" fontId="29" fillId="3" borderId="136" xfId="145" applyFont="1" applyFill="1" applyBorder="1" applyAlignment="1">
      <alignment horizontal="left" vertical="center"/>
    </xf>
    <xf numFmtId="0" fontId="34" fillId="31" borderId="106" xfId="2" applyFont="1" applyFill="1" applyBorder="1" applyAlignment="1">
      <alignment horizontal="right" vertical="center" wrapText="1"/>
    </xf>
    <xf numFmtId="0" fontId="34" fillId="31" borderId="120" xfId="2" applyFont="1" applyFill="1" applyBorder="1" applyAlignment="1">
      <alignment horizontal="right" vertical="center" wrapText="1"/>
    </xf>
    <xf numFmtId="0" fontId="34" fillId="32" borderId="119" xfId="2" applyFont="1" applyFill="1" applyBorder="1" applyAlignment="1">
      <alignment horizontal="center" vertical="center" wrapText="1"/>
    </xf>
    <xf numFmtId="0" fontId="34" fillId="32" borderId="121" xfId="2" applyFont="1" applyFill="1" applyBorder="1" applyAlignment="1">
      <alignment horizontal="left" vertical="center"/>
    </xf>
    <xf numFmtId="0" fontId="34" fillId="32" borderId="122" xfId="2" applyFont="1" applyFill="1" applyBorder="1" applyAlignment="1">
      <alignment horizontal="left" vertical="center"/>
    </xf>
    <xf numFmtId="0" fontId="34" fillId="32" borderId="118" xfId="2" applyFont="1" applyFill="1" applyBorder="1" applyAlignment="1">
      <alignment horizontal="left" vertical="center"/>
    </xf>
    <xf numFmtId="0" fontId="34" fillId="0" borderId="117" xfId="2" applyFont="1" applyBorder="1" applyAlignment="1">
      <alignment horizontal="right" vertical="center" wrapText="1"/>
    </xf>
    <xf numFmtId="0" fontId="28" fillId="3" borderId="187" xfId="145" applyFill="1" applyBorder="1" applyAlignment="1">
      <alignment horizontal="center" vertical="center"/>
    </xf>
    <xf numFmtId="0" fontId="28" fillId="3" borderId="188" xfId="145" applyFill="1" applyBorder="1" applyAlignment="1">
      <alignment horizontal="center" vertical="center"/>
    </xf>
    <xf numFmtId="0" fontId="30" fillId="3" borderId="0" xfId="145" applyFont="1" applyFill="1" applyAlignment="1">
      <alignment horizontal="left" vertical="center"/>
    </xf>
    <xf numFmtId="0" fontId="29" fillId="3" borderId="186" xfId="145" applyFont="1" applyFill="1" applyBorder="1" applyAlignment="1">
      <alignment horizontal="center" vertical="center"/>
    </xf>
    <xf numFmtId="0" fontId="47" fillId="3" borderId="186" xfId="145" applyFont="1" applyFill="1" applyBorder="1" applyAlignment="1">
      <alignment horizontal="center" vertical="center"/>
    </xf>
    <xf numFmtId="4" fontId="30" fillId="3" borderId="187" xfId="145" applyNumberFormat="1" applyFont="1" applyFill="1" applyBorder="1" applyAlignment="1">
      <alignment horizontal="justify" vertical="center"/>
    </xf>
    <xf numFmtId="0" fontId="30" fillId="3" borderId="187" xfId="145" applyFont="1" applyFill="1" applyBorder="1" applyAlignment="1">
      <alignment horizontal="justify" vertical="center"/>
    </xf>
    <xf numFmtId="0" fontId="30" fillId="3" borderId="188" xfId="145" applyFont="1" applyFill="1" applyBorder="1" applyAlignment="1">
      <alignment horizontal="justify" vertical="center"/>
    </xf>
    <xf numFmtId="0" fontId="32" fillId="27" borderId="171" xfId="0" applyFont="1" applyFill="1" applyBorder="1" applyAlignment="1">
      <alignment horizontal="center" vertical="center"/>
    </xf>
    <xf numFmtId="0" fontId="32" fillId="27" borderId="172" xfId="0" applyFont="1" applyFill="1" applyBorder="1" applyAlignment="1">
      <alignment horizontal="center" vertical="center"/>
    </xf>
    <xf numFmtId="0" fontId="32" fillId="27" borderId="173" xfId="0" applyFont="1" applyFill="1" applyBorder="1" applyAlignment="1">
      <alignment horizontal="center" vertical="center"/>
    </xf>
    <xf numFmtId="0" fontId="29" fillId="27" borderId="175" xfId="0" applyFont="1" applyFill="1" applyBorder="1" applyAlignment="1">
      <alignment horizontal="center" vertical="center" wrapText="1"/>
    </xf>
    <xf numFmtId="0" fontId="29" fillId="27" borderId="29" xfId="0" applyFont="1" applyFill="1" applyBorder="1" applyAlignment="1">
      <alignment horizontal="center" vertical="center"/>
    </xf>
    <xf numFmtId="0" fontId="29" fillId="27" borderId="176" xfId="0" applyFont="1" applyFill="1" applyBorder="1" applyAlignment="1">
      <alignment horizontal="center" vertical="center"/>
    </xf>
    <xf numFmtId="0" fontId="29" fillId="27" borderId="175" xfId="0" applyFont="1" applyFill="1" applyBorder="1" applyAlignment="1">
      <alignment horizontal="center" vertical="center"/>
    </xf>
    <xf numFmtId="0" fontId="29" fillId="27" borderId="169" xfId="0" applyFont="1" applyFill="1" applyBorder="1" applyAlignment="1">
      <alignment horizontal="center" vertical="center"/>
    </xf>
    <xf numFmtId="0" fontId="29" fillId="27" borderId="25" xfId="0" applyFont="1" applyFill="1" applyBorder="1" applyAlignment="1">
      <alignment horizontal="center" vertical="center"/>
    </xf>
    <xf numFmtId="0" fontId="29" fillId="27" borderId="34" xfId="0" applyFont="1" applyFill="1" applyBorder="1" applyAlignment="1">
      <alignment horizontal="center" vertical="center"/>
    </xf>
    <xf numFmtId="0" fontId="29" fillId="27" borderId="170" xfId="0" applyFont="1" applyFill="1" applyBorder="1" applyAlignment="1">
      <alignment horizontal="center" vertical="center"/>
    </xf>
    <xf numFmtId="0" fontId="29" fillId="27" borderId="26" xfId="0" applyFont="1" applyFill="1" applyBorder="1" applyAlignment="1">
      <alignment horizontal="center" vertical="center"/>
    </xf>
    <xf numFmtId="0" fontId="29" fillId="27" borderId="3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9" fillId="27" borderId="54" xfId="0" applyFont="1" applyFill="1" applyBorder="1" applyAlignment="1">
      <alignment horizontal="right" vertical="center"/>
    </xf>
    <xf numFmtId="0" fontId="29" fillId="27" borderId="55" xfId="0" applyFont="1" applyFill="1" applyBorder="1" applyAlignment="1">
      <alignment horizontal="right" vertical="center"/>
    </xf>
    <xf numFmtId="4" fontId="6" fillId="27" borderId="19" xfId="1" applyNumberFormat="1" applyFont="1" applyFill="1" applyBorder="1" applyAlignment="1">
      <alignment horizontal="right" vertical="center"/>
    </xf>
    <xf numFmtId="4" fontId="6" fillId="27" borderId="9" xfId="1" applyNumberFormat="1" applyFont="1" applyFill="1" applyBorder="1" applyAlignment="1">
      <alignment horizontal="right" vertical="center"/>
    </xf>
    <xf numFmtId="4" fontId="6" fillId="27" borderId="47" xfId="1" applyNumberFormat="1" applyFont="1" applyFill="1" applyBorder="1" applyAlignment="1">
      <alignment horizontal="right" vertical="center"/>
    </xf>
    <xf numFmtId="0" fontId="32" fillId="27" borderId="174" xfId="0" applyFont="1" applyFill="1" applyBorder="1" applyAlignment="1">
      <alignment horizontal="center" vertical="center" wrapText="1"/>
    </xf>
    <xf numFmtId="0" fontId="32" fillId="27" borderId="177" xfId="0" applyFont="1" applyFill="1" applyBorder="1" applyAlignment="1">
      <alignment horizontal="center" vertical="center" wrapText="1"/>
    </xf>
  </cellXfs>
  <cellStyles count="206">
    <cellStyle name="20% - Ênfase1 2" xfId="52" xr:uid="{00000000-0005-0000-0000-000000000000}"/>
    <cellStyle name="20% - Ênfase2 2" xfId="53" xr:uid="{00000000-0005-0000-0000-000001000000}"/>
    <cellStyle name="20% - Ênfase3 2" xfId="54" xr:uid="{00000000-0005-0000-0000-000002000000}"/>
    <cellStyle name="20% - Ênfase4 2" xfId="55" xr:uid="{00000000-0005-0000-0000-000003000000}"/>
    <cellStyle name="20% - Ênfase5 2" xfId="56" xr:uid="{00000000-0005-0000-0000-000004000000}"/>
    <cellStyle name="20% - Ênfase6 2" xfId="57" xr:uid="{00000000-0005-0000-0000-000005000000}"/>
    <cellStyle name="40% - Ênfase1 2" xfId="58" xr:uid="{00000000-0005-0000-0000-000006000000}"/>
    <cellStyle name="40% - Ênfase2 2" xfId="59" xr:uid="{00000000-0005-0000-0000-000007000000}"/>
    <cellStyle name="40% - Ênfase3 2" xfId="60" xr:uid="{00000000-0005-0000-0000-000008000000}"/>
    <cellStyle name="40% - Ênfase4 2" xfId="61" xr:uid="{00000000-0005-0000-0000-000009000000}"/>
    <cellStyle name="40% - Ênfase5 2" xfId="62" xr:uid="{00000000-0005-0000-0000-00000A000000}"/>
    <cellStyle name="40% - Ênfase6 2" xfId="63" xr:uid="{00000000-0005-0000-0000-00000B000000}"/>
    <cellStyle name="60% - Ênfase1 2" xfId="64" xr:uid="{00000000-0005-0000-0000-00000C000000}"/>
    <cellStyle name="60% - Ênfase2 2" xfId="65" xr:uid="{00000000-0005-0000-0000-00000D000000}"/>
    <cellStyle name="60% - Ênfase3 2" xfId="66" xr:uid="{00000000-0005-0000-0000-00000E000000}"/>
    <cellStyle name="60% - Ênfase4 2" xfId="67" xr:uid="{00000000-0005-0000-0000-00000F000000}"/>
    <cellStyle name="60% - Ênfase5 2" xfId="68" xr:uid="{00000000-0005-0000-0000-000010000000}"/>
    <cellStyle name="60% - Ênfase6 2" xfId="69" xr:uid="{00000000-0005-0000-0000-000011000000}"/>
    <cellStyle name="Bom 2" xfId="70" xr:uid="{00000000-0005-0000-0000-000012000000}"/>
    <cellStyle name="Cálculo 2" xfId="71" xr:uid="{00000000-0005-0000-0000-000013000000}"/>
    <cellStyle name="Cancel" xfId="23" xr:uid="{00000000-0005-0000-0000-000014000000}"/>
    <cellStyle name="Célula de Verificação 2" xfId="72" xr:uid="{00000000-0005-0000-0000-000015000000}"/>
    <cellStyle name="Célula Vinculada 2" xfId="73" xr:uid="{00000000-0005-0000-0000-000016000000}"/>
    <cellStyle name="Data" xfId="3" xr:uid="{00000000-0005-0000-0000-000017000000}"/>
    <cellStyle name="Data 2" xfId="74" xr:uid="{00000000-0005-0000-0000-000018000000}"/>
    <cellStyle name="Ênfase1 2" xfId="75" xr:uid="{00000000-0005-0000-0000-000019000000}"/>
    <cellStyle name="Ênfase2 2" xfId="76" xr:uid="{00000000-0005-0000-0000-00001A000000}"/>
    <cellStyle name="Ênfase3 2" xfId="77" xr:uid="{00000000-0005-0000-0000-00001B000000}"/>
    <cellStyle name="Ênfase4 2" xfId="78" xr:uid="{00000000-0005-0000-0000-00001C000000}"/>
    <cellStyle name="Ênfase5 2" xfId="79" xr:uid="{00000000-0005-0000-0000-00001D000000}"/>
    <cellStyle name="Ênfase6 2" xfId="80" xr:uid="{00000000-0005-0000-0000-00001E000000}"/>
    <cellStyle name="Entrada 2" xfId="81" xr:uid="{00000000-0005-0000-0000-00001F000000}"/>
    <cellStyle name="Euro" xfId="4" xr:uid="{00000000-0005-0000-0000-000020000000}"/>
    <cellStyle name="Euro 2" xfId="82" xr:uid="{00000000-0005-0000-0000-000021000000}"/>
    <cellStyle name="Fixo" xfId="5" xr:uid="{00000000-0005-0000-0000-000022000000}"/>
    <cellStyle name="Incorreto 2" xfId="83" xr:uid="{00000000-0005-0000-0000-000023000000}"/>
    <cellStyle name="Moeda 2" xfId="84" xr:uid="{00000000-0005-0000-0000-000024000000}"/>
    <cellStyle name="Moeda 3" xfId="85" xr:uid="{00000000-0005-0000-0000-000025000000}"/>
    <cellStyle name="Moeda 4" xfId="86" xr:uid="{00000000-0005-0000-0000-000026000000}"/>
    <cellStyle name="Moeda 4 2" xfId="140" xr:uid="{00000000-0005-0000-0000-000027000000}"/>
    <cellStyle name="Moeda 4 2 2" xfId="198" xr:uid="{00000000-0005-0000-0000-000028000000}"/>
    <cellStyle name="Moeda 4 3" xfId="169" xr:uid="{00000000-0005-0000-0000-000029000000}"/>
    <cellStyle name="Neutra 2" xfId="87" xr:uid="{00000000-0005-0000-0000-00002A000000}"/>
    <cellStyle name="Normal" xfId="0" builtinId="0"/>
    <cellStyle name="Normal 10" xfId="121" xr:uid="{00000000-0005-0000-0000-00002C000000}"/>
    <cellStyle name="Normal 10 2" xfId="180" xr:uid="{00000000-0005-0000-0000-00002D000000}"/>
    <cellStyle name="Normal 102" xfId="202" xr:uid="{DA37A7A7-87DD-48BE-939D-0B6FC1BDD9E5}"/>
    <cellStyle name="Normal 11" xfId="122" xr:uid="{00000000-0005-0000-0000-00002E000000}"/>
    <cellStyle name="Normal 11 2" xfId="181" xr:uid="{00000000-0005-0000-0000-00002F000000}"/>
    <cellStyle name="Normal 12" xfId="132" xr:uid="{00000000-0005-0000-0000-000030000000}"/>
    <cellStyle name="Normal 12 2" xfId="142" xr:uid="{00000000-0005-0000-0000-000031000000}"/>
    <cellStyle name="Normal 12 2 2" xfId="199" xr:uid="{00000000-0005-0000-0000-000032000000}"/>
    <cellStyle name="Normal 12 3" xfId="191" xr:uid="{00000000-0005-0000-0000-000033000000}"/>
    <cellStyle name="Normal 2" xfId="6" xr:uid="{00000000-0005-0000-0000-000034000000}"/>
    <cellStyle name="Normal 2 10" xfId="28" xr:uid="{00000000-0005-0000-0000-000035000000}"/>
    <cellStyle name="Normal 2 2" xfId="31" xr:uid="{00000000-0005-0000-0000-000036000000}"/>
    <cellStyle name="Normal 2 2 2" xfId="88" xr:uid="{00000000-0005-0000-0000-000037000000}"/>
    <cellStyle name="Normal 2 2 2 2" xfId="170" xr:uid="{00000000-0005-0000-0000-000038000000}"/>
    <cellStyle name="Normal 2 2 3" xfId="152" xr:uid="{00000000-0005-0000-0000-000039000000}"/>
    <cellStyle name="Normal 2 3" xfId="89" xr:uid="{00000000-0005-0000-0000-00003A000000}"/>
    <cellStyle name="Normal 2 3 2" xfId="171" xr:uid="{00000000-0005-0000-0000-00003B000000}"/>
    <cellStyle name="Normal 2 4" xfId="90" xr:uid="{00000000-0005-0000-0000-00003C000000}"/>
    <cellStyle name="Normal 2 4 2" xfId="172" xr:uid="{00000000-0005-0000-0000-00003D000000}"/>
    <cellStyle name="Normal 2 5" xfId="114" xr:uid="{00000000-0005-0000-0000-00003E000000}"/>
    <cellStyle name="Normal 2 5 2" xfId="141" xr:uid="{00000000-0005-0000-0000-00003F000000}"/>
    <cellStyle name="Normal 2 6" xfId="116" xr:uid="{00000000-0005-0000-0000-000040000000}"/>
    <cellStyle name="Normal 2 7" xfId="117" xr:uid="{00000000-0005-0000-0000-000041000000}"/>
    <cellStyle name="Normal 2 8" xfId="119" xr:uid="{00000000-0005-0000-0000-000042000000}"/>
    <cellStyle name="Normal 2 9" xfId="120" xr:uid="{00000000-0005-0000-0000-000043000000}"/>
    <cellStyle name="Normal 2_QUANT_HELBOR BELVEDERE R06_Area Estruturada Priscila" xfId="91" xr:uid="{00000000-0005-0000-0000-000044000000}"/>
    <cellStyle name="Normal 3" xfId="24" xr:uid="{00000000-0005-0000-0000-000045000000}"/>
    <cellStyle name="Normal 3 13" xfId="204" xr:uid="{6B85A485-6ADC-4C0F-B6C7-6E88FDEF3B35}"/>
    <cellStyle name="Normal 3 2" xfId="92" xr:uid="{00000000-0005-0000-0000-000046000000}"/>
    <cellStyle name="Normal 3 3" xfId="44" xr:uid="{00000000-0005-0000-0000-000047000000}"/>
    <cellStyle name="Normal 3 3 10" xfId="124" xr:uid="{00000000-0005-0000-0000-000048000000}"/>
    <cellStyle name="Normal 3 3 10 2" xfId="134" xr:uid="{00000000-0005-0000-0000-000049000000}"/>
    <cellStyle name="Normal 3 3 10 2 2" xfId="193" xr:uid="{00000000-0005-0000-0000-00004A000000}"/>
    <cellStyle name="Normal 3 3 10 3" xfId="183" xr:uid="{00000000-0005-0000-0000-00004B000000}"/>
    <cellStyle name="Normal 3 3 11" xfId="125" xr:uid="{00000000-0005-0000-0000-00004C000000}"/>
    <cellStyle name="Normal 3 3 11 2" xfId="184" xr:uid="{00000000-0005-0000-0000-00004D000000}"/>
    <cellStyle name="Normal 3 3 12" xfId="126" xr:uid="{00000000-0005-0000-0000-00004E000000}"/>
    <cellStyle name="Normal 3 3 12 2" xfId="185" xr:uid="{00000000-0005-0000-0000-00004F000000}"/>
    <cellStyle name="Normal 3 3 13" xfId="127" xr:uid="{00000000-0005-0000-0000-000050000000}"/>
    <cellStyle name="Normal 3 3 13 2" xfId="186" xr:uid="{00000000-0005-0000-0000-000051000000}"/>
    <cellStyle name="Normal 3 3 14" xfId="128" xr:uid="{00000000-0005-0000-0000-000052000000}"/>
    <cellStyle name="Normal 3 3 14 2" xfId="187" xr:uid="{00000000-0005-0000-0000-000053000000}"/>
    <cellStyle name="Normal 3 3 15" xfId="129" xr:uid="{00000000-0005-0000-0000-000054000000}"/>
    <cellStyle name="Normal 3 3 15 2" xfId="188" xr:uid="{00000000-0005-0000-0000-000055000000}"/>
    <cellStyle name="Normal 3 3 16" xfId="130" xr:uid="{00000000-0005-0000-0000-000056000000}"/>
    <cellStyle name="Normal 3 3 16 2" xfId="189" xr:uid="{00000000-0005-0000-0000-000057000000}"/>
    <cellStyle name="Normal 3 3 17" xfId="161" xr:uid="{00000000-0005-0000-0000-000058000000}"/>
    <cellStyle name="Normal 3 3 2" xfId="45" xr:uid="{00000000-0005-0000-0000-000059000000}"/>
    <cellStyle name="Normal 3 3 2 2" xfId="162" xr:uid="{00000000-0005-0000-0000-00005A000000}"/>
    <cellStyle name="Normal 3 3 3" xfId="46" xr:uid="{00000000-0005-0000-0000-00005B000000}"/>
    <cellStyle name="Normal 3 3 3 2" xfId="163" xr:uid="{00000000-0005-0000-0000-00005C000000}"/>
    <cellStyle name="Normal 3 3 4" xfId="47" xr:uid="{00000000-0005-0000-0000-00005D000000}"/>
    <cellStyle name="Normal 3 3 4 2" xfId="164" xr:uid="{00000000-0005-0000-0000-00005E000000}"/>
    <cellStyle name="Normal 3 3 5" xfId="48" xr:uid="{00000000-0005-0000-0000-00005F000000}"/>
    <cellStyle name="Normal 3 3 5 2" xfId="165" xr:uid="{00000000-0005-0000-0000-000060000000}"/>
    <cellStyle name="Normal 3 3 6" xfId="49" xr:uid="{00000000-0005-0000-0000-000061000000}"/>
    <cellStyle name="Normal 3 3 6 2" xfId="166" xr:uid="{00000000-0005-0000-0000-000062000000}"/>
    <cellStyle name="Normal 3 3 7" xfId="50" xr:uid="{00000000-0005-0000-0000-000063000000}"/>
    <cellStyle name="Normal 3 3 7 2" xfId="167" xr:uid="{00000000-0005-0000-0000-000064000000}"/>
    <cellStyle name="Normal 3 3 8" xfId="51" xr:uid="{00000000-0005-0000-0000-000065000000}"/>
    <cellStyle name="Normal 3 3 8 2" xfId="168" xr:uid="{00000000-0005-0000-0000-000066000000}"/>
    <cellStyle name="Normal 3 3 9" xfId="123" xr:uid="{00000000-0005-0000-0000-000067000000}"/>
    <cellStyle name="Normal 3 3 9 2" xfId="182" xr:uid="{00000000-0005-0000-0000-000068000000}"/>
    <cellStyle name="Normal 3 4" xfId="29" xr:uid="{00000000-0005-0000-0000-000069000000}"/>
    <cellStyle name="Normal 3 4 2" xfId="150" xr:uid="{00000000-0005-0000-0000-00006A000000}"/>
    <cellStyle name="Normal 4" xfId="2" xr:uid="{00000000-0005-0000-0000-00006B000000}"/>
    <cellStyle name="Normal 4 2" xfId="93" xr:uid="{00000000-0005-0000-0000-00006C000000}"/>
    <cellStyle name="Normal 5" xfId="27" xr:uid="{00000000-0005-0000-0000-00006D000000}"/>
    <cellStyle name="Normal 5 2" xfId="95" xr:uid="{00000000-0005-0000-0000-00006E000000}"/>
    <cellStyle name="Normal 5 3" xfId="94" xr:uid="{00000000-0005-0000-0000-00006F000000}"/>
    <cellStyle name="Normal 5 3 2" xfId="173" xr:uid="{00000000-0005-0000-0000-000070000000}"/>
    <cellStyle name="Normal 5 4" xfId="149" xr:uid="{00000000-0005-0000-0000-000071000000}"/>
    <cellStyle name="Normal 53 2" xfId="201" xr:uid="{AAFB720E-6B5B-4A2D-A074-C50DA84919C7}"/>
    <cellStyle name="Normal 6" xfId="96" xr:uid="{00000000-0005-0000-0000-000072000000}"/>
    <cellStyle name="Normal 7" xfId="97" xr:uid="{00000000-0005-0000-0000-000073000000}"/>
    <cellStyle name="Normal 8" xfId="40" xr:uid="{00000000-0005-0000-0000-000074000000}"/>
    <cellStyle name="Normal 9" xfId="118" xr:uid="{00000000-0005-0000-0000-000075000000}"/>
    <cellStyle name="Normal 9 2" xfId="179" xr:uid="{00000000-0005-0000-0000-000076000000}"/>
    <cellStyle name="Normal_CS-COMP" xfId="7" xr:uid="{00000000-0005-0000-0000-000077000000}"/>
    <cellStyle name="Normal_modelo_lev_rev_interno" xfId="145" xr:uid="{00000000-0005-0000-0000-000078000000}"/>
    <cellStyle name="Normal_Mov_terra_118rev" xfId="200" xr:uid="{00000000-0005-0000-0000-000079000000}"/>
    <cellStyle name="Normal_Plan1 (2)" xfId="8" xr:uid="{00000000-0005-0000-0000-00007A000000}"/>
    <cellStyle name="Normal_Plan1 (4)" xfId="9" xr:uid="{00000000-0005-0000-0000-00007B000000}"/>
    <cellStyle name="Normal_RESESTR (2)" xfId="10" xr:uid="{00000000-0005-0000-0000-00007C000000}"/>
    <cellStyle name="Nota 2" xfId="98" xr:uid="{00000000-0005-0000-0000-00007D000000}"/>
    <cellStyle name="Percentual" xfId="11" xr:uid="{00000000-0005-0000-0000-00007E000000}"/>
    <cellStyle name="Ponto" xfId="12" xr:uid="{00000000-0005-0000-0000-00007F000000}"/>
    <cellStyle name="Porcentagem" xfId="144" builtinId="5"/>
    <cellStyle name="Porcentagem 2" xfId="14" xr:uid="{00000000-0005-0000-0000-000081000000}"/>
    <cellStyle name="Porcentagem 2 2" xfId="33" xr:uid="{00000000-0005-0000-0000-000082000000}"/>
    <cellStyle name="Porcentagem 2 2 2" xfId="136" xr:uid="{00000000-0005-0000-0000-000083000000}"/>
    <cellStyle name="Porcentagem 2 2 2 2" xfId="195" xr:uid="{00000000-0005-0000-0000-000084000000}"/>
    <cellStyle name="Porcentagem 2 2 3" xfId="154" xr:uid="{00000000-0005-0000-0000-000085000000}"/>
    <cellStyle name="Porcentagem 2 3" xfId="115" xr:uid="{00000000-0005-0000-0000-000086000000}"/>
    <cellStyle name="Porcentagem 2 4" xfId="32" xr:uid="{00000000-0005-0000-0000-000087000000}"/>
    <cellStyle name="Porcentagem 2 4 2" xfId="153" xr:uid="{00000000-0005-0000-0000-000088000000}"/>
    <cellStyle name="Porcentagem 3" xfId="13" xr:uid="{00000000-0005-0000-0000-000089000000}"/>
    <cellStyle name="Porcentagem 3 2" xfId="100" xr:uid="{00000000-0005-0000-0000-00008A000000}"/>
    <cellStyle name="Porcentagem 3 2 2" xfId="34" xr:uid="{00000000-0005-0000-0000-00008B000000}"/>
    <cellStyle name="Porcentagem 3 2 2 2" xfId="135" xr:uid="{00000000-0005-0000-0000-00008C000000}"/>
    <cellStyle name="Porcentagem 3 2 2 2 2" xfId="194" xr:uid="{00000000-0005-0000-0000-00008D000000}"/>
    <cellStyle name="Porcentagem 3 2 2 3" xfId="155" xr:uid="{00000000-0005-0000-0000-00008E000000}"/>
    <cellStyle name="Porcentagem 3 2 3" xfId="174" xr:uid="{00000000-0005-0000-0000-00008F000000}"/>
    <cellStyle name="Porcentagem 3 3" xfId="101" xr:uid="{00000000-0005-0000-0000-000090000000}"/>
    <cellStyle name="Porcentagem 3 3 2" xfId="175" xr:uid="{00000000-0005-0000-0000-000091000000}"/>
    <cellStyle name="Porcentagem 3 4" xfId="99" xr:uid="{00000000-0005-0000-0000-000092000000}"/>
    <cellStyle name="Porcentagem 3 5" xfId="146" xr:uid="{00000000-0005-0000-0000-000093000000}"/>
    <cellStyle name="Saída 2" xfId="102" xr:uid="{00000000-0005-0000-0000-000094000000}"/>
    <cellStyle name="Separador de milhares 2" xfId="22" xr:uid="{00000000-0005-0000-0000-000095000000}"/>
    <cellStyle name="Separador de milhares 2 2" xfId="35" xr:uid="{00000000-0005-0000-0000-000096000000}"/>
    <cellStyle name="Separador de milhares 2 2 2" xfId="36" xr:uid="{00000000-0005-0000-0000-000097000000}"/>
    <cellStyle name="Separador de milhares 2 2 2 2" xfId="138" xr:uid="{00000000-0005-0000-0000-000098000000}"/>
    <cellStyle name="Separador de milhares 2 2 3" xfId="103" xr:uid="{00000000-0005-0000-0000-000099000000}"/>
    <cellStyle name="Separador de milhares 2 2 4" xfId="37" xr:uid="{00000000-0005-0000-0000-00009A000000}"/>
    <cellStyle name="Separador de milhares 2 2 4 2" xfId="26" xr:uid="{00000000-0005-0000-0000-00009B000000}"/>
    <cellStyle name="Separador de milhares 2 2 4 2 2" xfId="148" xr:uid="{00000000-0005-0000-0000-00009C000000}"/>
    <cellStyle name="Separador de milhares 2 2 4 3" xfId="157" xr:uid="{00000000-0005-0000-0000-00009D000000}"/>
    <cellStyle name="Separador de milhares 2 2 5" xfId="156" xr:uid="{00000000-0005-0000-0000-00009E000000}"/>
    <cellStyle name="Separador de milhares 2 3" xfId="41" xr:uid="{00000000-0005-0000-0000-00009F000000}"/>
    <cellStyle name="Separador de milhares 2 4" xfId="42" xr:uid="{00000000-0005-0000-0000-0000A0000000}"/>
    <cellStyle name="Separador de milhares 2 4 2" xfId="137" xr:uid="{00000000-0005-0000-0000-0000A1000000}"/>
    <cellStyle name="Separador de milhares 2 4 2 2" xfId="196" xr:uid="{00000000-0005-0000-0000-0000A2000000}"/>
    <cellStyle name="Separador de milhares 2 4 3" xfId="159" xr:uid="{00000000-0005-0000-0000-0000A3000000}"/>
    <cellStyle name="Separador de milhares 3" xfId="25" xr:uid="{00000000-0005-0000-0000-0000A4000000}"/>
    <cellStyle name="Separador de milhares 3 2" xfId="38" xr:uid="{00000000-0005-0000-0000-0000A5000000}"/>
    <cellStyle name="Separador de milhares 3 2 2" xfId="43" xr:uid="{00000000-0005-0000-0000-0000A6000000}"/>
    <cellStyle name="Separador de milhares 3 2 2 2" xfId="133" xr:uid="{00000000-0005-0000-0000-0000A7000000}"/>
    <cellStyle name="Separador de milhares 3 2 2 2 2" xfId="192" xr:uid="{00000000-0005-0000-0000-0000A8000000}"/>
    <cellStyle name="Separador de milhares 3 2 2 3" xfId="160" xr:uid="{00000000-0005-0000-0000-0000A9000000}"/>
    <cellStyle name="Separador de milhares 3 2 3" xfId="158" xr:uid="{00000000-0005-0000-0000-0000AA000000}"/>
    <cellStyle name="Separador de milhares 3 3" xfId="104" xr:uid="{00000000-0005-0000-0000-0000AB000000}"/>
    <cellStyle name="Separador de milhares 3 3 2" xfId="176" xr:uid="{00000000-0005-0000-0000-0000AC000000}"/>
    <cellStyle name="Separador de milhares 3 4" xfId="30" xr:uid="{00000000-0005-0000-0000-0000AD000000}"/>
    <cellStyle name="Separador de milhares 3 4 2" xfId="151" xr:uid="{00000000-0005-0000-0000-0000AE000000}"/>
    <cellStyle name="Separador de milhares 4" xfId="15" xr:uid="{00000000-0005-0000-0000-0000AF000000}"/>
    <cellStyle name="Separador de milhares 4 2" xfId="39" xr:uid="{00000000-0005-0000-0000-0000B0000000}"/>
    <cellStyle name="Separador de milhares 4 3" xfId="139" xr:uid="{00000000-0005-0000-0000-0000B1000000}"/>
    <cellStyle name="Separador de milhares 4 3 2" xfId="197" xr:uid="{00000000-0005-0000-0000-0000B2000000}"/>
    <cellStyle name="Separador de milhares 4 4" xfId="147" xr:uid="{00000000-0005-0000-0000-0000B3000000}"/>
    <cellStyle name="Separador de milhares 5" xfId="105" xr:uid="{00000000-0005-0000-0000-0000B4000000}"/>
    <cellStyle name="Separador de milhares 5 2" xfId="106" xr:uid="{00000000-0005-0000-0000-0000B5000000}"/>
    <cellStyle name="Separador de milhares 5 3" xfId="177" xr:uid="{00000000-0005-0000-0000-0000B6000000}"/>
    <cellStyle name="Separador de milhares 6" xfId="107" xr:uid="{00000000-0005-0000-0000-0000B7000000}"/>
    <cellStyle name="Separador de milhares 6 2" xfId="178" xr:uid="{00000000-0005-0000-0000-0000B8000000}"/>
    <cellStyle name="Separador de milhares 7" xfId="108" xr:uid="{00000000-0005-0000-0000-0000B9000000}"/>
    <cellStyle name="Separador de milhares 8" xfId="143" xr:uid="{00000000-0005-0000-0000-0000BA000000}"/>
    <cellStyle name="Texto de Aviso 2" xfId="109" xr:uid="{00000000-0005-0000-0000-0000BB000000}"/>
    <cellStyle name="Texto Explicativo 2" xfId="110" xr:uid="{00000000-0005-0000-0000-0000BC000000}"/>
    <cellStyle name="Título 1 2" xfId="16" xr:uid="{00000000-0005-0000-0000-0000BD000000}"/>
    <cellStyle name="Título 2 2" xfId="17" xr:uid="{00000000-0005-0000-0000-0000BE000000}"/>
    <cellStyle name="Título 3 2" xfId="111" xr:uid="{00000000-0005-0000-0000-0000BF000000}"/>
    <cellStyle name="Título 4 2" xfId="112" xr:uid="{00000000-0005-0000-0000-0000C0000000}"/>
    <cellStyle name="Título 5" xfId="113" xr:uid="{00000000-0005-0000-0000-0000C1000000}"/>
    <cellStyle name="Titulo1" xfId="18" xr:uid="{00000000-0005-0000-0000-0000C2000000}"/>
    <cellStyle name="Titulo2" xfId="19" xr:uid="{00000000-0005-0000-0000-0000C3000000}"/>
    <cellStyle name="titulos" xfId="20" xr:uid="{00000000-0005-0000-0000-0000C4000000}"/>
    <cellStyle name="Total 2" xfId="21" xr:uid="{00000000-0005-0000-0000-0000C5000000}"/>
    <cellStyle name="Vírgula" xfId="1" builtinId="3"/>
    <cellStyle name="Vírgula 2" xfId="131" xr:uid="{00000000-0005-0000-0000-0000C7000000}"/>
    <cellStyle name="Vírgula 2 2" xfId="190" xr:uid="{00000000-0005-0000-0000-0000C8000000}"/>
    <cellStyle name="Vírgula 30 2 2" xfId="205" xr:uid="{8B9203A2-9420-4415-8D89-EDB35F4602C9}"/>
    <cellStyle name="Vírgula 5" xfId="203" xr:uid="{E56115FE-FE17-4FEB-B629-05C82055735C}"/>
  </cellStyles>
  <dxfs count="1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EAEAEA"/>
      <color rgb="FFCCE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21</xdr:row>
      <xdr:rowOff>142875</xdr:rowOff>
    </xdr:from>
    <xdr:to>
      <xdr:col>10</xdr:col>
      <xdr:colOff>257984</xdr:colOff>
      <xdr:row>23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57DBFA8-6371-4F4C-B417-1166ADBC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00675"/>
          <a:ext cx="279163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21</xdr:row>
      <xdr:rowOff>142875</xdr:rowOff>
    </xdr:from>
    <xdr:to>
      <xdr:col>10</xdr:col>
      <xdr:colOff>257984</xdr:colOff>
      <xdr:row>23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2D832FD-E7A7-47D0-9715-01ADBE90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00675"/>
          <a:ext cx="279163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21</xdr:row>
      <xdr:rowOff>142875</xdr:rowOff>
    </xdr:from>
    <xdr:to>
      <xdr:col>10</xdr:col>
      <xdr:colOff>257984</xdr:colOff>
      <xdr:row>23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7223338-DCDC-4B0B-89C6-0B8F6E6B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00675"/>
          <a:ext cx="279163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21</xdr:row>
      <xdr:rowOff>142875</xdr:rowOff>
    </xdr:from>
    <xdr:to>
      <xdr:col>10</xdr:col>
      <xdr:colOff>257984</xdr:colOff>
      <xdr:row>23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B28D49-4A79-428F-82D4-916BADAC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00675"/>
          <a:ext cx="279163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364435</xdr:colOff>
      <xdr:row>13</xdr:row>
      <xdr:rowOff>16565</xdr:rowOff>
    </xdr:from>
    <xdr:to>
      <xdr:col>9</xdr:col>
      <xdr:colOff>662610</xdr:colOff>
      <xdr:row>26</xdr:row>
      <xdr:rowOff>145126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C7351A-55F5-4FB7-962E-A5EC18B8F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881"/>
        <a:stretch/>
      </xdr:blipFill>
      <xdr:spPr>
        <a:xfrm>
          <a:off x="2476500" y="3221935"/>
          <a:ext cx="3975653" cy="3284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298173</xdr:colOff>
      <xdr:row>12</xdr:row>
      <xdr:rowOff>182217</xdr:rowOff>
    </xdr:from>
    <xdr:to>
      <xdr:col>5</xdr:col>
      <xdr:colOff>804399</xdr:colOff>
      <xdr:row>26</xdr:row>
      <xdr:rowOff>72886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EE8EF6-2972-48D9-BF2F-362344713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130" y="3313043"/>
          <a:ext cx="3388573" cy="2400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596349</xdr:colOff>
      <xdr:row>30</xdr:row>
      <xdr:rowOff>157371</xdr:rowOff>
    </xdr:from>
    <xdr:to>
      <xdr:col>6</xdr:col>
      <xdr:colOff>160618</xdr:colOff>
      <xdr:row>43</xdr:row>
      <xdr:rowOff>115956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E21D0-C6CE-4D50-B937-D9B876FF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306" y="7893328"/>
          <a:ext cx="3274877" cy="3188802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227095</xdr:colOff>
      <xdr:row>25</xdr:row>
      <xdr:rowOff>95250</xdr:rowOff>
    </xdr:from>
    <xdr:to>
      <xdr:col>2</xdr:col>
      <xdr:colOff>2604836</xdr:colOff>
      <xdr:row>27</xdr:row>
      <xdr:rowOff>142876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5A407DA3-9943-444F-ABE9-F927217F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0" y="5410200"/>
          <a:ext cx="2377741" cy="4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27</xdr:row>
      <xdr:rowOff>92781</xdr:rowOff>
    </xdr:from>
    <xdr:to>
      <xdr:col>2</xdr:col>
      <xdr:colOff>2458550</xdr:colOff>
      <xdr:row>31</xdr:row>
      <xdr:rowOff>142874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AC555BE8-37A1-4711-B2B5-6B42CB48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826831"/>
          <a:ext cx="2077550" cy="888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409574</xdr:colOff>
      <xdr:row>32</xdr:row>
      <xdr:rowOff>104775</xdr:rowOff>
    </xdr:from>
    <xdr:to>
      <xdr:col>2</xdr:col>
      <xdr:colOff>2653599</xdr:colOff>
      <xdr:row>34</xdr:row>
      <xdr:rowOff>112203</xdr:rowOff>
    </xdr:to>
    <xdr:pic>
      <xdr:nvPicPr>
        <xdr:cNvPr id="4" name="Imagem 10">
          <a:extLst>
            <a:ext uri="{FF2B5EF4-FFF2-40B4-BE49-F238E27FC236}">
              <a16:creationId xmlns:a16="http://schemas.microsoft.com/office/drawing/2014/main" id="{57C74F9F-903C-4D00-9B1E-F34B27AC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6886575"/>
          <a:ext cx="2244025" cy="407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448234</xdr:colOff>
      <xdr:row>26</xdr:row>
      <xdr:rowOff>44822</xdr:rowOff>
    </xdr:from>
    <xdr:to>
      <xdr:col>6</xdr:col>
      <xdr:colOff>0</xdr:colOff>
      <xdr:row>32</xdr:row>
      <xdr:rowOff>56030</xdr:rowOff>
    </xdr:to>
    <xdr:sp macro="" textlink="">
      <xdr:nvSpPr>
        <xdr:cNvPr id="5" name="Seta: para a Direita 4">
          <a:extLst>
            <a:ext uri="{FF2B5EF4-FFF2-40B4-BE49-F238E27FC236}">
              <a16:creationId xmlns:a16="http://schemas.microsoft.com/office/drawing/2014/main" id="{731AE4BD-2EF7-4269-BA8D-06A0D7BD5739}"/>
            </a:ext>
          </a:extLst>
        </xdr:cNvPr>
        <xdr:cNvSpPr/>
      </xdr:nvSpPr>
      <xdr:spPr>
        <a:xfrm>
          <a:off x="4549587" y="5490881"/>
          <a:ext cx="1143001" cy="1288678"/>
        </a:xfrm>
        <a:prstGeom prst="rightArrow">
          <a:avLst/>
        </a:prstGeom>
        <a:solidFill>
          <a:schemeClr val="accent1">
            <a:alpha val="2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6</xdr:col>
      <xdr:colOff>313765</xdr:colOff>
      <xdr:row>27</xdr:row>
      <xdr:rowOff>80682</xdr:rowOff>
    </xdr:from>
    <xdr:to>
      <xdr:col>12</xdr:col>
      <xdr:colOff>528918</xdr:colOff>
      <xdr:row>31</xdr:row>
      <xdr:rowOff>178441</xdr:rowOff>
    </xdr:to>
    <xdr:pic>
      <xdr:nvPicPr>
        <xdr:cNvPr id="6" name="Imagem 12">
          <a:extLst>
            <a:ext uri="{FF2B5EF4-FFF2-40B4-BE49-F238E27FC236}">
              <a16:creationId xmlns:a16="http://schemas.microsoft.com/office/drawing/2014/main" id="{5F94C3B2-5D90-40FE-90FF-4229F4DC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6353" y="5739653"/>
          <a:ext cx="4899212" cy="94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IAGO ALVES SILVA" id="{05DA52B0-9E70-4A2D-86B0-96A16BF88BF7}" userId="f8d921bf6bd3ea4d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6" dT="2024-11-17T12:14:06.02" personId="{05DA52B0-9E70-4A2D-86B0-96A16BF88BF7}" id="{C42352B8-A706-4D19-9507-CB3FDB5D917E}">
    <text>Não incide BDI e os valores de EPI e Ferramentas</text>
  </threadedComment>
  <threadedComment ref="G62" dT="2024-11-17T12:14:06.02" personId="{05DA52B0-9E70-4A2D-86B0-96A16BF88BF7}" id="{5344ECCD-B113-4446-BCB0-5A6ACF10E741}">
    <text>Não incide BDI e os valores de EPI e Ferramentas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X32"/>
  <sheetViews>
    <sheetView showGridLines="0" view="pageBreakPreview" zoomScaleNormal="100" zoomScaleSheetLayoutView="100" workbookViewId="0">
      <selection activeCell="U15" sqref="U15"/>
    </sheetView>
  </sheetViews>
  <sheetFormatPr defaultRowHeight="16.5" x14ac:dyDescent="0.25"/>
  <cols>
    <col min="1" max="1" width="1.7109375" style="66" customWidth="1"/>
    <col min="2" max="4" width="9.140625" style="66"/>
    <col min="5" max="5" width="1.7109375" style="66" customWidth="1"/>
    <col min="6" max="7" width="9.140625" style="66"/>
    <col min="8" max="8" width="10.7109375" style="66" customWidth="1"/>
    <col min="9" max="9" width="1.7109375" style="66" customWidth="1"/>
    <col min="10" max="12" width="9.140625" style="66"/>
    <col min="13" max="13" width="1.7109375" style="66" customWidth="1"/>
    <col min="14" max="14" width="9.140625" style="66" customWidth="1"/>
    <col min="15" max="15" width="1.7109375" style="66" customWidth="1"/>
    <col min="16" max="16" width="9.140625" style="66"/>
    <col min="17" max="17" width="1.7109375" style="66" customWidth="1"/>
    <col min="18" max="16384" width="9.140625" style="66"/>
  </cols>
  <sheetData>
    <row r="1" spans="2:24" x14ac:dyDescent="0.25">
      <c r="B1" s="436"/>
      <c r="C1" s="436"/>
      <c r="N1" s="436"/>
      <c r="O1" s="436"/>
      <c r="P1" s="436"/>
    </row>
    <row r="2" spans="2:24" x14ac:dyDescent="0.25">
      <c r="B2" s="436"/>
      <c r="C2" s="436"/>
      <c r="N2" s="436"/>
      <c r="O2" s="436"/>
      <c r="P2" s="436"/>
    </row>
    <row r="3" spans="2:24" x14ac:dyDescent="0.25">
      <c r="B3" s="436"/>
      <c r="C3" s="436"/>
      <c r="N3" s="436"/>
      <c r="O3" s="436"/>
      <c r="P3" s="436"/>
    </row>
    <row r="4" spans="2:24" x14ac:dyDescent="0.25">
      <c r="B4" s="436"/>
      <c r="C4" s="436"/>
      <c r="N4" s="436"/>
      <c r="O4" s="436"/>
      <c r="P4" s="436"/>
    </row>
    <row r="5" spans="2:24" x14ac:dyDescent="0.25">
      <c r="B5" s="436"/>
      <c r="C5" s="436"/>
      <c r="N5" s="436"/>
      <c r="O5" s="436"/>
      <c r="P5" s="436"/>
    </row>
    <row r="6" spans="2:24" x14ac:dyDescent="0.3">
      <c r="B6" s="436"/>
      <c r="C6" s="436"/>
      <c r="F6" s="68"/>
      <c r="N6" s="436"/>
      <c r="O6" s="436"/>
      <c r="P6" s="436"/>
    </row>
    <row r="7" spans="2:24" x14ac:dyDescent="0.25">
      <c r="B7" s="436"/>
      <c r="C7" s="436"/>
      <c r="N7" s="436"/>
      <c r="O7" s="436"/>
      <c r="P7" s="436"/>
    </row>
    <row r="8" spans="2:24" x14ac:dyDescent="0.3">
      <c r="X8" s="68"/>
    </row>
    <row r="10" spans="2:24" x14ac:dyDescent="0.25">
      <c r="B10" s="437" t="s">
        <v>0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2" spans="2:24" x14ac:dyDescent="0.25">
      <c r="B12" s="69" t="s">
        <v>1</v>
      </c>
      <c r="P12" s="70"/>
    </row>
    <row r="13" spans="2:24" x14ac:dyDescent="0.25">
      <c r="B13" s="433" t="s">
        <v>1114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5"/>
    </row>
    <row r="14" spans="2:24" ht="6" customHeight="1" x14ac:dyDescent="0.25"/>
    <row r="15" spans="2:24" x14ac:dyDescent="0.25">
      <c r="B15" s="69" t="s">
        <v>2</v>
      </c>
      <c r="P15" s="70"/>
    </row>
    <row r="16" spans="2:24" x14ac:dyDescent="0.25">
      <c r="B16" s="433" t="s">
        <v>1113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5"/>
    </row>
    <row r="17" spans="2:16" ht="6" customHeight="1" x14ac:dyDescent="0.25"/>
    <row r="18" spans="2:16" x14ac:dyDescent="0.25">
      <c r="B18" s="69" t="s">
        <v>3</v>
      </c>
      <c r="H18" s="70"/>
      <c r="J18" s="69" t="s">
        <v>4</v>
      </c>
      <c r="N18" s="70"/>
      <c r="P18" s="71" t="s">
        <v>5</v>
      </c>
    </row>
    <row r="19" spans="2:16" x14ac:dyDescent="0.25">
      <c r="B19" s="433" t="s">
        <v>1115</v>
      </c>
      <c r="C19" s="434"/>
      <c r="D19" s="434"/>
      <c r="E19" s="434"/>
      <c r="F19" s="434"/>
      <c r="G19" s="434"/>
      <c r="H19" s="435"/>
      <c r="I19" s="72"/>
      <c r="J19" s="433" t="s">
        <v>1116</v>
      </c>
      <c r="K19" s="434"/>
      <c r="L19" s="434"/>
      <c r="M19" s="434"/>
      <c r="N19" s="435"/>
      <c r="O19" s="73"/>
      <c r="P19" s="74" t="s">
        <v>6</v>
      </c>
    </row>
    <row r="20" spans="2:16" ht="6" customHeight="1" x14ac:dyDescent="0.25"/>
    <row r="21" spans="2:16" x14ac:dyDescent="0.25">
      <c r="B21" s="69" t="s">
        <v>7</v>
      </c>
      <c r="D21" s="70"/>
      <c r="F21" s="69" t="s">
        <v>8</v>
      </c>
      <c r="H21" s="70"/>
      <c r="J21" s="69" t="s">
        <v>9</v>
      </c>
      <c r="L21" s="70"/>
      <c r="N21" s="69" t="s">
        <v>10</v>
      </c>
      <c r="P21" s="70"/>
    </row>
    <row r="22" spans="2:16" x14ac:dyDescent="0.25">
      <c r="B22" s="438"/>
      <c r="C22" s="439"/>
      <c r="D22" s="440"/>
      <c r="E22" s="72"/>
      <c r="F22" s="441">
        <f>'BDI NORMAL (SD) '!F21/100</f>
        <v>0.21969999999999998</v>
      </c>
      <c r="G22" s="442"/>
      <c r="H22" s="443"/>
      <c r="I22" s="72"/>
      <c r="J22" s="444">
        <f>'ENCARGOS SOCIAIS'!F43</f>
        <v>1.0884</v>
      </c>
      <c r="K22" s="442"/>
      <c r="L22" s="443"/>
      <c r="M22" s="72"/>
      <c r="N22" s="445" t="s">
        <v>1014</v>
      </c>
      <c r="O22" s="446"/>
      <c r="P22" s="447"/>
    </row>
    <row r="23" spans="2:16" ht="6" customHeight="1" x14ac:dyDescent="0.25"/>
    <row r="24" spans="2:16" x14ac:dyDescent="0.25">
      <c r="B24" s="69" t="s">
        <v>11</v>
      </c>
      <c r="D24" s="70"/>
      <c r="F24" s="69" t="s">
        <v>12</v>
      </c>
      <c r="H24" s="70"/>
      <c r="J24" s="69" t="s">
        <v>13</v>
      </c>
      <c r="L24" s="70"/>
      <c r="N24" s="69" t="s">
        <v>14</v>
      </c>
      <c r="P24" s="70"/>
    </row>
    <row r="25" spans="2:16" x14ac:dyDescent="0.25">
      <c r="B25" s="438" t="s">
        <v>1117</v>
      </c>
      <c r="C25" s="439"/>
      <c r="D25" s="440"/>
      <c r="E25" s="72"/>
      <c r="F25" s="441">
        <f>'BDI DIFERENCIADO (SD) '!F21/100</f>
        <v>0.1419</v>
      </c>
      <c r="G25" s="442"/>
      <c r="H25" s="443"/>
      <c r="I25" s="72"/>
      <c r="J25" s="441">
        <f>'ENCARGOS SOCIAIS'!G43</f>
        <v>0.67240000000000011</v>
      </c>
      <c r="K25" s="442"/>
      <c r="L25" s="443"/>
      <c r="N25" s="448" t="s">
        <v>1013</v>
      </c>
      <c r="O25" s="446"/>
      <c r="P25" s="447"/>
    </row>
    <row r="26" spans="2:16" ht="6" customHeight="1" x14ac:dyDescent="0.25"/>
    <row r="27" spans="2:16" x14ac:dyDescent="0.25">
      <c r="B27" s="69" t="s">
        <v>15</v>
      </c>
      <c r="P27" s="70"/>
    </row>
    <row r="28" spans="2:16" ht="63" customHeight="1" x14ac:dyDescent="0.25">
      <c r="B28" s="449" t="s">
        <v>1011</v>
      </c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1"/>
    </row>
    <row r="32" spans="2:16" x14ac:dyDescent="0.3">
      <c r="H32" s="68"/>
    </row>
  </sheetData>
  <mergeCells count="16">
    <mergeCell ref="B25:D25"/>
    <mergeCell ref="F25:H25"/>
    <mergeCell ref="J25:L25"/>
    <mergeCell ref="N25:P25"/>
    <mergeCell ref="B28:P28"/>
    <mergeCell ref="B19:H19"/>
    <mergeCell ref="J19:N19"/>
    <mergeCell ref="B22:D22"/>
    <mergeCell ref="F22:H22"/>
    <mergeCell ref="J22:L22"/>
    <mergeCell ref="N22:P22"/>
    <mergeCell ref="B16:P16"/>
    <mergeCell ref="B1:C7"/>
    <mergeCell ref="N1:P7"/>
    <mergeCell ref="B10:P10"/>
    <mergeCell ref="B13:P13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  <headerFooter>
    <oddFooter>&amp;L&amp;"Arial Narrow,Normal"&amp;10&amp;A
&amp;F&amp;C&amp;"-,Negrito"Eng.º Said Elias Jorge Júnior
CREA 1014811937/D-GO&amp;R&amp;"Arial Narrow,Normal"&amp;10Página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8BBC-7DC6-4E87-B26D-51C56E54B3B4}">
  <dimension ref="B1:U26"/>
  <sheetViews>
    <sheetView showGridLines="0" showZeros="0" view="pageBreakPreview" zoomScaleNormal="100" zoomScaleSheetLayoutView="100" workbookViewId="0">
      <selection activeCell="T14" sqref="T14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2.5703125" style="75" customWidth="1"/>
    <col min="4" max="4" width="17.85546875" style="75" bestFit="1" customWidth="1"/>
    <col min="5" max="10" width="10.7109375" style="75" customWidth="1"/>
    <col min="11" max="11" width="6.5703125" style="75" customWidth="1"/>
    <col min="12" max="12" width="6" style="75" customWidth="1"/>
    <col min="13" max="13" width="10.7109375" style="75" customWidth="1"/>
    <col min="14" max="14" width="10.14062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/>
      <c r="C4" s="2"/>
      <c r="E4" s="2"/>
      <c r="F4" s="2"/>
      <c r="G4" s="2"/>
      <c r="H4" s="2"/>
      <c r="I4" s="2"/>
      <c r="J4" s="2"/>
      <c r="K4" s="2"/>
      <c r="L4" s="2"/>
      <c r="N4" s="3"/>
      <c r="O4" s="4"/>
      <c r="R4" s="31"/>
      <c r="S4" s="31"/>
      <c r="T4" s="32"/>
      <c r="U4" s="32"/>
    </row>
    <row r="5" spans="2:21" s="5" customFormat="1" ht="20.100000000000001" customHeight="1" x14ac:dyDescent="0.25">
      <c r="B5" s="1"/>
      <c r="C5" s="2"/>
      <c r="N5" s="3"/>
      <c r="O5" s="4"/>
    </row>
    <row r="6" spans="2:21" s="5" customFormat="1" ht="20.100000000000001" customHeight="1" x14ac:dyDescent="0.25"/>
    <row r="7" spans="2:21" s="5" customFormat="1" ht="20.100000000000001" customHeight="1" x14ac:dyDescent="0.25">
      <c r="B7" s="1"/>
      <c r="C7" s="38"/>
      <c r="N7" s="3"/>
      <c r="O7" s="62"/>
    </row>
    <row r="8" spans="2:21" s="63" customFormat="1" ht="20.100000000000001" customHeight="1" x14ac:dyDescent="0.25">
      <c r="B8" s="50"/>
      <c r="C8" s="51"/>
      <c r="D8" s="9"/>
      <c r="E8" s="9"/>
      <c r="F8" s="9"/>
      <c r="G8" s="10"/>
      <c r="H8" s="10"/>
      <c r="I8" s="10"/>
      <c r="J8" s="10"/>
      <c r="K8" s="9"/>
      <c r="M8" s="10"/>
      <c r="N8" s="10"/>
    </row>
    <row r="9" spans="2:21" ht="20.100000000000001" customHeight="1" x14ac:dyDescent="0.25">
      <c r="B9" s="125"/>
      <c r="C9" s="452" t="s">
        <v>1121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76"/>
    </row>
    <row r="10" spans="2:21" ht="20.100000000000001" customHeight="1" x14ac:dyDescent="0.25">
      <c r="B10" s="12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76"/>
    </row>
    <row r="11" spans="2:21" ht="20.100000000000001" customHeight="1" x14ac:dyDescent="0.25">
      <c r="B11" s="125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76"/>
    </row>
    <row r="12" spans="2:21" ht="20.100000000000001" customHeight="1" x14ac:dyDescent="0.25">
      <c r="B12" s="125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76"/>
    </row>
    <row r="13" spans="2:21" ht="20.100000000000001" customHeight="1" x14ac:dyDescent="0.25">
      <c r="B13" s="125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76"/>
    </row>
    <row r="14" spans="2:21" ht="20.100000000000001" customHeight="1" x14ac:dyDescent="0.25">
      <c r="B14" s="125"/>
      <c r="C14" s="125"/>
      <c r="D14" s="128"/>
      <c r="E14" s="127"/>
      <c r="F14" s="125"/>
      <c r="G14" s="125"/>
      <c r="H14" s="125"/>
      <c r="I14" s="125"/>
      <c r="J14" s="125"/>
      <c r="K14" s="125"/>
      <c r="L14" s="128"/>
      <c r="M14" s="127"/>
      <c r="N14" s="125"/>
      <c r="O14" s="76"/>
    </row>
    <row r="15" spans="2:21" ht="20.100000000000001" customHeight="1" x14ac:dyDescent="0.25">
      <c r="B15" s="125"/>
      <c r="C15" s="125" t="s">
        <v>16</v>
      </c>
      <c r="D15" s="120" t="str">
        <f>+'DADOS DA OBRA'!B13</f>
        <v>Demolição do Estádio Ulisses Jayme, em Pirenópolis-GO, e Destinação Final de Resíduos de Construção.</v>
      </c>
      <c r="E15" s="127"/>
      <c r="F15" s="125"/>
      <c r="G15" s="125"/>
      <c r="H15" s="125"/>
      <c r="I15" s="125"/>
      <c r="J15" s="125"/>
      <c r="K15" s="125"/>
      <c r="L15" s="128"/>
      <c r="M15" s="127"/>
      <c r="N15" s="125"/>
      <c r="O15" s="76"/>
    </row>
    <row r="16" spans="2:21" ht="20.100000000000001" customHeight="1" x14ac:dyDescent="0.25">
      <c r="B16" s="125"/>
      <c r="C16" s="125" t="s">
        <v>18</v>
      </c>
      <c r="D16" s="120" t="str">
        <f>'ORÇAMENTO RESUMO (SD)'!C4</f>
        <v xml:space="preserve"> R. 21 de Abril, 10 , Pirenópolis, GO</v>
      </c>
      <c r="E16" s="127"/>
      <c r="F16" s="125"/>
      <c r="G16" s="125"/>
      <c r="H16" s="125"/>
      <c r="I16" s="125"/>
      <c r="J16" s="125"/>
      <c r="K16" s="125"/>
      <c r="L16" s="128"/>
      <c r="M16" s="127"/>
      <c r="N16" s="125"/>
      <c r="O16" s="76"/>
    </row>
    <row r="17" spans="2:15" ht="20.100000000000001" customHeight="1" x14ac:dyDescent="0.25">
      <c r="B17" s="125"/>
      <c r="C17" s="125" t="s">
        <v>62</v>
      </c>
      <c r="D17" s="120" t="str">
        <f>'ORÇAMENTO RESUMO (SD)'!G3</f>
        <v>18/11/2024</v>
      </c>
      <c r="E17" s="127"/>
      <c r="F17" s="125"/>
      <c r="G17" s="125"/>
      <c r="H17" s="125"/>
      <c r="I17" s="125"/>
      <c r="J17" s="125"/>
      <c r="K17" s="125"/>
      <c r="L17" s="128"/>
      <c r="M17" s="127"/>
      <c r="N17" s="125"/>
      <c r="O17" s="76"/>
    </row>
    <row r="18" spans="2:15" ht="20.100000000000001" customHeight="1" x14ac:dyDescent="0.25">
      <c r="B18" s="125"/>
      <c r="C18" s="125" t="s">
        <v>708</v>
      </c>
      <c r="D18" s="120" t="s">
        <v>1118</v>
      </c>
      <c r="E18" s="130"/>
      <c r="F18" s="120"/>
      <c r="G18" s="125"/>
      <c r="H18" s="125"/>
      <c r="I18" s="125"/>
      <c r="J18" s="125"/>
      <c r="K18" s="120"/>
      <c r="L18" s="129"/>
      <c r="M18" s="130"/>
      <c r="N18" s="120"/>
      <c r="O18" s="76"/>
    </row>
    <row r="19" spans="2:15" s="63" customFormat="1" ht="20.100000000000001" customHeight="1" x14ac:dyDescent="0.25">
      <c r="B19" s="50"/>
      <c r="C19" s="63" t="s">
        <v>710</v>
      </c>
      <c r="D19" s="9" t="s">
        <v>1119</v>
      </c>
      <c r="E19" s="9"/>
      <c r="F19" s="9"/>
      <c r="G19" s="10"/>
      <c r="H19" s="10"/>
      <c r="I19" s="10"/>
      <c r="J19" s="10"/>
      <c r="K19" s="9"/>
      <c r="M19" s="10"/>
      <c r="N19" s="10"/>
    </row>
    <row r="20" spans="2:15" ht="20.100000000000001" customHeight="1" x14ac:dyDescent="0.25">
      <c r="B20" s="125"/>
      <c r="C20" s="9" t="s">
        <v>709</v>
      </c>
      <c r="D20" s="320">
        <v>1020240286794</v>
      </c>
      <c r="E20" s="125"/>
      <c r="F20" s="125"/>
      <c r="G20" s="125"/>
      <c r="H20" s="125"/>
      <c r="I20" s="125"/>
      <c r="J20" s="125"/>
      <c r="K20" s="100"/>
      <c r="L20" s="125"/>
      <c r="M20" s="125"/>
      <c r="N20" s="125"/>
      <c r="O20" s="76"/>
    </row>
    <row r="21" spans="2:15" ht="20.100000000000001" customHeight="1" x14ac:dyDescent="0.25">
      <c r="B21" s="125"/>
      <c r="C21" s="125"/>
      <c r="D21" s="128"/>
      <c r="E21" s="127"/>
      <c r="F21" s="125"/>
      <c r="G21" s="125"/>
      <c r="H21" s="125"/>
      <c r="I21" s="125"/>
      <c r="J21" s="125"/>
      <c r="K21" s="125"/>
      <c r="L21" s="128"/>
      <c r="M21" s="127"/>
      <c r="N21" s="125"/>
      <c r="O21" s="76"/>
    </row>
    <row r="22" spans="2:15" ht="20.100000000000001" customHeight="1" x14ac:dyDescent="0.25">
      <c r="B22" s="125"/>
      <c r="C22" s="125"/>
      <c r="D22" s="128"/>
      <c r="E22" s="127"/>
      <c r="J22" s="125"/>
      <c r="K22" s="125"/>
      <c r="L22" s="128"/>
      <c r="M22" s="127"/>
      <c r="N22" s="125"/>
      <c r="O22" s="76"/>
    </row>
    <row r="23" spans="2:15" ht="20.100000000000001" customHeight="1" x14ac:dyDescent="0.25">
      <c r="B23" s="125"/>
      <c r="C23" s="125"/>
      <c r="D23" s="128"/>
      <c r="E23" s="127"/>
      <c r="J23" s="125"/>
      <c r="K23" s="125"/>
      <c r="L23" s="128"/>
      <c r="M23" s="127"/>
      <c r="N23" s="125"/>
      <c r="O23" s="76"/>
    </row>
    <row r="24" spans="2:15" ht="20.100000000000001" customHeight="1" x14ac:dyDescent="0.25">
      <c r="B24" s="125"/>
      <c r="C24" s="126"/>
      <c r="D24" s="125"/>
      <c r="E24" s="125"/>
      <c r="F24" s="125"/>
      <c r="G24" s="125"/>
      <c r="H24" s="125"/>
      <c r="I24" s="125"/>
      <c r="J24" s="125"/>
      <c r="K24" s="100"/>
      <c r="L24" s="125"/>
      <c r="M24" s="125"/>
      <c r="N24" s="125"/>
      <c r="O24" s="76"/>
    </row>
    <row r="25" spans="2:15" ht="20.100000000000001" customHeight="1" x14ac:dyDescent="0.25">
      <c r="B25" s="125"/>
      <c r="C25" s="125"/>
      <c r="D25" s="128"/>
      <c r="E25" s="127"/>
      <c r="F25" s="453" t="s">
        <v>1122</v>
      </c>
      <c r="G25" s="454"/>
      <c r="H25" s="454"/>
      <c r="I25" s="453"/>
      <c r="J25" s="125"/>
      <c r="K25" s="125"/>
      <c r="L25" s="128"/>
      <c r="M25" s="127"/>
      <c r="N25" s="125"/>
      <c r="O25" s="76"/>
    </row>
    <row r="26" spans="2:15" ht="20.100000000000001" customHeight="1" x14ac:dyDescent="0.25">
      <c r="B26" s="125"/>
      <c r="C26" s="120"/>
      <c r="D26" s="129"/>
      <c r="E26" s="130"/>
      <c r="F26" s="120"/>
      <c r="G26" s="125"/>
      <c r="H26" s="125"/>
      <c r="I26" s="125"/>
      <c r="J26" s="125"/>
      <c r="K26" s="120"/>
      <c r="L26" s="129"/>
      <c r="M26" s="130"/>
      <c r="N26" s="120"/>
      <c r="O26" s="76"/>
    </row>
  </sheetData>
  <mergeCells count="3">
    <mergeCell ref="B1:P2"/>
    <mergeCell ref="C9:N10"/>
    <mergeCell ref="F25:I25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9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D56B-3C14-4AA6-B6CD-6D999C881A4A}">
  <dimension ref="B1:U27"/>
  <sheetViews>
    <sheetView showGridLines="0" showZeros="0" view="pageBreakPreview" zoomScaleNormal="100" zoomScaleSheetLayoutView="100" workbookViewId="0">
      <selection activeCell="B10" sqref="B9:P10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/>
      <c r="C4" s="2"/>
      <c r="E4" s="2"/>
      <c r="F4" s="2"/>
      <c r="G4" s="2"/>
      <c r="H4" s="2"/>
      <c r="I4" s="2"/>
      <c r="J4" s="2"/>
      <c r="K4" s="2"/>
      <c r="L4" s="2"/>
      <c r="N4" s="3"/>
      <c r="O4" s="4"/>
      <c r="R4" s="31"/>
      <c r="S4" s="31"/>
      <c r="T4" s="32"/>
      <c r="U4" s="32"/>
    </row>
    <row r="5" spans="2:21" s="5" customFormat="1" ht="20.100000000000001" customHeight="1" x14ac:dyDescent="0.25">
      <c r="B5" s="1"/>
      <c r="C5" s="2"/>
      <c r="N5" s="3"/>
      <c r="O5" s="4"/>
    </row>
    <row r="6" spans="2:21" s="5" customFormat="1" ht="20.100000000000001" customHeight="1" x14ac:dyDescent="0.25"/>
    <row r="7" spans="2:21" s="5" customFormat="1" ht="20.100000000000001" customHeight="1" x14ac:dyDescent="0.25">
      <c r="B7" s="1"/>
      <c r="C7" s="38"/>
      <c r="N7" s="3"/>
      <c r="O7" s="62"/>
    </row>
    <row r="8" spans="2:21" s="63" customFormat="1" ht="20.100000000000001" customHeight="1" x14ac:dyDescent="0.25">
      <c r="B8" s="50"/>
      <c r="C8" s="51"/>
      <c r="D8" s="9"/>
      <c r="E8" s="9"/>
      <c r="F8" s="9"/>
      <c r="G8" s="10"/>
      <c r="H8" s="10"/>
      <c r="I8" s="10"/>
      <c r="J8" s="10"/>
      <c r="K8" s="9"/>
      <c r="M8" s="10"/>
      <c r="N8" s="10"/>
    </row>
    <row r="9" spans="2:21" ht="20.100000000000001" customHeight="1" x14ac:dyDescent="0.25">
      <c r="B9" s="125"/>
      <c r="C9" s="452" t="s">
        <v>380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76"/>
    </row>
    <row r="10" spans="2:21" ht="20.100000000000001" customHeight="1" x14ac:dyDescent="0.25">
      <c r="B10" s="12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76"/>
    </row>
    <row r="11" spans="2:21" ht="20.100000000000001" customHeight="1" x14ac:dyDescent="0.25">
      <c r="B11" s="125"/>
      <c r="C11" s="125"/>
      <c r="D11" s="128"/>
      <c r="E11" s="127"/>
      <c r="F11" s="125"/>
      <c r="G11" s="125"/>
      <c r="H11" s="125"/>
      <c r="I11" s="125"/>
      <c r="J11" s="125"/>
      <c r="K11" s="125"/>
      <c r="L11" s="128"/>
      <c r="M11" s="127"/>
      <c r="N11" s="125"/>
      <c r="O11" s="76"/>
    </row>
    <row r="12" spans="2:21" ht="20.100000000000001" customHeight="1" x14ac:dyDescent="0.25">
      <c r="B12" s="125"/>
      <c r="C12" s="125"/>
      <c r="D12" s="128"/>
      <c r="E12" s="127"/>
      <c r="F12" s="125"/>
      <c r="G12" s="125"/>
      <c r="H12" s="125"/>
      <c r="I12" s="125"/>
      <c r="J12" s="125"/>
      <c r="K12" s="125"/>
      <c r="L12" s="128"/>
      <c r="M12" s="127"/>
      <c r="N12" s="125"/>
      <c r="O12" s="76"/>
    </row>
    <row r="13" spans="2:21" ht="20.100000000000001" customHeight="1" x14ac:dyDescent="0.25">
      <c r="B13" s="125"/>
      <c r="C13" s="125"/>
      <c r="D13" s="128"/>
      <c r="E13" s="127"/>
      <c r="F13" s="125"/>
      <c r="G13" s="125"/>
      <c r="H13" s="125"/>
      <c r="I13" s="125"/>
      <c r="J13" s="125"/>
      <c r="K13" s="125"/>
      <c r="L13" s="128"/>
      <c r="M13" s="127"/>
      <c r="N13" s="125"/>
      <c r="O13" s="76"/>
    </row>
    <row r="14" spans="2:21" ht="20.100000000000001" customHeight="1" x14ac:dyDescent="0.25">
      <c r="B14" s="125"/>
      <c r="C14" s="125"/>
      <c r="D14" s="128"/>
      <c r="E14" s="127"/>
      <c r="F14" s="125"/>
      <c r="G14" s="125"/>
      <c r="H14" s="125"/>
      <c r="I14" s="125"/>
      <c r="J14" s="125"/>
      <c r="K14" s="125"/>
      <c r="L14" s="128"/>
      <c r="M14" s="127"/>
      <c r="N14" s="125"/>
      <c r="O14" s="76"/>
    </row>
    <row r="15" spans="2:21" ht="20.100000000000001" customHeight="1" x14ac:dyDescent="0.25">
      <c r="B15" s="125"/>
      <c r="C15" s="120"/>
      <c r="D15" s="129"/>
      <c r="E15" s="130"/>
      <c r="F15" s="120"/>
      <c r="G15" s="125"/>
      <c r="H15" s="125"/>
      <c r="I15" s="125"/>
      <c r="J15" s="125"/>
      <c r="K15" s="120"/>
      <c r="L15" s="129"/>
      <c r="M15" s="130"/>
      <c r="N15" s="120"/>
      <c r="O15" s="76"/>
    </row>
    <row r="16" spans="2:21" s="63" customFormat="1" ht="20.100000000000001" customHeight="1" x14ac:dyDescent="0.25">
      <c r="B16" s="50"/>
      <c r="C16" s="51"/>
      <c r="D16" s="9"/>
      <c r="E16" s="9"/>
      <c r="F16" s="9"/>
      <c r="G16" s="10"/>
      <c r="H16" s="10"/>
      <c r="I16" s="10"/>
      <c r="J16" s="10"/>
      <c r="K16" s="9"/>
      <c r="M16" s="10"/>
      <c r="N16" s="10"/>
    </row>
    <row r="17" spans="2:15" ht="20.100000000000001" customHeight="1" x14ac:dyDescent="0.25">
      <c r="B17" s="125"/>
      <c r="C17" s="126"/>
      <c r="D17" s="125"/>
      <c r="E17" s="125"/>
      <c r="F17" s="125"/>
      <c r="G17" s="125"/>
      <c r="H17" s="125"/>
      <c r="I17" s="125"/>
      <c r="J17" s="125"/>
      <c r="K17" s="100"/>
      <c r="L17" s="125"/>
      <c r="M17" s="125"/>
      <c r="N17" s="125"/>
      <c r="O17" s="76"/>
    </row>
    <row r="18" spans="2:15" ht="20.100000000000001" customHeight="1" x14ac:dyDescent="0.25">
      <c r="B18" s="125"/>
      <c r="C18" s="125"/>
      <c r="D18" s="128"/>
      <c r="E18" s="127"/>
      <c r="F18" s="125"/>
      <c r="G18" s="125"/>
      <c r="H18" s="125"/>
      <c r="I18" s="125"/>
      <c r="J18" s="125"/>
      <c r="K18" s="125"/>
      <c r="L18" s="128"/>
      <c r="M18" s="127"/>
      <c r="N18" s="125"/>
      <c r="O18" s="76"/>
    </row>
    <row r="19" spans="2:15" ht="20.100000000000001" customHeight="1" x14ac:dyDescent="0.25">
      <c r="B19" s="125"/>
      <c r="C19" s="125"/>
      <c r="D19" s="128"/>
      <c r="E19" s="127"/>
      <c r="F19" s="125"/>
      <c r="G19" s="125"/>
      <c r="H19" s="125"/>
      <c r="I19" s="125"/>
      <c r="J19" s="125"/>
      <c r="K19" s="125"/>
      <c r="L19" s="128"/>
      <c r="M19" s="127"/>
      <c r="N19" s="125"/>
      <c r="O19" s="76"/>
    </row>
    <row r="20" spans="2:15" ht="20.100000000000001" customHeight="1" x14ac:dyDescent="0.25">
      <c r="B20" s="125"/>
      <c r="C20" s="125"/>
      <c r="D20" s="128"/>
      <c r="E20" s="127"/>
      <c r="F20" s="125"/>
      <c r="G20" s="125"/>
      <c r="H20" s="125"/>
      <c r="I20" s="125"/>
      <c r="J20" s="125"/>
      <c r="K20" s="125"/>
      <c r="L20" s="128"/>
      <c r="M20" s="127"/>
      <c r="N20" s="125"/>
      <c r="O20" s="76"/>
    </row>
    <row r="21" spans="2:15" ht="20.100000000000001" customHeight="1" x14ac:dyDescent="0.25">
      <c r="B21" s="125"/>
      <c r="C21" s="125"/>
      <c r="D21" s="128"/>
      <c r="E21" s="127"/>
      <c r="F21" s="125"/>
      <c r="G21" s="125"/>
      <c r="H21" s="125"/>
      <c r="I21" s="125"/>
      <c r="J21" s="125"/>
      <c r="K21" s="125"/>
      <c r="L21" s="128"/>
      <c r="M21" s="127"/>
      <c r="N21" s="125"/>
      <c r="O21" s="76"/>
    </row>
    <row r="22" spans="2:15" ht="20.100000000000001" customHeight="1" x14ac:dyDescent="0.25">
      <c r="B22" s="125"/>
      <c r="C22" s="125"/>
      <c r="D22" s="128"/>
      <c r="E22" s="127"/>
      <c r="F22" s="125"/>
      <c r="G22" s="125"/>
      <c r="H22" s="125"/>
      <c r="I22" s="125"/>
      <c r="J22" s="125"/>
      <c r="K22" s="125"/>
      <c r="L22" s="128"/>
      <c r="M22" s="127"/>
      <c r="N22" s="125"/>
      <c r="O22" s="76"/>
    </row>
    <row r="23" spans="2:15" ht="20.100000000000001" customHeight="1" x14ac:dyDescent="0.25">
      <c r="B23" s="125"/>
      <c r="C23" s="120"/>
      <c r="D23" s="129"/>
      <c r="E23" s="130"/>
      <c r="F23" s="120"/>
      <c r="G23" s="125"/>
      <c r="H23" s="125"/>
      <c r="I23" s="125"/>
      <c r="J23" s="125"/>
      <c r="K23" s="120"/>
      <c r="L23" s="129"/>
      <c r="M23" s="130"/>
      <c r="N23" s="120"/>
      <c r="O23" s="76"/>
    </row>
    <row r="24" spans="2:15" s="63" customFormat="1" ht="20.100000000000001" customHeight="1" x14ac:dyDescent="0.25">
      <c r="B24" s="50"/>
      <c r="C24" s="51"/>
      <c r="D24" s="9"/>
      <c r="E24" s="9"/>
      <c r="F24" s="9"/>
      <c r="G24" s="10"/>
      <c r="H24" s="10"/>
      <c r="I24" s="10"/>
      <c r="J24" s="10"/>
      <c r="K24" s="9"/>
      <c r="M24" s="10"/>
      <c r="N24" s="10"/>
    </row>
    <row r="25" spans="2:15" ht="20.100000000000001" customHeight="1" x14ac:dyDescent="0.25">
      <c r="B25" s="125"/>
      <c r="C25" s="126"/>
      <c r="D25" s="125"/>
      <c r="E25" s="125"/>
      <c r="F25" s="125"/>
      <c r="G25" s="125"/>
      <c r="H25" s="125"/>
      <c r="I25" s="125"/>
      <c r="J25" s="125"/>
      <c r="K25" s="100"/>
      <c r="L25" s="125"/>
      <c r="M25" s="125"/>
      <c r="N25" s="125"/>
      <c r="O25" s="76"/>
    </row>
    <row r="26" spans="2:15" ht="20.100000000000001" customHeight="1" x14ac:dyDescent="0.25">
      <c r="B26" s="125"/>
      <c r="C26" s="125"/>
      <c r="D26" s="128"/>
      <c r="E26" s="127"/>
      <c r="F26" s="125"/>
      <c r="G26" s="125"/>
      <c r="H26" s="125"/>
      <c r="I26" s="125"/>
      <c r="J26" s="125"/>
      <c r="K26" s="125"/>
      <c r="L26" s="128"/>
      <c r="M26" s="127"/>
      <c r="N26" s="125"/>
      <c r="O26" s="76"/>
    </row>
    <row r="27" spans="2:15" ht="20.100000000000001" customHeight="1" x14ac:dyDescent="0.25">
      <c r="B27" s="125"/>
      <c r="C27" s="120"/>
      <c r="D27" s="129"/>
      <c r="E27" s="130"/>
      <c r="F27" s="120"/>
      <c r="G27" s="125"/>
      <c r="H27" s="125"/>
      <c r="I27" s="125"/>
      <c r="J27" s="125"/>
      <c r="K27" s="120"/>
      <c r="L27" s="129"/>
      <c r="M27" s="130"/>
      <c r="N27" s="120"/>
      <c r="O27" s="76"/>
    </row>
  </sheetData>
  <mergeCells count="2">
    <mergeCell ref="B1:P2"/>
    <mergeCell ref="C9:N10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9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6D4A-D031-44C4-B170-65DCB88F3C3B}">
  <dimension ref="B1:U26"/>
  <sheetViews>
    <sheetView showGridLines="0" showZeros="0" view="pageBreakPreview" zoomScaleNormal="100" zoomScaleSheetLayoutView="100" workbookViewId="0">
      <selection activeCell="J12" sqref="J12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55" t="s">
        <v>379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115"/>
    </row>
    <row r="2" spans="2:21" s="65" customFormat="1" ht="20.100000000000001" customHeight="1" x14ac:dyDescent="0.25"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115"/>
    </row>
    <row r="3" spans="2:21" s="217" customFormat="1" ht="9.9499999999999993" customHeight="1" x14ac:dyDescent="0.25">
      <c r="D3" s="115"/>
      <c r="E3" s="115"/>
      <c r="F3" s="115"/>
      <c r="G3" s="66"/>
      <c r="H3" s="115"/>
      <c r="I3" s="115"/>
      <c r="J3" s="115"/>
      <c r="K3" s="115"/>
      <c r="L3" s="115"/>
    </row>
    <row r="4" spans="2:21" s="218" customFormat="1" ht="15" customHeight="1" x14ac:dyDescent="0.25">
      <c r="B4" s="219" t="s">
        <v>16</v>
      </c>
      <c r="C4" s="220" t="str">
        <f>'DADOS DA OBRA'!$B$13</f>
        <v>Demolição do Estádio Ulisses Jayme, em Pirenópolis-GO, e Destinação Final de Resíduos de Construção.</v>
      </c>
      <c r="I4" s="221"/>
      <c r="J4" s="222"/>
      <c r="K4" s="224"/>
      <c r="L4" s="221"/>
      <c r="M4" s="222" t="s">
        <v>62</v>
      </c>
      <c r="N4" s="223" t="str">
        <f>'DADOS DA OBRA'!$N$22</f>
        <v>18/11/2024</v>
      </c>
    </row>
    <row r="5" spans="2:21" s="218" customFormat="1" ht="15" customHeight="1" x14ac:dyDescent="0.25">
      <c r="B5" s="219" t="s">
        <v>18</v>
      </c>
      <c r="C5" s="221" t="str">
        <f>+""&amp;'DADOS DA OBRA'!$B$16&amp;", "&amp;'DADOS DA OBRA'!$J$19&amp;", "&amp;'DADOS DA OBRA'!$P$19</f>
        <v xml:space="preserve"> R. 21 de Abril, 10 , Pirenópolis, GO</v>
      </c>
      <c r="J5" s="222"/>
      <c r="K5" s="224"/>
      <c r="M5" s="222" t="s">
        <v>17</v>
      </c>
      <c r="N5" s="223" t="str">
        <f>'DADOS DA OBRA'!$N$25</f>
        <v>02</v>
      </c>
    </row>
    <row r="6" spans="2:21" s="65" customFormat="1" ht="20.100000000000001" customHeight="1" x14ac:dyDescent="0.25"/>
    <row r="7" spans="2:21" s="5" customFormat="1" ht="20.100000000000001" customHeight="1" x14ac:dyDescent="0.25">
      <c r="B7" s="250" t="s">
        <v>381</v>
      </c>
      <c r="C7" s="2"/>
      <c r="E7" s="2"/>
      <c r="F7" s="2"/>
      <c r="G7" s="2"/>
      <c r="H7" s="2"/>
      <c r="I7" s="2"/>
      <c r="J7" s="2"/>
      <c r="K7" s="2"/>
      <c r="L7" s="2"/>
      <c r="N7" s="3"/>
      <c r="O7" s="4"/>
      <c r="R7" s="31"/>
      <c r="S7" s="31"/>
      <c r="T7" s="32"/>
      <c r="U7" s="32"/>
    </row>
    <row r="8" spans="2:21" s="5" customFormat="1" ht="20.100000000000001" customHeight="1" x14ac:dyDescent="0.25">
      <c r="B8" s="1"/>
      <c r="C8" s="2"/>
      <c r="N8" s="3"/>
      <c r="O8" s="4"/>
    </row>
    <row r="9" spans="2:21" s="5" customFormat="1" ht="20.100000000000001" customHeight="1" x14ac:dyDescent="0.25"/>
    <row r="10" spans="2:21" s="5" customFormat="1" ht="20.100000000000001" customHeight="1" x14ac:dyDescent="0.25">
      <c r="B10" s="1"/>
      <c r="F10" s="241" t="s">
        <v>383</v>
      </c>
      <c r="G10" s="241"/>
      <c r="H10" s="241"/>
      <c r="I10" s="241"/>
      <c r="J10" s="456">
        <f>'ORÇAMENTO SINTÉTICO (CD)'!L79</f>
        <v>2896756.9099999997</v>
      </c>
      <c r="K10" s="456"/>
      <c r="N10" s="3"/>
      <c r="O10" s="62"/>
    </row>
    <row r="11" spans="2:21" s="63" customFormat="1" ht="20.100000000000001" customHeight="1" x14ac:dyDescent="0.25">
      <c r="B11" s="50"/>
      <c r="C11" s="51"/>
      <c r="D11" s="9"/>
      <c r="E11" s="9"/>
      <c r="F11" s="241" t="s">
        <v>384</v>
      </c>
      <c r="G11" s="242"/>
      <c r="H11" s="243"/>
      <c r="I11" s="243"/>
      <c r="J11" s="456">
        <f>'ORÇAMENTO SINTÉTICO (SD)'!L79</f>
        <v>2813099.48</v>
      </c>
      <c r="K11" s="456"/>
      <c r="M11" s="10"/>
      <c r="N11" s="10"/>
    </row>
    <row r="12" spans="2:21" ht="20.100000000000001" customHeight="1" x14ac:dyDescent="0.25">
      <c r="B12" s="125"/>
      <c r="F12" s="244"/>
      <c r="G12" s="244"/>
      <c r="H12" s="244"/>
      <c r="I12" s="244"/>
      <c r="J12" s="244"/>
      <c r="K12" s="244"/>
      <c r="O12" s="76"/>
    </row>
    <row r="13" spans="2:21" ht="20.100000000000001" customHeight="1" x14ac:dyDescent="0.25">
      <c r="B13" s="125"/>
      <c r="F13" s="244" t="s">
        <v>382</v>
      </c>
      <c r="G13" s="244"/>
      <c r="H13" s="244"/>
      <c r="I13" s="244"/>
      <c r="J13" s="244"/>
      <c r="K13" s="245">
        <f>(J10/J11)-1</f>
        <v>2.9738525279596528E-2</v>
      </c>
      <c r="O13" s="76"/>
    </row>
    <row r="14" spans="2:21" ht="20.100000000000001" customHeight="1" x14ac:dyDescent="0.25">
      <c r="B14" s="125"/>
      <c r="C14" s="125"/>
      <c r="D14" s="128"/>
      <c r="E14" s="127"/>
      <c r="F14" s="244"/>
      <c r="G14" s="244"/>
      <c r="H14" s="246"/>
      <c r="I14" s="246"/>
      <c r="J14" s="246"/>
      <c r="K14" s="246"/>
      <c r="M14" s="127"/>
      <c r="N14" s="125"/>
      <c r="O14" s="76"/>
    </row>
    <row r="15" spans="2:21" ht="20.100000000000001" customHeight="1" x14ac:dyDescent="0.25">
      <c r="B15" s="125"/>
      <c r="C15" s="125"/>
      <c r="D15" s="128"/>
      <c r="E15" s="127"/>
      <c r="F15" s="247" t="s">
        <v>385</v>
      </c>
      <c r="G15" s="248"/>
      <c r="H15" s="249"/>
      <c r="I15" s="249"/>
      <c r="J15" s="457" t="str">
        <f>+IF(J11&lt;J10,"SEM DESONERAÇÃO","COM DESONERAÇÃO")</f>
        <v>SEM DESONERAÇÃO</v>
      </c>
      <c r="K15" s="457"/>
      <c r="L15" s="128"/>
      <c r="M15" s="127"/>
      <c r="N15" s="125"/>
      <c r="O15" s="76"/>
    </row>
    <row r="16" spans="2:21" ht="20.100000000000001" customHeight="1" x14ac:dyDescent="0.25">
      <c r="B16" s="125"/>
      <c r="C16" s="125"/>
      <c r="D16" s="128"/>
      <c r="E16" s="127"/>
      <c r="F16" s="125"/>
      <c r="G16" s="125"/>
      <c r="H16" s="125"/>
      <c r="I16" s="125"/>
      <c r="J16" s="125"/>
      <c r="K16" s="125"/>
      <c r="L16" s="128"/>
      <c r="M16" s="127"/>
      <c r="N16" s="125"/>
      <c r="O16" s="76"/>
    </row>
    <row r="17" spans="2:15" ht="20.100000000000001" customHeight="1" x14ac:dyDescent="0.25">
      <c r="B17" s="125"/>
      <c r="C17" s="125"/>
      <c r="D17" s="128"/>
      <c r="E17" s="127"/>
      <c r="F17" s="125"/>
      <c r="G17" s="125"/>
      <c r="H17" s="125"/>
      <c r="I17" s="125"/>
      <c r="J17" s="125"/>
      <c r="K17" s="125"/>
      <c r="L17" s="128"/>
      <c r="M17" s="127"/>
      <c r="N17" s="125"/>
      <c r="O17" s="76"/>
    </row>
    <row r="18" spans="2:15" ht="20.100000000000001" customHeight="1" x14ac:dyDescent="0.25">
      <c r="B18" s="125"/>
      <c r="C18" s="120"/>
      <c r="D18" s="129"/>
      <c r="E18" s="130"/>
      <c r="F18" s="120"/>
      <c r="G18" s="125"/>
      <c r="H18" s="125"/>
      <c r="I18" s="125"/>
      <c r="J18" s="125"/>
      <c r="K18" s="120"/>
      <c r="L18" s="129"/>
      <c r="M18" s="130"/>
      <c r="N18" s="120"/>
      <c r="O18" s="76"/>
    </row>
    <row r="19" spans="2:15" s="63" customFormat="1" ht="20.100000000000001" customHeight="1" x14ac:dyDescent="0.25">
      <c r="B19" s="50"/>
      <c r="C19" s="51"/>
      <c r="D19" s="9"/>
      <c r="E19" s="9"/>
      <c r="F19" s="9"/>
      <c r="G19" s="10"/>
      <c r="H19" s="10"/>
      <c r="I19" s="10"/>
      <c r="J19" s="10"/>
      <c r="K19" s="9"/>
      <c r="M19" s="10"/>
      <c r="N19" s="10"/>
    </row>
    <row r="20" spans="2:15" ht="20.100000000000001" customHeight="1" x14ac:dyDescent="0.25">
      <c r="B20" s="125"/>
      <c r="C20" s="126"/>
      <c r="D20" s="125"/>
      <c r="E20" s="125"/>
      <c r="F20" s="125"/>
      <c r="G20" s="125"/>
      <c r="H20" s="125"/>
      <c r="I20" s="125"/>
      <c r="J20" s="125"/>
      <c r="K20" s="100"/>
      <c r="L20" s="125"/>
      <c r="M20" s="125"/>
      <c r="N20" s="125"/>
      <c r="O20" s="76"/>
    </row>
    <row r="21" spans="2:15" ht="20.100000000000001" customHeight="1" x14ac:dyDescent="0.25">
      <c r="B21" s="125"/>
      <c r="C21" s="125"/>
      <c r="D21" s="128"/>
      <c r="E21" s="127"/>
      <c r="F21" s="125"/>
      <c r="G21" s="125"/>
      <c r="H21" s="125"/>
      <c r="I21" s="125"/>
      <c r="J21" s="125"/>
      <c r="K21" s="125"/>
      <c r="L21" s="128"/>
      <c r="M21" s="127"/>
      <c r="N21" s="125"/>
      <c r="O21" s="76"/>
    </row>
    <row r="22" spans="2:15" ht="20.100000000000001" customHeight="1" x14ac:dyDescent="0.25">
      <c r="B22" s="125"/>
      <c r="C22" s="125"/>
      <c r="D22" s="128"/>
      <c r="E22" s="127"/>
      <c r="F22" s="125"/>
      <c r="G22" s="125"/>
      <c r="H22" s="125"/>
      <c r="I22" s="125"/>
      <c r="J22" s="125"/>
      <c r="K22" s="125"/>
      <c r="L22" s="128"/>
      <c r="M22" s="127"/>
      <c r="N22" s="125"/>
      <c r="O22" s="76"/>
    </row>
    <row r="23" spans="2:15" ht="20.100000000000001" customHeight="1" x14ac:dyDescent="0.25">
      <c r="B23" s="125"/>
      <c r="C23" s="125"/>
      <c r="D23" s="128"/>
      <c r="E23" s="127"/>
      <c r="F23" s="125"/>
      <c r="G23" s="125"/>
      <c r="H23" s="125"/>
      <c r="I23" s="125"/>
      <c r="J23" s="125"/>
      <c r="K23" s="125"/>
      <c r="L23" s="128"/>
      <c r="M23" s="127"/>
      <c r="N23" s="125"/>
      <c r="O23" s="76"/>
    </row>
    <row r="24" spans="2:15" ht="20.100000000000001" customHeight="1" x14ac:dyDescent="0.25">
      <c r="B24" s="125"/>
      <c r="C24" s="120"/>
      <c r="D24" s="129"/>
      <c r="E24" s="130"/>
      <c r="F24" s="120"/>
      <c r="G24" s="125"/>
      <c r="H24" s="125"/>
      <c r="I24" s="125"/>
      <c r="J24" s="125"/>
      <c r="K24" s="120"/>
      <c r="L24" s="129"/>
      <c r="M24" s="130"/>
      <c r="N24" s="120"/>
      <c r="O24" s="76"/>
    </row>
    <row r="25" spans="2:15" s="63" customFormat="1" ht="20.100000000000001" customHeight="1" x14ac:dyDescent="0.25">
      <c r="B25" s="50"/>
      <c r="C25" s="51"/>
      <c r="D25" s="9"/>
      <c r="E25" s="9"/>
      <c r="F25" s="9"/>
      <c r="G25" s="10"/>
      <c r="H25" s="10"/>
      <c r="I25" s="10"/>
      <c r="J25" s="10"/>
      <c r="K25" s="9"/>
      <c r="M25" s="10"/>
      <c r="N25" s="10"/>
    </row>
    <row r="26" spans="2:15" ht="20.100000000000001" customHeight="1" x14ac:dyDescent="0.25">
      <c r="B26" s="125"/>
      <c r="C26" s="126"/>
      <c r="D26" s="125"/>
      <c r="E26" s="125"/>
      <c r="F26" s="125"/>
      <c r="G26" s="125"/>
      <c r="H26" s="125"/>
      <c r="I26" s="125"/>
      <c r="J26" s="125"/>
      <c r="K26" s="100"/>
      <c r="L26" s="125"/>
      <c r="M26" s="125"/>
      <c r="N26" s="125"/>
      <c r="O26" s="76"/>
    </row>
  </sheetData>
  <mergeCells count="4">
    <mergeCell ref="B1:O2"/>
    <mergeCell ref="J10:K10"/>
    <mergeCell ref="J11:K11"/>
    <mergeCell ref="J15:K15"/>
  </mergeCells>
  <printOptions horizontalCentered="1"/>
  <pageMargins left="0.51181102362204722" right="0.51181102362204722" top="1.1811023622047245" bottom="0.78740157480314965" header="0.31496062992125984" footer="0.39370078740157483"/>
  <pageSetup paperSize="9" scale="89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81D1-2D37-48BF-ACD2-0055D35949A1}">
  <dimension ref="B1:U27"/>
  <sheetViews>
    <sheetView showGridLines="0" showZeros="0" view="pageBreakPreview" zoomScale="85" zoomScaleNormal="100" zoomScaleSheetLayoutView="85" workbookViewId="0">
      <selection activeCell="U21" sqref="U21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/>
      <c r="C4" s="2"/>
      <c r="E4" s="2"/>
      <c r="F4" s="2"/>
      <c r="G4" s="2"/>
      <c r="H4" s="2"/>
      <c r="I4" s="2"/>
      <c r="J4" s="2"/>
      <c r="K4" s="2"/>
      <c r="L4" s="2"/>
      <c r="N4" s="3"/>
      <c r="O4" s="4"/>
      <c r="R4" s="31"/>
      <c r="S4" s="31"/>
      <c r="T4" s="32"/>
      <c r="U4" s="32"/>
    </row>
    <row r="5" spans="2:21" s="5" customFormat="1" ht="20.100000000000001" customHeight="1" x14ac:dyDescent="0.25">
      <c r="B5" s="1"/>
      <c r="C5" s="2"/>
      <c r="N5" s="3"/>
      <c r="O5" s="4"/>
    </row>
    <row r="6" spans="2:21" s="5" customFormat="1" ht="20.100000000000001" customHeight="1" x14ac:dyDescent="0.25"/>
    <row r="7" spans="2:21" s="5" customFormat="1" ht="20.100000000000001" customHeight="1" x14ac:dyDescent="0.25">
      <c r="B7" s="1"/>
      <c r="C7" s="38"/>
      <c r="N7" s="3"/>
      <c r="O7" s="62"/>
    </row>
    <row r="8" spans="2:21" s="63" customFormat="1" ht="20.100000000000001" customHeight="1" x14ac:dyDescent="0.25">
      <c r="B8" s="50"/>
      <c r="C8" s="51"/>
      <c r="D8" s="9"/>
      <c r="E8" s="9"/>
      <c r="F8" s="9"/>
      <c r="G8" s="10"/>
      <c r="H8" s="10"/>
      <c r="I8" s="10"/>
      <c r="J8" s="10"/>
      <c r="K8" s="9"/>
      <c r="M8" s="10"/>
      <c r="N8" s="10"/>
    </row>
    <row r="9" spans="2:21" ht="20.100000000000001" customHeight="1" x14ac:dyDescent="0.25">
      <c r="B9" s="125"/>
      <c r="C9" s="452" t="s">
        <v>625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76"/>
    </row>
    <row r="10" spans="2:21" ht="20.100000000000001" customHeight="1" x14ac:dyDescent="0.25">
      <c r="B10" s="12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76"/>
    </row>
    <row r="11" spans="2:21" ht="20.100000000000001" customHeight="1" x14ac:dyDescent="0.25">
      <c r="B11" s="125"/>
      <c r="C11" s="125"/>
      <c r="D11" s="128"/>
      <c r="E11" s="127"/>
      <c r="F11" s="125"/>
      <c r="G11" s="125"/>
      <c r="H11" s="125"/>
      <c r="I11" s="125"/>
      <c r="J11" s="125"/>
      <c r="K11" s="125"/>
      <c r="L11" s="128"/>
      <c r="M11" s="127"/>
      <c r="N11" s="125"/>
      <c r="O11" s="76"/>
    </row>
    <row r="12" spans="2:21" ht="20.100000000000001" customHeight="1" x14ac:dyDescent="0.25">
      <c r="B12" s="125"/>
      <c r="C12" s="125"/>
      <c r="D12" s="128"/>
      <c r="E12" s="127"/>
      <c r="F12" s="125"/>
      <c r="G12" s="125"/>
      <c r="H12" s="125"/>
      <c r="I12" s="125"/>
      <c r="J12" s="125"/>
      <c r="K12" s="125"/>
      <c r="L12" s="128"/>
      <c r="M12" s="127"/>
      <c r="N12" s="125"/>
      <c r="O12" s="76"/>
    </row>
    <row r="13" spans="2:21" ht="20.100000000000001" customHeight="1" x14ac:dyDescent="0.25">
      <c r="B13" s="125"/>
      <c r="C13" s="125"/>
      <c r="D13" s="128"/>
      <c r="E13" s="127"/>
      <c r="F13" s="125"/>
      <c r="G13" s="125"/>
      <c r="H13" s="125"/>
      <c r="I13" s="125"/>
      <c r="J13" s="125"/>
      <c r="K13" s="125"/>
      <c r="L13" s="128"/>
      <c r="M13" s="127"/>
      <c r="N13" s="125"/>
      <c r="O13" s="76"/>
    </row>
    <row r="14" spans="2:21" ht="20.100000000000001" customHeight="1" x14ac:dyDescent="0.25">
      <c r="B14" s="125"/>
      <c r="C14" s="125"/>
      <c r="D14" s="128"/>
      <c r="E14" s="127"/>
      <c r="F14" s="125"/>
      <c r="G14" s="125"/>
      <c r="H14" s="125"/>
      <c r="I14" s="125"/>
      <c r="J14" s="125"/>
      <c r="K14" s="125"/>
      <c r="L14" s="128"/>
      <c r="M14" s="127"/>
      <c r="N14" s="125"/>
      <c r="O14" s="76"/>
    </row>
    <row r="15" spans="2:21" ht="20.100000000000001" customHeight="1" x14ac:dyDescent="0.25">
      <c r="B15" s="125"/>
      <c r="C15" s="120"/>
      <c r="D15" s="129"/>
      <c r="E15" s="130"/>
      <c r="F15" s="120"/>
      <c r="G15" s="125"/>
      <c r="H15" s="125"/>
      <c r="I15" s="125"/>
      <c r="J15" s="125"/>
      <c r="K15" s="120"/>
      <c r="L15" s="129"/>
      <c r="M15" s="130"/>
      <c r="N15" s="120"/>
      <c r="O15" s="76"/>
    </row>
    <row r="16" spans="2:21" s="63" customFormat="1" ht="20.100000000000001" customHeight="1" x14ac:dyDescent="0.25">
      <c r="B16" s="50"/>
      <c r="C16" s="51"/>
      <c r="D16" s="9"/>
      <c r="E16" s="9"/>
      <c r="F16" s="9"/>
      <c r="G16" s="10"/>
      <c r="H16" s="10"/>
      <c r="I16" s="10"/>
      <c r="J16" s="10"/>
      <c r="K16" s="9"/>
      <c r="M16" s="10"/>
      <c r="N16" s="10"/>
    </row>
    <row r="17" spans="2:15" ht="20.100000000000001" customHeight="1" x14ac:dyDescent="0.25">
      <c r="B17" s="125"/>
      <c r="C17" s="126"/>
      <c r="D17" s="125"/>
      <c r="E17" s="125"/>
      <c r="F17" s="125"/>
      <c r="G17" s="125"/>
      <c r="H17" s="125"/>
      <c r="I17" s="125"/>
      <c r="J17" s="125"/>
      <c r="K17" s="100"/>
      <c r="L17" s="125"/>
      <c r="M17" s="125"/>
      <c r="N17" s="125"/>
      <c r="O17" s="76"/>
    </row>
    <row r="18" spans="2:15" ht="20.100000000000001" customHeight="1" x14ac:dyDescent="0.25">
      <c r="B18" s="125"/>
      <c r="C18" s="125"/>
      <c r="D18" s="128"/>
      <c r="E18" s="127"/>
      <c r="F18" s="125"/>
      <c r="G18" s="125"/>
      <c r="H18" s="125"/>
      <c r="I18" s="125"/>
      <c r="J18" s="125"/>
      <c r="K18" s="125"/>
      <c r="L18" s="128"/>
      <c r="M18" s="127"/>
      <c r="N18" s="125"/>
      <c r="O18" s="76"/>
    </row>
    <row r="19" spans="2:15" ht="20.100000000000001" customHeight="1" x14ac:dyDescent="0.25">
      <c r="B19" s="125"/>
      <c r="C19" s="125"/>
      <c r="D19" s="128"/>
      <c r="E19" s="127"/>
      <c r="F19" s="125"/>
      <c r="G19" s="125"/>
      <c r="H19" s="125"/>
      <c r="I19" s="125"/>
      <c r="J19" s="125"/>
      <c r="K19" s="125"/>
      <c r="L19" s="128"/>
      <c r="M19" s="127"/>
      <c r="N19" s="125"/>
      <c r="O19" s="76"/>
    </row>
    <row r="20" spans="2:15" ht="20.100000000000001" customHeight="1" x14ac:dyDescent="0.25">
      <c r="B20" s="125"/>
      <c r="C20" s="125"/>
      <c r="D20" s="128"/>
      <c r="E20" s="127"/>
      <c r="F20" s="125"/>
      <c r="G20" s="125"/>
      <c r="H20" s="125"/>
      <c r="I20" s="125"/>
      <c r="J20" s="125"/>
      <c r="K20" s="125"/>
      <c r="L20" s="128"/>
      <c r="M20" s="127"/>
      <c r="N20" s="125"/>
      <c r="O20" s="76"/>
    </row>
    <row r="21" spans="2:15" ht="20.100000000000001" customHeight="1" x14ac:dyDescent="0.25">
      <c r="B21" s="125"/>
      <c r="C21" s="125"/>
      <c r="D21" s="128"/>
      <c r="E21" s="127"/>
      <c r="F21" s="125"/>
      <c r="G21" s="125"/>
      <c r="H21" s="125"/>
      <c r="I21" s="125"/>
      <c r="J21" s="125"/>
      <c r="K21" s="125"/>
      <c r="L21" s="128"/>
      <c r="M21" s="127"/>
      <c r="N21" s="125"/>
      <c r="O21" s="76"/>
    </row>
    <row r="22" spans="2:15" ht="20.100000000000001" customHeight="1" x14ac:dyDescent="0.25">
      <c r="B22" s="125"/>
      <c r="C22" s="125"/>
      <c r="D22" s="128"/>
      <c r="E22" s="127"/>
      <c r="F22" s="125"/>
      <c r="G22" s="125"/>
      <c r="H22" s="125"/>
      <c r="I22" s="125"/>
      <c r="J22" s="125"/>
      <c r="K22" s="125"/>
      <c r="L22" s="128"/>
      <c r="M22" s="127"/>
      <c r="N22" s="125"/>
      <c r="O22" s="76"/>
    </row>
    <row r="23" spans="2:15" ht="20.100000000000001" customHeight="1" x14ac:dyDescent="0.25">
      <c r="B23" s="125"/>
      <c r="C23" s="120"/>
      <c r="D23" s="129"/>
      <c r="E23" s="130"/>
      <c r="F23" s="120"/>
      <c r="G23" s="125"/>
      <c r="H23" s="125"/>
      <c r="I23" s="125"/>
      <c r="J23" s="125"/>
      <c r="K23" s="120"/>
      <c r="L23" s="129"/>
      <c r="M23" s="130"/>
      <c r="N23" s="120"/>
      <c r="O23" s="76"/>
    </row>
    <row r="24" spans="2:15" s="63" customFormat="1" ht="20.100000000000001" customHeight="1" x14ac:dyDescent="0.25">
      <c r="B24" s="50"/>
      <c r="C24" s="51"/>
      <c r="D24" s="9"/>
      <c r="E24" s="9"/>
      <c r="F24" s="9"/>
      <c r="G24" s="10"/>
      <c r="H24" s="10"/>
      <c r="I24" s="10"/>
      <c r="J24" s="10"/>
      <c r="K24" s="9"/>
      <c r="M24" s="10"/>
      <c r="N24" s="10"/>
    </row>
    <row r="25" spans="2:15" ht="20.100000000000001" customHeight="1" x14ac:dyDescent="0.25">
      <c r="B25" s="125"/>
      <c r="C25" s="126"/>
      <c r="D25" s="125"/>
      <c r="E25" s="125"/>
      <c r="F25" s="125"/>
      <c r="G25" s="125"/>
      <c r="H25" s="125"/>
      <c r="I25" s="125"/>
      <c r="J25" s="125"/>
      <c r="K25" s="100"/>
      <c r="L25" s="125"/>
      <c r="M25" s="125"/>
      <c r="N25" s="125"/>
      <c r="O25" s="76"/>
    </row>
    <row r="26" spans="2:15" ht="20.100000000000001" customHeight="1" x14ac:dyDescent="0.25">
      <c r="B26" s="125"/>
      <c r="C26" s="125"/>
      <c r="D26" s="128"/>
      <c r="E26" s="127"/>
      <c r="F26" s="125"/>
      <c r="G26" s="125"/>
      <c r="H26" s="125"/>
      <c r="I26" s="125"/>
      <c r="J26" s="125"/>
      <c r="K26" s="125"/>
      <c r="L26" s="128"/>
      <c r="M26" s="127"/>
      <c r="N26" s="125"/>
      <c r="O26" s="76"/>
    </row>
    <row r="27" spans="2:15" ht="20.100000000000001" customHeight="1" x14ac:dyDescent="0.25">
      <c r="B27" s="125"/>
      <c r="C27" s="120"/>
      <c r="D27" s="129"/>
      <c r="E27" s="130"/>
      <c r="F27" s="120"/>
      <c r="G27" s="125"/>
      <c r="H27" s="125"/>
      <c r="I27" s="125"/>
      <c r="J27" s="125"/>
      <c r="K27" s="120"/>
      <c r="L27" s="129"/>
      <c r="M27" s="130"/>
      <c r="N27" s="120"/>
      <c r="O27" s="76"/>
    </row>
  </sheetData>
  <mergeCells count="2">
    <mergeCell ref="B1:P2"/>
    <mergeCell ref="C9:N10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9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B075-0348-440D-B617-ABB4BC98BDF1}">
  <dimension ref="B1:L23"/>
  <sheetViews>
    <sheetView showGridLines="0" showZeros="0" view="pageBreakPreview" topLeftCell="B1" zoomScaleNormal="100" zoomScaleSheetLayoutView="100" workbookViewId="0">
      <selection activeCell="O20" sqref="O20"/>
    </sheetView>
  </sheetViews>
  <sheetFormatPr defaultRowHeight="15" x14ac:dyDescent="0.25"/>
  <cols>
    <col min="1" max="1" width="1.7109375" style="113" customWidth="1"/>
    <col min="2" max="2" width="7.42578125" style="113" customWidth="1"/>
    <col min="3" max="4" width="2.5703125" style="113" customWidth="1"/>
    <col min="5" max="5" width="68.5703125" style="113" bestFit="1" customWidth="1"/>
    <col min="6" max="6" width="34.28515625" style="113" bestFit="1" customWidth="1"/>
    <col min="7" max="7" width="11.42578125" style="113" customWidth="1"/>
    <col min="8" max="9" width="11.42578125" style="113" bestFit="1" customWidth="1"/>
    <col min="10" max="10" width="11.42578125" style="113" customWidth="1"/>
    <col min="11" max="11" width="15.140625" style="113" customWidth="1"/>
    <col min="12" max="12" width="1.7109375" style="113" customWidth="1"/>
    <col min="13" max="16384" width="9.140625" style="113"/>
  </cols>
  <sheetData>
    <row r="1" spans="2:12" s="217" customFormat="1" ht="50.1" customHeight="1" x14ac:dyDescent="0.25">
      <c r="B1" s="466" t="s">
        <v>1015</v>
      </c>
      <c r="C1" s="466"/>
      <c r="D1" s="466"/>
      <c r="E1" s="466"/>
      <c r="F1" s="466"/>
      <c r="G1" s="466"/>
      <c r="H1" s="466"/>
      <c r="I1" s="466"/>
      <c r="J1" s="466"/>
      <c r="K1" s="466"/>
      <c r="L1" s="115"/>
    </row>
    <row r="2" spans="2:12" s="217" customFormat="1" ht="9.9499999999999993" customHeight="1" x14ac:dyDescent="0.25">
      <c r="D2" s="115"/>
      <c r="E2" s="115"/>
      <c r="F2" s="115"/>
      <c r="G2" s="66"/>
      <c r="H2" s="115"/>
      <c r="I2" s="115"/>
      <c r="J2" s="115"/>
      <c r="K2" s="115"/>
      <c r="L2" s="115"/>
    </row>
    <row r="3" spans="2:12" s="218" customFormat="1" ht="15" customHeight="1" x14ac:dyDescent="0.25">
      <c r="B3" s="219" t="s">
        <v>16</v>
      </c>
      <c r="C3" s="220" t="str">
        <f>'DADOS DA OBRA'!$B$13</f>
        <v>Demolição do Estádio Ulisses Jayme, em Pirenópolis-GO, e Destinação Final de Resíduos de Construção.</v>
      </c>
      <c r="F3" s="222" t="s">
        <v>62</v>
      </c>
      <c r="G3" s="223" t="str">
        <f>'DADOS DA OBRA'!$N$22</f>
        <v>18/11/2024</v>
      </c>
      <c r="I3" s="221"/>
      <c r="J3" s="222" t="s">
        <v>366</v>
      </c>
      <c r="K3" s="224">
        <f>'DADOS DA OBRA'!$J$22</f>
        <v>1.0884</v>
      </c>
      <c r="L3" s="221"/>
    </row>
    <row r="4" spans="2:12" s="218" customFormat="1" ht="15" customHeight="1" x14ac:dyDescent="0.25">
      <c r="B4" s="219" t="s">
        <v>18</v>
      </c>
      <c r="C4" s="221" t="str">
        <f>+""&amp;'DADOS DA OBRA'!$B$16&amp;", "&amp;'DADOS DA OBRA'!$J$19&amp;", "&amp;'DADOS DA OBRA'!$P$19</f>
        <v xml:space="preserve"> R. 21 de Abril, 10 , Pirenópolis, GO</v>
      </c>
      <c r="F4" s="222" t="s">
        <v>17</v>
      </c>
      <c r="G4" s="223" t="str">
        <f>'DADOS DA OBRA'!$N$25</f>
        <v>02</v>
      </c>
      <c r="J4" s="222" t="s">
        <v>367</v>
      </c>
      <c r="K4" s="224">
        <f>'DADOS DA OBRA'!$J$25</f>
        <v>0.67240000000000011</v>
      </c>
    </row>
    <row r="5" spans="2:12" s="218" customFormat="1" ht="20.100000000000001" customHeight="1" x14ac:dyDescent="0.25">
      <c r="B5" s="219" t="s">
        <v>369</v>
      </c>
      <c r="C5" s="463" t="str">
        <f>'DADOS DA OBRA'!$B$28</f>
        <v>AGETOP CIVIL - 06/2024 - Goiás &gt; AGETOP RODOVIARIA - 06/2024 - Goiás &gt; SINAPI - 09/2024 - Goiás &gt; SICRO3 - 04/2024 - Goiás &gt; ORSE - 06/2024 - Sergipe &gt; SETOP - 07/2024 - Minas Gerais &gt; SIURB - 01/2024 - São Paulo &gt; CPOS - 06/2024 - São Paulo</v>
      </c>
      <c r="D5" s="463"/>
      <c r="E5" s="463"/>
      <c r="F5" s="222" t="s">
        <v>691</v>
      </c>
      <c r="G5" s="223" t="str">
        <f>'DADOS DA OBRA'!$B$25</f>
        <v>04 Meses</v>
      </c>
      <c r="J5" s="222" t="s">
        <v>368</v>
      </c>
      <c r="K5" s="224">
        <f>'ORÇAMENTO SINTÉTICO (SD)'!L5</f>
        <v>0.21969999999999998</v>
      </c>
    </row>
    <row r="6" spans="2:12" s="218" customFormat="1" ht="20.100000000000001" customHeight="1" x14ac:dyDescent="0.25">
      <c r="C6" s="463"/>
      <c r="D6" s="463"/>
      <c r="E6" s="463"/>
      <c r="J6" s="222" t="s">
        <v>370</v>
      </c>
      <c r="K6" s="224">
        <f>'ORÇAMENTO SINTÉTICO (SD)'!L6</f>
        <v>0.1419</v>
      </c>
    </row>
    <row r="7" spans="2:12" s="225" customFormat="1" ht="6.95" customHeight="1" x14ac:dyDescent="0.25">
      <c r="E7" s="79"/>
      <c r="K7" s="226"/>
      <c r="L7" s="227"/>
    </row>
    <row r="8" spans="2:12" s="114" customFormat="1" ht="30" customHeight="1" x14ac:dyDescent="0.25">
      <c r="B8" s="460" t="s">
        <v>66</v>
      </c>
      <c r="C8" s="460"/>
      <c r="D8" s="460"/>
      <c r="E8" s="460" t="s">
        <v>85</v>
      </c>
      <c r="F8" s="460"/>
      <c r="G8" s="460"/>
      <c r="H8" s="460"/>
      <c r="I8" s="460"/>
      <c r="J8" s="460"/>
      <c r="K8" s="276" t="s">
        <v>69</v>
      </c>
    </row>
    <row r="9" spans="2:12" ht="24.95" customHeight="1" x14ac:dyDescent="0.25">
      <c r="B9" s="458" t="s">
        <v>614</v>
      </c>
      <c r="C9" s="458"/>
      <c r="D9" s="458"/>
      <c r="E9" s="459" t="str">
        <f>'ORÇAMENTO SINTÉTICO (SD)'!E9</f>
        <v>ADMINISTRAÇÃO LOCAL</v>
      </c>
      <c r="F9" s="459"/>
      <c r="G9" s="459"/>
      <c r="H9" s="459"/>
      <c r="I9" s="459"/>
      <c r="J9" s="459"/>
      <c r="K9" s="259">
        <f>'ORÇAMENTO SINTÉTICO (SD)'!L9</f>
        <v>141361.75999999998</v>
      </c>
    </row>
    <row r="10" spans="2:12" ht="24.95" customHeight="1" x14ac:dyDescent="0.25">
      <c r="B10" s="458" t="s">
        <v>615</v>
      </c>
      <c r="C10" s="458"/>
      <c r="D10" s="458"/>
      <c r="E10" s="459" t="str">
        <f>'ORÇAMENTO SINTÉTICO (SD)'!E15</f>
        <v>CANTEIRO DE OBRAS</v>
      </c>
      <c r="F10" s="459"/>
      <c r="G10" s="459"/>
      <c r="H10" s="459"/>
      <c r="I10" s="459"/>
      <c r="J10" s="459"/>
      <c r="K10" s="259">
        <f>'ORÇAMENTO SINTÉTICO (SD)'!L15</f>
        <v>166118.56</v>
      </c>
    </row>
    <row r="11" spans="2:12" ht="24.95" customHeight="1" x14ac:dyDescent="0.25">
      <c r="B11" s="458" t="s">
        <v>616</v>
      </c>
      <c r="C11" s="458"/>
      <c r="D11" s="458"/>
      <c r="E11" s="459" t="str">
        <f>'ORÇAMENTO SINTÉTICO (SD)'!E29</f>
        <v>EQUIPAMENTOS</v>
      </c>
      <c r="F11" s="459"/>
      <c r="G11" s="459"/>
      <c r="H11" s="459"/>
      <c r="I11" s="459"/>
      <c r="J11" s="459"/>
      <c r="K11" s="259">
        <f>'ORÇAMENTO SINTÉTICO (SD)'!L29</f>
        <v>220882.93</v>
      </c>
    </row>
    <row r="12" spans="2:12" ht="24.95" customHeight="1" x14ac:dyDescent="0.25">
      <c r="B12" s="458" t="s">
        <v>617</v>
      </c>
      <c r="C12" s="458"/>
      <c r="D12" s="458"/>
      <c r="E12" s="459" t="str">
        <f>'ORÇAMENTO SINTÉTICO (SD)'!E35</f>
        <v>SEGURANÇA DO TRABALHO</v>
      </c>
      <c r="F12" s="459"/>
      <c r="G12" s="459"/>
      <c r="H12" s="459"/>
      <c r="I12" s="459"/>
      <c r="J12" s="459"/>
      <c r="K12" s="259">
        <f>'ORÇAMENTO SINTÉTICO (SD)'!L35</f>
        <v>163946.99</v>
      </c>
    </row>
    <row r="13" spans="2:12" ht="24.95" customHeight="1" x14ac:dyDescent="0.25">
      <c r="B13" s="458" t="s">
        <v>618</v>
      </c>
      <c r="C13" s="458"/>
      <c r="D13" s="458"/>
      <c r="E13" s="459" t="str">
        <f>'ORÇAMENTO SINTÉTICO (SD)'!E40</f>
        <v>SERVIÇOS PRELIMINARES</v>
      </c>
      <c r="F13" s="459"/>
      <c r="G13" s="459"/>
      <c r="H13" s="459"/>
      <c r="I13" s="459"/>
      <c r="J13" s="459"/>
      <c r="K13" s="259">
        <f>'ORÇAMENTO SINTÉTICO (SD)'!L40</f>
        <v>2800</v>
      </c>
    </row>
    <row r="14" spans="2:12" ht="24.95" customHeight="1" x14ac:dyDescent="0.25">
      <c r="B14" s="458" t="s">
        <v>619</v>
      </c>
      <c r="C14" s="458"/>
      <c r="D14" s="458"/>
      <c r="E14" s="459" t="str">
        <f>'ORÇAMENTO SINTÉTICO (SD)'!E42</f>
        <v>DEMOLIÇÕES - ARQUIBANCADA PRINCIPAL</v>
      </c>
      <c r="F14" s="459"/>
      <c r="G14" s="459"/>
      <c r="H14" s="459"/>
      <c r="I14" s="459"/>
      <c r="J14" s="459"/>
      <c r="K14" s="259">
        <f>'ORÇAMENTO SINTÉTICO (SD)'!L42</f>
        <v>330847.2</v>
      </c>
    </row>
    <row r="15" spans="2:12" ht="24.95" customHeight="1" x14ac:dyDescent="0.25">
      <c r="B15" s="458" t="s">
        <v>620</v>
      </c>
      <c r="C15" s="458"/>
      <c r="D15" s="458"/>
      <c r="E15" s="459" t="str">
        <f>'ORÇAMENTO SINTÉTICO (SD)'!E58</f>
        <v>DEMOLIÇÃO - TORRES</v>
      </c>
      <c r="F15" s="459"/>
      <c r="G15" s="459"/>
      <c r="H15" s="459"/>
      <c r="I15" s="459"/>
      <c r="J15" s="459"/>
      <c r="K15" s="259">
        <f>'ORÇAMENTO SINTÉTICO (SD)'!L58</f>
        <v>17872.02</v>
      </c>
    </row>
    <row r="16" spans="2:12" ht="24.95" customHeight="1" x14ac:dyDescent="0.25">
      <c r="B16" s="458" t="s">
        <v>621</v>
      </c>
      <c r="C16" s="458"/>
      <c r="D16" s="458"/>
      <c r="E16" s="459" t="str">
        <f>'ORÇAMENTO SINTÉTICO (SD)'!E63</f>
        <v>DEMOLIÇÕES - ARQUIBANCADA MENOR</v>
      </c>
      <c r="F16" s="459"/>
      <c r="G16" s="459"/>
      <c r="H16" s="459"/>
      <c r="I16" s="459"/>
      <c r="J16" s="459"/>
      <c r="K16" s="259">
        <f>'ORÇAMENTO SINTÉTICO (SD)'!L63</f>
        <v>38066.74</v>
      </c>
    </row>
    <row r="17" spans="2:12" ht="24.95" customHeight="1" x14ac:dyDescent="0.25">
      <c r="B17" s="458" t="s">
        <v>622</v>
      </c>
      <c r="C17" s="458"/>
      <c r="D17" s="458"/>
      <c r="E17" s="459" t="str">
        <f>'ORÇAMENTO SINTÉTICO (SD)'!E67</f>
        <v>DEMOLIÇÕES - ARRIMO</v>
      </c>
      <c r="F17" s="459"/>
      <c r="G17" s="459"/>
      <c r="H17" s="459"/>
      <c r="I17" s="459"/>
      <c r="J17" s="459"/>
      <c r="K17" s="259">
        <f>'ORÇAMENTO SINTÉTICO (SD)'!L67</f>
        <v>10021.029999999999</v>
      </c>
    </row>
    <row r="18" spans="2:12" ht="24.95" customHeight="1" x14ac:dyDescent="0.25">
      <c r="B18" s="458" t="s">
        <v>623</v>
      </c>
      <c r="C18" s="458"/>
      <c r="D18" s="458"/>
      <c r="E18" s="459" t="str">
        <f>'ORÇAMENTO SINTÉTICO (SD)'!E70</f>
        <v>TRANSPORTES</v>
      </c>
      <c r="F18" s="459"/>
      <c r="G18" s="459"/>
      <c r="H18" s="459"/>
      <c r="I18" s="459"/>
      <c r="J18" s="459"/>
      <c r="K18" s="259">
        <f>'ORÇAMENTO SINTÉTICO (SD)'!L70</f>
        <v>1558885.21</v>
      </c>
    </row>
    <row r="19" spans="2:12" ht="24.95" customHeight="1" x14ac:dyDescent="0.25">
      <c r="B19" s="458" t="s">
        <v>624</v>
      </c>
      <c r="C19" s="458"/>
      <c r="D19" s="458"/>
      <c r="E19" s="459" t="str">
        <f>'ORÇAMENTO SINTÉTICO (SD)'!E74</f>
        <v>GERENCIAMENTO DE RESÍDUOS</v>
      </c>
      <c r="F19" s="459"/>
      <c r="G19" s="459"/>
      <c r="H19" s="459"/>
      <c r="I19" s="459"/>
      <c r="J19" s="459"/>
      <c r="K19" s="259">
        <f>'ORÇAMENTO SINTÉTICO (SD)'!L74</f>
        <v>162297.04</v>
      </c>
    </row>
    <row r="20" spans="2:12" ht="15.75" thickBot="1" x14ac:dyDescent="0.3"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2:12" ht="24.95" customHeight="1" x14ac:dyDescent="0.25">
      <c r="B21" s="464"/>
      <c r="C21" s="464"/>
      <c r="D21" s="464"/>
      <c r="E21" s="213"/>
      <c r="F21" s="212"/>
      <c r="G21" s="465"/>
      <c r="H21" s="464"/>
      <c r="I21" s="467" t="s">
        <v>363</v>
      </c>
      <c r="J21" s="468"/>
      <c r="K21" s="469">
        <f>'ORÇAMENTO SINTÉTICO (SD)'!L77</f>
        <v>2331251.2700000005</v>
      </c>
      <c r="L21" s="470"/>
    </row>
    <row r="22" spans="2:12" ht="24.95" customHeight="1" x14ac:dyDescent="0.25">
      <c r="B22" s="464"/>
      <c r="C22" s="464"/>
      <c r="D22" s="464"/>
      <c r="E22" s="213"/>
      <c r="F22" s="212"/>
      <c r="G22" s="465"/>
      <c r="H22" s="464"/>
      <c r="I22" s="471" t="s">
        <v>364</v>
      </c>
      <c r="J22" s="472"/>
      <c r="K22" s="473">
        <f>+K23-K21</f>
        <v>481848.2099999995</v>
      </c>
      <c r="L22" s="474"/>
    </row>
    <row r="23" spans="2:12" ht="24.95" customHeight="1" thickBot="1" x14ac:dyDescent="0.3">
      <c r="B23" s="464"/>
      <c r="C23" s="464"/>
      <c r="D23" s="464"/>
      <c r="E23" s="213"/>
      <c r="F23" s="212"/>
      <c r="G23" s="465"/>
      <c r="H23" s="464"/>
      <c r="I23" s="475" t="s">
        <v>365</v>
      </c>
      <c r="J23" s="476"/>
      <c r="K23" s="461">
        <f>SUM(K9:K19)</f>
        <v>2813099.48</v>
      </c>
      <c r="L23" s="462"/>
    </row>
  </sheetData>
  <mergeCells count="38">
    <mergeCell ref="K23:L23"/>
    <mergeCell ref="C5:E6"/>
    <mergeCell ref="B23:D23"/>
    <mergeCell ref="G23:H23"/>
    <mergeCell ref="B1:K1"/>
    <mergeCell ref="I21:J21"/>
    <mergeCell ref="K21:L21"/>
    <mergeCell ref="I22:J22"/>
    <mergeCell ref="K22:L22"/>
    <mergeCell ref="I23:J23"/>
    <mergeCell ref="B21:D21"/>
    <mergeCell ref="G21:H21"/>
    <mergeCell ref="B22:D22"/>
    <mergeCell ref="G22:H22"/>
    <mergeCell ref="B17:D17"/>
    <mergeCell ref="E17:J17"/>
    <mergeCell ref="B18:D18"/>
    <mergeCell ref="E18:J18"/>
    <mergeCell ref="B19:D19"/>
    <mergeCell ref="E19:J19"/>
    <mergeCell ref="B14:D14"/>
    <mergeCell ref="E14:J14"/>
    <mergeCell ref="B15:D15"/>
    <mergeCell ref="E15:J15"/>
    <mergeCell ref="B16:D16"/>
    <mergeCell ref="E16:J16"/>
    <mergeCell ref="B13:D13"/>
    <mergeCell ref="E13:J13"/>
    <mergeCell ref="B8:D8"/>
    <mergeCell ref="E8:J8"/>
    <mergeCell ref="B9:D9"/>
    <mergeCell ref="E9:J9"/>
    <mergeCell ref="B10:D10"/>
    <mergeCell ref="E10:J10"/>
    <mergeCell ref="B11:D11"/>
    <mergeCell ref="E11:J11"/>
    <mergeCell ref="B12:D12"/>
    <mergeCell ref="E12:J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headerFooter>
    <oddHeader>&amp;L&amp;G</oddHeader>
    <oddFooter>&amp;L&amp;"Arial Narrow,Normal"&amp;10&amp;A
&amp;F&amp;R&amp;"Arial Narrow,Normal"&amp;10Página &amp;P de &amp;N</oddFooter>
  </headerFooter>
  <colBreaks count="1" manualBreakCount="1">
    <brk id="12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D7A6-5B26-4405-8C9A-00CB58539BBA}">
  <dimension ref="B1:S79"/>
  <sheetViews>
    <sheetView showGridLines="0" showZeros="0" view="pageBreakPreview" topLeftCell="A53" zoomScale="85" zoomScaleNormal="100" zoomScaleSheetLayoutView="85" workbookViewId="0">
      <selection activeCell="H57" sqref="H57"/>
    </sheetView>
  </sheetViews>
  <sheetFormatPr defaultRowHeight="12.75" x14ac:dyDescent="0.25"/>
  <cols>
    <col min="1" max="1" width="1.7109375" style="65" customWidth="1"/>
    <col min="2" max="2" width="8.7109375" style="65" customWidth="1"/>
    <col min="3" max="3" width="13.7109375" style="65" customWidth="1"/>
    <col min="4" max="4" width="12.5703125" style="65" customWidth="1"/>
    <col min="5" max="5" width="68.5703125" style="65" bestFit="1" customWidth="1"/>
    <col min="6" max="6" width="9.140625" style="65" bestFit="1"/>
    <col min="7" max="8" width="14.85546875" style="65" bestFit="1" customWidth="1"/>
    <col min="9" max="9" width="16.28515625" style="65" customWidth="1"/>
    <col min="10" max="10" width="11.140625" style="65" customWidth="1"/>
    <col min="11" max="11" width="15.85546875" style="65" customWidth="1"/>
    <col min="12" max="12" width="14.85546875" style="65" bestFit="1" customWidth="1"/>
    <col min="13" max="13" width="1.7109375" style="65" customWidth="1"/>
    <col min="14" max="18" width="9.140625" style="65"/>
    <col min="19" max="19" width="9.85546875" style="65" bestFit="1" customWidth="1"/>
    <col min="20" max="16384" width="9.140625" style="65"/>
  </cols>
  <sheetData>
    <row r="1" spans="2:19" s="217" customFormat="1" ht="50.1" customHeight="1" x14ac:dyDescent="0.25">
      <c r="B1" s="466" t="s">
        <v>377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115"/>
    </row>
    <row r="2" spans="2:19" s="217" customFormat="1" ht="9.9499999999999993" customHeight="1" x14ac:dyDescent="0.25">
      <c r="C2" s="115"/>
      <c r="D2" s="115"/>
      <c r="E2" s="115"/>
      <c r="F2" s="66"/>
      <c r="G2" s="115"/>
      <c r="H2" s="115"/>
      <c r="I2" s="115"/>
      <c r="J2" s="115"/>
      <c r="K2" s="115"/>
      <c r="L2" s="115"/>
      <c r="M2" s="115"/>
    </row>
    <row r="3" spans="2:19" s="218" customFormat="1" ht="15" customHeight="1" x14ac:dyDescent="0.25">
      <c r="B3" s="219" t="s">
        <v>16</v>
      </c>
      <c r="C3" s="220" t="str">
        <f>'DADOS DA OBRA'!$B$13</f>
        <v>Demolição do Estádio Ulisses Jayme, em Pirenópolis-GO, e Destinação Final de Resíduos de Construção.</v>
      </c>
      <c r="G3" s="222" t="s">
        <v>62</v>
      </c>
      <c r="H3" s="223" t="str">
        <f>'DADOS DA OBRA'!$N$22</f>
        <v>18/11/2024</v>
      </c>
      <c r="I3" s="221"/>
      <c r="J3" s="221"/>
      <c r="K3" s="222" t="s">
        <v>366</v>
      </c>
      <c r="L3" s="224">
        <f>'ENCARGOS SOCIAIS'!F43</f>
        <v>1.0884</v>
      </c>
      <c r="M3" s="221"/>
    </row>
    <row r="4" spans="2:19" s="218" customFormat="1" ht="15" customHeight="1" x14ac:dyDescent="0.25">
      <c r="B4" s="219" t="s">
        <v>18</v>
      </c>
      <c r="C4" s="221" t="str">
        <f>+""&amp;'DADOS DA OBRA'!$B$16&amp;", "&amp;'DADOS DA OBRA'!$J$19&amp;", "&amp;'DADOS DA OBRA'!$P$19</f>
        <v xml:space="preserve"> R. 21 de Abril, 10 , Pirenópolis, GO</v>
      </c>
      <c r="G4" s="222" t="s">
        <v>17</v>
      </c>
      <c r="H4" s="223" t="str">
        <f>'DADOS DA OBRA'!$N$25</f>
        <v>02</v>
      </c>
      <c r="K4" s="222" t="s">
        <v>367</v>
      </c>
      <c r="L4" s="224">
        <f>'ENCARGOS SOCIAIS'!G43</f>
        <v>0.67240000000000011</v>
      </c>
    </row>
    <row r="5" spans="2:19" s="218" customFormat="1" ht="20.100000000000001" customHeight="1" x14ac:dyDescent="0.25">
      <c r="B5" s="219" t="s">
        <v>369</v>
      </c>
      <c r="C5" s="490" t="str">
        <f>'DADOS DA OBRA'!$B$28</f>
        <v>AGETOP CIVIL - 06/2024 - Goiás &gt; AGETOP RODOVIARIA - 06/2024 - Goiás &gt; SINAPI - 09/2024 - Goiás &gt; SICRO3 - 04/2024 - Goiás &gt; ORSE - 06/2024 - Sergipe &gt; SETOP - 07/2024 - Minas Gerais &gt; SIURB - 01/2024 - São Paulo &gt; CPOS - 06/2024 - São Paulo</v>
      </c>
      <c r="D5" s="490"/>
      <c r="E5" s="490"/>
      <c r="F5" s="490"/>
      <c r="G5" s="222" t="s">
        <v>691</v>
      </c>
      <c r="H5" s="223" t="str">
        <f>'DADOS DA OBRA'!$B$25</f>
        <v>04 Meses</v>
      </c>
      <c r="J5" s="394"/>
      <c r="K5" s="222" t="s">
        <v>368</v>
      </c>
      <c r="L5" s="224">
        <f>+'BDI NORMAL (SD) '!F21/100</f>
        <v>0.21969999999999998</v>
      </c>
    </row>
    <row r="6" spans="2:19" s="218" customFormat="1" ht="20.100000000000001" customHeight="1" x14ac:dyDescent="0.25">
      <c r="C6" s="490"/>
      <c r="D6" s="490"/>
      <c r="E6" s="490"/>
      <c r="F6" s="490"/>
      <c r="J6" s="395"/>
      <c r="K6" s="222" t="s">
        <v>370</v>
      </c>
      <c r="L6" s="224">
        <f>+'BDI DIFERENCIADO (SD) '!F21/100</f>
        <v>0.1419</v>
      </c>
    </row>
    <row r="7" spans="2:19" s="225" customFormat="1" ht="6.95" customHeight="1" x14ac:dyDescent="0.25">
      <c r="D7" s="79"/>
      <c r="L7" s="226"/>
      <c r="M7" s="227"/>
    </row>
    <row r="8" spans="2:19" s="97" customFormat="1" ht="30" customHeight="1" x14ac:dyDescent="0.25">
      <c r="B8" s="239" t="s">
        <v>66</v>
      </c>
      <c r="C8" s="239" t="s">
        <v>43</v>
      </c>
      <c r="D8" s="239" t="s">
        <v>213</v>
      </c>
      <c r="E8" s="239" t="s">
        <v>85</v>
      </c>
      <c r="F8" s="239" t="s">
        <v>68</v>
      </c>
      <c r="G8" s="239" t="s">
        <v>290</v>
      </c>
      <c r="H8" s="239" t="s">
        <v>1007</v>
      </c>
      <c r="I8" s="239" t="s">
        <v>1008</v>
      </c>
      <c r="J8" s="239" t="s">
        <v>929</v>
      </c>
      <c r="K8" s="239" t="s">
        <v>1009</v>
      </c>
      <c r="L8" s="239" t="s">
        <v>1010</v>
      </c>
    </row>
    <row r="9" spans="2:19" x14ac:dyDescent="0.25">
      <c r="B9" s="231" t="s">
        <v>293</v>
      </c>
      <c r="C9" s="231"/>
      <c r="D9" s="231"/>
      <c r="E9" s="230" t="s">
        <v>119</v>
      </c>
      <c r="F9" s="236"/>
      <c r="G9" s="232"/>
      <c r="H9" s="230"/>
      <c r="I9" s="232">
        <f>SUBTOTAL(9,I10:I14)</f>
        <v>115917.44</v>
      </c>
      <c r="J9" s="230"/>
      <c r="K9" s="232"/>
      <c r="L9" s="232">
        <f>SUBTOTAL(9,L10:L14)</f>
        <v>141361.75999999998</v>
      </c>
    </row>
    <row r="10" spans="2:19" x14ac:dyDescent="0.25">
      <c r="B10" s="235" t="s">
        <v>294</v>
      </c>
      <c r="C10" s="235" t="s">
        <v>215</v>
      </c>
      <c r="D10" s="235" t="s">
        <v>295</v>
      </c>
      <c r="E10" s="233" t="s">
        <v>296</v>
      </c>
      <c r="F10" s="238" t="s">
        <v>48</v>
      </c>
      <c r="G10" s="234">
        <f>'ADMINISTRAÇÃO LOCAL'!$E$15</f>
        <v>240</v>
      </c>
      <c r="H10" s="234">
        <v>96.79</v>
      </c>
      <c r="I10" s="234">
        <f>TRUNC(G10 * H10, 2)</f>
        <v>23229.599999999999</v>
      </c>
      <c r="J10" s="396">
        <f>+$L$5</f>
        <v>0.21969999999999998</v>
      </c>
      <c r="K10" s="234">
        <f>TRUNC(H10 * (1 + J10), 2)</f>
        <v>118.05</v>
      </c>
      <c r="L10" s="234">
        <f>TRUNC(G10 * K10, 2)</f>
        <v>28332</v>
      </c>
    </row>
    <row r="11" spans="2:19" x14ac:dyDescent="0.25">
      <c r="B11" s="235" t="s">
        <v>297</v>
      </c>
      <c r="C11" s="235" t="s">
        <v>215</v>
      </c>
      <c r="D11" s="235" t="s">
        <v>924</v>
      </c>
      <c r="E11" s="233" t="s">
        <v>134</v>
      </c>
      <c r="F11" s="238" t="s">
        <v>47</v>
      </c>
      <c r="G11" s="234">
        <f>'ADMINISTRAÇÃO LOCAL'!$M$15</f>
        <v>240</v>
      </c>
      <c r="H11" s="234">
        <v>24.07</v>
      </c>
      <c r="I11" s="234">
        <f t="shared" ref="I11:I14" si="0">TRUNC(G11 * H11, 2)</f>
        <v>5776.8</v>
      </c>
      <c r="J11" s="396">
        <f t="shared" ref="J11:J14" si="1">+$L$5</f>
        <v>0.21969999999999998</v>
      </c>
      <c r="K11" s="234">
        <f t="shared" ref="K11:K14" si="2">TRUNC(H11 * (1 + J11), 2)</f>
        <v>29.35</v>
      </c>
      <c r="L11" s="234">
        <f t="shared" ref="L11:L14" si="3">TRUNC(G11 * K11, 2)</f>
        <v>7044</v>
      </c>
    </row>
    <row r="12" spans="2:19" x14ac:dyDescent="0.25">
      <c r="B12" s="235" t="s">
        <v>298</v>
      </c>
      <c r="C12" s="235" t="s">
        <v>215</v>
      </c>
      <c r="D12" s="235" t="s">
        <v>299</v>
      </c>
      <c r="E12" s="233" t="s">
        <v>132</v>
      </c>
      <c r="F12" s="238" t="s">
        <v>48</v>
      </c>
      <c r="G12" s="234">
        <f>'ADMINISTRAÇÃO LOCAL'!$E$23</f>
        <v>880</v>
      </c>
      <c r="H12" s="234">
        <v>26.12</v>
      </c>
      <c r="I12" s="234">
        <f t="shared" si="0"/>
        <v>22985.599999999999</v>
      </c>
      <c r="J12" s="396">
        <f t="shared" si="1"/>
        <v>0.21969999999999998</v>
      </c>
      <c r="K12" s="234">
        <f t="shared" si="2"/>
        <v>31.85</v>
      </c>
      <c r="L12" s="234">
        <f t="shared" si="3"/>
        <v>28028</v>
      </c>
    </row>
    <row r="13" spans="2:19" x14ac:dyDescent="0.25">
      <c r="B13" s="235" t="s">
        <v>300</v>
      </c>
      <c r="C13" s="235" t="s">
        <v>215</v>
      </c>
      <c r="D13" s="235" t="s">
        <v>301</v>
      </c>
      <c r="E13" s="233" t="s">
        <v>302</v>
      </c>
      <c r="F13" s="238" t="s">
        <v>48</v>
      </c>
      <c r="G13" s="234">
        <f>'ADMINISTRAÇÃO LOCAL'!$E$31</f>
        <v>2688</v>
      </c>
      <c r="H13" s="234">
        <v>18.18</v>
      </c>
      <c r="I13" s="234">
        <f t="shared" si="0"/>
        <v>48867.839999999997</v>
      </c>
      <c r="J13" s="396">
        <f t="shared" si="1"/>
        <v>0.21969999999999998</v>
      </c>
      <c r="K13" s="234">
        <f t="shared" si="2"/>
        <v>22.17</v>
      </c>
      <c r="L13" s="234">
        <f t="shared" si="3"/>
        <v>59592.959999999999</v>
      </c>
    </row>
    <row r="14" spans="2:19" x14ac:dyDescent="0.25">
      <c r="B14" s="235" t="s">
        <v>925</v>
      </c>
      <c r="C14" s="235" t="s">
        <v>853</v>
      </c>
      <c r="D14" s="235" t="s">
        <v>926</v>
      </c>
      <c r="E14" s="233" t="s">
        <v>927</v>
      </c>
      <c r="F14" s="238" t="s">
        <v>928</v>
      </c>
      <c r="G14" s="234">
        <f>'ADMINISTRAÇÃO LOCAL'!$M$23</f>
        <v>240</v>
      </c>
      <c r="H14" s="234">
        <v>62.74</v>
      </c>
      <c r="I14" s="234">
        <f t="shared" si="0"/>
        <v>15057.6</v>
      </c>
      <c r="J14" s="396">
        <f t="shared" si="1"/>
        <v>0.21969999999999998</v>
      </c>
      <c r="K14" s="234">
        <f t="shared" si="2"/>
        <v>76.52</v>
      </c>
      <c r="L14" s="234">
        <f t="shared" si="3"/>
        <v>18364.8</v>
      </c>
    </row>
    <row r="15" spans="2:19" x14ac:dyDescent="0.25">
      <c r="B15" s="231" t="s">
        <v>303</v>
      </c>
      <c r="C15" s="231"/>
      <c r="D15" s="231"/>
      <c r="E15" s="230" t="s">
        <v>103</v>
      </c>
      <c r="F15" s="236"/>
      <c r="G15" s="232"/>
      <c r="H15" s="230"/>
      <c r="I15" s="232">
        <f>SUBTOTAL(9,I16:I28)</f>
        <v>136214.21</v>
      </c>
      <c r="J15" s="230"/>
      <c r="K15" s="232"/>
      <c r="L15" s="232">
        <f>SUBTOTAL(9,L16:L28)</f>
        <v>166118.56</v>
      </c>
    </row>
    <row r="16" spans="2:19" ht="25.5" x14ac:dyDescent="0.25">
      <c r="B16" s="235" t="s">
        <v>304</v>
      </c>
      <c r="C16" s="235" t="s">
        <v>215</v>
      </c>
      <c r="D16" s="235" t="s">
        <v>930</v>
      </c>
      <c r="E16" s="267" t="s">
        <v>868</v>
      </c>
      <c r="F16" s="229" t="s">
        <v>863</v>
      </c>
      <c r="G16" s="234">
        <f>CANTEIRO!$J$12</f>
        <v>4</v>
      </c>
      <c r="H16" s="234">
        <v>1287.5</v>
      </c>
      <c r="I16" s="234">
        <f t="shared" ref="I16:I28" si="4">TRUNC(G16 * H16, 2)</f>
        <v>5150</v>
      </c>
      <c r="J16" s="396">
        <f t="shared" ref="J16:J41" si="5">+$L$5</f>
        <v>0.21969999999999998</v>
      </c>
      <c r="K16" s="234">
        <f t="shared" ref="K16:K28" si="6">TRUNC(H16 * (1 + J16), 2)</f>
        <v>1570.36</v>
      </c>
      <c r="L16" s="234">
        <f t="shared" ref="L16:L28" si="7">TRUNC(G16 * K16, 2)</f>
        <v>6281.44</v>
      </c>
      <c r="S16" s="98"/>
    </row>
    <row r="17" spans="2:19" ht="38.25" x14ac:dyDescent="0.25">
      <c r="B17" s="235" t="s">
        <v>305</v>
      </c>
      <c r="C17" s="235" t="s">
        <v>215</v>
      </c>
      <c r="D17" s="235" t="s">
        <v>932</v>
      </c>
      <c r="E17" s="267" t="s">
        <v>870</v>
      </c>
      <c r="F17" s="229" t="s">
        <v>863</v>
      </c>
      <c r="G17" s="234">
        <f>CANTEIRO!$J$17</f>
        <v>4</v>
      </c>
      <c r="H17" s="234">
        <v>2296.02</v>
      </c>
      <c r="I17" s="234">
        <f t="shared" si="4"/>
        <v>9184.08</v>
      </c>
      <c r="J17" s="396">
        <f t="shared" si="5"/>
        <v>0.21969999999999998</v>
      </c>
      <c r="K17" s="234">
        <f t="shared" si="6"/>
        <v>2800.45</v>
      </c>
      <c r="L17" s="234">
        <f t="shared" si="7"/>
        <v>11201.8</v>
      </c>
      <c r="S17" s="98"/>
    </row>
    <row r="18" spans="2:19" ht="38.25" x14ac:dyDescent="0.25">
      <c r="B18" s="235" t="s">
        <v>306</v>
      </c>
      <c r="C18" s="235" t="s">
        <v>215</v>
      </c>
      <c r="D18" s="235" t="s">
        <v>933</v>
      </c>
      <c r="E18" s="267" t="s">
        <v>872</v>
      </c>
      <c r="F18" s="229" t="s">
        <v>863</v>
      </c>
      <c r="G18" s="234">
        <f>CANTEIRO!$J$22</f>
        <v>4</v>
      </c>
      <c r="H18" s="234">
        <v>1102.3399999999999</v>
      </c>
      <c r="I18" s="234">
        <f t="shared" si="4"/>
        <v>4409.3599999999997</v>
      </c>
      <c r="J18" s="396">
        <f t="shared" si="5"/>
        <v>0.21969999999999998</v>
      </c>
      <c r="K18" s="234">
        <f t="shared" si="6"/>
        <v>1344.52</v>
      </c>
      <c r="L18" s="234">
        <f t="shared" si="7"/>
        <v>5378.08</v>
      </c>
      <c r="S18" s="98"/>
    </row>
    <row r="19" spans="2:19" ht="25.5" x14ac:dyDescent="0.25">
      <c r="B19" s="235" t="s">
        <v>309</v>
      </c>
      <c r="C19" s="235" t="s">
        <v>100</v>
      </c>
      <c r="D19" s="235" t="s">
        <v>934</v>
      </c>
      <c r="E19" s="267" t="s">
        <v>874</v>
      </c>
      <c r="F19" s="229" t="s">
        <v>863</v>
      </c>
      <c r="G19" s="234">
        <f>CANTEIRO!$J$27</f>
        <v>4</v>
      </c>
      <c r="H19" s="234">
        <v>1800</v>
      </c>
      <c r="I19" s="234">
        <f t="shared" si="4"/>
        <v>7200</v>
      </c>
      <c r="J19" s="396">
        <f t="shared" si="5"/>
        <v>0.21969999999999998</v>
      </c>
      <c r="K19" s="234">
        <f t="shared" si="6"/>
        <v>2195.46</v>
      </c>
      <c r="L19" s="234">
        <f t="shared" si="7"/>
        <v>8781.84</v>
      </c>
      <c r="S19" s="98"/>
    </row>
    <row r="20" spans="2:19" x14ac:dyDescent="0.25">
      <c r="B20" s="235" t="s">
        <v>311</v>
      </c>
      <c r="C20" s="235" t="s">
        <v>215</v>
      </c>
      <c r="D20" s="235" t="s">
        <v>936</v>
      </c>
      <c r="E20" s="267" t="s">
        <v>875</v>
      </c>
      <c r="F20" s="229" t="s">
        <v>937</v>
      </c>
      <c r="G20" s="234">
        <f>CANTEIRO!$J$31</f>
        <v>515.20000000000005</v>
      </c>
      <c r="H20" s="234">
        <v>9.61</v>
      </c>
      <c r="I20" s="234">
        <f t="shared" si="4"/>
        <v>4951.07</v>
      </c>
      <c r="J20" s="396">
        <f t="shared" si="5"/>
        <v>0.21969999999999998</v>
      </c>
      <c r="K20" s="234">
        <f t="shared" si="6"/>
        <v>11.72</v>
      </c>
      <c r="L20" s="234">
        <f t="shared" si="7"/>
        <v>6038.14</v>
      </c>
      <c r="S20" s="98"/>
    </row>
    <row r="21" spans="2:19" x14ac:dyDescent="0.25">
      <c r="B21" s="235" t="s">
        <v>313</v>
      </c>
      <c r="C21" s="235" t="s">
        <v>215</v>
      </c>
      <c r="D21" s="235" t="s">
        <v>938</v>
      </c>
      <c r="E21" s="267" t="s">
        <v>878</v>
      </c>
      <c r="F21" s="229" t="s">
        <v>937</v>
      </c>
      <c r="G21" s="234">
        <f>CANTEIRO!$J$36</f>
        <v>515.20000000000005</v>
      </c>
      <c r="H21" s="234">
        <v>9.61</v>
      </c>
      <c r="I21" s="234">
        <f t="shared" si="4"/>
        <v>4951.07</v>
      </c>
      <c r="J21" s="396">
        <f t="shared" si="5"/>
        <v>0.21969999999999998</v>
      </c>
      <c r="K21" s="234">
        <f t="shared" si="6"/>
        <v>11.72</v>
      </c>
      <c r="L21" s="234">
        <f t="shared" si="7"/>
        <v>6038.14</v>
      </c>
      <c r="S21" s="98"/>
    </row>
    <row r="22" spans="2:19" ht="25.5" x14ac:dyDescent="0.25">
      <c r="B22" s="235" t="s">
        <v>315</v>
      </c>
      <c r="C22" s="235" t="s">
        <v>215</v>
      </c>
      <c r="D22" s="235" t="s">
        <v>307</v>
      </c>
      <c r="E22" s="267" t="s">
        <v>109</v>
      </c>
      <c r="F22" s="229" t="s">
        <v>96</v>
      </c>
      <c r="G22" s="234">
        <f>CANTEIRO!$J$41</f>
        <v>1</v>
      </c>
      <c r="H22" s="234">
        <v>3342.16</v>
      </c>
      <c r="I22" s="234">
        <f t="shared" si="4"/>
        <v>3342.16</v>
      </c>
      <c r="J22" s="396">
        <f t="shared" si="5"/>
        <v>0.21969999999999998</v>
      </c>
      <c r="K22" s="234">
        <f t="shared" si="6"/>
        <v>4076.43</v>
      </c>
      <c r="L22" s="234">
        <f t="shared" si="7"/>
        <v>4076.43</v>
      </c>
      <c r="S22" s="98"/>
    </row>
    <row r="23" spans="2:19" x14ac:dyDescent="0.25">
      <c r="B23" s="235" t="s">
        <v>317</v>
      </c>
      <c r="C23" s="235" t="s">
        <v>215</v>
      </c>
      <c r="D23" s="235" t="s">
        <v>310</v>
      </c>
      <c r="E23" s="267" t="s">
        <v>111</v>
      </c>
      <c r="F23" s="229" t="s">
        <v>96</v>
      </c>
      <c r="G23" s="234">
        <f>CANTEIRO!$J$46</f>
        <v>1</v>
      </c>
      <c r="H23" s="234">
        <v>4829.8100000000004</v>
      </c>
      <c r="I23" s="234">
        <f t="shared" si="4"/>
        <v>4829.8100000000004</v>
      </c>
      <c r="J23" s="396">
        <f t="shared" si="5"/>
        <v>0.21969999999999998</v>
      </c>
      <c r="K23" s="234">
        <f t="shared" si="6"/>
        <v>5890.91</v>
      </c>
      <c r="L23" s="234">
        <f t="shared" si="7"/>
        <v>5890.91</v>
      </c>
      <c r="S23" s="98"/>
    </row>
    <row r="24" spans="2:19" ht="25.5" x14ac:dyDescent="0.25">
      <c r="B24" s="235" t="s">
        <v>320</v>
      </c>
      <c r="C24" s="235" t="s">
        <v>215</v>
      </c>
      <c r="D24" s="235" t="s">
        <v>316</v>
      </c>
      <c r="E24" s="267" t="s">
        <v>117</v>
      </c>
      <c r="F24" s="229" t="s">
        <v>93</v>
      </c>
      <c r="G24" s="234">
        <f>CANTEIRO!$K$52</f>
        <v>7.5</v>
      </c>
      <c r="H24" s="234">
        <v>386.74</v>
      </c>
      <c r="I24" s="234">
        <f t="shared" si="4"/>
        <v>2900.55</v>
      </c>
      <c r="J24" s="396">
        <f t="shared" si="5"/>
        <v>0.21969999999999998</v>
      </c>
      <c r="K24" s="234">
        <f t="shared" si="6"/>
        <v>471.7</v>
      </c>
      <c r="L24" s="234">
        <f t="shared" si="7"/>
        <v>3537.75</v>
      </c>
      <c r="S24" s="98"/>
    </row>
    <row r="25" spans="2:19" ht="25.5" x14ac:dyDescent="0.25">
      <c r="B25" s="235" t="s">
        <v>939</v>
      </c>
      <c r="C25" s="235" t="s">
        <v>215</v>
      </c>
      <c r="D25" s="235" t="s">
        <v>312</v>
      </c>
      <c r="E25" s="267" t="s">
        <v>113</v>
      </c>
      <c r="F25" s="229" t="s">
        <v>93</v>
      </c>
      <c r="G25" s="234">
        <f>CANTEIRO!$K$58</f>
        <v>1024.75</v>
      </c>
      <c r="H25" s="234">
        <v>47.75</v>
      </c>
      <c r="I25" s="234">
        <f t="shared" si="4"/>
        <v>48931.81</v>
      </c>
      <c r="J25" s="396">
        <f t="shared" si="5"/>
        <v>0.21969999999999998</v>
      </c>
      <c r="K25" s="234">
        <f t="shared" si="6"/>
        <v>58.24</v>
      </c>
      <c r="L25" s="234">
        <f t="shared" si="7"/>
        <v>59681.440000000002</v>
      </c>
      <c r="S25" s="98"/>
    </row>
    <row r="26" spans="2:19" ht="25.5" x14ac:dyDescent="0.25">
      <c r="B26" s="235" t="s">
        <v>940</v>
      </c>
      <c r="C26" s="235" t="s">
        <v>215</v>
      </c>
      <c r="D26" s="235" t="s">
        <v>314</v>
      </c>
      <c r="E26" s="267" t="s">
        <v>115</v>
      </c>
      <c r="F26" s="229" t="s">
        <v>93</v>
      </c>
      <c r="G26" s="234">
        <f>CANTEIRO!$K$64</f>
        <v>1024.75</v>
      </c>
      <c r="H26" s="234">
        <v>7.39</v>
      </c>
      <c r="I26" s="234">
        <f t="shared" si="4"/>
        <v>7572.9</v>
      </c>
      <c r="J26" s="396">
        <f t="shared" si="5"/>
        <v>0.21969999999999998</v>
      </c>
      <c r="K26" s="234">
        <f t="shared" si="6"/>
        <v>9.01</v>
      </c>
      <c r="L26" s="234">
        <f t="shared" si="7"/>
        <v>9232.99</v>
      </c>
      <c r="S26" s="98"/>
    </row>
    <row r="27" spans="2:19" x14ac:dyDescent="0.25">
      <c r="B27" s="235" t="s">
        <v>941</v>
      </c>
      <c r="C27" s="235" t="s">
        <v>215</v>
      </c>
      <c r="D27" s="235" t="s">
        <v>318</v>
      </c>
      <c r="E27" s="267" t="s">
        <v>212</v>
      </c>
      <c r="F27" s="229" t="s">
        <v>319</v>
      </c>
      <c r="G27" s="234">
        <f>CANTEIRO!$L$89</f>
        <v>1270</v>
      </c>
      <c r="H27" s="234">
        <v>22.5</v>
      </c>
      <c r="I27" s="234">
        <f t="shared" si="4"/>
        <v>28575</v>
      </c>
      <c r="J27" s="396">
        <f t="shared" si="5"/>
        <v>0.21969999999999998</v>
      </c>
      <c r="K27" s="234">
        <f t="shared" si="6"/>
        <v>27.44</v>
      </c>
      <c r="L27" s="234">
        <f t="shared" si="7"/>
        <v>34848.800000000003</v>
      </c>
      <c r="S27" s="98"/>
    </row>
    <row r="28" spans="2:19" x14ac:dyDescent="0.25">
      <c r="B28" s="235" t="s">
        <v>942</v>
      </c>
      <c r="C28" s="235" t="s">
        <v>215</v>
      </c>
      <c r="D28" s="235" t="s">
        <v>321</v>
      </c>
      <c r="E28" s="267" t="s">
        <v>247</v>
      </c>
      <c r="F28" s="229" t="s">
        <v>319</v>
      </c>
      <c r="G28" s="234">
        <f>CANTEIRO!$L$89</f>
        <v>1270</v>
      </c>
      <c r="H28" s="234">
        <v>3.32</v>
      </c>
      <c r="I28" s="234">
        <f t="shared" si="4"/>
        <v>4216.3999999999996</v>
      </c>
      <c r="J28" s="396">
        <f t="shared" si="5"/>
        <v>0.21969999999999998</v>
      </c>
      <c r="K28" s="234">
        <f t="shared" si="6"/>
        <v>4.04</v>
      </c>
      <c r="L28" s="234">
        <f t="shared" si="7"/>
        <v>5130.8</v>
      </c>
      <c r="S28" s="98"/>
    </row>
    <row r="29" spans="2:19" x14ac:dyDescent="0.25">
      <c r="B29" s="231" t="s">
        <v>322</v>
      </c>
      <c r="C29" s="231"/>
      <c r="D29" s="231"/>
      <c r="E29" s="230" t="s">
        <v>866</v>
      </c>
      <c r="F29" s="236"/>
      <c r="G29" s="232"/>
      <c r="H29" s="230"/>
      <c r="I29" s="232">
        <f>SUBTOTAL(9,I30:I34)</f>
        <v>187223.34999999998</v>
      </c>
      <c r="J29" s="230"/>
      <c r="K29" s="232"/>
      <c r="L29" s="232">
        <f>SUBTOTAL(9,L30:L34)</f>
        <v>220882.93</v>
      </c>
      <c r="S29" s="98"/>
    </row>
    <row r="30" spans="2:19" x14ac:dyDescent="0.25">
      <c r="B30" s="235" t="s">
        <v>323</v>
      </c>
      <c r="C30" s="235" t="s">
        <v>215</v>
      </c>
      <c r="D30" s="235" t="s">
        <v>943</v>
      </c>
      <c r="E30" s="267" t="s">
        <v>944</v>
      </c>
      <c r="F30" s="229" t="s">
        <v>764</v>
      </c>
      <c r="G30" s="234">
        <f>EQUIPAMENTOS!$K$12</f>
        <v>10</v>
      </c>
      <c r="H30" s="234">
        <v>28.77</v>
      </c>
      <c r="I30" s="234">
        <f t="shared" ref="I30:I34" si="8">TRUNC(G30 * H30, 2)</f>
        <v>287.7</v>
      </c>
      <c r="J30" s="396">
        <f t="shared" si="5"/>
        <v>0.21969999999999998</v>
      </c>
      <c r="K30" s="234">
        <f t="shared" ref="K30:K34" si="9">TRUNC(H30 * (1 + J30), 2)</f>
        <v>35.090000000000003</v>
      </c>
      <c r="L30" s="234">
        <f t="shared" ref="L30:L34" si="10">TRUNC(G30 * K30, 2)</f>
        <v>350.9</v>
      </c>
      <c r="S30" s="98"/>
    </row>
    <row r="31" spans="2:19" x14ac:dyDescent="0.25">
      <c r="B31" s="235" t="s">
        <v>325</v>
      </c>
      <c r="C31" s="235" t="s">
        <v>215</v>
      </c>
      <c r="D31" s="235" t="s">
        <v>946</v>
      </c>
      <c r="E31" s="267" t="s">
        <v>750</v>
      </c>
      <c r="F31" s="229" t="s">
        <v>753</v>
      </c>
      <c r="G31" s="234">
        <f>EQUIPAMENTOS!$K$19</f>
        <v>423</v>
      </c>
      <c r="H31" s="234">
        <v>22.53</v>
      </c>
      <c r="I31" s="234">
        <f t="shared" si="8"/>
        <v>9530.19</v>
      </c>
      <c r="J31" s="396">
        <f t="shared" si="5"/>
        <v>0.21969999999999998</v>
      </c>
      <c r="K31" s="234">
        <f t="shared" si="9"/>
        <v>27.47</v>
      </c>
      <c r="L31" s="234">
        <f t="shared" si="10"/>
        <v>11619.81</v>
      </c>
      <c r="S31" s="98"/>
    </row>
    <row r="32" spans="2:19" ht="25.5" x14ac:dyDescent="0.25">
      <c r="B32" s="235" t="s">
        <v>326</v>
      </c>
      <c r="C32" s="235" t="s">
        <v>252</v>
      </c>
      <c r="D32" s="235" t="s">
        <v>948</v>
      </c>
      <c r="E32" s="267" t="s">
        <v>949</v>
      </c>
      <c r="F32" s="229" t="s">
        <v>48</v>
      </c>
      <c r="G32" s="234">
        <f>EQUIPAMENTOS!$J$25</f>
        <v>200</v>
      </c>
      <c r="H32" s="234">
        <v>480</v>
      </c>
      <c r="I32" s="234">
        <f t="shared" si="8"/>
        <v>96000</v>
      </c>
      <c r="J32" s="397">
        <f>$L$6</f>
        <v>0.1419</v>
      </c>
      <c r="K32" s="234">
        <f t="shared" si="9"/>
        <v>548.11</v>
      </c>
      <c r="L32" s="234">
        <f t="shared" si="10"/>
        <v>109622</v>
      </c>
      <c r="S32" s="98"/>
    </row>
    <row r="33" spans="2:19" ht="38.25" x14ac:dyDescent="0.25">
      <c r="B33" s="235" t="s">
        <v>327</v>
      </c>
      <c r="C33" s="235" t="s">
        <v>592</v>
      </c>
      <c r="D33" s="235" t="s">
        <v>950</v>
      </c>
      <c r="E33" s="267" t="s">
        <v>860</v>
      </c>
      <c r="F33" s="229" t="s">
        <v>951</v>
      </c>
      <c r="G33" s="234">
        <f>EQUIPAMENTOS!$J$30</f>
        <v>2</v>
      </c>
      <c r="H33" s="234">
        <v>23531.11</v>
      </c>
      <c r="I33" s="234">
        <f t="shared" si="8"/>
        <v>47062.22</v>
      </c>
      <c r="J33" s="396">
        <f t="shared" si="5"/>
        <v>0.21969999999999998</v>
      </c>
      <c r="K33" s="234">
        <f t="shared" si="9"/>
        <v>28700.89</v>
      </c>
      <c r="L33" s="234">
        <f t="shared" si="10"/>
        <v>57401.78</v>
      </c>
      <c r="S33" s="98"/>
    </row>
    <row r="34" spans="2:19" ht="25.5" x14ac:dyDescent="0.25">
      <c r="B34" s="235" t="s">
        <v>328</v>
      </c>
      <c r="C34" s="235" t="s">
        <v>252</v>
      </c>
      <c r="D34" s="235" t="s">
        <v>330</v>
      </c>
      <c r="E34" s="267" t="s">
        <v>204</v>
      </c>
      <c r="F34" s="229" t="s">
        <v>96</v>
      </c>
      <c r="G34" s="234">
        <v>1</v>
      </c>
      <c r="H34" s="234">
        <v>34343.24</v>
      </c>
      <c r="I34" s="234">
        <f t="shared" si="8"/>
        <v>34343.24</v>
      </c>
      <c r="J34" s="396">
        <f t="shared" si="5"/>
        <v>0.21969999999999998</v>
      </c>
      <c r="K34" s="234">
        <f t="shared" si="9"/>
        <v>41888.44</v>
      </c>
      <c r="L34" s="234">
        <f t="shared" si="10"/>
        <v>41888.44</v>
      </c>
      <c r="S34" s="98"/>
    </row>
    <row r="35" spans="2:19" x14ac:dyDescent="0.25">
      <c r="B35" s="231" t="s">
        <v>331</v>
      </c>
      <c r="C35" s="231"/>
      <c r="D35" s="231"/>
      <c r="E35" s="230" t="s">
        <v>952</v>
      </c>
      <c r="F35" s="236"/>
      <c r="G35" s="232"/>
      <c r="H35" s="230"/>
      <c r="I35" s="232">
        <f>SUBTOTAL(9,I36:I39)</f>
        <v>134434.86000000002</v>
      </c>
      <c r="J35" s="230"/>
      <c r="K35" s="232"/>
      <c r="L35" s="232">
        <f>SUBTOTAL(9,L36:L39)</f>
        <v>163946.99</v>
      </c>
      <c r="S35" s="98"/>
    </row>
    <row r="36" spans="2:19" x14ac:dyDescent="0.25">
      <c r="B36" s="235" t="s">
        <v>332</v>
      </c>
      <c r="C36" s="235" t="s">
        <v>215</v>
      </c>
      <c r="D36" s="235" t="s">
        <v>953</v>
      </c>
      <c r="E36" s="233" t="s">
        <v>954</v>
      </c>
      <c r="F36" s="229" t="s">
        <v>93</v>
      </c>
      <c r="G36" s="234">
        <f>'SEGURANÇA DO TRABALHO'!$J$12</f>
        <v>2300</v>
      </c>
      <c r="H36" s="234">
        <v>37</v>
      </c>
      <c r="I36" s="234">
        <f t="shared" ref="I36:I39" si="11">TRUNC(G36 * H36, 2)</f>
        <v>85100</v>
      </c>
      <c r="J36" s="396">
        <f t="shared" si="5"/>
        <v>0.21969999999999998</v>
      </c>
      <c r="K36" s="234">
        <f t="shared" ref="K36:K39" si="12">TRUNC(H36 * (1 + J36), 2)</f>
        <v>45.12</v>
      </c>
      <c r="L36" s="234">
        <f t="shared" ref="L36:L39" si="13">TRUNC(G36 * K36, 2)</f>
        <v>103776</v>
      </c>
      <c r="S36" s="98"/>
    </row>
    <row r="37" spans="2:19" x14ac:dyDescent="0.25">
      <c r="B37" s="235" t="s">
        <v>333</v>
      </c>
      <c r="C37" s="235" t="s">
        <v>215</v>
      </c>
      <c r="D37" s="235" t="s">
        <v>955</v>
      </c>
      <c r="E37" s="233" t="s">
        <v>850</v>
      </c>
      <c r="F37" s="229" t="s">
        <v>73</v>
      </c>
      <c r="G37" s="234">
        <f>'SEGURANÇA DO TRABALHO'!$J$18</f>
        <v>80</v>
      </c>
      <c r="H37" s="234">
        <v>356.81</v>
      </c>
      <c r="I37" s="234">
        <f t="shared" si="11"/>
        <v>28544.799999999999</v>
      </c>
      <c r="J37" s="396">
        <f t="shared" si="5"/>
        <v>0.21969999999999998</v>
      </c>
      <c r="K37" s="234">
        <f t="shared" si="12"/>
        <v>435.2</v>
      </c>
      <c r="L37" s="234">
        <f t="shared" si="13"/>
        <v>34816</v>
      </c>
      <c r="S37" s="98"/>
    </row>
    <row r="38" spans="2:19" ht="38.25" x14ac:dyDescent="0.25">
      <c r="B38" s="235" t="s">
        <v>334</v>
      </c>
      <c r="C38" s="235" t="s">
        <v>289</v>
      </c>
      <c r="D38" s="235" t="s">
        <v>956</v>
      </c>
      <c r="E38" s="267" t="s">
        <v>852</v>
      </c>
      <c r="F38" s="229" t="s">
        <v>73</v>
      </c>
      <c r="G38" s="234">
        <f>'SEGURANÇA DO TRABALHO'!$J$24</f>
        <v>450</v>
      </c>
      <c r="H38" s="234">
        <v>35.880000000000003</v>
      </c>
      <c r="I38" s="234">
        <f t="shared" si="11"/>
        <v>16146</v>
      </c>
      <c r="J38" s="396">
        <f t="shared" si="5"/>
        <v>0.21969999999999998</v>
      </c>
      <c r="K38" s="234">
        <f t="shared" si="12"/>
        <v>43.76</v>
      </c>
      <c r="L38" s="234">
        <f t="shared" si="13"/>
        <v>19692</v>
      </c>
      <c r="S38" s="98"/>
    </row>
    <row r="39" spans="2:19" ht="38.25" x14ac:dyDescent="0.25">
      <c r="B39" s="235" t="s">
        <v>335</v>
      </c>
      <c r="C39" s="235" t="s">
        <v>853</v>
      </c>
      <c r="D39" s="235" t="s">
        <v>957</v>
      </c>
      <c r="E39" s="267" t="s">
        <v>855</v>
      </c>
      <c r="F39" s="229" t="s">
        <v>73</v>
      </c>
      <c r="G39" s="234">
        <f>'SEGURANÇA DO TRABALHO'!$J$29</f>
        <v>157</v>
      </c>
      <c r="H39" s="234">
        <v>29.58</v>
      </c>
      <c r="I39" s="234">
        <f t="shared" si="11"/>
        <v>4644.0600000000004</v>
      </c>
      <c r="J39" s="396">
        <f t="shared" si="5"/>
        <v>0.21969999999999998</v>
      </c>
      <c r="K39" s="234">
        <f t="shared" si="12"/>
        <v>36.07</v>
      </c>
      <c r="L39" s="234">
        <f t="shared" si="13"/>
        <v>5662.99</v>
      </c>
      <c r="S39" s="98"/>
    </row>
    <row r="40" spans="2:19" x14ac:dyDescent="0.25">
      <c r="B40" s="231" t="s">
        <v>336</v>
      </c>
      <c r="C40" s="231"/>
      <c r="D40" s="231"/>
      <c r="E40" s="230" t="s">
        <v>35</v>
      </c>
      <c r="F40" s="236"/>
      <c r="G40" s="232"/>
      <c r="H40" s="230"/>
      <c r="I40" s="232">
        <f>SUBTOTAL(9,I41)</f>
        <v>2300</v>
      </c>
      <c r="J40" s="230"/>
      <c r="K40" s="232"/>
      <c r="L40" s="232">
        <f>SUBTOTAL(9,L41)</f>
        <v>2800</v>
      </c>
      <c r="S40" s="98"/>
    </row>
    <row r="41" spans="2:19" x14ac:dyDescent="0.25">
      <c r="B41" s="235" t="s">
        <v>337</v>
      </c>
      <c r="C41" s="235" t="s">
        <v>215</v>
      </c>
      <c r="D41" s="235" t="s">
        <v>324</v>
      </c>
      <c r="E41" s="233" t="s">
        <v>107</v>
      </c>
      <c r="F41" s="229" t="s">
        <v>93</v>
      </c>
      <c r="G41" s="234">
        <f>'SERVIÇOS PRELIMINARES'!$J$12</f>
        <v>10000</v>
      </c>
      <c r="H41" s="234">
        <v>0.23</v>
      </c>
      <c r="I41" s="234">
        <f t="shared" ref="I41" si="14">TRUNC(G41 * H41, 2)</f>
        <v>2300</v>
      </c>
      <c r="J41" s="396">
        <f t="shared" si="5"/>
        <v>0.21969999999999998</v>
      </c>
      <c r="K41" s="234">
        <f t="shared" ref="K41" si="15">TRUNC(H41 * (1 + J41), 2)</f>
        <v>0.28000000000000003</v>
      </c>
      <c r="L41" s="234">
        <f t="shared" ref="L41" si="16">TRUNC(G41 * K41, 2)</f>
        <v>2800</v>
      </c>
      <c r="S41" s="98"/>
    </row>
    <row r="42" spans="2:19" x14ac:dyDescent="0.25">
      <c r="B42" s="231" t="s">
        <v>341</v>
      </c>
      <c r="C42" s="231"/>
      <c r="D42" s="231"/>
      <c r="E42" s="266" t="s">
        <v>958</v>
      </c>
      <c r="F42" s="236"/>
      <c r="G42" s="232"/>
      <c r="H42" s="230"/>
      <c r="I42" s="232">
        <f>SUBTOTAL(9,I43:I57)</f>
        <v>278263.43</v>
      </c>
      <c r="J42" s="230"/>
      <c r="K42" s="232"/>
      <c r="L42" s="232">
        <f>SUBTOTAL(9,L43:L57)</f>
        <v>330847.2</v>
      </c>
      <c r="S42" s="98"/>
    </row>
    <row r="43" spans="2:19" x14ac:dyDescent="0.25">
      <c r="B43" s="231" t="s">
        <v>342</v>
      </c>
      <c r="C43" s="231"/>
      <c r="D43" s="231"/>
      <c r="E43" s="266" t="s">
        <v>959</v>
      </c>
      <c r="F43" s="236"/>
      <c r="G43" s="232"/>
      <c r="H43" s="230"/>
      <c r="I43" s="232">
        <f>SUBTOTAL(9,I44:I46)</f>
        <v>11782.4</v>
      </c>
      <c r="J43" s="230"/>
      <c r="K43" s="232"/>
      <c r="L43" s="232">
        <f>SUBTOTAL(9,L44:L46)</f>
        <v>14366.69</v>
      </c>
      <c r="S43" s="98"/>
    </row>
    <row r="44" spans="2:19" x14ac:dyDescent="0.25">
      <c r="B44" s="235" t="s">
        <v>343</v>
      </c>
      <c r="C44" s="235" t="s">
        <v>100</v>
      </c>
      <c r="D44" s="235" t="s">
        <v>960</v>
      </c>
      <c r="E44" s="267" t="s">
        <v>759</v>
      </c>
      <c r="F44" s="229" t="s">
        <v>93</v>
      </c>
      <c r="G44" s="234">
        <f>'DEMOLIÇÕES - ESQUADRIAS '!$L$62</f>
        <v>375.05</v>
      </c>
      <c r="H44" s="234">
        <v>2.92</v>
      </c>
      <c r="I44" s="234">
        <f t="shared" ref="I44:I46" si="17">TRUNC(G44 * H44, 2)</f>
        <v>1095.1400000000001</v>
      </c>
      <c r="J44" s="396">
        <f t="shared" ref="J44:J46" si="18">+$L$5</f>
        <v>0.21969999999999998</v>
      </c>
      <c r="K44" s="234">
        <f t="shared" ref="K44:K46" si="19">TRUNC(H44 * (1 + J44), 2)</f>
        <v>3.56</v>
      </c>
      <c r="L44" s="234">
        <f t="shared" ref="L44:L46" si="20">TRUNC(G44 * K44, 2)</f>
        <v>1335.17</v>
      </c>
      <c r="S44" s="98"/>
    </row>
    <row r="45" spans="2:19" ht="25.5" x14ac:dyDescent="0.25">
      <c r="B45" s="235" t="s">
        <v>344</v>
      </c>
      <c r="C45" s="235" t="s">
        <v>215</v>
      </c>
      <c r="D45" s="235" t="s">
        <v>961</v>
      </c>
      <c r="E45" s="267" t="s">
        <v>962</v>
      </c>
      <c r="F45" s="229" t="s">
        <v>93</v>
      </c>
      <c r="G45" s="234">
        <f>'DEMOLIÇÕES - ESQUADRIAS '!$K$62</f>
        <v>457.98000000000008</v>
      </c>
      <c r="H45" s="234">
        <v>6.77</v>
      </c>
      <c r="I45" s="234">
        <f t="shared" si="17"/>
        <v>3100.52</v>
      </c>
      <c r="J45" s="396">
        <f t="shared" si="18"/>
        <v>0.21969999999999998</v>
      </c>
      <c r="K45" s="234">
        <f t="shared" si="19"/>
        <v>8.25</v>
      </c>
      <c r="L45" s="234">
        <f t="shared" si="20"/>
        <v>3778.33</v>
      </c>
      <c r="S45" s="98"/>
    </row>
    <row r="46" spans="2:19" ht="25.5" x14ac:dyDescent="0.25">
      <c r="B46" s="235" t="s">
        <v>345</v>
      </c>
      <c r="C46" s="235" t="s">
        <v>594</v>
      </c>
      <c r="D46" s="235" t="s">
        <v>963</v>
      </c>
      <c r="E46" s="267" t="s">
        <v>760</v>
      </c>
      <c r="F46" s="229" t="s">
        <v>93</v>
      </c>
      <c r="G46" s="234">
        <f>'DEMOLIÇÕES - GUARDA-CORPO'!$L$20</f>
        <v>292.35999999999996</v>
      </c>
      <c r="H46" s="234">
        <v>25.95</v>
      </c>
      <c r="I46" s="234">
        <f t="shared" si="17"/>
        <v>7586.74</v>
      </c>
      <c r="J46" s="396">
        <f t="shared" si="18"/>
        <v>0.21969999999999998</v>
      </c>
      <c r="K46" s="234">
        <f t="shared" si="19"/>
        <v>31.65</v>
      </c>
      <c r="L46" s="234">
        <f t="shared" si="20"/>
        <v>9253.19</v>
      </c>
      <c r="S46" s="98"/>
    </row>
    <row r="47" spans="2:19" x14ac:dyDescent="0.25">
      <c r="B47" s="231" t="s">
        <v>347</v>
      </c>
      <c r="C47" s="231"/>
      <c r="D47" s="231"/>
      <c r="E47" s="266" t="s">
        <v>964</v>
      </c>
      <c r="F47" s="232"/>
      <c r="G47" s="232"/>
      <c r="H47" s="230"/>
      <c r="I47" s="232">
        <f>SUBTOTAL(9,I48)</f>
        <v>30037.43</v>
      </c>
      <c r="J47" s="230"/>
      <c r="K47" s="232"/>
      <c r="L47" s="232">
        <f>SUBTOTAL(9,L48)</f>
        <v>36632.910000000003</v>
      </c>
      <c r="S47" s="98"/>
    </row>
    <row r="48" spans="2:19" ht="25.5" x14ac:dyDescent="0.25">
      <c r="B48" s="235" t="s">
        <v>348</v>
      </c>
      <c r="C48" s="235" t="s">
        <v>215</v>
      </c>
      <c r="D48" s="235" t="s">
        <v>965</v>
      </c>
      <c r="E48" s="267" t="s">
        <v>966</v>
      </c>
      <c r="F48" s="229" t="s">
        <v>92</v>
      </c>
      <c r="G48" s="234">
        <f>SUM('DEMOLIÇÕES - ALVENARIAS'!M11:$M$74)</f>
        <v>708.43000000000018</v>
      </c>
      <c r="H48" s="234">
        <v>42.4</v>
      </c>
      <c r="I48" s="234">
        <f t="shared" ref="I48" si="21">TRUNC(G48 * H48, 2)</f>
        <v>30037.43</v>
      </c>
      <c r="J48" s="396">
        <f t="shared" ref="J48" si="22">+$L$5</f>
        <v>0.21969999999999998</v>
      </c>
      <c r="K48" s="234">
        <f t="shared" ref="K48" si="23">TRUNC(H48 * (1 + J48), 2)</f>
        <v>51.71</v>
      </c>
      <c r="L48" s="234">
        <f t="shared" ref="L48" si="24">TRUNC(G48 * K48, 2)</f>
        <v>36632.910000000003</v>
      </c>
      <c r="S48" s="98"/>
    </row>
    <row r="49" spans="2:19" x14ac:dyDescent="0.25">
      <c r="B49" s="231" t="s">
        <v>349</v>
      </c>
      <c r="C49" s="231"/>
      <c r="D49" s="231"/>
      <c r="E49" s="266" t="s">
        <v>967</v>
      </c>
      <c r="F49" s="232"/>
      <c r="G49" s="232"/>
      <c r="H49" s="230"/>
      <c r="I49" s="232">
        <f>SUBTOTAL(9,I50:I51)</f>
        <v>6236.12</v>
      </c>
      <c r="J49" s="230"/>
      <c r="K49" s="232"/>
      <c r="L49" s="232">
        <f>SUBTOTAL(9,L50:L51)</f>
        <v>7598.4400000000005</v>
      </c>
      <c r="S49" s="98"/>
    </row>
    <row r="50" spans="2:19" ht="25.5" x14ac:dyDescent="0.25">
      <c r="B50" s="235" t="s">
        <v>350</v>
      </c>
      <c r="C50" s="235" t="s">
        <v>215</v>
      </c>
      <c r="D50" s="235" t="s">
        <v>968</v>
      </c>
      <c r="E50" s="267" t="s">
        <v>969</v>
      </c>
      <c r="F50" s="229" t="s">
        <v>93</v>
      </c>
      <c r="G50" s="234">
        <f>'DEMOLIÇÕES - COBERTURA'!$K$13</f>
        <v>604</v>
      </c>
      <c r="H50" s="234">
        <v>3.8</v>
      </c>
      <c r="I50" s="234">
        <f t="shared" ref="I50:I51" si="25">TRUNC(G50 * H50, 2)</f>
        <v>2295.1999999999998</v>
      </c>
      <c r="J50" s="396">
        <f t="shared" ref="J50:J51" si="26">+$L$5</f>
        <v>0.21969999999999998</v>
      </c>
      <c r="K50" s="234">
        <f t="shared" ref="K50:K51" si="27">TRUNC(H50 * (1 + J50), 2)</f>
        <v>4.63</v>
      </c>
      <c r="L50" s="234">
        <f t="shared" ref="L50:L51" si="28">TRUNC(G50 * K50, 2)</f>
        <v>2796.52</v>
      </c>
      <c r="S50" s="98"/>
    </row>
    <row r="51" spans="2:19" ht="25.5" x14ac:dyDescent="0.25">
      <c r="B51" s="235" t="s">
        <v>351</v>
      </c>
      <c r="C51" s="235" t="s">
        <v>100</v>
      </c>
      <c r="D51" s="235" t="s">
        <v>970</v>
      </c>
      <c r="E51" s="267" t="s">
        <v>761</v>
      </c>
      <c r="F51" s="229" t="s">
        <v>93</v>
      </c>
      <c r="G51" s="234">
        <f>'DEMOLIÇÕES - COBERTURA'!$K$31</f>
        <v>492</v>
      </c>
      <c r="H51" s="234">
        <v>8.01</v>
      </c>
      <c r="I51" s="234">
        <f t="shared" si="25"/>
        <v>3940.92</v>
      </c>
      <c r="J51" s="396">
        <f t="shared" si="26"/>
        <v>0.21969999999999998</v>
      </c>
      <c r="K51" s="234">
        <f t="shared" si="27"/>
        <v>9.76</v>
      </c>
      <c r="L51" s="234">
        <f t="shared" si="28"/>
        <v>4801.92</v>
      </c>
      <c r="S51" s="98"/>
    </row>
    <row r="52" spans="2:19" x14ac:dyDescent="0.25">
      <c r="B52" s="231" t="s">
        <v>971</v>
      </c>
      <c r="C52" s="231"/>
      <c r="D52" s="231"/>
      <c r="E52" s="266" t="s">
        <v>972</v>
      </c>
      <c r="F52" s="232"/>
      <c r="G52" s="232"/>
      <c r="H52" s="230"/>
      <c r="I52" s="232">
        <f>SUBTOTAL(9,I53:I57)</f>
        <v>230207.48</v>
      </c>
      <c r="J52" s="230"/>
      <c r="K52" s="232"/>
      <c r="L52" s="232">
        <f>SUBTOTAL(9,L53:L57)</f>
        <v>272249.16000000003</v>
      </c>
      <c r="S52" s="98"/>
    </row>
    <row r="53" spans="2:19" ht="38.25" x14ac:dyDescent="0.25">
      <c r="B53" s="235" t="s">
        <v>973</v>
      </c>
      <c r="C53" s="235" t="s">
        <v>289</v>
      </c>
      <c r="D53" s="235" t="s">
        <v>974</v>
      </c>
      <c r="E53" s="267" t="s">
        <v>775</v>
      </c>
      <c r="F53" s="229" t="s">
        <v>92</v>
      </c>
      <c r="G53" s="234">
        <f>SUM('DEMOLIÇÕES - CONCRETO'!M11:$M$18)</f>
        <v>777.62600000000009</v>
      </c>
      <c r="H53" s="234">
        <v>79.84</v>
      </c>
      <c r="I53" s="234">
        <f t="shared" ref="I53:I57" si="29">TRUNC(G53 * H53, 2)</f>
        <v>62085.65</v>
      </c>
      <c r="J53" s="396">
        <f t="shared" ref="J53:J56" si="30">+$L$5</f>
        <v>0.21969999999999998</v>
      </c>
      <c r="K53" s="234">
        <f t="shared" ref="K53:K57" si="31">TRUNC(H53 * (1 + J53), 2)</f>
        <v>97.38</v>
      </c>
      <c r="L53" s="234">
        <f t="shared" ref="L53:L57" si="32">TRUNC(G53 * K53, 2)</f>
        <v>75725.210000000006</v>
      </c>
      <c r="S53" s="98"/>
    </row>
    <row r="54" spans="2:19" ht="38.25" x14ac:dyDescent="0.25">
      <c r="B54" s="235" t="s">
        <v>975</v>
      </c>
      <c r="C54" s="235" t="s">
        <v>289</v>
      </c>
      <c r="D54" s="235" t="s">
        <v>976</v>
      </c>
      <c r="E54" s="267" t="s">
        <v>776</v>
      </c>
      <c r="F54" s="229" t="s">
        <v>92</v>
      </c>
      <c r="G54" s="234">
        <f>SUM('DEMOLIÇÕES - CONCRETO'!M27:$M$29)</f>
        <v>120.918966</v>
      </c>
      <c r="H54" s="234">
        <v>171.46</v>
      </c>
      <c r="I54" s="234">
        <f t="shared" si="29"/>
        <v>20732.759999999998</v>
      </c>
      <c r="J54" s="396">
        <f t="shared" si="30"/>
        <v>0.21969999999999998</v>
      </c>
      <c r="K54" s="234">
        <f t="shared" si="31"/>
        <v>209.12</v>
      </c>
      <c r="L54" s="234">
        <f t="shared" si="32"/>
        <v>25286.57</v>
      </c>
      <c r="S54" s="98"/>
    </row>
    <row r="55" spans="2:19" ht="25.5" x14ac:dyDescent="0.25">
      <c r="B55" s="235" t="s">
        <v>977</v>
      </c>
      <c r="C55" s="235" t="s">
        <v>329</v>
      </c>
      <c r="D55" s="235" t="s">
        <v>978</v>
      </c>
      <c r="E55" s="267" t="s">
        <v>781</v>
      </c>
      <c r="F55" s="229" t="s">
        <v>96</v>
      </c>
      <c r="G55" s="234">
        <f>'DEMOLIÇÕES - CONCRETO'!$K$38</f>
        <v>20</v>
      </c>
      <c r="H55" s="234">
        <v>499.88</v>
      </c>
      <c r="I55" s="234">
        <f t="shared" si="29"/>
        <v>9997.6</v>
      </c>
      <c r="J55" s="396">
        <f t="shared" si="30"/>
        <v>0.21969999999999998</v>
      </c>
      <c r="K55" s="234">
        <f t="shared" si="31"/>
        <v>609.70000000000005</v>
      </c>
      <c r="L55" s="234">
        <f t="shared" si="32"/>
        <v>12194</v>
      </c>
      <c r="S55" s="98"/>
    </row>
    <row r="56" spans="2:19" ht="25.5" x14ac:dyDescent="0.25">
      <c r="B56" s="235" t="s">
        <v>979</v>
      </c>
      <c r="C56" s="235" t="s">
        <v>980</v>
      </c>
      <c r="D56" s="235" t="s">
        <v>981</v>
      </c>
      <c r="E56" s="267" t="s">
        <v>784</v>
      </c>
      <c r="F56" s="229" t="s">
        <v>92</v>
      </c>
      <c r="G56" s="234">
        <f>SUM('DEMOLIÇÕES - CONCRETO'!M42:$M$51)</f>
        <v>418.99010399999997</v>
      </c>
      <c r="H56" s="234">
        <v>66.27</v>
      </c>
      <c r="I56" s="234">
        <f t="shared" si="29"/>
        <v>27766.47</v>
      </c>
      <c r="J56" s="396">
        <f t="shared" si="30"/>
        <v>0.21969999999999998</v>
      </c>
      <c r="K56" s="234">
        <f t="shared" si="31"/>
        <v>80.819999999999993</v>
      </c>
      <c r="L56" s="234">
        <f t="shared" si="32"/>
        <v>33862.78</v>
      </c>
      <c r="S56" s="98"/>
    </row>
    <row r="57" spans="2:19" ht="25.5" x14ac:dyDescent="0.25">
      <c r="B57" s="235" t="s">
        <v>982</v>
      </c>
      <c r="C57" s="235" t="s">
        <v>329</v>
      </c>
      <c r="D57" s="235" t="s">
        <v>983</v>
      </c>
      <c r="E57" s="267" t="s">
        <v>796</v>
      </c>
      <c r="F57" s="229" t="s">
        <v>33</v>
      </c>
      <c r="G57" s="234">
        <f>'DEMOLIÇÕES - CONCRETO'!$K$61</f>
        <v>20</v>
      </c>
      <c r="H57" s="432">
        <v>5481.25</v>
      </c>
      <c r="I57" s="234">
        <f t="shared" si="29"/>
        <v>109625</v>
      </c>
      <c r="J57" s="397">
        <f>$L$6</f>
        <v>0.1419</v>
      </c>
      <c r="K57" s="234">
        <f t="shared" si="31"/>
        <v>6259.03</v>
      </c>
      <c r="L57" s="234">
        <f t="shared" si="32"/>
        <v>125180.6</v>
      </c>
      <c r="S57" s="98"/>
    </row>
    <row r="58" spans="2:19" x14ac:dyDescent="0.25">
      <c r="B58" s="231" t="s">
        <v>352</v>
      </c>
      <c r="C58" s="231"/>
      <c r="D58" s="231"/>
      <c r="E58" s="230" t="s">
        <v>984</v>
      </c>
      <c r="F58" s="232"/>
      <c r="G58" s="232"/>
      <c r="H58" s="230"/>
      <c r="I58" s="232">
        <f>SUBTOTAL(9,I59:I62)</f>
        <v>14653.570000000002</v>
      </c>
      <c r="J58" s="230"/>
      <c r="K58" s="232"/>
      <c r="L58" s="232">
        <f>SUBTOTAL(9,L59:L62)</f>
        <v>17872.02</v>
      </c>
      <c r="S58" s="98"/>
    </row>
    <row r="59" spans="2:19" ht="25.5" x14ac:dyDescent="0.25">
      <c r="B59" s="235" t="s">
        <v>985</v>
      </c>
      <c r="C59" s="235" t="s">
        <v>215</v>
      </c>
      <c r="D59" s="235" t="s">
        <v>965</v>
      </c>
      <c r="E59" s="267" t="s">
        <v>966</v>
      </c>
      <c r="F59" s="229" t="s">
        <v>92</v>
      </c>
      <c r="G59" s="234">
        <f>SUM('DEMOLIÇÕES - ALVENARIAS'!M75:$M$82)</f>
        <v>107.27999999999999</v>
      </c>
      <c r="H59" s="234">
        <v>42.4</v>
      </c>
      <c r="I59" s="234">
        <f t="shared" ref="I59:I62" si="33">TRUNC(G59 * H59, 2)</f>
        <v>4548.67</v>
      </c>
      <c r="J59" s="396">
        <f t="shared" ref="J59:J73" si="34">+$L$5</f>
        <v>0.21969999999999998</v>
      </c>
      <c r="K59" s="234">
        <f t="shared" ref="K59:K62" si="35">TRUNC(H59 * (1 + J59), 2)</f>
        <v>51.71</v>
      </c>
      <c r="L59" s="234">
        <f t="shared" ref="L59:L62" si="36">TRUNC(G59 * K59, 2)</f>
        <v>5547.44</v>
      </c>
      <c r="S59" s="98"/>
    </row>
    <row r="60" spans="2:19" ht="38.25" x14ac:dyDescent="0.25">
      <c r="B60" s="235" t="s">
        <v>986</v>
      </c>
      <c r="C60" s="235" t="s">
        <v>289</v>
      </c>
      <c r="D60" s="235" t="s">
        <v>974</v>
      </c>
      <c r="E60" s="267" t="s">
        <v>775</v>
      </c>
      <c r="F60" s="229" t="s">
        <v>92</v>
      </c>
      <c r="G60" s="234">
        <f>SUM('DEMOLIÇÕES - CONCRETO'!M19:$M$22)</f>
        <v>53.73</v>
      </c>
      <c r="H60" s="234">
        <v>79.84</v>
      </c>
      <c r="I60" s="234">
        <f t="shared" si="33"/>
        <v>4289.8</v>
      </c>
      <c r="J60" s="396">
        <f t="shared" si="34"/>
        <v>0.21969999999999998</v>
      </c>
      <c r="K60" s="234">
        <f t="shared" si="35"/>
        <v>97.38</v>
      </c>
      <c r="L60" s="234">
        <f t="shared" si="36"/>
        <v>5232.22</v>
      </c>
      <c r="S60" s="98"/>
    </row>
    <row r="61" spans="2:19" ht="38.25" x14ac:dyDescent="0.25">
      <c r="B61" s="235" t="s">
        <v>987</v>
      </c>
      <c r="C61" s="235" t="s">
        <v>289</v>
      </c>
      <c r="D61" s="235" t="s">
        <v>976</v>
      </c>
      <c r="E61" s="267" t="s">
        <v>776</v>
      </c>
      <c r="F61" s="229" t="s">
        <v>92</v>
      </c>
      <c r="G61" s="234">
        <f>SUM('DEMOLIÇÕES - CONCRETO'!M30:$M$33)</f>
        <v>31.887360000000001</v>
      </c>
      <c r="H61" s="234">
        <v>171.46</v>
      </c>
      <c r="I61" s="234">
        <f t="shared" si="33"/>
        <v>5467.4</v>
      </c>
      <c r="J61" s="396">
        <f t="shared" si="34"/>
        <v>0.21969999999999998</v>
      </c>
      <c r="K61" s="234">
        <f t="shared" si="35"/>
        <v>209.12</v>
      </c>
      <c r="L61" s="234">
        <f t="shared" si="36"/>
        <v>6668.28</v>
      </c>
      <c r="S61" s="98"/>
    </row>
    <row r="62" spans="2:19" ht="25.5" x14ac:dyDescent="0.25">
      <c r="B62" s="235" t="s">
        <v>988</v>
      </c>
      <c r="C62" s="235" t="s">
        <v>215</v>
      </c>
      <c r="D62" s="235" t="s">
        <v>989</v>
      </c>
      <c r="E62" s="267" t="s">
        <v>809</v>
      </c>
      <c r="F62" s="229" t="s">
        <v>93</v>
      </c>
      <c r="G62" s="234">
        <f>'DEMOLIÇÕES - COBERTURA'!$K$37</f>
        <v>57</v>
      </c>
      <c r="H62" s="234">
        <v>6.1</v>
      </c>
      <c r="I62" s="234">
        <f t="shared" si="33"/>
        <v>347.7</v>
      </c>
      <c r="J62" s="396">
        <f t="shared" si="34"/>
        <v>0.21969999999999998</v>
      </c>
      <c r="K62" s="234">
        <f t="shared" si="35"/>
        <v>7.44</v>
      </c>
      <c r="L62" s="234">
        <f t="shared" si="36"/>
        <v>424.08</v>
      </c>
      <c r="S62" s="98"/>
    </row>
    <row r="63" spans="2:19" x14ac:dyDescent="0.25">
      <c r="B63" s="231" t="s">
        <v>353</v>
      </c>
      <c r="C63" s="231"/>
      <c r="D63" s="231"/>
      <c r="E63" s="230" t="s">
        <v>990</v>
      </c>
      <c r="F63" s="232"/>
      <c r="G63" s="232"/>
      <c r="H63" s="230"/>
      <c r="I63" s="232">
        <f>SUBTOTAL(9,I64:I66)</f>
        <v>31213.26</v>
      </c>
      <c r="J63" s="230"/>
      <c r="K63" s="232"/>
      <c r="L63" s="232">
        <f>SUBTOTAL(9,L64:L66)</f>
        <v>38066.74</v>
      </c>
      <c r="S63" s="98"/>
    </row>
    <row r="64" spans="2:19" ht="25.5" x14ac:dyDescent="0.25">
      <c r="B64" s="235" t="s">
        <v>354</v>
      </c>
      <c r="C64" s="235" t="s">
        <v>594</v>
      </c>
      <c r="D64" s="235" t="s">
        <v>963</v>
      </c>
      <c r="E64" s="267" t="s">
        <v>760</v>
      </c>
      <c r="F64" s="229" t="s">
        <v>19</v>
      </c>
      <c r="G64" s="234">
        <f>'DEMOLIÇÕES - GUARDA-CORPO'!$L$21</f>
        <v>132.19</v>
      </c>
      <c r="H64" s="234">
        <v>25.95</v>
      </c>
      <c r="I64" s="234">
        <f t="shared" ref="I64:I66" si="37">TRUNC(G64 * H64, 2)</f>
        <v>3430.33</v>
      </c>
      <c r="J64" s="396">
        <f t="shared" si="34"/>
        <v>0.21969999999999998</v>
      </c>
      <c r="K64" s="234">
        <f t="shared" ref="K64:K66" si="38">TRUNC(H64 * (1 + J64), 2)</f>
        <v>31.65</v>
      </c>
      <c r="L64" s="234">
        <f t="shared" ref="L64:L66" si="39">TRUNC(G64 * K64, 2)</f>
        <v>4183.8100000000004</v>
      </c>
      <c r="S64" s="98"/>
    </row>
    <row r="65" spans="2:19" ht="25.5" x14ac:dyDescent="0.25">
      <c r="B65" s="235" t="s">
        <v>355</v>
      </c>
      <c r="C65" s="235" t="s">
        <v>980</v>
      </c>
      <c r="D65" s="235" t="s">
        <v>981</v>
      </c>
      <c r="E65" s="267" t="s">
        <v>784</v>
      </c>
      <c r="F65" s="229" t="s">
        <v>39</v>
      </c>
      <c r="G65" s="234">
        <f>SUM('DEMOLIÇÕES - CONCRETO'!M52:$M$54)</f>
        <v>409.6875</v>
      </c>
      <c r="H65" s="234">
        <v>66.27</v>
      </c>
      <c r="I65" s="234">
        <f t="shared" si="37"/>
        <v>27149.99</v>
      </c>
      <c r="J65" s="396">
        <f t="shared" si="34"/>
        <v>0.21969999999999998</v>
      </c>
      <c r="K65" s="234">
        <f t="shared" si="38"/>
        <v>80.819999999999993</v>
      </c>
      <c r="L65" s="234">
        <f t="shared" si="39"/>
        <v>33110.94</v>
      </c>
      <c r="S65" s="98"/>
    </row>
    <row r="66" spans="2:19" x14ac:dyDescent="0.25">
      <c r="B66" s="235" t="s">
        <v>356</v>
      </c>
      <c r="C66" s="235" t="s">
        <v>592</v>
      </c>
      <c r="D66" s="235" t="s">
        <v>991</v>
      </c>
      <c r="E66" s="267" t="s">
        <v>815</v>
      </c>
      <c r="F66" s="229" t="s">
        <v>33</v>
      </c>
      <c r="G66" s="234">
        <f>'DEMOLIÇÕES - CONCRETO'!$K$65</f>
        <v>3</v>
      </c>
      <c r="H66" s="234">
        <v>210.98</v>
      </c>
      <c r="I66" s="234">
        <f t="shared" si="37"/>
        <v>632.94000000000005</v>
      </c>
      <c r="J66" s="396">
        <f t="shared" si="34"/>
        <v>0.21969999999999998</v>
      </c>
      <c r="K66" s="234">
        <f t="shared" si="38"/>
        <v>257.33</v>
      </c>
      <c r="L66" s="234">
        <f t="shared" si="39"/>
        <v>771.99</v>
      </c>
      <c r="S66" s="98"/>
    </row>
    <row r="67" spans="2:19" x14ac:dyDescent="0.25">
      <c r="B67" s="231" t="s">
        <v>357</v>
      </c>
      <c r="C67" s="231"/>
      <c r="D67" s="231"/>
      <c r="E67" s="230" t="s">
        <v>992</v>
      </c>
      <c r="F67" s="232"/>
      <c r="G67" s="232"/>
      <c r="H67" s="230"/>
      <c r="I67" s="232">
        <f>SUBTOTAL(9,I68:I69)</f>
        <v>8224.48</v>
      </c>
      <c r="J67" s="230"/>
      <c r="K67" s="232"/>
      <c r="L67" s="232">
        <f>SUBTOTAL(9,L68:L69)</f>
        <v>10021.029999999999</v>
      </c>
      <c r="S67" s="98"/>
    </row>
    <row r="68" spans="2:19" ht="25.5" x14ac:dyDescent="0.25">
      <c r="B68" s="235" t="s">
        <v>993</v>
      </c>
      <c r="C68" s="235" t="s">
        <v>980</v>
      </c>
      <c r="D68" s="235" t="s">
        <v>981</v>
      </c>
      <c r="E68" s="267" t="s">
        <v>784</v>
      </c>
      <c r="F68" s="229" t="s">
        <v>39</v>
      </c>
      <c r="G68" s="234">
        <f>'DEMOLIÇÕES - CONCRETO'!$M$55</f>
        <v>82.600000000000009</v>
      </c>
      <c r="H68" s="234">
        <v>66.27</v>
      </c>
      <c r="I68" s="234">
        <f t="shared" ref="I68:I69" si="40">TRUNC(G68 * H68, 2)</f>
        <v>5473.9</v>
      </c>
      <c r="J68" s="396">
        <f t="shared" si="34"/>
        <v>0.21969999999999998</v>
      </c>
      <c r="K68" s="234">
        <f t="shared" ref="K68:K69" si="41">TRUNC(H68 * (1 + J68), 2)</f>
        <v>80.819999999999993</v>
      </c>
      <c r="L68" s="234">
        <f t="shared" ref="L68:L69" si="42">TRUNC(G68 * K68, 2)</f>
        <v>6675.73</v>
      </c>
      <c r="S68" s="98"/>
    </row>
    <row r="69" spans="2:19" x14ac:dyDescent="0.25">
      <c r="B69" s="235" t="s">
        <v>994</v>
      </c>
      <c r="C69" s="235" t="s">
        <v>215</v>
      </c>
      <c r="D69" s="235" t="s">
        <v>338</v>
      </c>
      <c r="E69" s="267" t="s">
        <v>339</v>
      </c>
      <c r="F69" s="229" t="s">
        <v>39</v>
      </c>
      <c r="G69" s="234">
        <f>'DEMOLIÇÕES - MOVIMENTO DE TERRA'!$J$12</f>
        <v>1239</v>
      </c>
      <c r="H69" s="234">
        <v>2.2200000000000002</v>
      </c>
      <c r="I69" s="234">
        <f t="shared" si="40"/>
        <v>2750.58</v>
      </c>
      <c r="J69" s="396">
        <f t="shared" si="34"/>
        <v>0.21969999999999998</v>
      </c>
      <c r="K69" s="234">
        <f t="shared" si="41"/>
        <v>2.7</v>
      </c>
      <c r="L69" s="234">
        <f t="shared" si="42"/>
        <v>3345.3</v>
      </c>
      <c r="S69" s="98"/>
    </row>
    <row r="70" spans="2:19" x14ac:dyDescent="0.25">
      <c r="B70" s="231" t="s">
        <v>358</v>
      </c>
      <c r="C70" s="231"/>
      <c r="D70" s="231"/>
      <c r="E70" s="230" t="s">
        <v>995</v>
      </c>
      <c r="F70" s="232"/>
      <c r="G70" s="232"/>
      <c r="H70" s="230"/>
      <c r="I70" s="232">
        <f>SUBTOTAL(9,I71:I73)</f>
        <v>1280648.6800000002</v>
      </c>
      <c r="J70" s="230"/>
      <c r="K70" s="232"/>
      <c r="L70" s="232">
        <f>SUBTOTAL(9,L71:L73)</f>
        <v>1558885.21</v>
      </c>
      <c r="S70" s="98"/>
    </row>
    <row r="71" spans="2:19" x14ac:dyDescent="0.25">
      <c r="B71" s="235" t="s">
        <v>996</v>
      </c>
      <c r="C71" s="235" t="s">
        <v>215</v>
      </c>
      <c r="D71" s="235" t="s">
        <v>997</v>
      </c>
      <c r="E71" s="233" t="s">
        <v>831</v>
      </c>
      <c r="F71" s="229" t="s">
        <v>39</v>
      </c>
      <c r="G71" s="234">
        <f>'DEMOLIÇÕES - TRANSPORTES'!$M$19</f>
        <v>2379.0564000000004</v>
      </c>
      <c r="H71" s="234">
        <v>84.55</v>
      </c>
      <c r="I71" s="234">
        <f t="shared" ref="I71:I73" si="43">TRUNC(G71 * H71, 2)</f>
        <v>201149.21</v>
      </c>
      <c r="J71" s="396">
        <f t="shared" si="34"/>
        <v>0.21969999999999998</v>
      </c>
      <c r="K71" s="234">
        <f t="shared" ref="K71:K73" si="44">TRUNC(H71 * (1 + J71), 2)</f>
        <v>103.12</v>
      </c>
      <c r="L71" s="234">
        <f t="shared" ref="L71:L73" si="45">TRUNC(G71 * K71, 2)</f>
        <v>245328.29</v>
      </c>
      <c r="S71" s="98"/>
    </row>
    <row r="72" spans="2:19" x14ac:dyDescent="0.25">
      <c r="B72" s="235" t="s">
        <v>998</v>
      </c>
      <c r="C72" s="235" t="s">
        <v>215</v>
      </c>
      <c r="D72" s="235" t="s">
        <v>999</v>
      </c>
      <c r="E72" s="233" t="s">
        <v>1000</v>
      </c>
      <c r="F72" s="229" t="s">
        <v>39</v>
      </c>
      <c r="G72" s="234">
        <f>'DEMOLIÇÕES - TRANSPORTES'!$M$26</f>
        <v>2558.8439055000008</v>
      </c>
      <c r="H72" s="234">
        <v>1.63</v>
      </c>
      <c r="I72" s="234">
        <f t="shared" si="43"/>
        <v>4170.91</v>
      </c>
      <c r="J72" s="396">
        <f t="shared" si="34"/>
        <v>0.21969999999999998</v>
      </c>
      <c r="K72" s="234">
        <f t="shared" si="44"/>
        <v>1.98</v>
      </c>
      <c r="L72" s="234">
        <f t="shared" si="45"/>
        <v>5066.51</v>
      </c>
      <c r="S72" s="98"/>
    </row>
    <row r="73" spans="2:19" ht="25.5" x14ac:dyDescent="0.25">
      <c r="B73" s="235" t="s">
        <v>1001</v>
      </c>
      <c r="C73" s="235" t="s">
        <v>252</v>
      </c>
      <c r="D73" s="235" t="s">
        <v>1002</v>
      </c>
      <c r="E73" s="233" t="s">
        <v>837</v>
      </c>
      <c r="F73" s="229" t="s">
        <v>340</v>
      </c>
      <c r="G73" s="234">
        <f>'DEMOLIÇÕES - TRANSPORTES'!$M$31</f>
        <v>348002.77114800009</v>
      </c>
      <c r="H73" s="234">
        <v>3.09</v>
      </c>
      <c r="I73" s="234">
        <f t="shared" si="43"/>
        <v>1075328.56</v>
      </c>
      <c r="J73" s="396">
        <f t="shared" si="34"/>
        <v>0.21969999999999998</v>
      </c>
      <c r="K73" s="234">
        <f t="shared" si="44"/>
        <v>3.76</v>
      </c>
      <c r="L73" s="234">
        <f t="shared" si="45"/>
        <v>1308490.4099999999</v>
      </c>
      <c r="S73" s="98"/>
    </row>
    <row r="74" spans="2:19" x14ac:dyDescent="0.25">
      <c r="B74" s="231" t="s">
        <v>359</v>
      </c>
      <c r="C74" s="231"/>
      <c r="D74" s="231"/>
      <c r="E74" s="230" t="s">
        <v>1003</v>
      </c>
      <c r="F74" s="232"/>
      <c r="G74" s="232"/>
      <c r="H74" s="230"/>
      <c r="I74" s="232">
        <f>SUBTOTAL(9,I75)</f>
        <v>142157.99</v>
      </c>
      <c r="J74" s="230"/>
      <c r="K74" s="232"/>
      <c r="L74" s="232">
        <f>SUBTOTAL(9,L75)</f>
        <v>162297.04</v>
      </c>
      <c r="S74" s="98"/>
    </row>
    <row r="75" spans="2:19" ht="25.5" x14ac:dyDescent="0.25">
      <c r="B75" s="235" t="s">
        <v>1004</v>
      </c>
      <c r="C75" s="235" t="s">
        <v>100</v>
      </c>
      <c r="D75" s="235" t="s">
        <v>1005</v>
      </c>
      <c r="E75" s="267" t="s">
        <v>844</v>
      </c>
      <c r="F75" s="229" t="s">
        <v>1006</v>
      </c>
      <c r="G75" s="234">
        <f>'DEMOLIÇÕES - RESÍDUOS'!$M$14</f>
        <v>4738.5998250000002</v>
      </c>
      <c r="H75" s="234">
        <v>30</v>
      </c>
      <c r="I75" s="234">
        <f t="shared" ref="I75" si="46">TRUNC(G75 * H75, 2)</f>
        <v>142157.99</v>
      </c>
      <c r="J75" s="397">
        <f>$L$6</f>
        <v>0.1419</v>
      </c>
      <c r="K75" s="234">
        <f t="shared" ref="K75" si="47">TRUNC(H75 * (1 + J75), 2)</f>
        <v>34.25</v>
      </c>
      <c r="L75" s="234">
        <f t="shared" ref="L75" si="48">TRUNC(G75 * K75, 2)</f>
        <v>162297.04</v>
      </c>
      <c r="S75" s="98"/>
    </row>
    <row r="76" spans="2:19" ht="13.5" thickBot="1" x14ac:dyDescent="0.3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S76" s="98"/>
    </row>
    <row r="77" spans="2:19" ht="24.95" customHeight="1" x14ac:dyDescent="0.25">
      <c r="B77" s="477"/>
      <c r="C77" s="477"/>
      <c r="D77" s="477"/>
      <c r="E77" s="216"/>
      <c r="F77" s="237"/>
      <c r="G77" s="215"/>
      <c r="H77" s="482" t="s">
        <v>363</v>
      </c>
      <c r="I77" s="468"/>
      <c r="J77" s="468"/>
      <c r="K77" s="483"/>
      <c r="L77" s="484">
        <f>+SUBTOTAL(9,I9:I75)</f>
        <v>2331251.2700000005</v>
      </c>
      <c r="M77" s="485"/>
    </row>
    <row r="78" spans="2:19" ht="24.95" customHeight="1" x14ac:dyDescent="0.25">
      <c r="B78" s="477"/>
      <c r="C78" s="477"/>
      <c r="D78" s="477"/>
      <c r="E78" s="216"/>
      <c r="F78" s="237"/>
      <c r="G78" s="215"/>
      <c r="H78" s="486" t="s">
        <v>364</v>
      </c>
      <c r="I78" s="472"/>
      <c r="J78" s="472"/>
      <c r="K78" s="487"/>
      <c r="L78" s="488">
        <f>+L79-L77</f>
        <v>481848.2099999995</v>
      </c>
      <c r="M78" s="489"/>
    </row>
    <row r="79" spans="2:19" ht="24.95" customHeight="1" thickBot="1" x14ac:dyDescent="0.3">
      <c r="B79" s="477"/>
      <c r="C79" s="477"/>
      <c r="D79" s="477"/>
      <c r="E79" s="216"/>
      <c r="F79" s="237"/>
      <c r="G79" s="215"/>
      <c r="H79" s="478" t="s">
        <v>365</v>
      </c>
      <c r="I79" s="476"/>
      <c r="J79" s="476"/>
      <c r="K79" s="479"/>
      <c r="L79" s="480">
        <f>+SUBTOTAL(9,L9:L75)</f>
        <v>2813099.48</v>
      </c>
      <c r="M79" s="481"/>
    </row>
  </sheetData>
  <mergeCells count="11">
    <mergeCell ref="B1:L1"/>
    <mergeCell ref="B79:D79"/>
    <mergeCell ref="H79:K79"/>
    <mergeCell ref="L79:M79"/>
    <mergeCell ref="B77:D77"/>
    <mergeCell ref="H77:K77"/>
    <mergeCell ref="L77:M77"/>
    <mergeCell ref="B78:D78"/>
    <mergeCell ref="H78:K78"/>
    <mergeCell ref="L78:M78"/>
    <mergeCell ref="C5:F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landscape" r:id="rId1"/>
  <headerFooter>
    <oddHeader>&amp;L&amp;G</oddHeader>
    <oddFooter>&amp;L&amp;"Arial Narrow,Normal"&amp;10&amp;A
&amp;F&amp;R&amp;"Arial Narrow,Normal"&amp;10Página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FEB5-FF47-416A-B1FF-B467C43580FC}">
  <dimension ref="A1:W52"/>
  <sheetViews>
    <sheetView showGridLines="0" view="pageBreakPreview" zoomScale="85" zoomScaleNormal="85" zoomScaleSheetLayoutView="85" workbookViewId="0">
      <selection activeCell="X22" sqref="X22"/>
    </sheetView>
  </sheetViews>
  <sheetFormatPr defaultRowHeight="12.75" x14ac:dyDescent="0.25"/>
  <cols>
    <col min="1" max="1" width="1.7109375" style="82" customWidth="1"/>
    <col min="2" max="2" width="9.85546875" style="82" customWidth="1"/>
    <col min="3" max="3" width="53.85546875" style="82" customWidth="1"/>
    <col min="4" max="4" width="16.140625" style="82" customWidth="1"/>
    <col min="5" max="20" width="3.7109375" style="82" customWidth="1"/>
    <col min="21" max="21" width="1.7109375" style="82" customWidth="1"/>
    <col min="22" max="16384" width="9.140625" style="82"/>
  </cols>
  <sheetData>
    <row r="1" spans="1:23" s="11" customFormat="1" ht="9.9499999999999993" customHeight="1" x14ac:dyDescent="0.25">
      <c r="A1" s="65"/>
      <c r="B1" s="466" t="s">
        <v>1016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65"/>
      <c r="V1" s="65"/>
      <c r="W1" s="65"/>
    </row>
    <row r="2" spans="1:23" s="11" customFormat="1" ht="9.9499999999999993" customHeight="1" x14ac:dyDescent="0.25">
      <c r="A2" s="65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65"/>
      <c r="V2" s="65"/>
      <c r="W2" s="65"/>
    </row>
    <row r="3" spans="1:23" s="11" customFormat="1" ht="9.9499999999999993" customHeight="1" x14ac:dyDescent="0.25">
      <c r="A3" s="65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65"/>
      <c r="V3" s="65"/>
      <c r="W3" s="65"/>
    </row>
    <row r="4" spans="1:23" s="11" customFormat="1" ht="9.9499999999999993" customHeight="1" x14ac:dyDescent="0.25">
      <c r="A4" s="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65"/>
      <c r="V4" s="65"/>
      <c r="W4" s="65"/>
    </row>
    <row r="5" spans="1:23" s="11" customFormat="1" ht="9.9499999999999993" customHeight="1" x14ac:dyDescent="0.25">
      <c r="A5" s="65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65"/>
      <c r="V5" s="65"/>
      <c r="W5" s="65"/>
    </row>
    <row r="6" spans="1:23" s="11" customFormat="1" ht="9.9499999999999993" customHeight="1" x14ac:dyDescent="0.25">
      <c r="A6" s="65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65"/>
      <c r="V6" s="65"/>
      <c r="W6" s="65"/>
    </row>
    <row r="7" spans="1:23" s="11" customFormat="1" x14ac:dyDescent="0.25">
      <c r="A7" s="65"/>
      <c r="B7" s="65"/>
      <c r="C7" s="65"/>
      <c r="D7" s="97"/>
      <c r="E7" s="98"/>
      <c r="F7" s="98"/>
      <c r="G7" s="98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s="5" customFormat="1" ht="15" customHeight="1" x14ac:dyDescent="0.25">
      <c r="B8" s="1" t="s">
        <v>16</v>
      </c>
      <c r="C8" s="6" t="str">
        <f>'DADOS DA OBRA'!$B$13</f>
        <v>Demolição do Estádio Ulisses Jayme, em Pirenópolis-GO, e Destinação Final de Resíduos de Construção.</v>
      </c>
      <c r="D8" s="48"/>
      <c r="G8" s="46"/>
      <c r="J8" s="2"/>
      <c r="P8" s="222"/>
      <c r="Q8" s="39" t="s">
        <v>62</v>
      </c>
      <c r="R8" s="258" t="str">
        <f>+'DADOS DA OBRA'!$N$22</f>
        <v>18/11/2024</v>
      </c>
    </row>
    <row r="9" spans="1:23" s="5" customFormat="1" ht="15" customHeight="1" x14ac:dyDescent="0.25">
      <c r="B9" s="1" t="s">
        <v>18</v>
      </c>
      <c r="C9" s="6" t="str">
        <f>+""&amp;'DADOS DA OBRA'!$B$16&amp;", "&amp;'DADOS DA OBRA'!$B$19&amp;", "&amp;'DADOS DA OBRA'!$J$19&amp;", "&amp;'DADOS DA OBRA'!$P$19</f>
        <v xml:space="preserve"> R. 21 de Abril, 10 , Vila Anduzeiro, Pirenópolis, GO</v>
      </c>
      <c r="D9" s="48"/>
      <c r="G9" s="47"/>
      <c r="P9" s="222"/>
      <c r="Q9" s="52" t="s">
        <v>17</v>
      </c>
      <c r="R9" s="258" t="str">
        <f>'DADOS DA OBRA'!$N$25</f>
        <v>02</v>
      </c>
    </row>
    <row r="10" spans="1:23" s="5" customFormat="1" ht="15" customHeight="1" thickBot="1" x14ac:dyDescent="0.3">
      <c r="D10" s="48"/>
      <c r="G10" s="47"/>
      <c r="H10" s="39"/>
      <c r="I10" s="53"/>
      <c r="P10" s="222"/>
    </row>
    <row r="11" spans="1:23" s="81" customFormat="1" ht="20.100000000000001" customHeight="1" thickBot="1" x14ac:dyDescent="0.3">
      <c r="B11" s="524" t="s">
        <v>20</v>
      </c>
      <c r="C11" s="527" t="s">
        <v>50</v>
      </c>
      <c r="D11" s="530" t="s">
        <v>51</v>
      </c>
      <c r="E11" s="533" t="s">
        <v>52</v>
      </c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5"/>
    </row>
    <row r="12" spans="1:23" s="81" customFormat="1" ht="18" customHeight="1" x14ac:dyDescent="0.25">
      <c r="B12" s="525"/>
      <c r="C12" s="528"/>
      <c r="D12" s="531"/>
      <c r="E12" s="540" t="s">
        <v>53</v>
      </c>
      <c r="F12" s="541"/>
      <c r="G12" s="541"/>
      <c r="H12" s="542"/>
      <c r="I12" s="546" t="s">
        <v>54</v>
      </c>
      <c r="J12" s="541"/>
      <c r="K12" s="541"/>
      <c r="L12" s="542"/>
      <c r="M12" s="546" t="s">
        <v>55</v>
      </c>
      <c r="N12" s="541"/>
      <c r="O12" s="541"/>
      <c r="P12" s="542"/>
      <c r="Q12" s="546" t="s">
        <v>56</v>
      </c>
      <c r="R12" s="541"/>
      <c r="S12" s="541"/>
      <c r="T12" s="548"/>
    </row>
    <row r="13" spans="1:23" s="81" customFormat="1" ht="18" customHeight="1" thickBot="1" x14ac:dyDescent="0.3">
      <c r="B13" s="526"/>
      <c r="C13" s="529"/>
      <c r="D13" s="532"/>
      <c r="E13" s="543"/>
      <c r="F13" s="544"/>
      <c r="G13" s="544"/>
      <c r="H13" s="545"/>
      <c r="I13" s="547"/>
      <c r="J13" s="544"/>
      <c r="K13" s="544"/>
      <c r="L13" s="545"/>
      <c r="M13" s="547"/>
      <c r="N13" s="544"/>
      <c r="O13" s="544"/>
      <c r="P13" s="545"/>
      <c r="Q13" s="547"/>
      <c r="R13" s="544"/>
      <c r="S13" s="544"/>
      <c r="T13" s="549"/>
    </row>
    <row r="14" spans="1:23" ht="18" customHeight="1" x14ac:dyDescent="0.25">
      <c r="B14" s="492" t="str">
        <f>'ORÇAMENTO RESUMO (SD)'!B9</f>
        <v xml:space="preserve"> 1 </v>
      </c>
      <c r="C14" s="495" t="str">
        <f>'ORÇAMENTO RESUMO (SD)'!E9</f>
        <v>ADMINISTRAÇÃO LOCAL</v>
      </c>
      <c r="D14" s="251">
        <f>'ORÇAMENTO RESUMO (SD)'!K9</f>
        <v>141361.75999999998</v>
      </c>
      <c r="E14" s="536">
        <f t="shared" ref="E14" si="0">E16*$D14</f>
        <v>22719.6193812397</v>
      </c>
      <c r="F14" s="521"/>
      <c r="G14" s="521"/>
      <c r="H14" s="522"/>
      <c r="I14" s="520">
        <f t="shared" ref="I14" si="1">I16*$D14</f>
        <v>44523.064946718128</v>
      </c>
      <c r="J14" s="521"/>
      <c r="K14" s="521"/>
      <c r="L14" s="522"/>
      <c r="M14" s="520">
        <f t="shared" ref="M14" si="2">M16*$D14</f>
        <v>44873.181378509165</v>
      </c>
      <c r="N14" s="521"/>
      <c r="O14" s="521"/>
      <c r="P14" s="522"/>
      <c r="Q14" s="520">
        <f t="shared" ref="Q14" si="3">Q16*$D14</f>
        <v>29245.894293532954</v>
      </c>
      <c r="R14" s="521"/>
      <c r="S14" s="521"/>
      <c r="T14" s="523"/>
      <c r="U14" s="81"/>
      <c r="V14" s="83"/>
      <c r="W14" s="83"/>
    </row>
    <row r="15" spans="1:23" ht="8.1" customHeight="1" x14ac:dyDescent="0.25">
      <c r="B15" s="492"/>
      <c r="C15" s="495"/>
      <c r="D15" s="251"/>
      <c r="E15" s="257"/>
      <c r="F15" s="84"/>
      <c r="G15" s="84"/>
      <c r="H15" s="85"/>
      <c r="I15" s="95"/>
      <c r="J15" s="84"/>
      <c r="K15" s="84"/>
      <c r="L15" s="85"/>
      <c r="M15" s="95"/>
      <c r="N15" s="84"/>
      <c r="O15" s="84"/>
      <c r="P15" s="85"/>
      <c r="Q15" s="95"/>
      <c r="R15" s="84"/>
      <c r="S15" s="84"/>
      <c r="T15" s="96"/>
    </row>
    <row r="16" spans="1:23" ht="18" customHeight="1" x14ac:dyDescent="0.25">
      <c r="B16" s="507"/>
      <c r="C16" s="496"/>
      <c r="D16" s="252">
        <f>D14/$D$47</f>
        <v>5.0251248135739571E-2</v>
      </c>
      <c r="E16" s="537">
        <f>+SUM(E20,E23,E26,E29,E32,E35,E38,E41,E44)/($D$47-$D$14-$D$17)</f>
        <v>0.16071969803743036</v>
      </c>
      <c r="F16" s="538"/>
      <c r="G16" s="538"/>
      <c r="H16" s="539"/>
      <c r="I16" s="502">
        <f>+SUM(I20,I23,I26,I29,I32,I35,I38,I41,I44)/($D$47-$D$14-$D$17)</f>
        <v>0.31495833771960774</v>
      </c>
      <c r="J16" s="503"/>
      <c r="K16" s="503"/>
      <c r="L16" s="504"/>
      <c r="M16" s="502">
        <f>+SUM(M20,M23,M26,M29,M32,M35,M38,M41,M44)/($D$47-$D$14-$D$17)</f>
        <v>0.31743507847178171</v>
      </c>
      <c r="N16" s="503"/>
      <c r="O16" s="503"/>
      <c r="P16" s="504"/>
      <c r="Q16" s="502">
        <f>+SUM(Q20,Q23,Q26,Q29,Q32,Q35,Q38,Q41,Q44)/($D$47-$D$14-$D$17)</f>
        <v>0.20688688577117997</v>
      </c>
      <c r="R16" s="503"/>
      <c r="S16" s="503"/>
      <c r="T16" s="505"/>
    </row>
    <row r="17" spans="2:23" ht="18" customHeight="1" x14ac:dyDescent="0.25">
      <c r="B17" s="492" t="str">
        <f>'ORÇAMENTO RESUMO (SD)'!B10</f>
        <v xml:space="preserve"> 2 </v>
      </c>
      <c r="C17" s="494" t="str">
        <f>'ORÇAMENTO RESUMO (SD)'!E10</f>
        <v>CANTEIRO DE OBRAS</v>
      </c>
      <c r="D17" s="251">
        <f>'ORÇAMENTO RESUMO (SD)'!K10</f>
        <v>166118.56</v>
      </c>
      <c r="E17" s="497">
        <f>E19*$D17</f>
        <v>26698.524801612755</v>
      </c>
      <c r="F17" s="498"/>
      <c r="G17" s="498"/>
      <c r="H17" s="499"/>
      <c r="I17" s="500">
        <f t="shared" ref="I17" si="4">I19*$D17</f>
        <v>52320.425521974918</v>
      </c>
      <c r="J17" s="498"/>
      <c r="K17" s="498"/>
      <c r="L17" s="499"/>
      <c r="M17" s="500">
        <f t="shared" ref="M17" si="5">M19*$D17</f>
        <v>52731.858129219378</v>
      </c>
      <c r="N17" s="498"/>
      <c r="O17" s="498"/>
      <c r="P17" s="499"/>
      <c r="Q17" s="500">
        <f t="shared" ref="Q17" si="6">Q19*$D17</f>
        <v>34367.751547192907</v>
      </c>
      <c r="R17" s="498"/>
      <c r="S17" s="498"/>
      <c r="T17" s="501"/>
      <c r="V17" s="83"/>
      <c r="W17" s="83"/>
    </row>
    <row r="18" spans="2:23" ht="8.1" customHeight="1" x14ac:dyDescent="0.25">
      <c r="B18" s="492"/>
      <c r="C18" s="495"/>
      <c r="D18" s="251"/>
      <c r="E18" s="257"/>
      <c r="F18" s="84"/>
      <c r="G18" s="84"/>
      <c r="H18" s="85"/>
      <c r="I18" s="95"/>
      <c r="J18" s="84"/>
      <c r="K18" s="84"/>
      <c r="L18" s="85"/>
      <c r="M18" s="95"/>
      <c r="N18" s="84"/>
      <c r="O18" s="84"/>
      <c r="P18" s="85"/>
      <c r="Q18" s="95"/>
      <c r="R18" s="84"/>
      <c r="S18" s="84"/>
      <c r="T18" s="96"/>
    </row>
    <row r="19" spans="2:23" ht="18" customHeight="1" x14ac:dyDescent="0.25">
      <c r="B19" s="507"/>
      <c r="C19" s="496"/>
      <c r="D19" s="252">
        <f>D17/$D$47</f>
        <v>5.9051790091689177E-2</v>
      </c>
      <c r="E19" s="506">
        <f>E16</f>
        <v>0.16071969803743036</v>
      </c>
      <c r="F19" s="503"/>
      <c r="G19" s="503"/>
      <c r="H19" s="504"/>
      <c r="I19" s="502">
        <f t="shared" ref="I19" si="7">I16</f>
        <v>0.31495833771960774</v>
      </c>
      <c r="J19" s="503"/>
      <c r="K19" s="503"/>
      <c r="L19" s="504"/>
      <c r="M19" s="502">
        <f t="shared" ref="M19" si="8">M16</f>
        <v>0.31743507847178171</v>
      </c>
      <c r="N19" s="503"/>
      <c r="O19" s="503"/>
      <c r="P19" s="504"/>
      <c r="Q19" s="502">
        <f t="shared" ref="Q19" si="9">Q16</f>
        <v>0.20688688577117997</v>
      </c>
      <c r="R19" s="503"/>
      <c r="S19" s="503"/>
      <c r="T19" s="505"/>
    </row>
    <row r="20" spans="2:23" ht="18" customHeight="1" x14ac:dyDescent="0.25">
      <c r="B20" s="492" t="str">
        <f>'ORÇAMENTO RESUMO (SD)'!B11</f>
        <v xml:space="preserve"> 3 </v>
      </c>
      <c r="C20" s="494" t="str">
        <f>'ORÇAMENTO RESUMO (SD)'!E11</f>
        <v>EQUIPAMENTOS</v>
      </c>
      <c r="D20" s="251">
        <f>'ORÇAMENTO RESUMO (SD)'!K11</f>
        <v>220882.93</v>
      </c>
      <c r="E20" s="497">
        <f>E22*$D20</f>
        <v>33132.4395</v>
      </c>
      <c r="F20" s="498"/>
      <c r="G20" s="498"/>
      <c r="H20" s="499"/>
      <c r="I20" s="500">
        <f t="shared" ref="I20" si="10">I22*$D20</f>
        <v>110441.465</v>
      </c>
      <c r="J20" s="498"/>
      <c r="K20" s="498"/>
      <c r="L20" s="499"/>
      <c r="M20" s="500">
        <f t="shared" ref="M20" si="11">M22*$D20</f>
        <v>77309.025499999989</v>
      </c>
      <c r="N20" s="498"/>
      <c r="O20" s="498"/>
      <c r="P20" s="499"/>
      <c r="Q20" s="500">
        <f t="shared" ref="Q20" si="12">Q22*$D20</f>
        <v>0</v>
      </c>
      <c r="R20" s="498"/>
      <c r="S20" s="498"/>
      <c r="T20" s="501"/>
      <c r="V20" s="83"/>
      <c r="W20" s="83"/>
    </row>
    <row r="21" spans="2:23" ht="8.1" customHeight="1" x14ac:dyDescent="0.25">
      <c r="B21" s="492"/>
      <c r="C21" s="495"/>
      <c r="D21" s="251"/>
      <c r="E21" s="260"/>
      <c r="F21" s="261"/>
      <c r="G21" s="84"/>
      <c r="H21" s="85"/>
      <c r="I21" s="95"/>
      <c r="J21" s="84"/>
      <c r="K21" s="84"/>
      <c r="L21" s="85"/>
      <c r="M21" s="95"/>
      <c r="N21" s="84"/>
      <c r="O21" s="261"/>
      <c r="P21" s="262"/>
      <c r="Q21" s="263"/>
      <c r="R21" s="261"/>
      <c r="S21" s="261"/>
      <c r="T21" s="264"/>
    </row>
    <row r="22" spans="2:23" ht="18" customHeight="1" x14ac:dyDescent="0.25">
      <c r="B22" s="507"/>
      <c r="C22" s="496"/>
      <c r="D22" s="252">
        <f>D20/$D$47</f>
        <v>7.8519416597382458E-2</v>
      </c>
      <c r="E22" s="506">
        <v>0.15</v>
      </c>
      <c r="F22" s="503"/>
      <c r="G22" s="503"/>
      <c r="H22" s="504"/>
      <c r="I22" s="502">
        <v>0.5</v>
      </c>
      <c r="J22" s="503"/>
      <c r="K22" s="503"/>
      <c r="L22" s="504"/>
      <c r="M22" s="502">
        <v>0.35</v>
      </c>
      <c r="N22" s="503"/>
      <c r="O22" s="503"/>
      <c r="P22" s="504"/>
      <c r="Q22" s="502"/>
      <c r="R22" s="503"/>
      <c r="S22" s="503"/>
      <c r="T22" s="505"/>
    </row>
    <row r="23" spans="2:23" ht="18" customHeight="1" x14ac:dyDescent="0.25">
      <c r="B23" s="492" t="str">
        <f>'ORÇAMENTO RESUMO (SD)'!B12</f>
        <v xml:space="preserve"> 4 </v>
      </c>
      <c r="C23" s="494" t="str">
        <f>'ORÇAMENTO RESUMO (SD)'!E12</f>
        <v>SEGURANÇA DO TRABALHO</v>
      </c>
      <c r="D23" s="251">
        <f>'ORÇAMENTO RESUMO (SD)'!K12</f>
        <v>163946.99</v>
      </c>
      <c r="E23" s="497">
        <f>E25*$D23</f>
        <v>54643.531766999993</v>
      </c>
      <c r="F23" s="498"/>
      <c r="G23" s="498"/>
      <c r="H23" s="499"/>
      <c r="I23" s="500">
        <f>I25*$D23</f>
        <v>54643.531766999993</v>
      </c>
      <c r="J23" s="498"/>
      <c r="K23" s="498"/>
      <c r="L23" s="499"/>
      <c r="M23" s="500">
        <f>M25*$D23</f>
        <v>54659.92646599999</v>
      </c>
      <c r="N23" s="498"/>
      <c r="O23" s="498"/>
      <c r="P23" s="499"/>
      <c r="Q23" s="500">
        <f>Q25*$D23</f>
        <v>0</v>
      </c>
      <c r="R23" s="498"/>
      <c r="S23" s="498"/>
      <c r="T23" s="501"/>
      <c r="V23" s="83"/>
      <c r="W23" s="83"/>
    </row>
    <row r="24" spans="2:23" ht="8.1" customHeight="1" x14ac:dyDescent="0.25">
      <c r="B24" s="492"/>
      <c r="C24" s="495"/>
      <c r="D24" s="251"/>
      <c r="E24" s="257"/>
      <c r="F24" s="84"/>
      <c r="G24" s="84"/>
      <c r="H24" s="85"/>
      <c r="I24" s="95"/>
      <c r="J24" s="84"/>
      <c r="K24" s="84"/>
      <c r="L24" s="85"/>
      <c r="M24" s="95"/>
      <c r="N24" s="84"/>
      <c r="O24" s="84"/>
      <c r="P24" s="85"/>
      <c r="Q24" s="263"/>
      <c r="R24" s="261"/>
      <c r="S24" s="261"/>
      <c r="T24" s="264"/>
    </row>
    <row r="25" spans="2:23" ht="18" customHeight="1" x14ac:dyDescent="0.25">
      <c r="B25" s="507"/>
      <c r="C25" s="496"/>
      <c r="D25" s="252">
        <f>D23/$D$47</f>
        <v>5.8279840853690666E-2</v>
      </c>
      <c r="E25" s="506">
        <v>0.33329999999999999</v>
      </c>
      <c r="F25" s="503"/>
      <c r="G25" s="503"/>
      <c r="H25" s="504"/>
      <c r="I25" s="502">
        <v>0.33329999999999999</v>
      </c>
      <c r="J25" s="503"/>
      <c r="K25" s="503"/>
      <c r="L25" s="504"/>
      <c r="M25" s="502">
        <v>0.33339999999999997</v>
      </c>
      <c r="N25" s="503"/>
      <c r="O25" s="503"/>
      <c r="P25" s="504"/>
      <c r="Q25" s="502"/>
      <c r="R25" s="503"/>
      <c r="S25" s="503"/>
      <c r="T25" s="505"/>
    </row>
    <row r="26" spans="2:23" ht="18" customHeight="1" x14ac:dyDescent="0.25">
      <c r="B26" s="492" t="str">
        <f>'ORÇAMENTO RESUMO (SD)'!B13</f>
        <v xml:space="preserve"> 5 </v>
      </c>
      <c r="C26" s="494" t="str">
        <f>'ORÇAMENTO RESUMO (SD)'!E13</f>
        <v>SERVIÇOS PRELIMINARES</v>
      </c>
      <c r="D26" s="251">
        <f>'ORÇAMENTO RESUMO (SD)'!K13</f>
        <v>2800</v>
      </c>
      <c r="E26" s="497">
        <f t="shared" ref="E26" si="13">E28*$D26</f>
        <v>2800</v>
      </c>
      <c r="F26" s="498"/>
      <c r="G26" s="498"/>
      <c r="H26" s="499"/>
      <c r="I26" s="500">
        <f t="shared" ref="I26" si="14">I28*$D26</f>
        <v>0</v>
      </c>
      <c r="J26" s="498"/>
      <c r="K26" s="498"/>
      <c r="L26" s="499"/>
      <c r="M26" s="500">
        <f t="shared" ref="M26" si="15">M28*$D26</f>
        <v>0</v>
      </c>
      <c r="N26" s="498"/>
      <c r="O26" s="498"/>
      <c r="P26" s="499"/>
      <c r="Q26" s="500">
        <f t="shared" ref="Q26" si="16">Q28*$D26</f>
        <v>0</v>
      </c>
      <c r="R26" s="498"/>
      <c r="S26" s="498"/>
      <c r="T26" s="501"/>
      <c r="V26" s="83"/>
      <c r="W26" s="83"/>
    </row>
    <row r="27" spans="2:23" ht="8.1" customHeight="1" x14ac:dyDescent="0.25">
      <c r="B27" s="492"/>
      <c r="C27" s="495"/>
      <c r="D27" s="251"/>
      <c r="E27" s="257"/>
      <c r="F27" s="84"/>
      <c r="G27" s="261"/>
      <c r="H27" s="262"/>
      <c r="I27" s="263"/>
      <c r="J27" s="261"/>
      <c r="K27" s="261"/>
      <c r="L27" s="262"/>
      <c r="M27" s="263"/>
      <c r="N27" s="261"/>
      <c r="O27" s="261"/>
      <c r="P27" s="262"/>
      <c r="Q27" s="263"/>
      <c r="R27" s="261"/>
      <c r="S27" s="261"/>
      <c r="T27" s="264"/>
    </row>
    <row r="28" spans="2:23" ht="18" customHeight="1" x14ac:dyDescent="0.25">
      <c r="B28" s="507"/>
      <c r="C28" s="496"/>
      <c r="D28" s="252">
        <f>D26/$D$47</f>
        <v>9.9534339965823022E-4</v>
      </c>
      <c r="E28" s="506">
        <v>1</v>
      </c>
      <c r="F28" s="503"/>
      <c r="G28" s="503"/>
      <c r="H28" s="504"/>
      <c r="I28" s="502"/>
      <c r="J28" s="503"/>
      <c r="K28" s="503"/>
      <c r="L28" s="504"/>
      <c r="M28" s="502"/>
      <c r="N28" s="503"/>
      <c r="O28" s="503"/>
      <c r="P28" s="504"/>
      <c r="Q28" s="502"/>
      <c r="R28" s="503"/>
      <c r="S28" s="503"/>
      <c r="T28" s="505"/>
    </row>
    <row r="29" spans="2:23" ht="18" customHeight="1" x14ac:dyDescent="0.25">
      <c r="B29" s="492" t="str">
        <f>'ORÇAMENTO RESUMO (SD)'!B14</f>
        <v xml:space="preserve"> 6 </v>
      </c>
      <c r="C29" s="494" t="str">
        <f>'ORÇAMENTO RESUMO (SD)'!E14</f>
        <v>DEMOLIÇÕES - ARQUIBANCADA PRINCIPAL</v>
      </c>
      <c r="D29" s="251">
        <f>'ORÇAMENTO RESUMO (SD)'!K14</f>
        <v>330847.2</v>
      </c>
      <c r="E29" s="497">
        <f>E31*$D29</f>
        <v>66169.440000000002</v>
      </c>
      <c r="F29" s="498"/>
      <c r="G29" s="498"/>
      <c r="H29" s="499"/>
      <c r="I29" s="500">
        <f>I31*$D29</f>
        <v>132338.88</v>
      </c>
      <c r="J29" s="498"/>
      <c r="K29" s="498"/>
      <c r="L29" s="499"/>
      <c r="M29" s="500">
        <f>M31*$D29</f>
        <v>132338.88</v>
      </c>
      <c r="N29" s="498"/>
      <c r="O29" s="498"/>
      <c r="P29" s="499"/>
      <c r="Q29" s="500">
        <f>Q31*$D29</f>
        <v>0</v>
      </c>
      <c r="R29" s="498"/>
      <c r="S29" s="498"/>
      <c r="T29" s="501"/>
      <c r="V29" s="83"/>
      <c r="W29" s="83"/>
    </row>
    <row r="30" spans="2:23" ht="8.1" customHeight="1" x14ac:dyDescent="0.25">
      <c r="B30" s="492"/>
      <c r="C30" s="495"/>
      <c r="D30" s="251"/>
      <c r="E30" s="260"/>
      <c r="F30" s="261"/>
      <c r="G30" s="84"/>
      <c r="H30" s="85"/>
      <c r="I30" s="95"/>
      <c r="J30" s="84"/>
      <c r="K30" s="84"/>
      <c r="L30" s="85"/>
      <c r="M30" s="95"/>
      <c r="N30" s="84"/>
      <c r="O30" s="84"/>
      <c r="P30" s="85"/>
      <c r="Q30" s="263"/>
      <c r="R30" s="261"/>
      <c r="S30" s="261"/>
      <c r="T30" s="264"/>
    </row>
    <row r="31" spans="2:23" ht="18" customHeight="1" x14ac:dyDescent="0.25">
      <c r="B31" s="507"/>
      <c r="C31" s="496"/>
      <c r="D31" s="252">
        <f>D29/$D$47</f>
        <v>0.11760949171978802</v>
      </c>
      <c r="E31" s="506">
        <v>0.2</v>
      </c>
      <c r="F31" s="503"/>
      <c r="G31" s="503"/>
      <c r="H31" s="504"/>
      <c r="I31" s="502">
        <v>0.4</v>
      </c>
      <c r="J31" s="503"/>
      <c r="K31" s="503"/>
      <c r="L31" s="504"/>
      <c r="M31" s="502">
        <v>0.4</v>
      </c>
      <c r="N31" s="503"/>
      <c r="O31" s="503"/>
      <c r="P31" s="504"/>
      <c r="Q31" s="502"/>
      <c r="R31" s="503"/>
      <c r="S31" s="503"/>
      <c r="T31" s="505"/>
    </row>
    <row r="32" spans="2:23" ht="18" customHeight="1" x14ac:dyDescent="0.25">
      <c r="B32" s="491" t="str">
        <f>'ORÇAMENTO RESUMO (SD)'!B15</f>
        <v xml:space="preserve"> 7 </v>
      </c>
      <c r="C32" s="494" t="str">
        <f>'ORÇAMENTO RESUMO (SD)'!E15</f>
        <v>DEMOLIÇÃO - TORRES</v>
      </c>
      <c r="D32" s="251">
        <f>'ORÇAMENTO RESUMO (SD)'!K15</f>
        <v>17872.02</v>
      </c>
      <c r="E32" s="497">
        <f>E34*$D32</f>
        <v>0</v>
      </c>
      <c r="F32" s="498"/>
      <c r="G32" s="498"/>
      <c r="H32" s="499"/>
      <c r="I32" s="500">
        <f>I34*$D32</f>
        <v>0</v>
      </c>
      <c r="J32" s="498"/>
      <c r="K32" s="498"/>
      <c r="L32" s="499"/>
      <c r="M32" s="500">
        <f>M34*$D32</f>
        <v>8936.01</v>
      </c>
      <c r="N32" s="498"/>
      <c r="O32" s="498"/>
      <c r="P32" s="499"/>
      <c r="Q32" s="500">
        <f>Q34*$D32</f>
        <v>8936.01</v>
      </c>
      <c r="R32" s="498"/>
      <c r="S32" s="498"/>
      <c r="T32" s="501"/>
    </row>
    <row r="33" spans="2:20" ht="9.9499999999999993" customHeight="1" x14ac:dyDescent="0.25">
      <c r="B33" s="492"/>
      <c r="C33" s="495"/>
      <c r="D33" s="251"/>
      <c r="E33" s="260"/>
      <c r="F33" s="261"/>
      <c r="G33" s="261"/>
      <c r="H33" s="262"/>
      <c r="I33" s="263"/>
      <c r="J33" s="261"/>
      <c r="K33" s="261"/>
      <c r="L33" s="262"/>
      <c r="M33" s="263"/>
      <c r="N33" s="261"/>
      <c r="O33" s="84"/>
      <c r="P33" s="85"/>
      <c r="Q33" s="95"/>
      <c r="R33" s="84"/>
      <c r="S33" s="261"/>
      <c r="T33" s="264"/>
    </row>
    <row r="34" spans="2:20" ht="18" customHeight="1" x14ac:dyDescent="0.25">
      <c r="B34" s="493"/>
      <c r="C34" s="496"/>
      <c r="D34" s="252">
        <f>D32/$D$47</f>
        <v>6.3531418376999585E-3</v>
      </c>
      <c r="E34" s="506"/>
      <c r="F34" s="503"/>
      <c r="G34" s="503"/>
      <c r="H34" s="504"/>
      <c r="I34" s="502"/>
      <c r="J34" s="503"/>
      <c r="K34" s="503"/>
      <c r="L34" s="504"/>
      <c r="M34" s="502">
        <v>0.5</v>
      </c>
      <c r="N34" s="503"/>
      <c r="O34" s="503"/>
      <c r="P34" s="504"/>
      <c r="Q34" s="502">
        <v>0.5</v>
      </c>
      <c r="R34" s="503"/>
      <c r="S34" s="503"/>
      <c r="T34" s="505"/>
    </row>
    <row r="35" spans="2:20" ht="18" customHeight="1" x14ac:dyDescent="0.25">
      <c r="B35" s="491" t="str">
        <f>'ORÇAMENTO RESUMO (SD)'!B16</f>
        <v xml:space="preserve"> 8 </v>
      </c>
      <c r="C35" s="494" t="str">
        <f>'ORÇAMENTO RESUMO (SD)'!E16</f>
        <v>DEMOLIÇÕES - ARQUIBANCADA MENOR</v>
      </c>
      <c r="D35" s="251">
        <f>'ORÇAMENTO RESUMO (SD)'!K16</f>
        <v>38066.74</v>
      </c>
      <c r="E35" s="497">
        <f t="shared" ref="E35" si="17">E37*$D35</f>
        <v>0</v>
      </c>
      <c r="F35" s="498"/>
      <c r="G35" s="498"/>
      <c r="H35" s="499"/>
      <c r="I35" s="500">
        <f t="shared" ref="I35" si="18">I37*$D35</f>
        <v>0</v>
      </c>
      <c r="J35" s="498"/>
      <c r="K35" s="498"/>
      <c r="L35" s="499"/>
      <c r="M35" s="500">
        <f t="shared" ref="M35" si="19">M37*$D35</f>
        <v>25375.288883999998</v>
      </c>
      <c r="N35" s="498"/>
      <c r="O35" s="498"/>
      <c r="P35" s="499"/>
      <c r="Q35" s="500">
        <f t="shared" ref="Q35" si="20">Q37*$D35</f>
        <v>12691.451115999998</v>
      </c>
      <c r="R35" s="498"/>
      <c r="S35" s="498"/>
      <c r="T35" s="501"/>
    </row>
    <row r="36" spans="2:20" ht="9.9499999999999993" customHeight="1" x14ac:dyDescent="0.25">
      <c r="B36" s="492"/>
      <c r="C36" s="495"/>
      <c r="D36" s="251"/>
      <c r="E36" s="260"/>
      <c r="F36" s="261"/>
      <c r="G36" s="261"/>
      <c r="H36" s="262"/>
      <c r="I36" s="263"/>
      <c r="J36" s="261"/>
      <c r="K36" s="261"/>
      <c r="L36" s="262"/>
      <c r="M36" s="95"/>
      <c r="N36" s="84"/>
      <c r="O36" s="84"/>
      <c r="P36" s="85"/>
      <c r="Q36" s="95"/>
      <c r="R36" s="84"/>
      <c r="S36" s="261"/>
      <c r="T36" s="264"/>
    </row>
    <row r="37" spans="2:20" ht="18" customHeight="1" x14ac:dyDescent="0.25">
      <c r="B37" s="493"/>
      <c r="C37" s="496"/>
      <c r="D37" s="252">
        <f>D35/$D$47</f>
        <v>1.3531956573394977E-2</v>
      </c>
      <c r="E37" s="506"/>
      <c r="F37" s="503"/>
      <c r="G37" s="503"/>
      <c r="H37" s="504"/>
      <c r="I37" s="502"/>
      <c r="J37" s="503"/>
      <c r="K37" s="503"/>
      <c r="L37" s="504"/>
      <c r="M37" s="502">
        <v>0.66659999999999997</v>
      </c>
      <c r="N37" s="503"/>
      <c r="O37" s="503"/>
      <c r="P37" s="504"/>
      <c r="Q37" s="502">
        <v>0.33339999999999997</v>
      </c>
      <c r="R37" s="503"/>
      <c r="S37" s="503"/>
      <c r="T37" s="505"/>
    </row>
    <row r="38" spans="2:20" ht="18" customHeight="1" x14ac:dyDescent="0.25">
      <c r="B38" s="491" t="str">
        <f>'ORÇAMENTO RESUMO (SD)'!B17</f>
        <v xml:space="preserve"> 9 </v>
      </c>
      <c r="C38" s="494" t="str">
        <f>'ORÇAMENTO RESUMO (SD)'!E17</f>
        <v>DEMOLIÇÕES - ARRIMO</v>
      </c>
      <c r="D38" s="251">
        <f>'ORÇAMENTO RESUMO (SD)'!K17</f>
        <v>10021.029999999999</v>
      </c>
      <c r="E38" s="497">
        <f t="shared" ref="E38" si="21">E40*$D38</f>
        <v>0</v>
      </c>
      <c r="F38" s="498"/>
      <c r="G38" s="498"/>
      <c r="H38" s="499"/>
      <c r="I38" s="500">
        <f t="shared" ref="I38" si="22">I40*$D38</f>
        <v>0</v>
      </c>
      <c r="J38" s="498"/>
      <c r="K38" s="498"/>
      <c r="L38" s="499"/>
      <c r="M38" s="500">
        <f t="shared" ref="M38" si="23">M40*$D38</f>
        <v>5010.5149999999994</v>
      </c>
      <c r="N38" s="498"/>
      <c r="O38" s="498"/>
      <c r="P38" s="499"/>
      <c r="Q38" s="500">
        <f t="shared" ref="Q38" si="24">Q40*$D38</f>
        <v>5010.5149999999994</v>
      </c>
      <c r="R38" s="498"/>
      <c r="S38" s="498"/>
      <c r="T38" s="501"/>
    </row>
    <row r="39" spans="2:20" ht="9.9499999999999993" customHeight="1" x14ac:dyDescent="0.25">
      <c r="B39" s="492"/>
      <c r="C39" s="495"/>
      <c r="D39" s="251"/>
      <c r="E39" s="260"/>
      <c r="F39" s="261"/>
      <c r="G39" s="261"/>
      <c r="H39" s="262"/>
      <c r="I39" s="263"/>
      <c r="J39" s="261"/>
      <c r="K39" s="261"/>
      <c r="L39" s="262"/>
      <c r="M39" s="263"/>
      <c r="N39" s="261"/>
      <c r="O39" s="84"/>
      <c r="P39" s="85"/>
      <c r="Q39" s="95"/>
      <c r="R39" s="84"/>
      <c r="S39" s="261"/>
      <c r="T39" s="264"/>
    </row>
    <row r="40" spans="2:20" ht="18" customHeight="1" x14ac:dyDescent="0.25">
      <c r="B40" s="493"/>
      <c r="C40" s="496"/>
      <c r="D40" s="252">
        <f>D38/$D$47</f>
        <v>3.562273595813255E-3</v>
      </c>
      <c r="E40" s="506"/>
      <c r="F40" s="503"/>
      <c r="G40" s="503"/>
      <c r="H40" s="504"/>
      <c r="I40" s="502"/>
      <c r="J40" s="503"/>
      <c r="K40" s="503"/>
      <c r="L40" s="504"/>
      <c r="M40" s="502">
        <v>0.5</v>
      </c>
      <c r="N40" s="503"/>
      <c r="O40" s="503"/>
      <c r="P40" s="504"/>
      <c r="Q40" s="502">
        <v>0.5</v>
      </c>
      <c r="R40" s="503"/>
      <c r="S40" s="503"/>
      <c r="T40" s="505"/>
    </row>
    <row r="41" spans="2:20" ht="18" customHeight="1" x14ac:dyDescent="0.25">
      <c r="B41" s="491" t="str">
        <f>'ORÇAMENTO RESUMO (SD)'!B18</f>
        <v xml:space="preserve"> 10 </v>
      </c>
      <c r="C41" s="494" t="str">
        <f>'ORÇAMENTO RESUMO (SD)'!E18</f>
        <v>TRANSPORTES</v>
      </c>
      <c r="D41" s="251">
        <f>'ORÇAMENTO RESUMO (SD)'!K18</f>
        <v>1558885.21</v>
      </c>
      <c r="E41" s="497">
        <f t="shared" ref="E41" si="25">E43*$D41</f>
        <v>222764.696509</v>
      </c>
      <c r="F41" s="498"/>
      <c r="G41" s="498"/>
      <c r="H41" s="499"/>
      <c r="I41" s="500">
        <f t="shared" ref="I41" si="26">I43*$D41</f>
        <v>445373.50449700002</v>
      </c>
      <c r="J41" s="498"/>
      <c r="K41" s="498"/>
      <c r="L41" s="499"/>
      <c r="M41" s="500">
        <f t="shared" ref="M41" si="27">M43*$D41</f>
        <v>445373.50449700002</v>
      </c>
      <c r="N41" s="498"/>
      <c r="O41" s="498"/>
      <c r="P41" s="499"/>
      <c r="Q41" s="500">
        <f t="shared" ref="Q41" si="28">Q43*$D41</f>
        <v>445373.50449700002</v>
      </c>
      <c r="R41" s="498"/>
      <c r="S41" s="498"/>
      <c r="T41" s="501"/>
    </row>
    <row r="42" spans="2:20" ht="9.9499999999999993" customHeight="1" x14ac:dyDescent="0.25">
      <c r="B42" s="492"/>
      <c r="C42" s="495"/>
      <c r="D42" s="251"/>
      <c r="E42" s="260"/>
      <c r="F42" s="261"/>
      <c r="G42" s="84"/>
      <c r="H42" s="85"/>
      <c r="I42" s="95"/>
      <c r="J42" s="84"/>
      <c r="K42" s="84"/>
      <c r="L42" s="85"/>
      <c r="M42" s="95"/>
      <c r="N42" s="84"/>
      <c r="O42" s="84"/>
      <c r="P42" s="85"/>
      <c r="Q42" s="95"/>
      <c r="R42" s="84"/>
      <c r="S42" s="84"/>
      <c r="T42" s="96"/>
    </row>
    <row r="43" spans="2:20" ht="18" customHeight="1" x14ac:dyDescent="0.25">
      <c r="B43" s="493"/>
      <c r="C43" s="496"/>
      <c r="D43" s="252">
        <f>D41/$D$47</f>
        <v>0.55415218021369073</v>
      </c>
      <c r="E43" s="506">
        <v>0.1429</v>
      </c>
      <c r="F43" s="503"/>
      <c r="G43" s="503"/>
      <c r="H43" s="504"/>
      <c r="I43" s="502">
        <v>0.28570000000000001</v>
      </c>
      <c r="J43" s="503"/>
      <c r="K43" s="503"/>
      <c r="L43" s="504"/>
      <c r="M43" s="502">
        <v>0.28570000000000001</v>
      </c>
      <c r="N43" s="503"/>
      <c r="O43" s="503"/>
      <c r="P43" s="504"/>
      <c r="Q43" s="502">
        <v>0.28570000000000001</v>
      </c>
      <c r="R43" s="503"/>
      <c r="S43" s="503"/>
      <c r="T43" s="505"/>
    </row>
    <row r="44" spans="2:20" ht="18" customHeight="1" x14ac:dyDescent="0.25">
      <c r="B44" s="491" t="str">
        <f>'ORÇAMENTO RESUMO (SD)'!B19</f>
        <v xml:space="preserve"> 11 </v>
      </c>
      <c r="C44" s="494" t="str">
        <f>'ORÇAMENTO RESUMO (SD)'!E19</f>
        <v>GERENCIAMENTO DE RESÍDUOS</v>
      </c>
      <c r="D44" s="251">
        <f>'ORÇAMENTO RESUMO (SD)'!K19</f>
        <v>162297.04</v>
      </c>
      <c r="E44" s="497">
        <f t="shared" ref="E44" si="29">E46*$D44</f>
        <v>23192.247016000001</v>
      </c>
      <c r="F44" s="498"/>
      <c r="G44" s="498"/>
      <c r="H44" s="499"/>
      <c r="I44" s="500">
        <f t="shared" ref="I44" si="30">I46*$D44</f>
        <v>46368.264328000005</v>
      </c>
      <c r="J44" s="498"/>
      <c r="K44" s="498"/>
      <c r="L44" s="499"/>
      <c r="M44" s="500">
        <f t="shared" ref="M44" si="31">M46*$D44</f>
        <v>46368.264328000005</v>
      </c>
      <c r="N44" s="498"/>
      <c r="O44" s="498"/>
      <c r="P44" s="499"/>
      <c r="Q44" s="500">
        <f t="shared" ref="Q44" si="32">Q46*$D44</f>
        <v>46368.264328000005</v>
      </c>
      <c r="R44" s="498"/>
      <c r="S44" s="498"/>
      <c r="T44" s="501"/>
    </row>
    <row r="45" spans="2:20" ht="9.9499999999999993" customHeight="1" x14ac:dyDescent="0.25">
      <c r="B45" s="492"/>
      <c r="C45" s="495"/>
      <c r="D45" s="251"/>
      <c r="E45" s="260"/>
      <c r="F45" s="261"/>
      <c r="G45" s="84"/>
      <c r="H45" s="85"/>
      <c r="I45" s="95"/>
      <c r="J45" s="84"/>
      <c r="K45" s="84"/>
      <c r="L45" s="85"/>
      <c r="M45" s="95"/>
      <c r="N45" s="84"/>
      <c r="O45" s="84"/>
      <c r="P45" s="85"/>
      <c r="Q45" s="95"/>
      <c r="R45" s="84"/>
      <c r="S45" s="84"/>
      <c r="T45" s="96"/>
    </row>
    <row r="46" spans="2:20" ht="18" customHeight="1" thickBot="1" x14ac:dyDescent="0.3">
      <c r="B46" s="493"/>
      <c r="C46" s="496"/>
      <c r="D46" s="252">
        <f>D44/$D$47</f>
        <v>5.7693316981452782E-2</v>
      </c>
      <c r="E46" s="506">
        <v>0.1429</v>
      </c>
      <c r="F46" s="503"/>
      <c r="G46" s="503"/>
      <c r="H46" s="504"/>
      <c r="I46" s="502">
        <v>0.28570000000000001</v>
      </c>
      <c r="J46" s="503"/>
      <c r="K46" s="503"/>
      <c r="L46" s="504"/>
      <c r="M46" s="502">
        <v>0.28570000000000001</v>
      </c>
      <c r="N46" s="503"/>
      <c r="O46" s="503"/>
      <c r="P46" s="504"/>
      <c r="Q46" s="502">
        <v>0.28570000000000001</v>
      </c>
      <c r="R46" s="503"/>
      <c r="S46" s="503"/>
      <c r="T46" s="505"/>
    </row>
    <row r="47" spans="2:20" ht="21" customHeight="1" x14ac:dyDescent="0.25">
      <c r="B47" s="86"/>
      <c r="C47" s="87" t="s">
        <v>57</v>
      </c>
      <c r="D47" s="253">
        <f>SUM(D44,D41,D38,D35,D32,D29,D26,D23,D20,D17,D14)</f>
        <v>2813099.4800000004</v>
      </c>
      <c r="E47" s="514">
        <f>SUM(E44,E41,E38,E35,E32,E29,E26,E23,E20,E17,E14)</f>
        <v>452120.49897485244</v>
      </c>
      <c r="F47" s="515" t="e">
        <f>SUM(#REF!,#REF!,#REF!,#REF!,#REF!,#REF!,#REF!,#REF!,#REF!,#REF!,#REF!,#REF!,F44,F41,F38,F35,F32,F29,F26,F23,F20,F17,F14)</f>
        <v>#REF!</v>
      </c>
      <c r="G47" s="515" t="e">
        <f>SUM(#REF!,#REF!,#REF!,#REF!,#REF!,#REF!,#REF!,#REF!,#REF!,#REF!,#REF!,#REF!,G44,G41,G38,G35,G32,G29,G26,G23,G20,G17,G14)</f>
        <v>#REF!</v>
      </c>
      <c r="H47" s="516" t="e">
        <f>SUM(#REF!,#REF!,#REF!,#REF!,#REF!,#REF!,#REF!,#REF!,#REF!,#REF!,#REF!,#REF!,H44,H41,H38,H35,H32,H29,H26,H23,H20,H17,H14)</f>
        <v>#REF!</v>
      </c>
      <c r="I47" s="555">
        <f t="shared" ref="I47" si="33">SUM(I44,I41,I38,I35,I32,I29,I26,I23,I20,I17,I14)</f>
        <v>886009.13606069307</v>
      </c>
      <c r="J47" s="515" t="e">
        <f>SUM(#REF!,#REF!,#REF!,#REF!,#REF!,#REF!,#REF!,#REF!,#REF!,#REF!,#REF!,#REF!,J44,J41,J38,J35,J32,J29,J26,J23,J20,J17,J14)</f>
        <v>#REF!</v>
      </c>
      <c r="K47" s="515" t="e">
        <f>SUM(#REF!,#REF!,#REF!,#REF!,#REF!,#REF!,#REF!,#REF!,#REF!,#REF!,#REF!,#REF!,K44,K41,K38,K35,K32,K29,K26,K23,K20,K17,K14)</f>
        <v>#REF!</v>
      </c>
      <c r="L47" s="516" t="e">
        <f>SUM(#REF!,#REF!,#REF!,#REF!,#REF!,#REF!,#REF!,#REF!,#REF!,#REF!,#REF!,#REF!,L44,L41,L38,L35,L32,L29,L26,L23,L20,L17,L14)</f>
        <v>#REF!</v>
      </c>
      <c r="M47" s="555">
        <f t="shared" ref="M47" si="34">SUM(M44,M41,M38,M35,M32,M29,M26,M23,M20,M17,M14)</f>
        <v>892976.45418272854</v>
      </c>
      <c r="N47" s="515" t="e">
        <f>SUM(#REF!,#REF!,#REF!,#REF!,#REF!,#REF!,#REF!,#REF!,#REF!,#REF!,#REF!,#REF!,N44,N41,N38,N35,N32,N29,N26,N23,N20,N17,N14)</f>
        <v>#REF!</v>
      </c>
      <c r="O47" s="515" t="e">
        <f>SUM(#REF!,#REF!,#REF!,#REF!,#REF!,#REF!,#REF!,#REF!,#REF!,#REF!,#REF!,#REF!,O44,O41,O38,O35,O32,O29,O26,O23,O20,O17,O14)</f>
        <v>#REF!</v>
      </c>
      <c r="P47" s="516" t="e">
        <f>SUM(#REF!,#REF!,#REF!,#REF!,#REF!,#REF!,#REF!,#REF!,#REF!,#REF!,#REF!,#REF!,P44,P41,P38,P35,P32,P29,P26,P23,P20,P17,P14)</f>
        <v>#REF!</v>
      </c>
      <c r="Q47" s="555">
        <f t="shared" ref="Q47" si="35">SUM(Q44,Q41,Q38,Q35,Q32,Q29,Q26,Q23,Q20,Q17,Q14)</f>
        <v>581993.39078172587</v>
      </c>
      <c r="R47" s="515" t="e">
        <f>SUM(#REF!,#REF!,#REF!,#REF!,#REF!,#REF!,#REF!,#REF!,#REF!,#REF!,#REF!,#REF!,R44,R41,R38,R35,R32,R29,R26,R23,R20,R17,R14)</f>
        <v>#REF!</v>
      </c>
      <c r="S47" s="515" t="e">
        <f>SUM(#REF!,#REF!,#REF!,#REF!,#REF!,#REF!,#REF!,#REF!,#REF!,#REF!,#REF!,#REF!,S44,S41,S38,S35,S32,S29,S26,S23,S20,S17,S14)</f>
        <v>#REF!</v>
      </c>
      <c r="T47" s="556" t="e">
        <f>SUM(#REF!,#REF!,#REF!,#REF!,#REF!,#REF!,#REF!,#REF!,#REF!,#REF!,#REF!,#REF!,T44,T41,T38,T35,T32,T29,T26,T23,T20,T17,T14)</f>
        <v>#REF!</v>
      </c>
    </row>
    <row r="48" spans="2:20" ht="21" customHeight="1" thickBot="1" x14ac:dyDescent="0.3">
      <c r="B48" s="88"/>
      <c r="C48" s="89" t="s">
        <v>58</v>
      </c>
      <c r="D48" s="254">
        <f>SUM(D46,D43,D40,D37,D34,D31,D28,D25,D22,D19,D16)</f>
        <v>0.99999999999999978</v>
      </c>
      <c r="E48" s="517">
        <f>E47/$D$47</f>
        <v>0.16071969803743036</v>
      </c>
      <c r="F48" s="518"/>
      <c r="G48" s="518"/>
      <c r="H48" s="519"/>
      <c r="I48" s="557">
        <f t="shared" ref="I48" si="36">I47/$D$47</f>
        <v>0.31495833771960774</v>
      </c>
      <c r="J48" s="518"/>
      <c r="K48" s="518"/>
      <c r="L48" s="519"/>
      <c r="M48" s="557">
        <f t="shared" ref="M48" si="37">M47/$D$47</f>
        <v>0.31743507847178176</v>
      </c>
      <c r="N48" s="518"/>
      <c r="O48" s="518"/>
      <c r="P48" s="519"/>
      <c r="Q48" s="557">
        <f t="shared" ref="Q48" si="38">Q47/$D$47</f>
        <v>0.20688688577117997</v>
      </c>
      <c r="R48" s="518"/>
      <c r="S48" s="518"/>
      <c r="T48" s="558"/>
    </row>
    <row r="49" spans="2:20" s="81" customFormat="1" ht="21" customHeight="1" x14ac:dyDescent="0.25">
      <c r="B49" s="90"/>
      <c r="C49" s="91" t="s">
        <v>59</v>
      </c>
      <c r="D49" s="255"/>
      <c r="E49" s="508">
        <f>+E47</f>
        <v>452120.49897485244</v>
      </c>
      <c r="F49" s="509"/>
      <c r="G49" s="509"/>
      <c r="H49" s="510"/>
      <c r="I49" s="511">
        <f>+I47+E49</f>
        <v>1338129.6350355456</v>
      </c>
      <c r="J49" s="512"/>
      <c r="K49" s="512"/>
      <c r="L49" s="513"/>
      <c r="M49" s="511">
        <f t="shared" ref="M49:M50" si="39">+M47+I49</f>
        <v>2231106.0892182742</v>
      </c>
      <c r="N49" s="512"/>
      <c r="O49" s="512"/>
      <c r="P49" s="513"/>
      <c r="Q49" s="511">
        <f t="shared" ref="Q49:Q50" si="40">+Q47+M49</f>
        <v>2813099.48</v>
      </c>
      <c r="R49" s="512"/>
      <c r="S49" s="512"/>
      <c r="T49" s="559"/>
    </row>
    <row r="50" spans="2:20" s="81" customFormat="1" ht="21" customHeight="1" thickBot="1" x14ac:dyDescent="0.3">
      <c r="B50" s="92"/>
      <c r="C50" s="93" t="s">
        <v>60</v>
      </c>
      <c r="D50" s="256"/>
      <c r="E50" s="550">
        <f>E48</f>
        <v>0.16071969803743036</v>
      </c>
      <c r="F50" s="551"/>
      <c r="G50" s="551"/>
      <c r="H50" s="552"/>
      <c r="I50" s="553">
        <f>+I48+E50</f>
        <v>0.4756780357570381</v>
      </c>
      <c r="J50" s="551"/>
      <c r="K50" s="551"/>
      <c r="L50" s="552"/>
      <c r="M50" s="553">
        <f t="shared" si="39"/>
        <v>0.79311311422881992</v>
      </c>
      <c r="N50" s="551"/>
      <c r="O50" s="551"/>
      <c r="P50" s="552"/>
      <c r="Q50" s="553">
        <f t="shared" si="40"/>
        <v>0.99999999999999989</v>
      </c>
      <c r="R50" s="551"/>
      <c r="S50" s="551"/>
      <c r="T50" s="554"/>
    </row>
    <row r="52" spans="2:20" x14ac:dyDescent="0.25">
      <c r="D52" s="94"/>
    </row>
  </sheetData>
  <mergeCells count="135">
    <mergeCell ref="E50:H50"/>
    <mergeCell ref="M50:P50"/>
    <mergeCell ref="Q50:T50"/>
    <mergeCell ref="M47:P47"/>
    <mergeCell ref="Q47:T47"/>
    <mergeCell ref="M48:P48"/>
    <mergeCell ref="Q48:T48"/>
    <mergeCell ref="M49:P49"/>
    <mergeCell ref="Q49:T49"/>
    <mergeCell ref="I50:L50"/>
    <mergeCell ref="I47:L47"/>
    <mergeCell ref="I48:L48"/>
    <mergeCell ref="B1:T6"/>
    <mergeCell ref="M14:P14"/>
    <mergeCell ref="Q14:T14"/>
    <mergeCell ref="B11:B13"/>
    <mergeCell ref="C11:C13"/>
    <mergeCell ref="D11:D13"/>
    <mergeCell ref="E11:T11"/>
    <mergeCell ref="B14:B16"/>
    <mergeCell ref="C14:C16"/>
    <mergeCell ref="E14:H14"/>
    <mergeCell ref="E16:H16"/>
    <mergeCell ref="M16:P16"/>
    <mergeCell ref="Q16:T16"/>
    <mergeCell ref="I14:L14"/>
    <mergeCell ref="I16:L16"/>
    <mergeCell ref="E12:H13"/>
    <mergeCell ref="I12:L13"/>
    <mergeCell ref="M12:P13"/>
    <mergeCell ref="Q12:T13"/>
    <mergeCell ref="B17:B19"/>
    <mergeCell ref="C17:C19"/>
    <mergeCell ref="E17:H17"/>
    <mergeCell ref="E19:H19"/>
    <mergeCell ref="M17:P17"/>
    <mergeCell ref="Q17:T17"/>
    <mergeCell ref="M19:P19"/>
    <mergeCell ref="Q19:T19"/>
    <mergeCell ref="I17:L17"/>
    <mergeCell ref="I19:L19"/>
    <mergeCell ref="B20:B22"/>
    <mergeCell ref="C20:C22"/>
    <mergeCell ref="E20:H20"/>
    <mergeCell ref="E22:H22"/>
    <mergeCell ref="M20:P20"/>
    <mergeCell ref="Q20:T20"/>
    <mergeCell ref="M22:P22"/>
    <mergeCell ref="Q22:T22"/>
    <mergeCell ref="I22:L22"/>
    <mergeCell ref="I20:L20"/>
    <mergeCell ref="B23:B25"/>
    <mergeCell ref="C23:C25"/>
    <mergeCell ref="E23:H23"/>
    <mergeCell ref="E25:H25"/>
    <mergeCell ref="M23:P23"/>
    <mergeCell ref="Q23:T23"/>
    <mergeCell ref="M25:P25"/>
    <mergeCell ref="Q25:T25"/>
    <mergeCell ref="B26:B28"/>
    <mergeCell ref="C26:C28"/>
    <mergeCell ref="E26:H26"/>
    <mergeCell ref="E28:H28"/>
    <mergeCell ref="M26:P26"/>
    <mergeCell ref="Q26:T26"/>
    <mergeCell ref="M28:P28"/>
    <mergeCell ref="Q28:T28"/>
    <mergeCell ref="I23:L23"/>
    <mergeCell ref="I25:L25"/>
    <mergeCell ref="I26:L26"/>
    <mergeCell ref="I28:L28"/>
    <mergeCell ref="B29:B31"/>
    <mergeCell ref="C29:C31"/>
    <mergeCell ref="E29:H29"/>
    <mergeCell ref="E31:H31"/>
    <mergeCell ref="M29:P29"/>
    <mergeCell ref="Q29:T29"/>
    <mergeCell ref="M31:P31"/>
    <mergeCell ref="Q31:T31"/>
    <mergeCell ref="E49:H49"/>
    <mergeCell ref="I49:L49"/>
    <mergeCell ref="E47:H47"/>
    <mergeCell ref="E48:H48"/>
    <mergeCell ref="M35:P35"/>
    <mergeCell ref="Q35:T35"/>
    <mergeCell ref="I31:L31"/>
    <mergeCell ref="I29:L29"/>
    <mergeCell ref="M32:P32"/>
    <mergeCell ref="Q32:T32"/>
    <mergeCell ref="M34:P34"/>
    <mergeCell ref="Q34:T34"/>
    <mergeCell ref="Q46:T46"/>
    <mergeCell ref="B44:B46"/>
    <mergeCell ref="C44:C46"/>
    <mergeCell ref="E44:H44"/>
    <mergeCell ref="I44:L44"/>
    <mergeCell ref="M44:P44"/>
    <mergeCell ref="Q44:T44"/>
    <mergeCell ref="E46:H46"/>
    <mergeCell ref="I46:L46"/>
    <mergeCell ref="M46:P46"/>
    <mergeCell ref="M37:P37"/>
    <mergeCell ref="Q37:T37"/>
    <mergeCell ref="E37:H37"/>
    <mergeCell ref="I37:L37"/>
    <mergeCell ref="E40:H40"/>
    <mergeCell ref="I40:L40"/>
    <mergeCell ref="E38:H38"/>
    <mergeCell ref="I38:L38"/>
    <mergeCell ref="M38:P38"/>
    <mergeCell ref="Q38:T38"/>
    <mergeCell ref="M40:P40"/>
    <mergeCell ref="Q40:T40"/>
    <mergeCell ref="E34:H34"/>
    <mergeCell ref="I34:L34"/>
    <mergeCell ref="E32:H32"/>
    <mergeCell ref="I32:L32"/>
    <mergeCell ref="B35:B37"/>
    <mergeCell ref="C35:C37"/>
    <mergeCell ref="E35:H35"/>
    <mergeCell ref="I35:L35"/>
    <mergeCell ref="B32:B34"/>
    <mergeCell ref="C32:C34"/>
    <mergeCell ref="B41:B43"/>
    <mergeCell ref="C41:C43"/>
    <mergeCell ref="E41:H41"/>
    <mergeCell ref="I41:L41"/>
    <mergeCell ref="B38:B40"/>
    <mergeCell ref="C38:C40"/>
    <mergeCell ref="M41:P41"/>
    <mergeCell ref="Q41:T41"/>
    <mergeCell ref="M43:P43"/>
    <mergeCell ref="Q43:T43"/>
    <mergeCell ref="E43:H43"/>
    <mergeCell ref="I43:L43"/>
  </mergeCells>
  <phoneticPr fontId="46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landscape" r:id="rId1"/>
  <headerFooter>
    <oddHeader>&amp;L&amp;G</oddHeader>
    <oddFooter>&amp;L&amp;"Arial Narrow,Normal"&amp;10&amp;A
&amp;F&amp;R&amp;"Arial Narrow,Normal"&amp;10Página &amp;P de &amp;N</oddFooter>
  </headerFooter>
  <colBreaks count="1" manualBreakCount="1">
    <brk id="21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FECF-3AD4-42E7-BBF8-666F000EC9D3}">
  <dimension ref="A1:K58"/>
  <sheetViews>
    <sheetView showGridLines="0" tabSelected="1" view="pageBreakPreview" topLeftCell="A32" zoomScale="85" zoomScaleNormal="85" zoomScaleSheetLayoutView="85" workbookViewId="0">
      <selection activeCell="N48" sqref="N48"/>
    </sheetView>
  </sheetViews>
  <sheetFormatPr defaultRowHeight="15" x14ac:dyDescent="0.25"/>
  <cols>
    <col min="1" max="1" width="1.7109375" style="113" customWidth="1"/>
    <col min="2" max="3" width="17.140625" style="114" bestFit="1" customWidth="1"/>
    <col min="4" max="4" width="71.140625" style="265" customWidth="1"/>
    <col min="5" max="5" width="7.5703125" style="113" customWidth="1"/>
    <col min="6" max="6" width="13.42578125" style="113" bestFit="1" customWidth="1"/>
    <col min="7" max="7" width="11.42578125" style="113" bestFit="1" customWidth="1"/>
    <col min="8" max="8" width="11.28515625" style="113" customWidth="1"/>
    <col min="9" max="9" width="10" style="113" bestFit="1" customWidth="1"/>
    <col min="10" max="10" width="16" style="113" bestFit="1" customWidth="1"/>
    <col min="11" max="11" width="1.7109375" style="113" customWidth="1"/>
    <col min="12" max="12" width="17.140625" style="113" bestFit="1" customWidth="1"/>
    <col min="13" max="16384" width="9.140625" style="113"/>
  </cols>
  <sheetData>
    <row r="1" spans="1:11" s="217" customFormat="1" ht="50.1" customHeight="1" x14ac:dyDescent="0.25">
      <c r="B1" s="466" t="s">
        <v>1017</v>
      </c>
      <c r="C1" s="466"/>
      <c r="D1" s="466"/>
      <c r="E1" s="466"/>
      <c r="F1" s="466"/>
      <c r="G1" s="466"/>
      <c r="H1" s="466"/>
      <c r="I1" s="466"/>
      <c r="J1" s="466"/>
      <c r="K1" s="115"/>
    </row>
    <row r="2" spans="1:11" s="217" customFormat="1" ht="9.9499999999999993" customHeight="1" x14ac:dyDescent="0.25">
      <c r="C2" s="115"/>
      <c r="D2" s="115"/>
      <c r="E2" s="115"/>
      <c r="F2" s="66"/>
      <c r="G2" s="115"/>
      <c r="H2" s="115"/>
      <c r="I2" s="115"/>
      <c r="J2" s="115"/>
      <c r="K2" s="115"/>
    </row>
    <row r="3" spans="1:11" s="218" customFormat="1" ht="15" customHeight="1" x14ac:dyDescent="0.25">
      <c r="B3" s="219" t="s">
        <v>16</v>
      </c>
      <c r="C3" s="220" t="str">
        <f>'DADOS DA OBRA'!$B$13</f>
        <v>Demolição do Estádio Ulisses Jayme, em Pirenópolis-GO, e Destinação Final de Resíduos de Construção.</v>
      </c>
      <c r="E3" s="222" t="s">
        <v>62</v>
      </c>
      <c r="F3" s="223" t="str">
        <f>'DADOS DA OBRA'!$N$22</f>
        <v>18/11/2024</v>
      </c>
      <c r="H3" s="221"/>
      <c r="I3" s="222" t="s">
        <v>366</v>
      </c>
      <c r="J3" s="224">
        <f>'DADOS DA OBRA'!$J$22</f>
        <v>1.0884</v>
      </c>
      <c r="K3" s="221"/>
    </row>
    <row r="4" spans="1:11" s="218" customFormat="1" ht="15" customHeight="1" x14ac:dyDescent="0.25">
      <c r="B4" s="219" t="s">
        <v>18</v>
      </c>
      <c r="C4" s="221" t="str">
        <f>+""&amp;'DADOS DA OBRA'!$B$16&amp;", "&amp;'DADOS DA OBRA'!$J$19&amp;", "&amp;'DADOS DA OBRA'!$P$19</f>
        <v xml:space="preserve"> R. 21 de Abril, 10 , Pirenópolis, GO</v>
      </c>
      <c r="E4" s="222" t="s">
        <v>17</v>
      </c>
      <c r="F4" s="223" t="str">
        <f>'DADOS DA OBRA'!$N$25</f>
        <v>02</v>
      </c>
      <c r="I4" s="222" t="s">
        <v>367</v>
      </c>
      <c r="J4" s="224">
        <f>'DADOS DA OBRA'!$J$25</f>
        <v>0.67240000000000011</v>
      </c>
    </row>
    <row r="5" spans="1:11" s="218" customFormat="1" ht="20.100000000000001" customHeight="1" x14ac:dyDescent="0.25">
      <c r="B5" s="219" t="s">
        <v>369</v>
      </c>
      <c r="C5" s="490" t="str">
        <f>'DADOS DA OBRA'!$B$28</f>
        <v>AGETOP CIVIL - 06/2024 - Goiás &gt; AGETOP RODOVIARIA - 06/2024 - Goiás &gt; SINAPI - 09/2024 - Goiás &gt; SICRO3 - 04/2024 - Goiás &gt; ORSE - 06/2024 - Sergipe &gt; SETOP - 07/2024 - Minas Gerais &gt; SIURB - 01/2024 - São Paulo &gt; CPOS - 06/2024 - São Paulo</v>
      </c>
      <c r="D5" s="490"/>
      <c r="E5" s="222" t="s">
        <v>691</v>
      </c>
      <c r="F5" s="223" t="str">
        <f>'DADOS DA OBRA'!$B$25</f>
        <v>04 Meses</v>
      </c>
      <c r="I5" s="222" t="s">
        <v>368</v>
      </c>
      <c r="J5" s="224">
        <f>'ORÇAMENTO RESUMO (SD)'!K5</f>
        <v>0.21969999999999998</v>
      </c>
    </row>
    <row r="6" spans="1:11" s="218" customFormat="1" ht="20.100000000000001" customHeight="1" x14ac:dyDescent="0.25">
      <c r="C6" s="490"/>
      <c r="D6" s="490"/>
      <c r="I6" s="222" t="s">
        <v>370</v>
      </c>
      <c r="J6" s="224">
        <f>'ORÇAMENTO RESUMO (SD)'!K6</f>
        <v>0.1419</v>
      </c>
    </row>
    <row r="7" spans="1:11" s="225" customFormat="1" ht="6.95" customHeight="1" x14ac:dyDescent="0.25">
      <c r="D7" s="79"/>
      <c r="J7" s="226"/>
      <c r="K7" s="227"/>
    </row>
    <row r="8" spans="1:11" s="114" customFormat="1" ht="33" x14ac:dyDescent="0.25">
      <c r="A8" s="272" t="s">
        <v>626</v>
      </c>
      <c r="B8" s="275" t="s">
        <v>213</v>
      </c>
      <c r="C8" s="275" t="s">
        <v>43</v>
      </c>
      <c r="D8" s="275" t="s">
        <v>85</v>
      </c>
      <c r="E8" s="275" t="s">
        <v>68</v>
      </c>
      <c r="F8" s="275" t="s">
        <v>78</v>
      </c>
      <c r="G8" s="275" t="s">
        <v>627</v>
      </c>
      <c r="H8" s="275" t="s">
        <v>69</v>
      </c>
      <c r="I8" s="275" t="s">
        <v>292</v>
      </c>
      <c r="J8" s="275" t="s">
        <v>628</v>
      </c>
    </row>
    <row r="9" spans="1:11" ht="25.5" x14ac:dyDescent="0.25">
      <c r="A9" s="273" t="s">
        <v>626</v>
      </c>
      <c r="B9" s="235" t="s">
        <v>252</v>
      </c>
      <c r="C9" s="235" t="s">
        <v>1002</v>
      </c>
      <c r="D9" s="267" t="s">
        <v>837</v>
      </c>
      <c r="E9" s="235" t="s">
        <v>340</v>
      </c>
      <c r="F9" s="399">
        <v>348002.77</v>
      </c>
      <c r="G9" s="399">
        <v>3.09</v>
      </c>
      <c r="H9" s="400">
        <f>+TRUNC(F9*G9,2)</f>
        <v>1075328.55</v>
      </c>
      <c r="I9" s="401">
        <f>+H9/$G$56</f>
        <v>0.46126641004554847</v>
      </c>
      <c r="J9" s="402">
        <f>+I9</f>
        <v>0.46126641004554847</v>
      </c>
    </row>
    <row r="10" spans="1:11" x14ac:dyDescent="0.25">
      <c r="A10" s="273" t="s">
        <v>626</v>
      </c>
      <c r="B10" s="235" t="s">
        <v>215</v>
      </c>
      <c r="C10" s="235" t="s">
        <v>997</v>
      </c>
      <c r="D10" s="267" t="s">
        <v>831</v>
      </c>
      <c r="E10" s="235" t="s">
        <v>39</v>
      </c>
      <c r="F10" s="399">
        <v>2379.06</v>
      </c>
      <c r="G10" s="399">
        <v>84.55</v>
      </c>
      <c r="H10" s="400">
        <f t="shared" ref="H10:H54" si="0">+TRUNC(F10*G10,2)</f>
        <v>201149.52</v>
      </c>
      <c r="I10" s="401">
        <f t="shared" ref="I10:I54" si="1">+H10/$G$56</f>
        <v>8.628387758586456E-2</v>
      </c>
      <c r="J10" s="402">
        <f>+J9+I10</f>
        <v>0.547550287631413</v>
      </c>
    </row>
    <row r="11" spans="1:11" ht="25.5" x14ac:dyDescent="0.25">
      <c r="A11" s="273" t="s">
        <v>626</v>
      </c>
      <c r="B11" s="235" t="s">
        <v>100</v>
      </c>
      <c r="C11" s="235" t="s">
        <v>1005</v>
      </c>
      <c r="D11" s="267" t="s">
        <v>844</v>
      </c>
      <c r="E11" s="235" t="s">
        <v>1006</v>
      </c>
      <c r="F11" s="399">
        <v>4738.6000000000004</v>
      </c>
      <c r="G11" s="399">
        <v>30</v>
      </c>
      <c r="H11" s="400">
        <f t="shared" si="0"/>
        <v>142158</v>
      </c>
      <c r="I11" s="401">
        <f t="shared" si="1"/>
        <v>6.097923310903916E-2</v>
      </c>
      <c r="J11" s="401">
        <f t="shared" ref="J11:J54" si="2">+J10+I11</f>
        <v>0.60852952074045219</v>
      </c>
    </row>
    <row r="12" spans="1:11" ht="25.5" x14ac:dyDescent="0.25">
      <c r="A12" s="273" t="s">
        <v>626</v>
      </c>
      <c r="B12" s="229" t="s">
        <v>329</v>
      </c>
      <c r="C12" s="229" t="s">
        <v>983</v>
      </c>
      <c r="D12" s="428" t="s">
        <v>796</v>
      </c>
      <c r="E12" s="229" t="s">
        <v>33</v>
      </c>
      <c r="F12" s="429">
        <v>20</v>
      </c>
      <c r="G12" s="429">
        <v>5481.25</v>
      </c>
      <c r="H12" s="430">
        <f t="shared" si="0"/>
        <v>109625</v>
      </c>
      <c r="I12" s="431">
        <f t="shared" si="1"/>
        <v>4.7024074829263345E-2</v>
      </c>
      <c r="J12" s="431">
        <f t="shared" si="2"/>
        <v>0.65555359556971549</v>
      </c>
    </row>
    <row r="13" spans="1:11" ht="25.5" x14ac:dyDescent="0.25">
      <c r="A13" s="273" t="s">
        <v>626</v>
      </c>
      <c r="B13" s="235" t="s">
        <v>252</v>
      </c>
      <c r="C13" s="235" t="s">
        <v>948</v>
      </c>
      <c r="D13" s="267" t="s">
        <v>949</v>
      </c>
      <c r="E13" s="235" t="s">
        <v>47</v>
      </c>
      <c r="F13" s="399">
        <v>200</v>
      </c>
      <c r="G13" s="399">
        <v>480</v>
      </c>
      <c r="H13" s="400">
        <f t="shared" si="0"/>
        <v>96000</v>
      </c>
      <c r="I13" s="401">
        <f t="shared" si="1"/>
        <v>4.1179577501566984E-2</v>
      </c>
      <c r="J13" s="401">
        <f t="shared" si="2"/>
        <v>0.69673317307128246</v>
      </c>
    </row>
    <row r="14" spans="1:11" x14ac:dyDescent="0.25">
      <c r="A14" s="273" t="s">
        <v>626</v>
      </c>
      <c r="B14" s="235" t="s">
        <v>215</v>
      </c>
      <c r="C14" s="235" t="s">
        <v>953</v>
      </c>
      <c r="D14" s="267" t="s">
        <v>954</v>
      </c>
      <c r="E14" s="235" t="s">
        <v>19</v>
      </c>
      <c r="F14" s="399">
        <v>2300</v>
      </c>
      <c r="G14" s="399">
        <v>37</v>
      </c>
      <c r="H14" s="400">
        <f t="shared" si="0"/>
        <v>85100</v>
      </c>
      <c r="I14" s="401">
        <f t="shared" si="1"/>
        <v>3.6503979639409899E-2</v>
      </c>
      <c r="J14" s="401">
        <f t="shared" si="2"/>
        <v>0.73323715271069234</v>
      </c>
    </row>
    <row r="15" spans="1:11" ht="38.25" x14ac:dyDescent="0.25">
      <c r="A15" s="273" t="s">
        <v>626</v>
      </c>
      <c r="B15" s="235" t="s">
        <v>289</v>
      </c>
      <c r="C15" s="235" t="s">
        <v>974</v>
      </c>
      <c r="D15" s="267" t="s">
        <v>775</v>
      </c>
      <c r="E15" s="235" t="s">
        <v>39</v>
      </c>
      <c r="F15" s="399">
        <v>831.36</v>
      </c>
      <c r="G15" s="399">
        <v>79.84</v>
      </c>
      <c r="H15" s="400">
        <f t="shared" si="0"/>
        <v>66375.78</v>
      </c>
      <c r="I15" s="401">
        <f t="shared" si="1"/>
        <v>2.8472151841009999E-2</v>
      </c>
      <c r="J15" s="401">
        <f t="shared" si="2"/>
        <v>0.76170930455170238</v>
      </c>
    </row>
    <row r="16" spans="1:11" ht="25.5" x14ac:dyDescent="0.25">
      <c r="A16" s="273" t="s">
        <v>626</v>
      </c>
      <c r="B16" s="235" t="s">
        <v>980</v>
      </c>
      <c r="C16" s="235" t="s">
        <v>981</v>
      </c>
      <c r="D16" s="267" t="s">
        <v>784</v>
      </c>
      <c r="E16" s="235" t="s">
        <v>39</v>
      </c>
      <c r="F16" s="399">
        <v>911.28</v>
      </c>
      <c r="G16" s="399">
        <v>66.27</v>
      </c>
      <c r="H16" s="400">
        <f t="shared" si="0"/>
        <v>60390.52</v>
      </c>
      <c r="I16" s="401">
        <f t="shared" si="1"/>
        <v>2.5904751028124281E-2</v>
      </c>
      <c r="J16" s="401">
        <f t="shared" si="2"/>
        <v>0.78761405557982667</v>
      </c>
    </row>
    <row r="17" spans="1:10" ht="25.5" x14ac:dyDescent="0.25">
      <c r="A17" s="273" t="s">
        <v>626</v>
      </c>
      <c r="B17" s="235" t="s">
        <v>215</v>
      </c>
      <c r="C17" s="235" t="s">
        <v>312</v>
      </c>
      <c r="D17" s="267" t="s">
        <v>113</v>
      </c>
      <c r="E17" s="235" t="s">
        <v>19</v>
      </c>
      <c r="F17" s="399">
        <v>1024.75</v>
      </c>
      <c r="G17" s="399">
        <v>47.75</v>
      </c>
      <c r="H17" s="400">
        <f t="shared" si="0"/>
        <v>48931.81</v>
      </c>
      <c r="I17" s="401">
        <f t="shared" si="1"/>
        <v>2.0989492314447401E-2</v>
      </c>
      <c r="J17" s="401">
        <f t="shared" si="2"/>
        <v>0.80860354789427402</v>
      </c>
    </row>
    <row r="18" spans="1:10" x14ac:dyDescent="0.25">
      <c r="A18" s="273" t="s">
        <v>626</v>
      </c>
      <c r="B18" s="235" t="s">
        <v>215</v>
      </c>
      <c r="C18" s="235" t="s">
        <v>301</v>
      </c>
      <c r="D18" s="267" t="s">
        <v>302</v>
      </c>
      <c r="E18" s="235" t="s">
        <v>48</v>
      </c>
      <c r="F18" s="399">
        <v>2688</v>
      </c>
      <c r="G18" s="399">
        <v>18.18</v>
      </c>
      <c r="H18" s="400">
        <f t="shared" si="0"/>
        <v>48867.839999999997</v>
      </c>
      <c r="I18" s="401">
        <f t="shared" si="1"/>
        <v>2.0962052131397658E-2</v>
      </c>
      <c r="J18" s="401">
        <f t="shared" si="2"/>
        <v>0.8295656000256717</v>
      </c>
    </row>
    <row r="19" spans="1:10" ht="38.25" x14ac:dyDescent="0.25">
      <c r="A19" s="273" t="s">
        <v>626</v>
      </c>
      <c r="B19" s="235" t="s">
        <v>592</v>
      </c>
      <c r="C19" s="235" t="s">
        <v>950</v>
      </c>
      <c r="D19" s="267" t="s">
        <v>860</v>
      </c>
      <c r="E19" s="235" t="s">
        <v>951</v>
      </c>
      <c r="F19" s="399">
        <v>2</v>
      </c>
      <c r="G19" s="399">
        <v>23531.11</v>
      </c>
      <c r="H19" s="400">
        <f t="shared" si="0"/>
        <v>47062.22</v>
      </c>
      <c r="I19" s="401">
        <f t="shared" si="1"/>
        <v>2.0187524332143707E-2</v>
      </c>
      <c r="J19" s="401">
        <f t="shared" si="2"/>
        <v>0.84975312435781536</v>
      </c>
    </row>
    <row r="20" spans="1:10" ht="25.5" x14ac:dyDescent="0.25">
      <c r="A20" s="273" t="s">
        <v>626</v>
      </c>
      <c r="B20" s="235" t="s">
        <v>215</v>
      </c>
      <c r="C20" s="235" t="s">
        <v>965</v>
      </c>
      <c r="D20" s="267" t="s">
        <v>966</v>
      </c>
      <c r="E20" s="235" t="s">
        <v>39</v>
      </c>
      <c r="F20" s="399">
        <v>815.71</v>
      </c>
      <c r="G20" s="399">
        <v>42.4</v>
      </c>
      <c r="H20" s="400">
        <f t="shared" si="0"/>
        <v>34586.1</v>
      </c>
      <c r="I20" s="401">
        <f t="shared" si="1"/>
        <v>1.4835843598197352E-2</v>
      </c>
      <c r="J20" s="401">
        <f t="shared" si="2"/>
        <v>0.8645889679560127</v>
      </c>
    </row>
    <row r="21" spans="1:10" ht="25.5" x14ac:dyDescent="0.25">
      <c r="A21" s="273" t="s">
        <v>626</v>
      </c>
      <c r="B21" s="235" t="s">
        <v>252</v>
      </c>
      <c r="C21" s="235" t="s">
        <v>330</v>
      </c>
      <c r="D21" s="267" t="s">
        <v>204</v>
      </c>
      <c r="E21" s="235" t="s">
        <v>40</v>
      </c>
      <c r="F21" s="399">
        <v>1</v>
      </c>
      <c r="G21" s="399">
        <v>34343.24</v>
      </c>
      <c r="H21" s="400">
        <f t="shared" si="0"/>
        <v>34343.24</v>
      </c>
      <c r="I21" s="401">
        <f t="shared" si="1"/>
        <v>1.4731667846197035E-2</v>
      </c>
      <c r="J21" s="401">
        <f t="shared" si="2"/>
        <v>0.87932063580220976</v>
      </c>
    </row>
    <row r="22" spans="1:10" x14ac:dyDescent="0.25">
      <c r="A22" s="273" t="s">
        <v>626</v>
      </c>
      <c r="B22" s="235" t="s">
        <v>215</v>
      </c>
      <c r="C22" s="235" t="s">
        <v>318</v>
      </c>
      <c r="D22" s="267" t="s">
        <v>212</v>
      </c>
      <c r="E22" s="235" t="s">
        <v>319</v>
      </c>
      <c r="F22" s="399">
        <v>1270</v>
      </c>
      <c r="G22" s="399">
        <v>22.5</v>
      </c>
      <c r="H22" s="400">
        <f t="shared" si="0"/>
        <v>28575</v>
      </c>
      <c r="I22" s="401">
        <f t="shared" si="1"/>
        <v>1.2257358615700799E-2</v>
      </c>
      <c r="J22" s="401">
        <f t="shared" si="2"/>
        <v>0.89157799441791052</v>
      </c>
    </row>
    <row r="23" spans="1:10" x14ac:dyDescent="0.25">
      <c r="A23" s="273" t="s">
        <v>626</v>
      </c>
      <c r="B23" s="235" t="s">
        <v>215</v>
      </c>
      <c r="C23" s="235" t="s">
        <v>955</v>
      </c>
      <c r="D23" s="267" t="s">
        <v>850</v>
      </c>
      <c r="E23" s="235" t="s">
        <v>36</v>
      </c>
      <c r="F23" s="399">
        <v>80</v>
      </c>
      <c r="G23" s="399">
        <v>356.81</v>
      </c>
      <c r="H23" s="400">
        <f t="shared" si="0"/>
        <v>28544.799999999999</v>
      </c>
      <c r="I23" s="401">
        <f t="shared" si="1"/>
        <v>1.2244404206945097E-2</v>
      </c>
      <c r="J23" s="401">
        <f t="shared" si="2"/>
        <v>0.90382239862485558</v>
      </c>
    </row>
    <row r="24" spans="1:10" ht="38.25" x14ac:dyDescent="0.25">
      <c r="A24" s="273" t="s">
        <v>626</v>
      </c>
      <c r="B24" s="235" t="s">
        <v>289</v>
      </c>
      <c r="C24" s="235" t="s">
        <v>976</v>
      </c>
      <c r="D24" s="267" t="s">
        <v>776</v>
      </c>
      <c r="E24" s="235" t="s">
        <v>39</v>
      </c>
      <c r="F24" s="399">
        <v>152.81</v>
      </c>
      <c r="G24" s="399">
        <v>171.46</v>
      </c>
      <c r="H24" s="400">
        <f t="shared" si="0"/>
        <v>26200.799999999999</v>
      </c>
      <c r="I24" s="401">
        <f t="shared" si="1"/>
        <v>1.1238936189615169E-2</v>
      </c>
      <c r="J24" s="401">
        <f t="shared" si="2"/>
        <v>0.91506133481447072</v>
      </c>
    </row>
    <row r="25" spans="1:10" x14ac:dyDescent="0.25">
      <c r="A25" s="273" t="s">
        <v>626</v>
      </c>
      <c r="B25" s="235" t="s">
        <v>215</v>
      </c>
      <c r="C25" s="235" t="s">
        <v>295</v>
      </c>
      <c r="D25" s="267" t="s">
        <v>296</v>
      </c>
      <c r="E25" s="235" t="s">
        <v>48</v>
      </c>
      <c r="F25" s="399">
        <v>240</v>
      </c>
      <c r="G25" s="399">
        <v>96.79</v>
      </c>
      <c r="H25" s="400">
        <f t="shared" si="0"/>
        <v>23229.599999999999</v>
      </c>
      <c r="I25" s="401">
        <f t="shared" si="1"/>
        <v>9.9644282659416706E-3</v>
      </c>
      <c r="J25" s="401">
        <f t="shared" si="2"/>
        <v>0.9250257630804124</v>
      </c>
    </row>
    <row r="26" spans="1:10" x14ac:dyDescent="0.25">
      <c r="A26" s="273" t="s">
        <v>626</v>
      </c>
      <c r="B26" s="235" t="s">
        <v>215</v>
      </c>
      <c r="C26" s="235" t="s">
        <v>299</v>
      </c>
      <c r="D26" s="267" t="s">
        <v>132</v>
      </c>
      <c r="E26" s="235" t="s">
        <v>48</v>
      </c>
      <c r="F26" s="399">
        <v>880</v>
      </c>
      <c r="G26" s="399">
        <v>26.12</v>
      </c>
      <c r="H26" s="400">
        <f t="shared" si="0"/>
        <v>22985.599999999999</v>
      </c>
      <c r="I26" s="401">
        <f t="shared" si="1"/>
        <v>9.8597635064585215E-3</v>
      </c>
      <c r="J26" s="401">
        <f t="shared" si="2"/>
        <v>0.93488552658687096</v>
      </c>
    </row>
    <row r="27" spans="1:10" ht="38.25" x14ac:dyDescent="0.25">
      <c r="A27" s="273" t="s">
        <v>626</v>
      </c>
      <c r="B27" s="235" t="s">
        <v>289</v>
      </c>
      <c r="C27" s="235" t="s">
        <v>956</v>
      </c>
      <c r="D27" s="267" t="s">
        <v>852</v>
      </c>
      <c r="E27" s="235" t="s">
        <v>73</v>
      </c>
      <c r="F27" s="399">
        <v>450</v>
      </c>
      <c r="G27" s="399">
        <v>35.880000000000003</v>
      </c>
      <c r="H27" s="400">
        <f t="shared" si="0"/>
        <v>16146</v>
      </c>
      <c r="I27" s="401">
        <f t="shared" si="1"/>
        <v>6.9258901910447977E-3</v>
      </c>
      <c r="J27" s="401">
        <f t="shared" si="2"/>
        <v>0.9418114167779158</v>
      </c>
    </row>
    <row r="28" spans="1:10" x14ac:dyDescent="0.25">
      <c r="A28" s="273" t="s">
        <v>626</v>
      </c>
      <c r="B28" s="235" t="s">
        <v>853</v>
      </c>
      <c r="C28" s="235" t="s">
        <v>926</v>
      </c>
      <c r="D28" s="267" t="s">
        <v>882</v>
      </c>
      <c r="E28" s="235" t="s">
        <v>928</v>
      </c>
      <c r="F28" s="399">
        <v>240</v>
      </c>
      <c r="G28" s="399">
        <v>62.74</v>
      </c>
      <c r="H28" s="400">
        <f t="shared" si="0"/>
        <v>15057.6</v>
      </c>
      <c r="I28" s="401">
        <f t="shared" si="1"/>
        <v>6.4590167311207817E-3</v>
      </c>
      <c r="J28" s="401">
        <f t="shared" si="2"/>
        <v>0.94827043350903661</v>
      </c>
    </row>
    <row r="29" spans="1:10" ht="25.5" x14ac:dyDescent="0.25">
      <c r="A29" s="273" t="s">
        <v>626</v>
      </c>
      <c r="B29" s="235" t="s">
        <v>594</v>
      </c>
      <c r="C29" s="235" t="s">
        <v>963</v>
      </c>
      <c r="D29" s="267" t="s">
        <v>760</v>
      </c>
      <c r="E29" s="235" t="s">
        <v>19</v>
      </c>
      <c r="F29" s="399">
        <v>424.55</v>
      </c>
      <c r="G29" s="399">
        <v>25.95</v>
      </c>
      <c r="H29" s="400">
        <f t="shared" si="0"/>
        <v>11017.07</v>
      </c>
      <c r="I29" s="401">
        <f t="shared" si="1"/>
        <v>4.7258154990123813E-3</v>
      </c>
      <c r="J29" s="401">
        <f t="shared" si="2"/>
        <v>0.95299624900804902</v>
      </c>
    </row>
    <row r="30" spans="1:10" x14ac:dyDescent="0.25">
      <c r="A30" s="273" t="s">
        <v>626</v>
      </c>
      <c r="B30" s="235" t="s">
        <v>329</v>
      </c>
      <c r="C30" s="235" t="s">
        <v>978</v>
      </c>
      <c r="D30" s="267" t="s">
        <v>781</v>
      </c>
      <c r="E30" s="235" t="s">
        <v>288</v>
      </c>
      <c r="F30" s="399">
        <v>20</v>
      </c>
      <c r="G30" s="399">
        <v>499.88</v>
      </c>
      <c r="H30" s="400">
        <f t="shared" si="0"/>
        <v>9997.6</v>
      </c>
      <c r="I30" s="401">
        <f t="shared" si="1"/>
        <v>4.288509833642355E-3</v>
      </c>
      <c r="J30" s="401">
        <f t="shared" si="2"/>
        <v>0.9572847588416914</v>
      </c>
    </row>
    <row r="31" spans="1:10" x14ac:dyDescent="0.25">
      <c r="A31" s="273" t="s">
        <v>626</v>
      </c>
      <c r="B31" s="235" t="s">
        <v>215</v>
      </c>
      <c r="C31" s="235" t="s">
        <v>946</v>
      </c>
      <c r="D31" s="267" t="s">
        <v>750</v>
      </c>
      <c r="E31" s="235" t="s">
        <v>947</v>
      </c>
      <c r="F31" s="399">
        <v>423</v>
      </c>
      <c r="G31" s="399">
        <v>22.53</v>
      </c>
      <c r="H31" s="400">
        <f t="shared" si="0"/>
        <v>9530.19</v>
      </c>
      <c r="I31" s="401">
        <f t="shared" si="1"/>
        <v>4.0880124761422778E-3</v>
      </c>
      <c r="J31" s="401">
        <f t="shared" si="2"/>
        <v>0.96137277131783372</v>
      </c>
    </row>
    <row r="32" spans="1:10" ht="38.25" x14ac:dyDescent="0.25">
      <c r="A32" s="273" t="s">
        <v>626</v>
      </c>
      <c r="B32" s="235" t="s">
        <v>215</v>
      </c>
      <c r="C32" s="235" t="s">
        <v>932</v>
      </c>
      <c r="D32" s="267" t="s">
        <v>870</v>
      </c>
      <c r="E32" s="235" t="s">
        <v>931</v>
      </c>
      <c r="F32" s="399">
        <v>4</v>
      </c>
      <c r="G32" s="399">
        <v>2296.02</v>
      </c>
      <c r="H32" s="400">
        <f t="shared" si="0"/>
        <v>9184.08</v>
      </c>
      <c r="I32" s="401">
        <f t="shared" si="1"/>
        <v>3.9395472306311598E-3</v>
      </c>
      <c r="J32" s="401">
        <f t="shared" si="2"/>
        <v>0.96531231854846489</v>
      </c>
    </row>
    <row r="33" spans="1:10" ht="25.5" x14ac:dyDescent="0.25">
      <c r="A33" s="273" t="s">
        <v>626</v>
      </c>
      <c r="B33" s="235" t="s">
        <v>215</v>
      </c>
      <c r="C33" s="235" t="s">
        <v>314</v>
      </c>
      <c r="D33" s="267" t="s">
        <v>115</v>
      </c>
      <c r="E33" s="235" t="s">
        <v>19</v>
      </c>
      <c r="F33" s="399">
        <v>1024.75</v>
      </c>
      <c r="G33" s="399">
        <v>7.39</v>
      </c>
      <c r="H33" s="400">
        <f t="shared" si="0"/>
        <v>7572.9</v>
      </c>
      <c r="I33" s="401">
        <f t="shared" si="1"/>
        <v>3.2484252339751731E-3</v>
      </c>
      <c r="J33" s="401">
        <f t="shared" si="2"/>
        <v>0.96856074378244006</v>
      </c>
    </row>
    <row r="34" spans="1:10" ht="25.5" x14ac:dyDescent="0.25">
      <c r="A34" s="273" t="s">
        <v>626</v>
      </c>
      <c r="B34" s="235" t="s">
        <v>100</v>
      </c>
      <c r="C34" s="235" t="s">
        <v>934</v>
      </c>
      <c r="D34" s="267" t="s">
        <v>874</v>
      </c>
      <c r="E34" s="235" t="s">
        <v>935</v>
      </c>
      <c r="F34" s="399">
        <v>4</v>
      </c>
      <c r="G34" s="399">
        <v>1800</v>
      </c>
      <c r="H34" s="400">
        <f t="shared" si="0"/>
        <v>7200</v>
      </c>
      <c r="I34" s="401">
        <f t="shared" si="1"/>
        <v>3.0884683126175239E-3</v>
      </c>
      <c r="J34" s="401">
        <f t="shared" si="2"/>
        <v>0.97164921209505761</v>
      </c>
    </row>
    <row r="35" spans="1:10" x14ac:dyDescent="0.25">
      <c r="A35" s="273" t="s">
        <v>626</v>
      </c>
      <c r="B35" s="235" t="s">
        <v>215</v>
      </c>
      <c r="C35" s="235" t="s">
        <v>924</v>
      </c>
      <c r="D35" s="267" t="s">
        <v>134</v>
      </c>
      <c r="E35" s="235" t="s">
        <v>47</v>
      </c>
      <c r="F35" s="399">
        <v>240</v>
      </c>
      <c r="G35" s="399">
        <v>24.07</v>
      </c>
      <c r="H35" s="400">
        <f t="shared" si="0"/>
        <v>5776.8</v>
      </c>
      <c r="I35" s="401">
        <f t="shared" si="1"/>
        <v>2.4779810761567933E-3</v>
      </c>
      <c r="J35" s="401">
        <f t="shared" si="2"/>
        <v>0.97412719317121443</v>
      </c>
    </row>
    <row r="36" spans="1:10" ht="25.5" x14ac:dyDescent="0.25">
      <c r="A36" s="273" t="s">
        <v>626</v>
      </c>
      <c r="B36" s="235" t="s">
        <v>215</v>
      </c>
      <c r="C36" s="235" t="s">
        <v>930</v>
      </c>
      <c r="D36" s="267" t="s">
        <v>868</v>
      </c>
      <c r="E36" s="235" t="s">
        <v>931</v>
      </c>
      <c r="F36" s="399">
        <v>4</v>
      </c>
      <c r="G36" s="399">
        <v>1287.5</v>
      </c>
      <c r="H36" s="400">
        <f t="shared" si="0"/>
        <v>5150</v>
      </c>
      <c r="I36" s="401">
        <f t="shared" si="1"/>
        <v>2.2091127513861456E-3</v>
      </c>
      <c r="J36" s="401">
        <f t="shared" si="2"/>
        <v>0.97633630592260057</v>
      </c>
    </row>
    <row r="37" spans="1:10" x14ac:dyDescent="0.25">
      <c r="A37" s="273" t="s">
        <v>626</v>
      </c>
      <c r="B37" s="235" t="s">
        <v>215</v>
      </c>
      <c r="C37" s="235" t="s">
        <v>936</v>
      </c>
      <c r="D37" s="267" t="s">
        <v>875</v>
      </c>
      <c r="E37" s="235" t="s">
        <v>937</v>
      </c>
      <c r="F37" s="399">
        <v>515.20000000000005</v>
      </c>
      <c r="G37" s="399">
        <v>9.61</v>
      </c>
      <c r="H37" s="400">
        <f t="shared" si="0"/>
        <v>4951.07</v>
      </c>
      <c r="I37" s="401">
        <f t="shared" si="1"/>
        <v>2.1237809456321173E-3</v>
      </c>
      <c r="J37" s="401">
        <f t="shared" si="2"/>
        <v>0.97846008686823271</v>
      </c>
    </row>
    <row r="38" spans="1:10" x14ac:dyDescent="0.25">
      <c r="A38" s="273" t="s">
        <v>626</v>
      </c>
      <c r="B38" s="235" t="s">
        <v>215</v>
      </c>
      <c r="C38" s="235" t="s">
        <v>938</v>
      </c>
      <c r="D38" s="267" t="s">
        <v>878</v>
      </c>
      <c r="E38" s="235" t="s">
        <v>937</v>
      </c>
      <c r="F38" s="399">
        <v>515.20000000000005</v>
      </c>
      <c r="G38" s="399">
        <v>9.61</v>
      </c>
      <c r="H38" s="400">
        <f t="shared" ref="H38:H43" si="3">+TRUNC(F38*G38,2)-0.005</f>
        <v>4951.0649999999996</v>
      </c>
      <c r="I38" s="401">
        <f t="shared" si="1"/>
        <v>2.1237788008624556E-3</v>
      </c>
      <c r="J38" s="401">
        <f t="shared" si="2"/>
        <v>0.98058386566909517</v>
      </c>
    </row>
    <row r="39" spans="1:10" x14ac:dyDescent="0.25">
      <c r="A39" s="273" t="s">
        <v>626</v>
      </c>
      <c r="B39" s="235" t="s">
        <v>215</v>
      </c>
      <c r="C39" s="235" t="s">
        <v>310</v>
      </c>
      <c r="D39" s="267" t="s">
        <v>111</v>
      </c>
      <c r="E39" s="235" t="s">
        <v>308</v>
      </c>
      <c r="F39" s="399">
        <v>1</v>
      </c>
      <c r="G39" s="399">
        <v>4829.8100000000004</v>
      </c>
      <c r="H39" s="400">
        <f t="shared" si="3"/>
        <v>4829.8050000000003</v>
      </c>
      <c r="I39" s="401">
        <f t="shared" si="1"/>
        <v>2.0717638470307892E-3</v>
      </c>
      <c r="J39" s="401">
        <f t="shared" si="2"/>
        <v>0.98265562951612595</v>
      </c>
    </row>
    <row r="40" spans="1:10" ht="38.25" x14ac:dyDescent="0.25">
      <c r="A40" s="273" t="s">
        <v>626</v>
      </c>
      <c r="B40" s="235" t="s">
        <v>853</v>
      </c>
      <c r="C40" s="235" t="s">
        <v>957</v>
      </c>
      <c r="D40" s="267" t="s">
        <v>855</v>
      </c>
      <c r="E40" s="235" t="s">
        <v>36</v>
      </c>
      <c r="F40" s="399">
        <v>157</v>
      </c>
      <c r="G40" s="399">
        <v>29.58</v>
      </c>
      <c r="H40" s="400">
        <f t="shared" si="3"/>
        <v>4644.0550000000003</v>
      </c>
      <c r="I40" s="401">
        <f t="shared" si="1"/>
        <v>1.9920856541045802E-3</v>
      </c>
      <c r="J40" s="401">
        <f t="shared" si="2"/>
        <v>0.98464771517023053</v>
      </c>
    </row>
    <row r="41" spans="1:10" ht="38.25" x14ac:dyDescent="0.25">
      <c r="A41" s="273" t="s">
        <v>626</v>
      </c>
      <c r="B41" s="235" t="s">
        <v>215</v>
      </c>
      <c r="C41" s="235" t="s">
        <v>933</v>
      </c>
      <c r="D41" s="267" t="s">
        <v>872</v>
      </c>
      <c r="E41" s="235" t="s">
        <v>863</v>
      </c>
      <c r="F41" s="399">
        <v>4</v>
      </c>
      <c r="G41" s="399">
        <v>1102.3399999999999</v>
      </c>
      <c r="H41" s="400">
        <f t="shared" si="3"/>
        <v>4409.3549999999996</v>
      </c>
      <c r="I41" s="401">
        <f t="shared" si="1"/>
        <v>1.8914101661918945E-3</v>
      </c>
      <c r="J41" s="401">
        <f t="shared" si="2"/>
        <v>0.98653912533642241</v>
      </c>
    </row>
    <row r="42" spans="1:10" x14ac:dyDescent="0.25">
      <c r="A42" s="273" t="s">
        <v>626</v>
      </c>
      <c r="B42" s="235" t="s">
        <v>215</v>
      </c>
      <c r="C42" s="235" t="s">
        <v>321</v>
      </c>
      <c r="D42" s="267" t="s">
        <v>247</v>
      </c>
      <c r="E42" s="235" t="s">
        <v>319</v>
      </c>
      <c r="F42" s="399">
        <v>1270</v>
      </c>
      <c r="G42" s="399">
        <v>3.32</v>
      </c>
      <c r="H42" s="400">
        <f t="shared" si="3"/>
        <v>4216.3949999999995</v>
      </c>
      <c r="I42" s="401">
        <f t="shared" si="1"/>
        <v>1.8086392154137449E-3</v>
      </c>
      <c r="J42" s="401">
        <f t="shared" si="2"/>
        <v>0.98834776455183615</v>
      </c>
    </row>
    <row r="43" spans="1:10" x14ac:dyDescent="0.25">
      <c r="A43" s="273" t="s">
        <v>626</v>
      </c>
      <c r="B43" s="235" t="s">
        <v>215</v>
      </c>
      <c r="C43" s="235" t="s">
        <v>999</v>
      </c>
      <c r="D43" s="267" t="s">
        <v>1000</v>
      </c>
      <c r="E43" s="235" t="s">
        <v>39</v>
      </c>
      <c r="F43" s="399">
        <v>2558.84</v>
      </c>
      <c r="G43" s="399">
        <v>1.63</v>
      </c>
      <c r="H43" s="400">
        <f t="shared" si="3"/>
        <v>4170.8949999999995</v>
      </c>
      <c r="I43" s="401">
        <f t="shared" si="1"/>
        <v>1.7891218114937314E-3</v>
      </c>
      <c r="J43" s="401">
        <f t="shared" si="2"/>
        <v>0.99013688636332986</v>
      </c>
    </row>
    <row r="44" spans="1:10" ht="25.5" x14ac:dyDescent="0.25">
      <c r="A44" s="273" t="s">
        <v>626</v>
      </c>
      <c r="B44" s="235" t="s">
        <v>100</v>
      </c>
      <c r="C44" s="235" t="s">
        <v>970</v>
      </c>
      <c r="D44" s="267" t="s">
        <v>761</v>
      </c>
      <c r="E44" s="235" t="s">
        <v>19</v>
      </c>
      <c r="F44" s="399">
        <v>492</v>
      </c>
      <c r="G44" s="399">
        <v>8.01</v>
      </c>
      <c r="H44" s="400">
        <f t="shared" si="0"/>
        <v>3940.92</v>
      </c>
      <c r="I44" s="401">
        <f t="shared" si="1"/>
        <v>1.6904731309112019E-3</v>
      </c>
      <c r="J44" s="401">
        <f t="shared" si="2"/>
        <v>0.99182735949424106</v>
      </c>
    </row>
    <row r="45" spans="1:10" ht="25.5" x14ac:dyDescent="0.25">
      <c r="A45" s="273" t="s">
        <v>626</v>
      </c>
      <c r="B45" s="235" t="s">
        <v>215</v>
      </c>
      <c r="C45" s="235" t="s">
        <v>307</v>
      </c>
      <c r="D45" s="267" t="s">
        <v>109</v>
      </c>
      <c r="E45" s="235" t="s">
        <v>308</v>
      </c>
      <c r="F45" s="399">
        <v>1</v>
      </c>
      <c r="G45" s="399">
        <v>3342.16</v>
      </c>
      <c r="H45" s="400">
        <f t="shared" si="0"/>
        <v>3342.16</v>
      </c>
      <c r="I45" s="401">
        <f t="shared" si="1"/>
        <v>1.4336326744024699E-3</v>
      </c>
      <c r="J45" s="401">
        <f t="shared" si="2"/>
        <v>0.9932609921686435</v>
      </c>
    </row>
    <row r="46" spans="1:10" x14ac:dyDescent="0.25">
      <c r="A46" s="273" t="s">
        <v>626</v>
      </c>
      <c r="B46" s="235" t="s">
        <v>215</v>
      </c>
      <c r="C46" s="235" t="s">
        <v>961</v>
      </c>
      <c r="D46" s="267" t="s">
        <v>962</v>
      </c>
      <c r="E46" s="235" t="s">
        <v>19</v>
      </c>
      <c r="F46" s="399">
        <v>457.98</v>
      </c>
      <c r="G46" s="399">
        <v>6.77</v>
      </c>
      <c r="H46" s="400">
        <f t="shared" si="0"/>
        <v>3100.52</v>
      </c>
      <c r="I46" s="401">
        <f t="shared" si="1"/>
        <v>1.3299802461995674E-3</v>
      </c>
      <c r="J46" s="401">
        <f t="shared" si="2"/>
        <v>0.99459097241484307</v>
      </c>
    </row>
    <row r="47" spans="1:10" ht="25.5" x14ac:dyDescent="0.25">
      <c r="A47" s="273" t="s">
        <v>626</v>
      </c>
      <c r="B47" s="235" t="s">
        <v>215</v>
      </c>
      <c r="C47" s="235" t="s">
        <v>316</v>
      </c>
      <c r="D47" s="267" t="s">
        <v>117</v>
      </c>
      <c r="E47" s="235" t="s">
        <v>19</v>
      </c>
      <c r="F47" s="399">
        <v>7.5</v>
      </c>
      <c r="G47" s="399">
        <v>386.74</v>
      </c>
      <c r="H47" s="400">
        <f t="shared" si="0"/>
        <v>2900.55</v>
      </c>
      <c r="I47" s="401">
        <f t="shared" si="1"/>
        <v>1.2442023283559388E-3</v>
      </c>
      <c r="J47" s="401">
        <f t="shared" si="2"/>
        <v>0.99583517474319905</v>
      </c>
    </row>
    <row r="48" spans="1:10" x14ac:dyDescent="0.25">
      <c r="A48" s="273" t="s">
        <v>626</v>
      </c>
      <c r="B48" s="235" t="s">
        <v>215</v>
      </c>
      <c r="C48" s="235" t="s">
        <v>338</v>
      </c>
      <c r="D48" s="267" t="s">
        <v>339</v>
      </c>
      <c r="E48" s="235" t="s">
        <v>39</v>
      </c>
      <c r="F48" s="399">
        <v>1239</v>
      </c>
      <c r="G48" s="399">
        <v>2.2200000000000002</v>
      </c>
      <c r="H48" s="400">
        <f t="shared" si="0"/>
        <v>2750.58</v>
      </c>
      <c r="I48" s="401">
        <f t="shared" si="1"/>
        <v>1.1798721071277095E-3</v>
      </c>
      <c r="J48" s="401">
        <f t="shared" si="2"/>
        <v>0.99701504685032671</v>
      </c>
    </row>
    <row r="49" spans="1:10" x14ac:dyDescent="0.25">
      <c r="A49" s="273" t="s">
        <v>626</v>
      </c>
      <c r="B49" s="235" t="s">
        <v>215</v>
      </c>
      <c r="C49" s="235" t="s">
        <v>324</v>
      </c>
      <c r="D49" s="267" t="s">
        <v>107</v>
      </c>
      <c r="E49" s="235" t="s">
        <v>19</v>
      </c>
      <c r="F49" s="399">
        <v>10000</v>
      </c>
      <c r="G49" s="399">
        <v>0.23</v>
      </c>
      <c r="H49" s="400">
        <f t="shared" si="0"/>
        <v>2300</v>
      </c>
      <c r="I49" s="401">
        <f t="shared" si="1"/>
        <v>9.8659404430837569E-4</v>
      </c>
      <c r="J49" s="401">
        <f t="shared" si="2"/>
        <v>0.99800164089463506</v>
      </c>
    </row>
    <row r="50" spans="1:10" ht="25.5" x14ac:dyDescent="0.25">
      <c r="A50" s="273" t="s">
        <v>626</v>
      </c>
      <c r="B50" s="235" t="s">
        <v>215</v>
      </c>
      <c r="C50" s="235" t="s">
        <v>968</v>
      </c>
      <c r="D50" s="267" t="s">
        <v>969</v>
      </c>
      <c r="E50" s="235" t="s">
        <v>19</v>
      </c>
      <c r="F50" s="399">
        <v>604</v>
      </c>
      <c r="G50" s="399">
        <v>3.8</v>
      </c>
      <c r="H50" s="400">
        <f t="shared" si="0"/>
        <v>2295.1999999999998</v>
      </c>
      <c r="I50" s="401">
        <f t="shared" si="1"/>
        <v>9.8453506543329738E-4</v>
      </c>
      <c r="J50" s="401">
        <f t="shared" si="2"/>
        <v>0.99898617596006833</v>
      </c>
    </row>
    <row r="51" spans="1:10" x14ac:dyDescent="0.25">
      <c r="A51" s="273" t="s">
        <v>626</v>
      </c>
      <c r="B51" s="235" t="s">
        <v>100</v>
      </c>
      <c r="C51" s="235" t="s">
        <v>960</v>
      </c>
      <c r="D51" s="267" t="s">
        <v>759</v>
      </c>
      <c r="E51" s="235" t="s">
        <v>19</v>
      </c>
      <c r="F51" s="399">
        <v>375.05</v>
      </c>
      <c r="G51" s="399">
        <v>2.92</v>
      </c>
      <c r="H51" s="400">
        <f t="shared" si="0"/>
        <v>1095.1400000000001</v>
      </c>
      <c r="I51" s="401">
        <f t="shared" si="1"/>
        <v>4.697646094277716E-4</v>
      </c>
      <c r="J51" s="401">
        <f t="shared" si="2"/>
        <v>0.99945594056949616</v>
      </c>
    </row>
    <row r="52" spans="1:10" x14ac:dyDescent="0.25">
      <c r="A52" s="273" t="s">
        <v>626</v>
      </c>
      <c r="B52" s="235" t="s">
        <v>592</v>
      </c>
      <c r="C52" s="235" t="s">
        <v>991</v>
      </c>
      <c r="D52" s="267" t="s">
        <v>815</v>
      </c>
      <c r="E52" s="235" t="s">
        <v>33</v>
      </c>
      <c r="F52" s="399">
        <v>3</v>
      </c>
      <c r="G52" s="399">
        <v>210.98</v>
      </c>
      <c r="H52" s="400">
        <f t="shared" si="0"/>
        <v>632.94000000000005</v>
      </c>
      <c r="I52" s="401">
        <f t="shared" si="1"/>
        <v>2.7150210191501887E-4</v>
      </c>
      <c r="J52" s="401">
        <f t="shared" si="2"/>
        <v>0.99972744267141123</v>
      </c>
    </row>
    <row r="53" spans="1:10" ht="25.5" x14ac:dyDescent="0.25">
      <c r="A53" s="273" t="s">
        <v>626</v>
      </c>
      <c r="B53" s="235" t="s">
        <v>215</v>
      </c>
      <c r="C53" s="235" t="s">
        <v>989</v>
      </c>
      <c r="D53" s="267" t="s">
        <v>809</v>
      </c>
      <c r="E53" s="235" t="s">
        <v>19</v>
      </c>
      <c r="F53" s="399">
        <v>57</v>
      </c>
      <c r="G53" s="399">
        <v>6.1</v>
      </c>
      <c r="H53" s="400">
        <f t="shared" si="0"/>
        <v>347.7</v>
      </c>
      <c r="I53" s="401">
        <f t="shared" si="1"/>
        <v>1.4914728226348792E-4</v>
      </c>
      <c r="J53" s="401">
        <f t="shared" si="2"/>
        <v>0.99987658995367468</v>
      </c>
    </row>
    <row r="54" spans="1:10" x14ac:dyDescent="0.25">
      <c r="A54" s="273" t="s">
        <v>626</v>
      </c>
      <c r="B54" s="235" t="s">
        <v>215</v>
      </c>
      <c r="C54" s="235" t="s">
        <v>943</v>
      </c>
      <c r="D54" s="267" t="s">
        <v>944</v>
      </c>
      <c r="E54" s="235" t="s">
        <v>945</v>
      </c>
      <c r="F54" s="399">
        <v>10</v>
      </c>
      <c r="G54" s="399">
        <v>28.77</v>
      </c>
      <c r="H54" s="400">
        <f t="shared" si="0"/>
        <v>287.7</v>
      </c>
      <c r="I54" s="401">
        <f t="shared" si="1"/>
        <v>1.2341004632500857E-4</v>
      </c>
      <c r="J54" s="401">
        <f t="shared" si="2"/>
        <v>0.99999999999999967</v>
      </c>
    </row>
    <row r="55" spans="1:10" ht="16.5" x14ac:dyDescent="0.25">
      <c r="A55" s="214"/>
      <c r="B55" s="214"/>
      <c r="C55" s="214"/>
      <c r="D55" s="274"/>
      <c r="E55" s="214"/>
      <c r="F55" s="214"/>
      <c r="G55" s="214"/>
      <c r="H55" s="214"/>
      <c r="I55" s="214"/>
      <c r="J55" s="66"/>
    </row>
    <row r="56" spans="1:10" ht="16.5" x14ac:dyDescent="0.25">
      <c r="A56" s="477"/>
      <c r="B56" s="477"/>
      <c r="C56" s="477"/>
      <c r="D56" s="274"/>
      <c r="E56" s="560" t="s">
        <v>363</v>
      </c>
      <c r="F56" s="477"/>
      <c r="G56" s="561">
        <f>SUM(H9:H54)</f>
        <v>2331252.6700000009</v>
      </c>
      <c r="H56" s="477"/>
      <c r="I56" s="477"/>
      <c r="J56" s="66"/>
    </row>
    <row r="57" spans="1:10" ht="16.5" x14ac:dyDescent="0.25">
      <c r="A57" s="477"/>
      <c r="B57" s="477"/>
      <c r="C57" s="477"/>
      <c r="D57" s="274"/>
      <c r="E57" s="560" t="s">
        <v>364</v>
      </c>
      <c r="F57" s="477"/>
      <c r="G57" s="561">
        <f>+'ORÇAMENTO RESUMO (SD)'!K22</f>
        <v>481848.2099999995</v>
      </c>
      <c r="H57" s="477"/>
      <c r="I57" s="477"/>
      <c r="J57" s="66"/>
    </row>
    <row r="58" spans="1:10" ht="16.5" x14ac:dyDescent="0.25">
      <c r="A58" s="477"/>
      <c r="B58" s="477"/>
      <c r="C58" s="477"/>
      <c r="D58" s="274"/>
      <c r="E58" s="560" t="s">
        <v>365</v>
      </c>
      <c r="F58" s="477"/>
      <c r="G58" s="561">
        <f>SUM(G56:I57)-1.4</f>
        <v>2813099.4800000004</v>
      </c>
      <c r="H58" s="477"/>
      <c r="I58" s="477"/>
      <c r="J58" s="66"/>
    </row>
  </sheetData>
  <mergeCells count="11">
    <mergeCell ref="B1:J1"/>
    <mergeCell ref="C5:D6"/>
    <mergeCell ref="A57:C57"/>
    <mergeCell ref="E57:F57"/>
    <mergeCell ref="G57:I57"/>
    <mergeCell ref="A58:C58"/>
    <mergeCell ref="E58:F58"/>
    <mergeCell ref="G58:I58"/>
    <mergeCell ref="A56:C56"/>
    <mergeCell ref="E56:F56"/>
    <mergeCell ref="G56:I56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76" orientation="landscape" r:id="rId1"/>
  <headerFooter>
    <oddHeader>&amp;L&amp;G</oddHeader>
    <oddFooter>&amp;L&amp;"Arial Narrow,Normal"&amp;10&amp;A
&amp;F&amp;R&amp;"Arial Narrow,Normal"&amp;10Página &amp;P de &amp;N</oddFooter>
  </headerFooter>
  <colBreaks count="1" manualBreakCount="1">
    <brk id="21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9949-266C-401F-A8A8-1132C1F0B057}">
  <dimension ref="A1:L592"/>
  <sheetViews>
    <sheetView showGridLines="0" showZeros="0" view="pageBreakPreview" zoomScale="85" zoomScaleNormal="100" zoomScaleSheetLayoutView="85" workbookViewId="0">
      <selection activeCell="R14" sqref="R14"/>
    </sheetView>
  </sheetViews>
  <sheetFormatPr defaultRowHeight="15" x14ac:dyDescent="0.25"/>
  <cols>
    <col min="1" max="1" width="11.42578125" style="113" bestFit="1" customWidth="1"/>
    <col min="2" max="2" width="13.7109375" style="113" bestFit="1" customWidth="1"/>
    <col min="3" max="3" width="11.42578125" style="113" bestFit="1" customWidth="1"/>
    <col min="4" max="4" width="68.5703125" style="265" bestFit="1" customWidth="1"/>
    <col min="5" max="5" width="17.140625" style="113" bestFit="1" customWidth="1"/>
    <col min="6" max="9" width="13.7109375" style="113" bestFit="1" customWidth="1"/>
    <col min="10" max="10" width="16" style="113" bestFit="1" customWidth="1"/>
    <col min="11" max="11" width="15.140625" style="113" bestFit="1" customWidth="1"/>
    <col min="12" max="16384" width="9.140625" style="113"/>
  </cols>
  <sheetData>
    <row r="1" spans="1:12" s="217" customFormat="1" ht="50.1" customHeight="1" x14ac:dyDescent="0.25">
      <c r="A1" s="466" t="s">
        <v>1018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2" s="217" customFormat="1" ht="9.9499999999999993" customHeight="1" x14ac:dyDescent="0.25">
      <c r="C2" s="115"/>
      <c r="D2" s="269"/>
      <c r="E2" s="115"/>
      <c r="F2" s="66"/>
      <c r="G2" s="115"/>
      <c r="H2" s="115"/>
      <c r="I2" s="115"/>
      <c r="J2" s="115"/>
      <c r="K2" s="115"/>
    </row>
    <row r="3" spans="1:12" s="218" customFormat="1" ht="15" customHeight="1" x14ac:dyDescent="0.25">
      <c r="A3" s="219" t="s">
        <v>16</v>
      </c>
      <c r="B3" s="220" t="str">
        <f>'DADOS DA OBRA'!$B$13</f>
        <v>Demolição do Estádio Ulisses Jayme, em Pirenópolis-GO, e Destinação Final de Resíduos de Construção.</v>
      </c>
      <c r="D3" s="270"/>
      <c r="F3" s="222" t="s">
        <v>62</v>
      </c>
      <c r="G3" s="223" t="str">
        <f>'DADOS DA OBRA'!$N$22</f>
        <v>18/11/2024</v>
      </c>
      <c r="H3" s="221"/>
      <c r="J3" s="222" t="s">
        <v>366</v>
      </c>
      <c r="K3" s="224">
        <f>'DADOS DA OBRA'!$J$22</f>
        <v>1.0884</v>
      </c>
    </row>
    <row r="4" spans="1:12" s="218" customFormat="1" ht="15" customHeight="1" x14ac:dyDescent="0.25">
      <c r="A4" s="219" t="s">
        <v>18</v>
      </c>
      <c r="B4" s="221" t="str">
        <f>+""&amp;'DADOS DA OBRA'!$B$16&amp;", "&amp;'DADOS DA OBRA'!$J$19&amp;", "&amp;'DADOS DA OBRA'!$P$19</f>
        <v xml:space="preserve"> R. 21 de Abril, 10 , Pirenópolis, GO</v>
      </c>
      <c r="D4" s="270"/>
      <c r="F4" s="222" t="s">
        <v>17</v>
      </c>
      <c r="G4" s="223" t="str">
        <f>'DADOS DA OBRA'!$N$25</f>
        <v>02</v>
      </c>
      <c r="J4" s="222" t="s">
        <v>367</v>
      </c>
      <c r="K4" s="224">
        <f>'DADOS DA OBRA'!$J$25</f>
        <v>0.67240000000000011</v>
      </c>
    </row>
    <row r="5" spans="1:12" s="218" customFormat="1" ht="20.100000000000001" customHeight="1" x14ac:dyDescent="0.25">
      <c r="A5" s="219" t="s">
        <v>369</v>
      </c>
      <c r="B5" s="490" t="str">
        <f>'DADOS DA OBRA'!$B$28</f>
        <v>AGETOP CIVIL - 06/2024 - Goiás &gt; AGETOP RODOVIARIA - 06/2024 - Goiás &gt; SINAPI - 09/2024 - Goiás &gt; SICRO3 - 04/2024 - Goiás &gt; ORSE - 06/2024 - Sergipe &gt; SETOP - 07/2024 - Minas Gerais &gt; SIURB - 01/2024 - São Paulo &gt; CPOS - 06/2024 - São Paulo</v>
      </c>
      <c r="C5" s="490"/>
      <c r="D5" s="490"/>
      <c r="E5" s="490"/>
      <c r="F5" s="222" t="s">
        <v>690</v>
      </c>
      <c r="G5" s="223" t="str">
        <f>'DADOS DA OBRA'!$B$25</f>
        <v>04 Meses</v>
      </c>
      <c r="J5" s="222" t="s">
        <v>368</v>
      </c>
      <c r="K5" s="224">
        <f>'ORÇAMENTO RESUMO (SD)'!K5</f>
        <v>0.21969999999999998</v>
      </c>
    </row>
    <row r="6" spans="1:12" s="218" customFormat="1" ht="20.100000000000001" customHeight="1" x14ac:dyDescent="0.25">
      <c r="B6" s="490"/>
      <c r="C6" s="490"/>
      <c r="D6" s="490"/>
      <c r="E6" s="490"/>
      <c r="J6" s="222" t="s">
        <v>370</v>
      </c>
      <c r="K6" s="224">
        <f>'ORÇAMENTO RESUMO (SD)'!K6</f>
        <v>0.1419</v>
      </c>
    </row>
    <row r="7" spans="1:12" s="225" customFormat="1" ht="6.95" customHeight="1" x14ac:dyDescent="0.25">
      <c r="D7" s="78"/>
      <c r="J7" s="226"/>
      <c r="K7" s="227"/>
    </row>
    <row r="8" spans="1:12" ht="16.5" x14ac:dyDescent="0.25">
      <c r="A8" s="571" t="s">
        <v>1019</v>
      </c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66"/>
    </row>
    <row r="9" spans="1:12" ht="16.5" x14ac:dyDescent="0.25">
      <c r="A9" s="403" t="s">
        <v>294</v>
      </c>
      <c r="B9" s="404" t="s">
        <v>43</v>
      </c>
      <c r="C9" s="403" t="s">
        <v>213</v>
      </c>
      <c r="D9" s="403" t="s">
        <v>85</v>
      </c>
      <c r="E9" s="563" t="s">
        <v>44</v>
      </c>
      <c r="F9" s="563"/>
      <c r="G9" s="405" t="s">
        <v>68</v>
      </c>
      <c r="H9" s="404" t="s">
        <v>78</v>
      </c>
      <c r="I9" s="404" t="s">
        <v>387</v>
      </c>
      <c r="J9" s="404" t="s">
        <v>291</v>
      </c>
      <c r="K9" s="404" t="s">
        <v>69</v>
      </c>
      <c r="L9" s="66"/>
    </row>
    <row r="10" spans="1:12" ht="25.5" x14ac:dyDescent="0.25">
      <c r="A10" s="406" t="s">
        <v>46</v>
      </c>
      <c r="B10" s="407" t="s">
        <v>295</v>
      </c>
      <c r="C10" s="406" t="s">
        <v>215</v>
      </c>
      <c r="D10" s="406" t="s">
        <v>296</v>
      </c>
      <c r="E10" s="566">
        <v>2501</v>
      </c>
      <c r="F10" s="566"/>
      <c r="G10" s="408" t="s">
        <v>48</v>
      </c>
      <c r="H10" s="409">
        <v>1</v>
      </c>
      <c r="I10" s="410"/>
      <c r="J10" s="410">
        <v>96.79</v>
      </c>
      <c r="K10" s="410">
        <v>96.79</v>
      </c>
      <c r="L10" s="66"/>
    </row>
    <row r="11" spans="1:12" ht="25.5" x14ac:dyDescent="0.25">
      <c r="A11" s="411" t="s">
        <v>388</v>
      </c>
      <c r="B11" s="412" t="s">
        <v>389</v>
      </c>
      <c r="C11" s="411" t="s">
        <v>215</v>
      </c>
      <c r="D11" s="411" t="s">
        <v>251</v>
      </c>
      <c r="E11" s="565" t="s">
        <v>194</v>
      </c>
      <c r="F11" s="565"/>
      <c r="G11" s="413" t="s">
        <v>390</v>
      </c>
      <c r="H11" s="414">
        <v>1</v>
      </c>
      <c r="I11" s="414"/>
      <c r="J11" s="415">
        <v>96.79</v>
      </c>
      <c r="K11" s="415">
        <v>96.79</v>
      </c>
      <c r="L11" s="66"/>
    </row>
    <row r="12" spans="1:12" ht="15.75" customHeight="1" x14ac:dyDescent="0.25">
      <c r="A12" s="416"/>
      <c r="B12" s="416"/>
      <c r="C12" s="416"/>
      <c r="D12" s="416"/>
      <c r="E12" s="416" t="s">
        <v>391</v>
      </c>
      <c r="F12" s="417">
        <v>96.79</v>
      </c>
      <c r="G12" s="416" t="s">
        <v>392</v>
      </c>
      <c r="H12" s="417">
        <v>0</v>
      </c>
      <c r="I12" s="416" t="s">
        <v>393</v>
      </c>
      <c r="J12" s="417">
        <v>96.79</v>
      </c>
      <c r="K12"/>
      <c r="L12" s="66"/>
    </row>
    <row r="13" spans="1:12" ht="17.25" thickBot="1" x14ac:dyDescent="0.3">
      <c r="A13" s="416"/>
      <c r="B13" s="416"/>
      <c r="C13" s="416"/>
      <c r="D13" s="416"/>
      <c r="E13" s="416" t="s">
        <v>394</v>
      </c>
      <c r="F13" s="417">
        <v>0</v>
      </c>
      <c r="G13" s="416"/>
      <c r="H13" s="562" t="s">
        <v>395</v>
      </c>
      <c r="I13" s="562"/>
      <c r="J13" s="417">
        <v>96.79</v>
      </c>
      <c r="K13"/>
      <c r="L13" s="66"/>
    </row>
    <row r="14" spans="1:12" ht="17.25" thickTop="1" x14ac:dyDescent="0.25">
      <c r="A14" s="418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66"/>
    </row>
    <row r="15" spans="1:12" ht="16.5" x14ac:dyDescent="0.25">
      <c r="A15" s="403" t="s">
        <v>297</v>
      </c>
      <c r="B15" s="404" t="s">
        <v>43</v>
      </c>
      <c r="C15" s="403" t="s">
        <v>213</v>
      </c>
      <c r="D15" s="403" t="s">
        <v>85</v>
      </c>
      <c r="E15" s="563" t="s">
        <v>44</v>
      </c>
      <c r="F15" s="563"/>
      <c r="G15" s="405" t="s">
        <v>68</v>
      </c>
      <c r="H15" s="404" t="s">
        <v>78</v>
      </c>
      <c r="I15" s="404" t="s">
        <v>387</v>
      </c>
      <c r="J15" s="404" t="s">
        <v>291</v>
      </c>
      <c r="K15" s="404" t="s">
        <v>69</v>
      </c>
      <c r="L15" s="66"/>
    </row>
    <row r="16" spans="1:12" ht="25.5" x14ac:dyDescent="0.25">
      <c r="A16" s="406" t="s">
        <v>46</v>
      </c>
      <c r="B16" s="407" t="s">
        <v>924</v>
      </c>
      <c r="C16" s="406" t="s">
        <v>215</v>
      </c>
      <c r="D16" s="406" t="s">
        <v>134</v>
      </c>
      <c r="E16" s="566">
        <v>2501</v>
      </c>
      <c r="F16" s="566"/>
      <c r="G16" s="408" t="s">
        <v>47</v>
      </c>
      <c r="H16" s="409">
        <v>1</v>
      </c>
      <c r="I16" s="410"/>
      <c r="J16" s="410">
        <v>24.07</v>
      </c>
      <c r="K16" s="410">
        <v>24.07</v>
      </c>
      <c r="L16" s="66"/>
    </row>
    <row r="17" spans="1:12" ht="25.5" x14ac:dyDescent="0.25">
      <c r="A17" s="411" t="s">
        <v>388</v>
      </c>
      <c r="B17" s="412" t="s">
        <v>223</v>
      </c>
      <c r="C17" s="411" t="s">
        <v>215</v>
      </c>
      <c r="D17" s="411" t="s">
        <v>224</v>
      </c>
      <c r="E17" s="565" t="s">
        <v>194</v>
      </c>
      <c r="F17" s="565"/>
      <c r="G17" s="413" t="s">
        <v>390</v>
      </c>
      <c r="H17" s="414">
        <v>1</v>
      </c>
      <c r="I17" s="414"/>
      <c r="J17" s="415">
        <v>24.07</v>
      </c>
      <c r="K17" s="415">
        <v>24.07</v>
      </c>
      <c r="L17" s="66"/>
    </row>
    <row r="18" spans="1:12" ht="15.75" customHeight="1" x14ac:dyDescent="0.25">
      <c r="A18" s="416"/>
      <c r="B18" s="416"/>
      <c r="C18" s="416"/>
      <c r="D18" s="416"/>
      <c r="E18" s="416" t="s">
        <v>391</v>
      </c>
      <c r="F18" s="417">
        <v>24.07</v>
      </c>
      <c r="G18" s="416" t="s">
        <v>392</v>
      </c>
      <c r="H18" s="417">
        <v>0</v>
      </c>
      <c r="I18" s="416" t="s">
        <v>393</v>
      </c>
      <c r="J18" s="417">
        <v>24.07</v>
      </c>
      <c r="K18"/>
      <c r="L18" s="66"/>
    </row>
    <row r="19" spans="1:12" ht="17.25" thickBot="1" x14ac:dyDescent="0.3">
      <c r="A19" s="416"/>
      <c r="B19" s="416"/>
      <c r="C19" s="416"/>
      <c r="D19" s="416"/>
      <c r="E19" s="416" t="s">
        <v>394</v>
      </c>
      <c r="F19" s="417">
        <v>0</v>
      </c>
      <c r="G19" s="416"/>
      <c r="H19" s="562" t="s">
        <v>395</v>
      </c>
      <c r="I19" s="562"/>
      <c r="J19" s="417">
        <v>24.07</v>
      </c>
      <c r="K19"/>
      <c r="L19" s="66"/>
    </row>
    <row r="20" spans="1:12" ht="17.25" thickTop="1" x14ac:dyDescent="0.25">
      <c r="A20" s="418"/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66"/>
    </row>
    <row r="21" spans="1:12" ht="16.5" x14ac:dyDescent="0.25">
      <c r="A21" s="403" t="s">
        <v>298</v>
      </c>
      <c r="B21" s="404" t="s">
        <v>43</v>
      </c>
      <c r="C21" s="403" t="s">
        <v>213</v>
      </c>
      <c r="D21" s="403" t="s">
        <v>85</v>
      </c>
      <c r="E21" s="563" t="s">
        <v>44</v>
      </c>
      <c r="F21" s="563"/>
      <c r="G21" s="405" t="s">
        <v>68</v>
      </c>
      <c r="H21" s="404" t="s">
        <v>78</v>
      </c>
      <c r="I21" s="404" t="s">
        <v>387</v>
      </c>
      <c r="J21" s="404" t="s">
        <v>291</v>
      </c>
      <c r="K21" s="404" t="s">
        <v>69</v>
      </c>
      <c r="L21" s="66"/>
    </row>
    <row r="22" spans="1:12" ht="25.5" x14ac:dyDescent="0.25">
      <c r="A22" s="406" t="s">
        <v>46</v>
      </c>
      <c r="B22" s="407" t="s">
        <v>299</v>
      </c>
      <c r="C22" s="406" t="s">
        <v>215</v>
      </c>
      <c r="D22" s="406" t="s">
        <v>132</v>
      </c>
      <c r="E22" s="566">
        <v>2501</v>
      </c>
      <c r="F22" s="566"/>
      <c r="G22" s="408" t="s">
        <v>48</v>
      </c>
      <c r="H22" s="409">
        <v>1</v>
      </c>
      <c r="I22" s="410"/>
      <c r="J22" s="410">
        <v>26.12</v>
      </c>
      <c r="K22" s="410">
        <v>26.12</v>
      </c>
      <c r="L22" s="66"/>
    </row>
    <row r="23" spans="1:12" ht="25.5" x14ac:dyDescent="0.25">
      <c r="A23" s="411" t="s">
        <v>388</v>
      </c>
      <c r="B23" s="412" t="s">
        <v>219</v>
      </c>
      <c r="C23" s="411" t="s">
        <v>215</v>
      </c>
      <c r="D23" s="411" t="s">
        <v>220</v>
      </c>
      <c r="E23" s="565" t="s">
        <v>194</v>
      </c>
      <c r="F23" s="565"/>
      <c r="G23" s="413" t="s">
        <v>390</v>
      </c>
      <c r="H23" s="414">
        <v>1</v>
      </c>
      <c r="I23" s="414"/>
      <c r="J23" s="415">
        <v>26.12</v>
      </c>
      <c r="K23" s="415">
        <v>26.12</v>
      </c>
      <c r="L23" s="66"/>
    </row>
    <row r="24" spans="1:12" ht="15.75" customHeight="1" x14ac:dyDescent="0.25">
      <c r="A24" s="416"/>
      <c r="B24" s="416"/>
      <c r="C24" s="416"/>
      <c r="D24" s="416"/>
      <c r="E24" s="416" t="s">
        <v>391</v>
      </c>
      <c r="F24" s="417">
        <v>26.12</v>
      </c>
      <c r="G24" s="416" t="s">
        <v>392</v>
      </c>
      <c r="H24" s="417">
        <v>0</v>
      </c>
      <c r="I24" s="416" t="s">
        <v>393</v>
      </c>
      <c r="J24" s="417">
        <v>26.12</v>
      </c>
      <c r="K24"/>
      <c r="L24" s="66"/>
    </row>
    <row r="25" spans="1:12" ht="17.25" thickBot="1" x14ac:dyDescent="0.3">
      <c r="A25" s="416"/>
      <c r="B25" s="416"/>
      <c r="C25" s="416"/>
      <c r="D25" s="416"/>
      <c r="E25" s="416" t="s">
        <v>394</v>
      </c>
      <c r="F25" s="417">
        <v>0</v>
      </c>
      <c r="G25" s="416"/>
      <c r="H25" s="562" t="s">
        <v>395</v>
      </c>
      <c r="I25" s="562"/>
      <c r="J25" s="417">
        <v>26.12</v>
      </c>
      <c r="K25"/>
      <c r="L25" s="66"/>
    </row>
    <row r="26" spans="1:12" ht="17.25" thickTop="1" x14ac:dyDescent="0.25">
      <c r="A26" s="418"/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66"/>
    </row>
    <row r="27" spans="1:12" ht="16.5" x14ac:dyDescent="0.25">
      <c r="A27" s="403" t="s">
        <v>300</v>
      </c>
      <c r="B27" s="404" t="s">
        <v>43</v>
      </c>
      <c r="C27" s="403" t="s">
        <v>213</v>
      </c>
      <c r="D27" s="403" t="s">
        <v>85</v>
      </c>
      <c r="E27" s="563" t="s">
        <v>44</v>
      </c>
      <c r="F27" s="563"/>
      <c r="G27" s="405" t="s">
        <v>68</v>
      </c>
      <c r="H27" s="404" t="s">
        <v>78</v>
      </c>
      <c r="I27" s="404" t="s">
        <v>387</v>
      </c>
      <c r="J27" s="404" t="s">
        <v>291</v>
      </c>
      <c r="K27" s="404" t="s">
        <v>69</v>
      </c>
      <c r="L27" s="66"/>
    </row>
    <row r="28" spans="1:12" ht="25.5" x14ac:dyDescent="0.25">
      <c r="A28" s="406" t="s">
        <v>46</v>
      </c>
      <c r="B28" s="407" t="s">
        <v>301</v>
      </c>
      <c r="C28" s="406" t="s">
        <v>215</v>
      </c>
      <c r="D28" s="406" t="s">
        <v>302</v>
      </c>
      <c r="E28" s="566">
        <v>2501</v>
      </c>
      <c r="F28" s="566"/>
      <c r="G28" s="408" t="s">
        <v>48</v>
      </c>
      <c r="H28" s="409">
        <v>1</v>
      </c>
      <c r="I28" s="410"/>
      <c r="J28" s="410">
        <v>18.18</v>
      </c>
      <c r="K28" s="410">
        <v>18.18</v>
      </c>
      <c r="L28" s="66"/>
    </row>
    <row r="29" spans="1:12" ht="25.5" x14ac:dyDescent="0.25">
      <c r="A29" s="411" t="s">
        <v>388</v>
      </c>
      <c r="B29" s="412" t="s">
        <v>217</v>
      </c>
      <c r="C29" s="411" t="s">
        <v>215</v>
      </c>
      <c r="D29" s="411" t="s">
        <v>218</v>
      </c>
      <c r="E29" s="565" t="s">
        <v>194</v>
      </c>
      <c r="F29" s="565"/>
      <c r="G29" s="413" t="s">
        <v>390</v>
      </c>
      <c r="H29" s="414">
        <v>1</v>
      </c>
      <c r="I29" s="414"/>
      <c r="J29" s="415">
        <v>18.18</v>
      </c>
      <c r="K29" s="415">
        <v>18.18</v>
      </c>
      <c r="L29" s="66"/>
    </row>
    <row r="30" spans="1:12" ht="15.75" customHeight="1" x14ac:dyDescent="0.25">
      <c r="A30" s="416"/>
      <c r="B30" s="416"/>
      <c r="C30" s="416"/>
      <c r="D30" s="416"/>
      <c r="E30" s="416" t="s">
        <v>391</v>
      </c>
      <c r="F30" s="417">
        <v>18.18</v>
      </c>
      <c r="G30" s="416" t="s">
        <v>392</v>
      </c>
      <c r="H30" s="417">
        <v>0</v>
      </c>
      <c r="I30" s="416" t="s">
        <v>393</v>
      </c>
      <c r="J30" s="417">
        <v>18.18</v>
      </c>
      <c r="K30"/>
      <c r="L30" s="66"/>
    </row>
    <row r="31" spans="1:12" ht="17.25" thickBot="1" x14ac:dyDescent="0.3">
      <c r="A31" s="416"/>
      <c r="B31" s="416"/>
      <c r="C31" s="416"/>
      <c r="D31" s="416"/>
      <c r="E31" s="416" t="s">
        <v>394</v>
      </c>
      <c r="F31" s="417">
        <v>0</v>
      </c>
      <c r="G31" s="416"/>
      <c r="H31" s="562" t="s">
        <v>395</v>
      </c>
      <c r="I31" s="562"/>
      <c r="J31" s="417">
        <v>18.18</v>
      </c>
      <c r="K31"/>
      <c r="L31" s="66"/>
    </row>
    <row r="32" spans="1:12" ht="17.25" thickTop="1" x14ac:dyDescent="0.25">
      <c r="A32" s="418"/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66"/>
    </row>
    <row r="33" spans="1:12" ht="16.5" x14ac:dyDescent="0.25">
      <c r="A33" s="403" t="s">
        <v>925</v>
      </c>
      <c r="B33" s="404" t="s">
        <v>43</v>
      </c>
      <c r="C33" s="403" t="s">
        <v>213</v>
      </c>
      <c r="D33" s="403" t="s">
        <v>85</v>
      </c>
      <c r="E33" s="563" t="s">
        <v>44</v>
      </c>
      <c r="F33" s="563"/>
      <c r="G33" s="405" t="s">
        <v>68</v>
      </c>
      <c r="H33" s="404" t="s">
        <v>78</v>
      </c>
      <c r="I33" s="404" t="s">
        <v>387</v>
      </c>
      <c r="J33" s="404" t="s">
        <v>291</v>
      </c>
      <c r="K33" s="404" t="s">
        <v>69</v>
      </c>
      <c r="L33" s="66"/>
    </row>
    <row r="34" spans="1:12" ht="25.5" x14ac:dyDescent="0.25">
      <c r="A34" s="406" t="s">
        <v>46</v>
      </c>
      <c r="B34" s="407" t="s">
        <v>926</v>
      </c>
      <c r="C34" s="406" t="s">
        <v>853</v>
      </c>
      <c r="D34" s="406" t="s">
        <v>882</v>
      </c>
      <c r="E34" s="566" t="s">
        <v>1020</v>
      </c>
      <c r="F34" s="566"/>
      <c r="G34" s="408" t="s">
        <v>928</v>
      </c>
      <c r="H34" s="409">
        <v>1</v>
      </c>
      <c r="I34" s="410"/>
      <c r="J34" s="410">
        <v>62.74</v>
      </c>
      <c r="K34" s="410">
        <v>62.74</v>
      </c>
      <c r="L34" s="66"/>
    </row>
    <row r="35" spans="1:12" ht="16.5" x14ac:dyDescent="0.25">
      <c r="A35" s="403" t="s">
        <v>88</v>
      </c>
      <c r="B35" s="404" t="s">
        <v>43</v>
      </c>
      <c r="C35" s="403" t="s">
        <v>213</v>
      </c>
      <c r="D35" s="403" t="s">
        <v>194</v>
      </c>
      <c r="E35" s="404" t="s">
        <v>45</v>
      </c>
      <c r="F35" s="567" t="s">
        <v>583</v>
      </c>
      <c r="G35" s="567"/>
      <c r="H35" s="567"/>
      <c r="I35" s="567"/>
      <c r="J35" s="404" t="s">
        <v>565</v>
      </c>
      <c r="K35"/>
      <c r="L35" s="66"/>
    </row>
    <row r="36" spans="1:12" ht="16.5" x14ac:dyDescent="0.25">
      <c r="A36" s="411" t="s">
        <v>388</v>
      </c>
      <c r="B36" s="412" t="s">
        <v>1021</v>
      </c>
      <c r="C36" s="411" t="s">
        <v>853</v>
      </c>
      <c r="D36" s="411" t="s">
        <v>887</v>
      </c>
      <c r="E36" s="414">
        <v>1</v>
      </c>
      <c r="F36" s="411"/>
      <c r="G36" s="411"/>
      <c r="H36" s="411"/>
      <c r="I36" s="419">
        <v>62.74</v>
      </c>
      <c r="J36" s="419">
        <v>62.74</v>
      </c>
      <c r="K36"/>
      <c r="L36" s="66"/>
    </row>
    <row r="37" spans="1:12" ht="16.5" x14ac:dyDescent="0.25">
      <c r="A37" s="569"/>
      <c r="B37" s="569"/>
      <c r="C37" s="569"/>
      <c r="D37" s="569"/>
      <c r="E37" s="569"/>
      <c r="F37" s="569"/>
      <c r="G37" s="569" t="s">
        <v>584</v>
      </c>
      <c r="H37" s="569"/>
      <c r="I37" s="569"/>
      <c r="J37" s="420">
        <v>62.74</v>
      </c>
      <c r="K37"/>
      <c r="L37" s="66"/>
    </row>
    <row r="38" spans="1:12" ht="16.5" x14ac:dyDescent="0.25">
      <c r="A38" s="569"/>
      <c r="B38" s="569"/>
      <c r="C38" s="569"/>
      <c r="D38" s="569"/>
      <c r="E38" s="569"/>
      <c r="F38" s="569"/>
      <c r="G38" s="569" t="s">
        <v>585</v>
      </c>
      <c r="H38" s="569"/>
      <c r="I38" s="569"/>
      <c r="J38" s="420">
        <v>0</v>
      </c>
      <c r="K38"/>
      <c r="L38" s="66"/>
    </row>
    <row r="39" spans="1:12" ht="16.5" x14ac:dyDescent="0.25">
      <c r="A39" s="569"/>
      <c r="B39" s="569"/>
      <c r="C39" s="569"/>
      <c r="D39" s="569"/>
      <c r="E39" s="569"/>
      <c r="F39" s="569"/>
      <c r="G39" s="569" t="s">
        <v>558</v>
      </c>
      <c r="H39" s="569"/>
      <c r="I39" s="569"/>
      <c r="J39" s="420">
        <v>62.74</v>
      </c>
      <c r="K39"/>
      <c r="L39" s="66"/>
    </row>
    <row r="40" spans="1:12" ht="16.5" x14ac:dyDescent="0.25">
      <c r="A40" s="569"/>
      <c r="B40" s="569"/>
      <c r="C40" s="569"/>
      <c r="D40" s="569"/>
      <c r="E40" s="569"/>
      <c r="F40" s="569"/>
      <c r="G40" s="569" t="s">
        <v>559</v>
      </c>
      <c r="H40" s="569"/>
      <c r="I40" s="569"/>
      <c r="J40" s="420">
        <v>0</v>
      </c>
      <c r="K40"/>
      <c r="L40" s="66"/>
    </row>
    <row r="41" spans="1:12" ht="16.5" x14ac:dyDescent="0.25">
      <c r="A41" s="569"/>
      <c r="B41" s="569"/>
      <c r="C41" s="569"/>
      <c r="D41" s="569"/>
      <c r="E41" s="569"/>
      <c r="F41" s="569"/>
      <c r="G41" s="569" t="s">
        <v>560</v>
      </c>
      <c r="H41" s="569"/>
      <c r="I41" s="569"/>
      <c r="J41" s="420">
        <v>0</v>
      </c>
      <c r="K41"/>
      <c r="L41" s="66"/>
    </row>
    <row r="42" spans="1:12" ht="16.5" x14ac:dyDescent="0.25">
      <c r="A42" s="569"/>
      <c r="B42" s="569"/>
      <c r="C42" s="569"/>
      <c r="D42" s="569"/>
      <c r="E42" s="569"/>
      <c r="F42" s="569"/>
      <c r="G42" s="569" t="s">
        <v>561</v>
      </c>
      <c r="H42" s="569"/>
      <c r="I42" s="569"/>
      <c r="J42" s="420">
        <v>1</v>
      </c>
      <c r="K42"/>
      <c r="L42" s="66"/>
    </row>
    <row r="43" spans="1:12" ht="16.5" x14ac:dyDescent="0.25">
      <c r="A43" s="569"/>
      <c r="B43" s="569"/>
      <c r="C43" s="569"/>
      <c r="D43" s="569"/>
      <c r="E43" s="569"/>
      <c r="F43" s="569"/>
      <c r="G43" s="569" t="s">
        <v>562</v>
      </c>
      <c r="H43" s="569"/>
      <c r="I43" s="569"/>
      <c r="J43" s="420">
        <v>62.74</v>
      </c>
      <c r="K43"/>
      <c r="L43" s="66"/>
    </row>
    <row r="44" spans="1:12" ht="25.5" x14ac:dyDescent="0.25">
      <c r="A44" s="416"/>
      <c r="B44" s="416"/>
      <c r="C44" s="416"/>
      <c r="D44" s="416"/>
      <c r="E44" s="416" t="s">
        <v>391</v>
      </c>
      <c r="F44" s="417">
        <v>62.74</v>
      </c>
      <c r="G44" s="416" t="s">
        <v>392</v>
      </c>
      <c r="H44" s="417">
        <v>0</v>
      </c>
      <c r="I44" s="416" t="s">
        <v>393</v>
      </c>
      <c r="J44" s="417">
        <v>62.74</v>
      </c>
      <c r="K44"/>
      <c r="L44" s="66"/>
    </row>
    <row r="45" spans="1:12" ht="17.25" thickBot="1" x14ac:dyDescent="0.3">
      <c r="A45" s="416"/>
      <c r="B45" s="416"/>
      <c r="C45" s="416"/>
      <c r="D45" s="416"/>
      <c r="E45" s="416" t="s">
        <v>394</v>
      </c>
      <c r="F45" s="417">
        <v>0</v>
      </c>
      <c r="G45" s="416"/>
      <c r="H45" s="562" t="s">
        <v>395</v>
      </c>
      <c r="I45" s="562"/>
      <c r="J45" s="417">
        <v>62.74</v>
      </c>
      <c r="K45"/>
      <c r="L45" s="66"/>
    </row>
    <row r="46" spans="1:12" ht="17.25" thickTop="1" x14ac:dyDescent="0.25">
      <c r="A46" s="418"/>
      <c r="B46" s="418"/>
      <c r="C46" s="418"/>
      <c r="D46" s="418"/>
      <c r="E46" s="418"/>
      <c r="F46" s="418"/>
      <c r="G46" s="418"/>
      <c r="H46" s="418"/>
      <c r="I46" s="418"/>
      <c r="J46" s="418"/>
      <c r="K46" s="418"/>
      <c r="L46" s="66"/>
    </row>
    <row r="47" spans="1:12" ht="16.5" x14ac:dyDescent="0.25">
      <c r="A47" s="403" t="s">
        <v>304</v>
      </c>
      <c r="B47" s="404" t="s">
        <v>43</v>
      </c>
      <c r="C47" s="403" t="s">
        <v>213</v>
      </c>
      <c r="D47" s="403" t="s">
        <v>85</v>
      </c>
      <c r="E47" s="563" t="s">
        <v>44</v>
      </c>
      <c r="F47" s="563"/>
      <c r="G47" s="405" t="s">
        <v>68</v>
      </c>
      <c r="H47" s="404" t="s">
        <v>78</v>
      </c>
      <c r="I47" s="404" t="s">
        <v>387</v>
      </c>
      <c r="J47" s="404" t="s">
        <v>291</v>
      </c>
      <c r="K47" s="404" t="s">
        <v>69</v>
      </c>
      <c r="L47" s="66"/>
    </row>
    <row r="48" spans="1:12" ht="38.25" x14ac:dyDescent="0.25">
      <c r="A48" s="406" t="s">
        <v>46</v>
      </c>
      <c r="B48" s="407" t="s">
        <v>930</v>
      </c>
      <c r="C48" s="406" t="s">
        <v>215</v>
      </c>
      <c r="D48" s="406" t="s">
        <v>868</v>
      </c>
      <c r="E48" s="566">
        <v>202</v>
      </c>
      <c r="F48" s="566"/>
      <c r="G48" s="408" t="s">
        <v>931</v>
      </c>
      <c r="H48" s="409">
        <v>1</v>
      </c>
      <c r="I48" s="410"/>
      <c r="J48" s="410">
        <v>1287.5</v>
      </c>
      <c r="K48" s="410">
        <v>1287.5</v>
      </c>
      <c r="L48" s="66"/>
    </row>
    <row r="49" spans="1:12" ht="38.25" x14ac:dyDescent="0.25">
      <c r="A49" s="411" t="s">
        <v>388</v>
      </c>
      <c r="B49" s="412" t="s">
        <v>1022</v>
      </c>
      <c r="C49" s="411" t="s">
        <v>215</v>
      </c>
      <c r="D49" s="411" t="s">
        <v>868</v>
      </c>
      <c r="E49" s="565" t="s">
        <v>396</v>
      </c>
      <c r="F49" s="565"/>
      <c r="G49" s="413" t="s">
        <v>863</v>
      </c>
      <c r="H49" s="414">
        <v>1</v>
      </c>
      <c r="I49" s="414"/>
      <c r="J49" s="415">
        <v>1287.5</v>
      </c>
      <c r="K49" s="415">
        <v>1287.5</v>
      </c>
      <c r="L49" s="66"/>
    </row>
    <row r="50" spans="1:12" ht="25.5" x14ac:dyDescent="0.25">
      <c r="A50" s="416"/>
      <c r="B50" s="416"/>
      <c r="C50" s="416"/>
      <c r="D50" s="416"/>
      <c r="E50" s="416" t="s">
        <v>391</v>
      </c>
      <c r="F50" s="417">
        <v>0</v>
      </c>
      <c r="G50" s="416" t="s">
        <v>392</v>
      </c>
      <c r="H50" s="417">
        <v>0</v>
      </c>
      <c r="I50" s="416" t="s">
        <v>393</v>
      </c>
      <c r="J50" s="417">
        <v>0</v>
      </c>
      <c r="K50"/>
      <c r="L50" s="66"/>
    </row>
    <row r="51" spans="1:12" ht="17.25" thickBot="1" x14ac:dyDescent="0.3">
      <c r="A51" s="416"/>
      <c r="B51" s="416"/>
      <c r="C51" s="416"/>
      <c r="D51" s="416"/>
      <c r="E51" s="416" t="s">
        <v>394</v>
      </c>
      <c r="F51" s="417">
        <v>0</v>
      </c>
      <c r="G51" s="416"/>
      <c r="H51" s="562" t="s">
        <v>395</v>
      </c>
      <c r="I51" s="562"/>
      <c r="J51" s="417">
        <v>1287.5</v>
      </c>
      <c r="K51"/>
      <c r="L51" s="66"/>
    </row>
    <row r="52" spans="1:12" ht="17.25" thickTop="1" x14ac:dyDescent="0.25">
      <c r="A52" s="418"/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66"/>
    </row>
    <row r="53" spans="1:12" ht="16.5" x14ac:dyDescent="0.25">
      <c r="A53" s="403" t="s">
        <v>305</v>
      </c>
      <c r="B53" s="404" t="s">
        <v>43</v>
      </c>
      <c r="C53" s="403" t="s">
        <v>213</v>
      </c>
      <c r="D53" s="403" t="s">
        <v>85</v>
      </c>
      <c r="E53" s="563" t="s">
        <v>44</v>
      </c>
      <c r="F53" s="563"/>
      <c r="G53" s="405" t="s">
        <v>68</v>
      </c>
      <c r="H53" s="404" t="s">
        <v>78</v>
      </c>
      <c r="I53" s="404" t="s">
        <v>387</v>
      </c>
      <c r="J53" s="404" t="s">
        <v>291</v>
      </c>
      <c r="K53" s="404" t="s">
        <v>69</v>
      </c>
      <c r="L53" s="66"/>
    </row>
    <row r="54" spans="1:12" ht="51" x14ac:dyDescent="0.25">
      <c r="A54" s="406" t="s">
        <v>46</v>
      </c>
      <c r="B54" s="407" t="s">
        <v>932</v>
      </c>
      <c r="C54" s="406" t="s">
        <v>215</v>
      </c>
      <c r="D54" s="406" t="s">
        <v>870</v>
      </c>
      <c r="E54" s="566">
        <v>202</v>
      </c>
      <c r="F54" s="566"/>
      <c r="G54" s="408" t="s">
        <v>931</v>
      </c>
      <c r="H54" s="409">
        <v>1</v>
      </c>
      <c r="I54" s="410"/>
      <c r="J54" s="410">
        <v>2296.02</v>
      </c>
      <c r="K54" s="410">
        <v>2296.02</v>
      </c>
      <c r="L54" s="66"/>
    </row>
    <row r="55" spans="1:12" ht="51" x14ac:dyDescent="0.25">
      <c r="A55" s="411" t="s">
        <v>388</v>
      </c>
      <c r="B55" s="412" t="s">
        <v>1023</v>
      </c>
      <c r="C55" s="411" t="s">
        <v>215</v>
      </c>
      <c r="D55" s="411" t="s">
        <v>870</v>
      </c>
      <c r="E55" s="565" t="s">
        <v>396</v>
      </c>
      <c r="F55" s="565"/>
      <c r="G55" s="413" t="s">
        <v>863</v>
      </c>
      <c r="H55" s="414">
        <v>1</v>
      </c>
      <c r="I55" s="414"/>
      <c r="J55" s="415">
        <v>2296.02</v>
      </c>
      <c r="K55" s="415">
        <v>2296.02</v>
      </c>
      <c r="L55" s="66"/>
    </row>
    <row r="56" spans="1:12" ht="25.5" x14ac:dyDescent="0.25">
      <c r="A56" s="416"/>
      <c r="B56" s="416"/>
      <c r="C56" s="416"/>
      <c r="D56" s="416"/>
      <c r="E56" s="416" t="s">
        <v>391</v>
      </c>
      <c r="F56" s="417">
        <v>0</v>
      </c>
      <c r="G56" s="416" t="s">
        <v>392</v>
      </c>
      <c r="H56" s="417">
        <v>0</v>
      </c>
      <c r="I56" s="416" t="s">
        <v>393</v>
      </c>
      <c r="J56" s="417">
        <v>0</v>
      </c>
      <c r="K56"/>
      <c r="L56" s="66"/>
    </row>
    <row r="57" spans="1:12" ht="17.25" thickBot="1" x14ac:dyDescent="0.3">
      <c r="A57" s="416"/>
      <c r="B57" s="416"/>
      <c r="C57" s="416"/>
      <c r="D57" s="416"/>
      <c r="E57" s="416" t="s">
        <v>394</v>
      </c>
      <c r="F57" s="417">
        <v>0</v>
      </c>
      <c r="G57" s="416"/>
      <c r="H57" s="562" t="s">
        <v>395</v>
      </c>
      <c r="I57" s="562"/>
      <c r="J57" s="417">
        <v>2296.02</v>
      </c>
      <c r="K57"/>
      <c r="L57" s="66"/>
    </row>
    <row r="58" spans="1:12" ht="17.25" thickTop="1" x14ac:dyDescent="0.25">
      <c r="A58" s="418"/>
      <c r="B58" s="418"/>
      <c r="C58" s="418"/>
      <c r="D58" s="418"/>
      <c r="E58" s="418"/>
      <c r="F58" s="418"/>
      <c r="G58" s="418"/>
      <c r="H58" s="418"/>
      <c r="I58" s="418"/>
      <c r="J58" s="418"/>
      <c r="K58" s="418"/>
      <c r="L58" s="66"/>
    </row>
    <row r="59" spans="1:12" ht="16.5" x14ac:dyDescent="0.25">
      <c r="A59" s="403" t="s">
        <v>306</v>
      </c>
      <c r="B59" s="404" t="s">
        <v>43</v>
      </c>
      <c r="C59" s="403" t="s">
        <v>213</v>
      </c>
      <c r="D59" s="403" t="s">
        <v>85</v>
      </c>
      <c r="E59" s="563" t="s">
        <v>44</v>
      </c>
      <c r="F59" s="563"/>
      <c r="G59" s="405" t="s">
        <v>68</v>
      </c>
      <c r="H59" s="404" t="s">
        <v>78</v>
      </c>
      <c r="I59" s="404" t="s">
        <v>387</v>
      </c>
      <c r="J59" s="404" t="s">
        <v>291</v>
      </c>
      <c r="K59" s="404" t="s">
        <v>69</v>
      </c>
      <c r="L59" s="66"/>
    </row>
    <row r="60" spans="1:12" ht="38.25" x14ac:dyDescent="0.25">
      <c r="A60" s="406" t="s">
        <v>46</v>
      </c>
      <c r="B60" s="407" t="s">
        <v>933</v>
      </c>
      <c r="C60" s="406" t="s">
        <v>215</v>
      </c>
      <c r="D60" s="406" t="s">
        <v>872</v>
      </c>
      <c r="E60" s="566">
        <v>202</v>
      </c>
      <c r="F60" s="566"/>
      <c r="G60" s="408" t="s">
        <v>863</v>
      </c>
      <c r="H60" s="409">
        <v>1</v>
      </c>
      <c r="I60" s="410"/>
      <c r="J60" s="410">
        <v>1102.3399999999999</v>
      </c>
      <c r="K60" s="410">
        <v>1102.3399999999999</v>
      </c>
      <c r="L60" s="66"/>
    </row>
    <row r="61" spans="1:12" ht="38.25" x14ac:dyDescent="0.25">
      <c r="A61" s="411" t="s">
        <v>388</v>
      </c>
      <c r="B61" s="412" t="s">
        <v>1024</v>
      </c>
      <c r="C61" s="411" t="s">
        <v>215</v>
      </c>
      <c r="D61" s="411" t="s">
        <v>872</v>
      </c>
      <c r="E61" s="565" t="s">
        <v>396</v>
      </c>
      <c r="F61" s="565"/>
      <c r="G61" s="413" t="s">
        <v>931</v>
      </c>
      <c r="H61" s="414">
        <v>1</v>
      </c>
      <c r="I61" s="414"/>
      <c r="J61" s="415">
        <v>1102.3399999999999</v>
      </c>
      <c r="K61" s="415">
        <v>1102.3399999999999</v>
      </c>
      <c r="L61" s="66"/>
    </row>
    <row r="62" spans="1:12" ht="25.5" x14ac:dyDescent="0.25">
      <c r="A62" s="416"/>
      <c r="B62" s="416"/>
      <c r="C62" s="416"/>
      <c r="D62" s="416"/>
      <c r="E62" s="416" t="s">
        <v>391</v>
      </c>
      <c r="F62" s="417">
        <v>0</v>
      </c>
      <c r="G62" s="416" t="s">
        <v>392</v>
      </c>
      <c r="H62" s="417">
        <v>0</v>
      </c>
      <c r="I62" s="416" t="s">
        <v>393</v>
      </c>
      <c r="J62" s="417">
        <v>0</v>
      </c>
      <c r="K62"/>
      <c r="L62" s="66"/>
    </row>
    <row r="63" spans="1:12" ht="17.25" thickBot="1" x14ac:dyDescent="0.3">
      <c r="A63" s="416"/>
      <c r="B63" s="416"/>
      <c r="C63" s="416"/>
      <c r="D63" s="416"/>
      <c r="E63" s="416" t="s">
        <v>394</v>
      </c>
      <c r="F63" s="417">
        <v>0</v>
      </c>
      <c r="G63" s="416"/>
      <c r="H63" s="562" t="s">
        <v>395</v>
      </c>
      <c r="I63" s="562"/>
      <c r="J63" s="417">
        <v>1102.3399999999999</v>
      </c>
      <c r="K63"/>
      <c r="L63" s="66"/>
    </row>
    <row r="64" spans="1:12" ht="17.25" thickTop="1" x14ac:dyDescent="0.25">
      <c r="A64" s="418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66"/>
    </row>
    <row r="65" spans="1:12" ht="16.5" x14ac:dyDescent="0.25">
      <c r="A65" s="403" t="s">
        <v>309</v>
      </c>
      <c r="B65" s="404" t="s">
        <v>43</v>
      </c>
      <c r="C65" s="403" t="s">
        <v>213</v>
      </c>
      <c r="D65" s="403" t="s">
        <v>85</v>
      </c>
      <c r="E65" s="563" t="s">
        <v>44</v>
      </c>
      <c r="F65" s="563"/>
      <c r="G65" s="405" t="s">
        <v>68</v>
      </c>
      <c r="H65" s="404" t="s">
        <v>78</v>
      </c>
      <c r="I65" s="404" t="s">
        <v>387</v>
      </c>
      <c r="J65" s="404" t="s">
        <v>291</v>
      </c>
      <c r="K65" s="404" t="s">
        <v>69</v>
      </c>
      <c r="L65" s="66"/>
    </row>
    <row r="66" spans="1:12" ht="25.5" x14ac:dyDescent="0.25">
      <c r="A66" s="406" t="s">
        <v>46</v>
      </c>
      <c r="B66" s="407" t="s">
        <v>934</v>
      </c>
      <c r="C66" s="406" t="s">
        <v>100</v>
      </c>
      <c r="D66" s="406" t="s">
        <v>874</v>
      </c>
      <c r="E66" s="566" t="s">
        <v>1025</v>
      </c>
      <c r="F66" s="566"/>
      <c r="G66" s="408" t="s">
        <v>935</v>
      </c>
      <c r="H66" s="409">
        <v>1</v>
      </c>
      <c r="I66" s="410"/>
      <c r="J66" s="410">
        <v>1800</v>
      </c>
      <c r="K66" s="410">
        <v>1800</v>
      </c>
      <c r="L66" s="66"/>
    </row>
    <row r="67" spans="1:12" ht="25.5" x14ac:dyDescent="0.25">
      <c r="A67" s="411" t="s">
        <v>388</v>
      </c>
      <c r="B67" s="412" t="s">
        <v>1026</v>
      </c>
      <c r="C67" s="411" t="s">
        <v>100</v>
      </c>
      <c r="D67" s="411" t="s">
        <v>1027</v>
      </c>
      <c r="E67" s="565" t="s">
        <v>574</v>
      </c>
      <c r="F67" s="565"/>
      <c r="G67" s="413" t="s">
        <v>935</v>
      </c>
      <c r="H67" s="414">
        <v>1</v>
      </c>
      <c r="I67" s="414"/>
      <c r="J67" s="415">
        <v>1800</v>
      </c>
      <c r="K67" s="415">
        <v>1800</v>
      </c>
      <c r="L67" s="66"/>
    </row>
    <row r="68" spans="1:12" ht="25.5" x14ac:dyDescent="0.25">
      <c r="A68" s="416"/>
      <c r="B68" s="416"/>
      <c r="C68" s="416"/>
      <c r="D68" s="416"/>
      <c r="E68" s="416" t="s">
        <v>391</v>
      </c>
      <c r="F68" s="417">
        <v>0</v>
      </c>
      <c r="G68" s="416" t="s">
        <v>392</v>
      </c>
      <c r="H68" s="417">
        <v>0</v>
      </c>
      <c r="I68" s="416" t="s">
        <v>393</v>
      </c>
      <c r="J68" s="417">
        <v>0</v>
      </c>
      <c r="K68"/>
      <c r="L68" s="66"/>
    </row>
    <row r="69" spans="1:12" ht="17.25" thickBot="1" x14ac:dyDescent="0.3">
      <c r="A69" s="416"/>
      <c r="B69" s="416"/>
      <c r="C69" s="416"/>
      <c r="D69" s="416"/>
      <c r="E69" s="416" t="s">
        <v>394</v>
      </c>
      <c r="F69" s="417">
        <v>0</v>
      </c>
      <c r="G69" s="416"/>
      <c r="H69" s="562" t="s">
        <v>395</v>
      </c>
      <c r="I69" s="562"/>
      <c r="J69" s="417">
        <v>1800</v>
      </c>
      <c r="K69"/>
      <c r="L69" s="66"/>
    </row>
    <row r="70" spans="1:12" ht="17.25" thickTop="1" x14ac:dyDescent="0.25">
      <c r="A70" s="418"/>
      <c r="B70" s="418"/>
      <c r="C70" s="418"/>
      <c r="D70" s="418"/>
      <c r="E70" s="418"/>
      <c r="F70" s="418"/>
      <c r="G70" s="418"/>
      <c r="H70" s="418"/>
      <c r="I70" s="418"/>
      <c r="J70" s="418"/>
      <c r="K70" s="418"/>
      <c r="L70" s="66"/>
    </row>
    <row r="71" spans="1:12" ht="16.5" x14ac:dyDescent="0.25">
      <c r="A71" s="403" t="s">
        <v>311</v>
      </c>
      <c r="B71" s="404" t="s">
        <v>43</v>
      </c>
      <c r="C71" s="403" t="s">
        <v>213</v>
      </c>
      <c r="D71" s="403" t="s">
        <v>85</v>
      </c>
      <c r="E71" s="563" t="s">
        <v>44</v>
      </c>
      <c r="F71" s="563"/>
      <c r="G71" s="405" t="s">
        <v>68</v>
      </c>
      <c r="H71" s="404" t="s">
        <v>78</v>
      </c>
      <c r="I71" s="404" t="s">
        <v>387</v>
      </c>
      <c r="J71" s="404" t="s">
        <v>291</v>
      </c>
      <c r="K71" s="404" t="s">
        <v>69</v>
      </c>
      <c r="L71" s="66"/>
    </row>
    <row r="72" spans="1:12" ht="25.5" x14ac:dyDescent="0.25">
      <c r="A72" s="406" t="s">
        <v>46</v>
      </c>
      <c r="B72" s="407" t="s">
        <v>936</v>
      </c>
      <c r="C72" s="406" t="s">
        <v>215</v>
      </c>
      <c r="D72" s="406" t="s">
        <v>875</v>
      </c>
      <c r="E72" s="566">
        <v>301</v>
      </c>
      <c r="F72" s="566"/>
      <c r="G72" s="408" t="s">
        <v>937</v>
      </c>
      <c r="H72" s="409">
        <v>1</v>
      </c>
      <c r="I72" s="410"/>
      <c r="J72" s="410">
        <v>9.61</v>
      </c>
      <c r="K72" s="410">
        <v>9.61</v>
      </c>
      <c r="L72" s="66"/>
    </row>
    <row r="73" spans="1:12" ht="25.5" x14ac:dyDescent="0.25">
      <c r="A73" s="411" t="s">
        <v>388</v>
      </c>
      <c r="B73" s="412" t="s">
        <v>1028</v>
      </c>
      <c r="C73" s="411" t="s">
        <v>215</v>
      </c>
      <c r="D73" s="411" t="s">
        <v>1029</v>
      </c>
      <c r="E73" s="565" t="s">
        <v>396</v>
      </c>
      <c r="F73" s="565"/>
      <c r="G73" s="413" t="s">
        <v>1030</v>
      </c>
      <c r="H73" s="414">
        <v>3.9699999999999999E-2</v>
      </c>
      <c r="I73" s="414"/>
      <c r="J73" s="415">
        <v>242.12</v>
      </c>
      <c r="K73" s="415">
        <v>9.61</v>
      </c>
      <c r="L73" s="66"/>
    </row>
    <row r="74" spans="1:12" ht="25.5" x14ac:dyDescent="0.25">
      <c r="A74" s="416"/>
      <c r="B74" s="416"/>
      <c r="C74" s="416"/>
      <c r="D74" s="416"/>
      <c r="E74" s="416" t="s">
        <v>391</v>
      </c>
      <c r="F74" s="417">
        <v>0</v>
      </c>
      <c r="G74" s="416" t="s">
        <v>392</v>
      </c>
      <c r="H74" s="417">
        <v>0</v>
      </c>
      <c r="I74" s="416" t="s">
        <v>393</v>
      </c>
      <c r="J74" s="417">
        <v>0</v>
      </c>
      <c r="K74"/>
      <c r="L74" s="66"/>
    </row>
    <row r="75" spans="1:12" ht="17.25" thickBot="1" x14ac:dyDescent="0.3">
      <c r="A75" s="416"/>
      <c r="B75" s="416"/>
      <c r="C75" s="416"/>
      <c r="D75" s="416"/>
      <c r="E75" s="416" t="s">
        <v>394</v>
      </c>
      <c r="F75" s="417">
        <v>0</v>
      </c>
      <c r="G75" s="416"/>
      <c r="H75" s="562" t="s">
        <v>395</v>
      </c>
      <c r="I75" s="562"/>
      <c r="J75" s="417">
        <v>9.61</v>
      </c>
      <c r="K75"/>
      <c r="L75" s="66"/>
    </row>
    <row r="76" spans="1:12" ht="17.25" thickTop="1" x14ac:dyDescent="0.25">
      <c r="A76" s="418"/>
      <c r="B76" s="418"/>
      <c r="C76" s="418"/>
      <c r="D76" s="418"/>
      <c r="E76" s="418"/>
      <c r="F76" s="418"/>
      <c r="G76" s="418"/>
      <c r="H76" s="418"/>
      <c r="I76" s="418"/>
      <c r="J76" s="418"/>
      <c r="K76" s="418"/>
      <c r="L76" s="66"/>
    </row>
    <row r="77" spans="1:12" ht="16.5" x14ac:dyDescent="0.25">
      <c r="A77" s="403" t="s">
        <v>313</v>
      </c>
      <c r="B77" s="404" t="s">
        <v>43</v>
      </c>
      <c r="C77" s="403" t="s">
        <v>213</v>
      </c>
      <c r="D77" s="403" t="s">
        <v>85</v>
      </c>
      <c r="E77" s="563" t="s">
        <v>44</v>
      </c>
      <c r="F77" s="563"/>
      <c r="G77" s="405" t="s">
        <v>68</v>
      </c>
      <c r="H77" s="404" t="s">
        <v>78</v>
      </c>
      <c r="I77" s="404" t="s">
        <v>387</v>
      </c>
      <c r="J77" s="404" t="s">
        <v>291</v>
      </c>
      <c r="K77" s="404" t="s">
        <v>69</v>
      </c>
      <c r="L77" s="66"/>
    </row>
    <row r="78" spans="1:12" ht="25.5" x14ac:dyDescent="0.25">
      <c r="A78" s="406" t="s">
        <v>46</v>
      </c>
      <c r="B78" s="407" t="s">
        <v>938</v>
      </c>
      <c r="C78" s="406" t="s">
        <v>215</v>
      </c>
      <c r="D78" s="406" t="s">
        <v>878</v>
      </c>
      <c r="E78" s="566">
        <v>301</v>
      </c>
      <c r="F78" s="566"/>
      <c r="G78" s="408" t="s">
        <v>937</v>
      </c>
      <c r="H78" s="409">
        <v>1</v>
      </c>
      <c r="I78" s="410"/>
      <c r="J78" s="410">
        <v>9.61</v>
      </c>
      <c r="K78" s="410">
        <v>9.61</v>
      </c>
      <c r="L78" s="66"/>
    </row>
    <row r="79" spans="1:12" ht="25.5" x14ac:dyDescent="0.25">
      <c r="A79" s="411" t="s">
        <v>388</v>
      </c>
      <c r="B79" s="412" t="s">
        <v>1028</v>
      </c>
      <c r="C79" s="411" t="s">
        <v>215</v>
      </c>
      <c r="D79" s="411" t="s">
        <v>1029</v>
      </c>
      <c r="E79" s="565" t="s">
        <v>396</v>
      </c>
      <c r="F79" s="565"/>
      <c r="G79" s="413" t="s">
        <v>1030</v>
      </c>
      <c r="H79" s="414">
        <v>3.9699999999999999E-2</v>
      </c>
      <c r="I79" s="414"/>
      <c r="J79" s="415">
        <v>242.12</v>
      </c>
      <c r="K79" s="415">
        <v>9.61</v>
      </c>
      <c r="L79" s="66"/>
    </row>
    <row r="80" spans="1:12" ht="25.5" x14ac:dyDescent="0.25">
      <c r="A80" s="416"/>
      <c r="B80" s="416"/>
      <c r="C80" s="416"/>
      <c r="D80" s="416"/>
      <c r="E80" s="416" t="s">
        <v>391</v>
      </c>
      <c r="F80" s="417">
        <v>0</v>
      </c>
      <c r="G80" s="416" t="s">
        <v>392</v>
      </c>
      <c r="H80" s="417">
        <v>0</v>
      </c>
      <c r="I80" s="416" t="s">
        <v>393</v>
      </c>
      <c r="J80" s="417">
        <v>0</v>
      </c>
      <c r="K80"/>
      <c r="L80" s="66"/>
    </row>
    <row r="81" spans="1:12" ht="17.25" thickBot="1" x14ac:dyDescent="0.3">
      <c r="A81" s="416"/>
      <c r="B81" s="416"/>
      <c r="C81" s="416"/>
      <c r="D81" s="416"/>
      <c r="E81" s="416" t="s">
        <v>394</v>
      </c>
      <c r="F81" s="417">
        <v>0</v>
      </c>
      <c r="G81" s="416"/>
      <c r="H81" s="562" t="s">
        <v>395</v>
      </c>
      <c r="I81" s="562"/>
      <c r="J81" s="417">
        <v>9.61</v>
      </c>
      <c r="K81"/>
      <c r="L81" s="66"/>
    </row>
    <row r="82" spans="1:12" ht="17.25" thickTop="1" x14ac:dyDescent="0.25">
      <c r="A82" s="418"/>
      <c r="B82" s="418"/>
      <c r="C82" s="418"/>
      <c r="D82" s="418"/>
      <c r="E82" s="418"/>
      <c r="F82" s="418"/>
      <c r="G82" s="418"/>
      <c r="H82" s="418"/>
      <c r="I82" s="418"/>
      <c r="J82" s="418"/>
      <c r="K82" s="418"/>
      <c r="L82" s="66"/>
    </row>
    <row r="83" spans="1:12" ht="16.5" x14ac:dyDescent="0.25">
      <c r="A83" s="403" t="s">
        <v>315</v>
      </c>
      <c r="B83" s="404" t="s">
        <v>43</v>
      </c>
      <c r="C83" s="403" t="s">
        <v>213</v>
      </c>
      <c r="D83" s="403" t="s">
        <v>85</v>
      </c>
      <c r="E83" s="563" t="s">
        <v>44</v>
      </c>
      <c r="F83" s="563"/>
      <c r="G83" s="405" t="s">
        <v>68</v>
      </c>
      <c r="H83" s="404" t="s">
        <v>78</v>
      </c>
      <c r="I83" s="404" t="s">
        <v>387</v>
      </c>
      <c r="J83" s="404" t="s">
        <v>291</v>
      </c>
      <c r="K83" s="404" t="s">
        <v>69</v>
      </c>
      <c r="L83" s="66"/>
    </row>
    <row r="84" spans="1:12" ht="25.5" x14ac:dyDescent="0.25">
      <c r="A84" s="406" t="s">
        <v>46</v>
      </c>
      <c r="B84" s="407" t="s">
        <v>307</v>
      </c>
      <c r="C84" s="406" t="s">
        <v>215</v>
      </c>
      <c r="D84" s="406" t="s">
        <v>109</v>
      </c>
      <c r="E84" s="566">
        <v>204</v>
      </c>
      <c r="F84" s="566"/>
      <c r="G84" s="408" t="s">
        <v>308</v>
      </c>
      <c r="H84" s="409">
        <v>1</v>
      </c>
      <c r="I84" s="410"/>
      <c r="J84" s="410">
        <v>3342.16</v>
      </c>
      <c r="K84" s="410">
        <v>3342.16</v>
      </c>
      <c r="L84" s="66"/>
    </row>
    <row r="85" spans="1:12" ht="25.5" x14ac:dyDescent="0.25">
      <c r="A85" s="411" t="s">
        <v>388</v>
      </c>
      <c r="B85" s="412" t="s">
        <v>221</v>
      </c>
      <c r="C85" s="411" t="s">
        <v>215</v>
      </c>
      <c r="D85" s="411" t="s">
        <v>222</v>
      </c>
      <c r="E85" s="565" t="s">
        <v>194</v>
      </c>
      <c r="F85" s="565"/>
      <c r="G85" s="413" t="s">
        <v>48</v>
      </c>
      <c r="H85" s="414">
        <v>17.706600000000002</v>
      </c>
      <c r="I85" s="414"/>
      <c r="J85" s="415">
        <v>16.04</v>
      </c>
      <c r="K85" s="415">
        <v>284.01</v>
      </c>
      <c r="L85" s="66"/>
    </row>
    <row r="86" spans="1:12" ht="25.5" x14ac:dyDescent="0.25">
      <c r="A86" s="411" t="s">
        <v>388</v>
      </c>
      <c r="B86" s="412" t="s">
        <v>227</v>
      </c>
      <c r="C86" s="411" t="s">
        <v>215</v>
      </c>
      <c r="D86" s="411" t="s">
        <v>228</v>
      </c>
      <c r="E86" s="565" t="s">
        <v>194</v>
      </c>
      <c r="F86" s="565"/>
      <c r="G86" s="413" t="s">
        <v>48</v>
      </c>
      <c r="H86" s="414">
        <v>0.46</v>
      </c>
      <c r="I86" s="414"/>
      <c r="J86" s="415">
        <v>23.41</v>
      </c>
      <c r="K86" s="415">
        <v>10.76</v>
      </c>
      <c r="L86" s="66"/>
    </row>
    <row r="87" spans="1:12" ht="25.5" x14ac:dyDescent="0.25">
      <c r="A87" s="411" t="s">
        <v>388</v>
      </c>
      <c r="B87" s="412" t="s">
        <v>231</v>
      </c>
      <c r="C87" s="411" t="s">
        <v>215</v>
      </c>
      <c r="D87" s="411" t="s">
        <v>232</v>
      </c>
      <c r="E87" s="565" t="s">
        <v>194</v>
      </c>
      <c r="F87" s="565"/>
      <c r="G87" s="413" t="s">
        <v>48</v>
      </c>
      <c r="H87" s="414">
        <v>17.636600000000001</v>
      </c>
      <c r="I87" s="414"/>
      <c r="J87" s="415">
        <v>23.41</v>
      </c>
      <c r="K87" s="415">
        <v>412.87</v>
      </c>
      <c r="L87" s="66"/>
    </row>
    <row r="88" spans="1:12" ht="25.5" x14ac:dyDescent="0.25">
      <c r="A88" s="411" t="s">
        <v>388</v>
      </c>
      <c r="B88" s="412" t="s">
        <v>225</v>
      </c>
      <c r="C88" s="411" t="s">
        <v>215</v>
      </c>
      <c r="D88" s="411" t="s">
        <v>226</v>
      </c>
      <c r="E88" s="565" t="s">
        <v>194</v>
      </c>
      <c r="F88" s="565"/>
      <c r="G88" s="413" t="s">
        <v>48</v>
      </c>
      <c r="H88" s="414">
        <v>12.007999999999999</v>
      </c>
      <c r="I88" s="414"/>
      <c r="J88" s="415">
        <v>23.41</v>
      </c>
      <c r="K88" s="415">
        <v>281.10000000000002</v>
      </c>
      <c r="L88" s="66"/>
    </row>
    <row r="89" spans="1:12" ht="25.5" x14ac:dyDescent="0.25">
      <c r="A89" s="411" t="s">
        <v>388</v>
      </c>
      <c r="B89" s="412" t="s">
        <v>241</v>
      </c>
      <c r="C89" s="411" t="s">
        <v>215</v>
      </c>
      <c r="D89" s="411" t="s">
        <v>242</v>
      </c>
      <c r="E89" s="565" t="s">
        <v>194</v>
      </c>
      <c r="F89" s="565"/>
      <c r="G89" s="413" t="s">
        <v>48</v>
      </c>
      <c r="H89" s="414">
        <v>0.7</v>
      </c>
      <c r="I89" s="414"/>
      <c r="J89" s="415">
        <v>23.41</v>
      </c>
      <c r="K89" s="415">
        <v>16.38</v>
      </c>
      <c r="L89" s="66"/>
    </row>
    <row r="90" spans="1:12" ht="25.5" x14ac:dyDescent="0.25">
      <c r="A90" s="411" t="s">
        <v>388</v>
      </c>
      <c r="B90" s="412" t="s">
        <v>214</v>
      </c>
      <c r="C90" s="411" t="s">
        <v>215</v>
      </c>
      <c r="D90" s="411" t="s">
        <v>216</v>
      </c>
      <c r="E90" s="565" t="s">
        <v>194</v>
      </c>
      <c r="F90" s="565"/>
      <c r="G90" s="413" t="s">
        <v>48</v>
      </c>
      <c r="H90" s="414">
        <v>67.530600000000007</v>
      </c>
      <c r="I90" s="414"/>
      <c r="J90" s="415">
        <v>14.62</v>
      </c>
      <c r="K90" s="415">
        <v>987.29</v>
      </c>
      <c r="L90" s="66"/>
    </row>
    <row r="91" spans="1:12" ht="38.25" x14ac:dyDescent="0.25">
      <c r="A91" s="411" t="s">
        <v>388</v>
      </c>
      <c r="B91" s="412" t="s">
        <v>397</v>
      </c>
      <c r="C91" s="411" t="s">
        <v>215</v>
      </c>
      <c r="D91" s="411" t="s">
        <v>398</v>
      </c>
      <c r="E91" s="565" t="s">
        <v>396</v>
      </c>
      <c r="F91" s="565"/>
      <c r="G91" s="413" t="s">
        <v>40</v>
      </c>
      <c r="H91" s="414">
        <v>3.2000000000000002E-3</v>
      </c>
      <c r="I91" s="414"/>
      <c r="J91" s="415">
        <v>2.5</v>
      </c>
      <c r="K91" s="415">
        <v>0</v>
      </c>
      <c r="L91" s="66"/>
    </row>
    <row r="92" spans="1:12" ht="25.5" x14ac:dyDescent="0.25">
      <c r="A92" s="411" t="s">
        <v>388</v>
      </c>
      <c r="B92" s="412" t="s">
        <v>441</v>
      </c>
      <c r="C92" s="411" t="s">
        <v>215</v>
      </c>
      <c r="D92" s="411" t="s">
        <v>442</v>
      </c>
      <c r="E92" s="565" t="s">
        <v>396</v>
      </c>
      <c r="F92" s="565"/>
      <c r="G92" s="413" t="s">
        <v>40</v>
      </c>
      <c r="H92" s="414">
        <v>0.33329999999999999</v>
      </c>
      <c r="I92" s="414"/>
      <c r="J92" s="415">
        <v>8.08</v>
      </c>
      <c r="K92" s="415">
        <v>2.69</v>
      </c>
      <c r="L92" s="66"/>
    </row>
    <row r="93" spans="1:12" ht="25.5" x14ac:dyDescent="0.25">
      <c r="A93" s="411" t="s">
        <v>388</v>
      </c>
      <c r="B93" s="412" t="s">
        <v>443</v>
      </c>
      <c r="C93" s="411" t="s">
        <v>215</v>
      </c>
      <c r="D93" s="411" t="s">
        <v>444</v>
      </c>
      <c r="E93" s="565" t="s">
        <v>396</v>
      </c>
      <c r="F93" s="565"/>
      <c r="G93" s="413" t="s">
        <v>40</v>
      </c>
      <c r="H93" s="414">
        <v>10</v>
      </c>
      <c r="I93" s="414"/>
      <c r="J93" s="415">
        <v>1.01</v>
      </c>
      <c r="K93" s="415">
        <v>10.1</v>
      </c>
      <c r="L93" s="66"/>
    </row>
    <row r="94" spans="1:12" ht="25.5" x14ac:dyDescent="0.25">
      <c r="A94" s="411" t="s">
        <v>388</v>
      </c>
      <c r="B94" s="412" t="s">
        <v>445</v>
      </c>
      <c r="C94" s="411" t="s">
        <v>215</v>
      </c>
      <c r="D94" s="411" t="s">
        <v>446</v>
      </c>
      <c r="E94" s="565" t="s">
        <v>396</v>
      </c>
      <c r="F94" s="565"/>
      <c r="G94" s="413" t="s">
        <v>40</v>
      </c>
      <c r="H94" s="414">
        <v>18</v>
      </c>
      <c r="I94" s="414"/>
      <c r="J94" s="415">
        <v>2.5499999999999998</v>
      </c>
      <c r="K94" s="415">
        <v>45.9</v>
      </c>
      <c r="L94" s="66"/>
    </row>
    <row r="95" spans="1:12" ht="25.5" x14ac:dyDescent="0.25">
      <c r="A95" s="411" t="s">
        <v>388</v>
      </c>
      <c r="B95" s="412" t="s">
        <v>447</v>
      </c>
      <c r="C95" s="411" t="s">
        <v>215</v>
      </c>
      <c r="D95" s="411" t="s">
        <v>448</v>
      </c>
      <c r="E95" s="565" t="s">
        <v>396</v>
      </c>
      <c r="F95" s="565"/>
      <c r="G95" s="413" t="s">
        <v>40</v>
      </c>
      <c r="H95" s="414">
        <v>282.24</v>
      </c>
      <c r="I95" s="414"/>
      <c r="J95" s="415">
        <v>0.51</v>
      </c>
      <c r="K95" s="415">
        <v>143.94</v>
      </c>
      <c r="L95" s="66"/>
    </row>
    <row r="96" spans="1:12" ht="25.5" x14ac:dyDescent="0.25">
      <c r="A96" s="411" t="s">
        <v>388</v>
      </c>
      <c r="B96" s="412" t="s">
        <v>449</v>
      </c>
      <c r="C96" s="411" t="s">
        <v>215</v>
      </c>
      <c r="D96" s="411" t="s">
        <v>450</v>
      </c>
      <c r="E96" s="565" t="s">
        <v>396</v>
      </c>
      <c r="F96" s="565"/>
      <c r="G96" s="413" t="s">
        <v>40</v>
      </c>
      <c r="H96" s="414">
        <v>15.9</v>
      </c>
      <c r="I96" s="414"/>
      <c r="J96" s="415">
        <v>0.77</v>
      </c>
      <c r="K96" s="415">
        <v>12.24</v>
      </c>
      <c r="L96" s="66"/>
    </row>
    <row r="97" spans="1:12" ht="25.5" x14ac:dyDescent="0.25">
      <c r="A97" s="411" t="s">
        <v>388</v>
      </c>
      <c r="B97" s="412" t="s">
        <v>451</v>
      </c>
      <c r="C97" s="411" t="s">
        <v>215</v>
      </c>
      <c r="D97" s="411" t="s">
        <v>452</v>
      </c>
      <c r="E97" s="565" t="s">
        <v>396</v>
      </c>
      <c r="F97" s="565"/>
      <c r="G97" s="413" t="s">
        <v>399</v>
      </c>
      <c r="H97" s="414">
        <v>0.06</v>
      </c>
      <c r="I97" s="414"/>
      <c r="J97" s="415">
        <v>47.69</v>
      </c>
      <c r="K97" s="415">
        <v>2.86</v>
      </c>
      <c r="L97" s="66"/>
    </row>
    <row r="98" spans="1:12" ht="25.5" x14ac:dyDescent="0.25">
      <c r="A98" s="411" t="s">
        <v>388</v>
      </c>
      <c r="B98" s="412" t="s">
        <v>453</v>
      </c>
      <c r="C98" s="411" t="s">
        <v>215</v>
      </c>
      <c r="D98" s="411" t="s">
        <v>454</v>
      </c>
      <c r="E98" s="565" t="s">
        <v>396</v>
      </c>
      <c r="F98" s="565"/>
      <c r="G98" s="413" t="s">
        <v>399</v>
      </c>
      <c r="H98" s="414">
        <v>0.26</v>
      </c>
      <c r="I98" s="414"/>
      <c r="J98" s="415">
        <v>23.5</v>
      </c>
      <c r="K98" s="415">
        <v>6.11</v>
      </c>
      <c r="L98" s="66"/>
    </row>
    <row r="99" spans="1:12" ht="25.5" x14ac:dyDescent="0.25">
      <c r="A99" s="411" t="s">
        <v>388</v>
      </c>
      <c r="B99" s="412" t="s">
        <v>455</v>
      </c>
      <c r="C99" s="411" t="s">
        <v>215</v>
      </c>
      <c r="D99" s="411" t="s">
        <v>456</v>
      </c>
      <c r="E99" s="565" t="s">
        <v>396</v>
      </c>
      <c r="F99" s="565"/>
      <c r="G99" s="413" t="s">
        <v>40</v>
      </c>
      <c r="H99" s="414">
        <v>0.66669999999999996</v>
      </c>
      <c r="I99" s="414"/>
      <c r="J99" s="415">
        <v>56.43</v>
      </c>
      <c r="K99" s="415">
        <v>37.619999999999997</v>
      </c>
      <c r="L99" s="66"/>
    </row>
    <row r="100" spans="1:12" ht="25.5" x14ac:dyDescent="0.25">
      <c r="A100" s="411" t="s">
        <v>388</v>
      </c>
      <c r="B100" s="412" t="s">
        <v>422</v>
      </c>
      <c r="C100" s="411" t="s">
        <v>215</v>
      </c>
      <c r="D100" s="411" t="s">
        <v>423</v>
      </c>
      <c r="E100" s="565" t="s">
        <v>396</v>
      </c>
      <c r="F100" s="565"/>
      <c r="G100" s="413" t="s">
        <v>36</v>
      </c>
      <c r="H100" s="414">
        <v>12.12</v>
      </c>
      <c r="I100" s="414"/>
      <c r="J100" s="415">
        <v>16.28</v>
      </c>
      <c r="K100" s="415">
        <v>197.31</v>
      </c>
      <c r="L100" s="66"/>
    </row>
    <row r="101" spans="1:12" ht="25.5" x14ac:dyDescent="0.25">
      <c r="A101" s="411" t="s">
        <v>388</v>
      </c>
      <c r="B101" s="412" t="s">
        <v>424</v>
      </c>
      <c r="C101" s="411" t="s">
        <v>215</v>
      </c>
      <c r="D101" s="411" t="s">
        <v>362</v>
      </c>
      <c r="E101" s="565" t="s">
        <v>396</v>
      </c>
      <c r="F101" s="565"/>
      <c r="G101" s="413" t="s">
        <v>36</v>
      </c>
      <c r="H101" s="414">
        <v>21.21</v>
      </c>
      <c r="I101" s="414"/>
      <c r="J101" s="415">
        <v>3.81</v>
      </c>
      <c r="K101" s="415">
        <v>80.81</v>
      </c>
      <c r="L101" s="66"/>
    </row>
    <row r="102" spans="1:12" ht="25.5" x14ac:dyDescent="0.25">
      <c r="A102" s="411" t="s">
        <v>388</v>
      </c>
      <c r="B102" s="412" t="s">
        <v>435</v>
      </c>
      <c r="C102" s="411" t="s">
        <v>215</v>
      </c>
      <c r="D102" s="411" t="s">
        <v>436</v>
      </c>
      <c r="E102" s="565" t="s">
        <v>396</v>
      </c>
      <c r="F102" s="565"/>
      <c r="G102" s="413" t="s">
        <v>36</v>
      </c>
      <c r="H102" s="414">
        <v>31.1417</v>
      </c>
      <c r="I102" s="414"/>
      <c r="J102" s="415">
        <v>8.64</v>
      </c>
      <c r="K102" s="415">
        <v>269.06</v>
      </c>
      <c r="L102" s="66"/>
    </row>
    <row r="103" spans="1:12" ht="25.5" x14ac:dyDescent="0.25">
      <c r="A103" s="411" t="s">
        <v>388</v>
      </c>
      <c r="B103" s="412" t="s">
        <v>431</v>
      </c>
      <c r="C103" s="411" t="s">
        <v>215</v>
      </c>
      <c r="D103" s="411" t="s">
        <v>432</v>
      </c>
      <c r="E103" s="565" t="s">
        <v>396</v>
      </c>
      <c r="F103" s="565"/>
      <c r="G103" s="413" t="s">
        <v>36</v>
      </c>
      <c r="H103" s="414">
        <v>7.4</v>
      </c>
      <c r="I103" s="414"/>
      <c r="J103" s="415">
        <v>6.74</v>
      </c>
      <c r="K103" s="415">
        <v>49.87</v>
      </c>
      <c r="L103" s="66"/>
    </row>
    <row r="104" spans="1:12" ht="25.5" x14ac:dyDescent="0.25">
      <c r="A104" s="411" t="s">
        <v>388</v>
      </c>
      <c r="B104" s="412" t="s">
        <v>457</v>
      </c>
      <c r="C104" s="411" t="s">
        <v>215</v>
      </c>
      <c r="D104" s="411" t="s">
        <v>458</v>
      </c>
      <c r="E104" s="565" t="s">
        <v>396</v>
      </c>
      <c r="F104" s="565"/>
      <c r="G104" s="413" t="s">
        <v>399</v>
      </c>
      <c r="H104" s="414">
        <v>0.14000000000000001</v>
      </c>
      <c r="I104" s="414"/>
      <c r="J104" s="415">
        <v>8.85</v>
      </c>
      <c r="K104" s="415">
        <v>1.23</v>
      </c>
      <c r="L104" s="66"/>
    </row>
    <row r="105" spans="1:12" ht="25.5" x14ac:dyDescent="0.25">
      <c r="A105" s="411" t="s">
        <v>388</v>
      </c>
      <c r="B105" s="412" t="s">
        <v>459</v>
      </c>
      <c r="C105" s="411" t="s">
        <v>215</v>
      </c>
      <c r="D105" s="411" t="s">
        <v>460</v>
      </c>
      <c r="E105" s="565" t="s">
        <v>396</v>
      </c>
      <c r="F105" s="565"/>
      <c r="G105" s="413" t="s">
        <v>346</v>
      </c>
      <c r="H105" s="414">
        <v>1.62</v>
      </c>
      <c r="I105" s="414"/>
      <c r="J105" s="415">
        <v>7.5</v>
      </c>
      <c r="K105" s="415">
        <v>12.15</v>
      </c>
      <c r="L105" s="66"/>
    </row>
    <row r="106" spans="1:12" ht="25.5" x14ac:dyDescent="0.25">
      <c r="A106" s="411" t="s">
        <v>388</v>
      </c>
      <c r="B106" s="412" t="s">
        <v>461</v>
      </c>
      <c r="C106" s="411" t="s">
        <v>215</v>
      </c>
      <c r="D106" s="411" t="s">
        <v>462</v>
      </c>
      <c r="E106" s="565" t="s">
        <v>396</v>
      </c>
      <c r="F106" s="565"/>
      <c r="G106" s="413" t="s">
        <v>40</v>
      </c>
      <c r="H106" s="414">
        <v>0.33329999999999999</v>
      </c>
      <c r="I106" s="414"/>
      <c r="J106" s="415">
        <v>55.92</v>
      </c>
      <c r="K106" s="415">
        <v>18.63</v>
      </c>
      <c r="L106" s="66"/>
    </row>
    <row r="107" spans="1:12" ht="25.5" x14ac:dyDescent="0.25">
      <c r="A107" s="411" t="s">
        <v>388</v>
      </c>
      <c r="B107" s="412" t="s">
        <v>429</v>
      </c>
      <c r="C107" s="411" t="s">
        <v>215</v>
      </c>
      <c r="D107" s="411" t="s">
        <v>430</v>
      </c>
      <c r="E107" s="565" t="s">
        <v>396</v>
      </c>
      <c r="F107" s="565"/>
      <c r="G107" s="413" t="s">
        <v>399</v>
      </c>
      <c r="H107" s="414">
        <v>0.02</v>
      </c>
      <c r="I107" s="414"/>
      <c r="J107" s="415">
        <v>17.53</v>
      </c>
      <c r="K107" s="415">
        <v>0.35</v>
      </c>
      <c r="L107" s="66"/>
    </row>
    <row r="108" spans="1:12" ht="25.5" x14ac:dyDescent="0.25">
      <c r="A108" s="411" t="s">
        <v>388</v>
      </c>
      <c r="B108" s="412" t="s">
        <v>463</v>
      </c>
      <c r="C108" s="411" t="s">
        <v>215</v>
      </c>
      <c r="D108" s="411" t="s">
        <v>464</v>
      </c>
      <c r="E108" s="565" t="s">
        <v>396</v>
      </c>
      <c r="F108" s="565"/>
      <c r="G108" s="413" t="s">
        <v>40</v>
      </c>
      <c r="H108" s="414">
        <v>0.33329999999999999</v>
      </c>
      <c r="I108" s="414"/>
      <c r="J108" s="415">
        <v>57.16</v>
      </c>
      <c r="K108" s="415">
        <v>19.05</v>
      </c>
      <c r="L108" s="66"/>
    </row>
    <row r="109" spans="1:12" ht="25.5" x14ac:dyDescent="0.25">
      <c r="A109" s="411" t="s">
        <v>388</v>
      </c>
      <c r="B109" s="412" t="s">
        <v>400</v>
      </c>
      <c r="C109" s="411" t="s">
        <v>215</v>
      </c>
      <c r="D109" s="411" t="s">
        <v>401</v>
      </c>
      <c r="E109" s="565" t="s">
        <v>396</v>
      </c>
      <c r="F109" s="565"/>
      <c r="G109" s="413" t="s">
        <v>346</v>
      </c>
      <c r="H109" s="414">
        <v>0.2</v>
      </c>
      <c r="I109" s="414"/>
      <c r="J109" s="415">
        <v>21.99</v>
      </c>
      <c r="K109" s="415">
        <v>4.3899999999999997</v>
      </c>
      <c r="L109" s="66"/>
    </row>
    <row r="110" spans="1:12" ht="25.5" x14ac:dyDescent="0.25">
      <c r="A110" s="411" t="s">
        <v>388</v>
      </c>
      <c r="B110" s="412" t="s">
        <v>465</v>
      </c>
      <c r="C110" s="411" t="s">
        <v>215</v>
      </c>
      <c r="D110" s="411" t="s">
        <v>466</v>
      </c>
      <c r="E110" s="565" t="s">
        <v>396</v>
      </c>
      <c r="F110" s="565"/>
      <c r="G110" s="413" t="s">
        <v>40</v>
      </c>
      <c r="H110" s="414">
        <v>0.11</v>
      </c>
      <c r="I110" s="414"/>
      <c r="J110" s="415">
        <v>3.04</v>
      </c>
      <c r="K110" s="415">
        <v>0.33</v>
      </c>
      <c r="L110" s="66"/>
    </row>
    <row r="111" spans="1:12" ht="25.5" x14ac:dyDescent="0.25">
      <c r="A111" s="411" t="s">
        <v>388</v>
      </c>
      <c r="B111" s="412" t="s">
        <v>439</v>
      </c>
      <c r="C111" s="411" t="s">
        <v>215</v>
      </c>
      <c r="D111" s="411" t="s">
        <v>440</v>
      </c>
      <c r="E111" s="565" t="s">
        <v>396</v>
      </c>
      <c r="F111" s="565"/>
      <c r="G111" s="413" t="s">
        <v>40</v>
      </c>
      <c r="H111" s="414">
        <v>0.12</v>
      </c>
      <c r="I111" s="414"/>
      <c r="J111" s="415">
        <v>1.1599999999999999</v>
      </c>
      <c r="K111" s="415">
        <v>0.13</v>
      </c>
      <c r="L111" s="66"/>
    </row>
    <row r="112" spans="1:12" ht="25.5" x14ac:dyDescent="0.25">
      <c r="A112" s="411" t="s">
        <v>388</v>
      </c>
      <c r="B112" s="412" t="s">
        <v>467</v>
      </c>
      <c r="C112" s="411" t="s">
        <v>215</v>
      </c>
      <c r="D112" s="411" t="s">
        <v>468</v>
      </c>
      <c r="E112" s="565" t="s">
        <v>396</v>
      </c>
      <c r="F112" s="565"/>
      <c r="G112" s="413" t="s">
        <v>40</v>
      </c>
      <c r="H112" s="414">
        <v>0.33329999999999999</v>
      </c>
      <c r="I112" s="414"/>
      <c r="J112" s="415">
        <v>4.82</v>
      </c>
      <c r="K112" s="415">
        <v>1.6</v>
      </c>
      <c r="L112" s="66"/>
    </row>
    <row r="113" spans="1:12" ht="25.5" x14ac:dyDescent="0.25">
      <c r="A113" s="411" t="s">
        <v>388</v>
      </c>
      <c r="B113" s="412" t="s">
        <v>469</v>
      </c>
      <c r="C113" s="411" t="s">
        <v>215</v>
      </c>
      <c r="D113" s="411" t="s">
        <v>470</v>
      </c>
      <c r="E113" s="565" t="s">
        <v>396</v>
      </c>
      <c r="F113" s="565"/>
      <c r="G113" s="413" t="s">
        <v>40</v>
      </c>
      <c r="H113" s="414">
        <v>0.66669999999999996</v>
      </c>
      <c r="I113" s="414"/>
      <c r="J113" s="415">
        <v>6.41</v>
      </c>
      <c r="K113" s="415">
        <v>4.2699999999999996</v>
      </c>
      <c r="L113" s="66"/>
    </row>
    <row r="114" spans="1:12" ht="25.5" x14ac:dyDescent="0.25">
      <c r="A114" s="411" t="s">
        <v>388</v>
      </c>
      <c r="B114" s="412" t="s">
        <v>406</v>
      </c>
      <c r="C114" s="411" t="s">
        <v>215</v>
      </c>
      <c r="D114" s="411" t="s">
        <v>361</v>
      </c>
      <c r="E114" s="565" t="s">
        <v>396</v>
      </c>
      <c r="F114" s="565"/>
      <c r="G114" s="413" t="s">
        <v>40</v>
      </c>
      <c r="H114" s="414">
        <v>0.66669999999999996</v>
      </c>
      <c r="I114" s="414"/>
      <c r="J114" s="415">
        <v>0.99</v>
      </c>
      <c r="K114" s="415">
        <v>0.66</v>
      </c>
      <c r="L114" s="66"/>
    </row>
    <row r="115" spans="1:12" ht="25.5" x14ac:dyDescent="0.25">
      <c r="A115" s="411" t="s">
        <v>388</v>
      </c>
      <c r="B115" s="412" t="s">
        <v>471</v>
      </c>
      <c r="C115" s="411" t="s">
        <v>215</v>
      </c>
      <c r="D115" s="411" t="s">
        <v>472</v>
      </c>
      <c r="E115" s="565" t="s">
        <v>396</v>
      </c>
      <c r="F115" s="565"/>
      <c r="G115" s="413" t="s">
        <v>40</v>
      </c>
      <c r="H115" s="414">
        <v>1</v>
      </c>
      <c r="I115" s="414"/>
      <c r="J115" s="415">
        <v>114.37</v>
      </c>
      <c r="K115" s="415">
        <v>114.37</v>
      </c>
      <c r="L115" s="66"/>
    </row>
    <row r="116" spans="1:12" ht="25.5" x14ac:dyDescent="0.25">
      <c r="A116" s="411" t="s">
        <v>388</v>
      </c>
      <c r="B116" s="412" t="s">
        <v>473</v>
      </c>
      <c r="C116" s="411" t="s">
        <v>215</v>
      </c>
      <c r="D116" s="411" t="s">
        <v>474</v>
      </c>
      <c r="E116" s="565" t="s">
        <v>396</v>
      </c>
      <c r="F116" s="565"/>
      <c r="G116" s="413" t="s">
        <v>36</v>
      </c>
      <c r="H116" s="414">
        <v>10.0411</v>
      </c>
      <c r="I116" s="414"/>
      <c r="J116" s="415">
        <v>0.4</v>
      </c>
      <c r="K116" s="415">
        <v>4.01</v>
      </c>
      <c r="L116" s="66"/>
    </row>
    <row r="117" spans="1:12" ht="25.5" x14ac:dyDescent="0.25">
      <c r="A117" s="411" t="s">
        <v>388</v>
      </c>
      <c r="B117" s="412" t="s">
        <v>475</v>
      </c>
      <c r="C117" s="411" t="s">
        <v>215</v>
      </c>
      <c r="D117" s="411" t="s">
        <v>476</v>
      </c>
      <c r="E117" s="565" t="s">
        <v>396</v>
      </c>
      <c r="F117" s="565"/>
      <c r="G117" s="413" t="s">
        <v>346</v>
      </c>
      <c r="H117" s="414">
        <v>18.777999999999999</v>
      </c>
      <c r="I117" s="414"/>
      <c r="J117" s="415">
        <v>0.99</v>
      </c>
      <c r="K117" s="415">
        <v>18.59</v>
      </c>
      <c r="L117" s="66"/>
    </row>
    <row r="118" spans="1:12" ht="25.5" x14ac:dyDescent="0.25">
      <c r="A118" s="411" t="s">
        <v>388</v>
      </c>
      <c r="B118" s="412" t="s">
        <v>412</v>
      </c>
      <c r="C118" s="411" t="s">
        <v>215</v>
      </c>
      <c r="D118" s="411" t="s">
        <v>413</v>
      </c>
      <c r="E118" s="565" t="s">
        <v>396</v>
      </c>
      <c r="F118" s="565"/>
      <c r="G118" s="413" t="s">
        <v>346</v>
      </c>
      <c r="H118" s="414">
        <v>98.847999999999999</v>
      </c>
      <c r="I118" s="414"/>
      <c r="J118" s="415">
        <v>0.65</v>
      </c>
      <c r="K118" s="415">
        <v>64.25</v>
      </c>
      <c r="L118" s="66"/>
    </row>
    <row r="119" spans="1:12" ht="25.5" x14ac:dyDescent="0.25">
      <c r="A119" s="411" t="s">
        <v>388</v>
      </c>
      <c r="B119" s="412" t="s">
        <v>418</v>
      </c>
      <c r="C119" s="411" t="s">
        <v>215</v>
      </c>
      <c r="D119" s="411" t="s">
        <v>419</v>
      </c>
      <c r="E119" s="565" t="s">
        <v>396</v>
      </c>
      <c r="F119" s="565"/>
      <c r="G119" s="413" t="s">
        <v>39</v>
      </c>
      <c r="H119" s="414">
        <v>0.184</v>
      </c>
      <c r="I119" s="414"/>
      <c r="J119" s="415">
        <v>149.94999999999999</v>
      </c>
      <c r="K119" s="415">
        <v>27.59</v>
      </c>
      <c r="L119" s="66"/>
    </row>
    <row r="120" spans="1:12" ht="25.5" x14ac:dyDescent="0.25">
      <c r="A120" s="411" t="s">
        <v>388</v>
      </c>
      <c r="B120" s="412" t="s">
        <v>416</v>
      </c>
      <c r="C120" s="411" t="s">
        <v>215</v>
      </c>
      <c r="D120" s="411" t="s">
        <v>417</v>
      </c>
      <c r="E120" s="565" t="s">
        <v>396</v>
      </c>
      <c r="F120" s="565"/>
      <c r="G120" s="413" t="s">
        <v>36</v>
      </c>
      <c r="H120" s="414">
        <v>4</v>
      </c>
      <c r="I120" s="414"/>
      <c r="J120" s="415">
        <v>15.59</v>
      </c>
      <c r="K120" s="415">
        <v>62.36</v>
      </c>
      <c r="L120" s="66"/>
    </row>
    <row r="121" spans="1:12" ht="25.5" x14ac:dyDescent="0.25">
      <c r="A121" s="411" t="s">
        <v>388</v>
      </c>
      <c r="B121" s="412" t="s">
        <v>477</v>
      </c>
      <c r="C121" s="411" t="s">
        <v>215</v>
      </c>
      <c r="D121" s="411" t="s">
        <v>478</v>
      </c>
      <c r="E121" s="565" t="s">
        <v>396</v>
      </c>
      <c r="F121" s="565"/>
      <c r="G121" s="413" t="s">
        <v>346</v>
      </c>
      <c r="H121" s="414">
        <v>6.72</v>
      </c>
      <c r="I121" s="414"/>
      <c r="J121" s="415">
        <v>6.92</v>
      </c>
      <c r="K121" s="415">
        <v>46.5</v>
      </c>
      <c r="L121" s="66"/>
    </row>
    <row r="122" spans="1:12" ht="25.5" x14ac:dyDescent="0.25">
      <c r="A122" s="411" t="s">
        <v>388</v>
      </c>
      <c r="B122" s="412" t="s">
        <v>420</v>
      </c>
      <c r="C122" s="411" t="s">
        <v>215</v>
      </c>
      <c r="D122" s="411" t="s">
        <v>421</v>
      </c>
      <c r="E122" s="565" t="s">
        <v>396</v>
      </c>
      <c r="F122" s="565"/>
      <c r="G122" s="413" t="s">
        <v>40</v>
      </c>
      <c r="H122" s="414">
        <v>0.66669999999999996</v>
      </c>
      <c r="I122" s="414"/>
      <c r="J122" s="415">
        <v>2.25</v>
      </c>
      <c r="K122" s="415">
        <v>1.5</v>
      </c>
      <c r="L122" s="66"/>
    </row>
    <row r="123" spans="1:12" ht="25.5" x14ac:dyDescent="0.25">
      <c r="A123" s="411" t="s">
        <v>388</v>
      </c>
      <c r="B123" s="412" t="s">
        <v>479</v>
      </c>
      <c r="C123" s="411" t="s">
        <v>215</v>
      </c>
      <c r="D123" s="411" t="s">
        <v>480</v>
      </c>
      <c r="E123" s="565" t="s">
        <v>396</v>
      </c>
      <c r="F123" s="565"/>
      <c r="G123" s="413" t="s">
        <v>40</v>
      </c>
      <c r="H123" s="414">
        <v>0.33329999999999999</v>
      </c>
      <c r="I123" s="414"/>
      <c r="J123" s="415">
        <v>58.3</v>
      </c>
      <c r="K123" s="415">
        <v>19.43</v>
      </c>
      <c r="L123" s="66"/>
    </row>
    <row r="124" spans="1:12" ht="25.5" x14ac:dyDescent="0.25">
      <c r="A124" s="411" t="s">
        <v>388</v>
      </c>
      <c r="B124" s="412" t="s">
        <v>481</v>
      </c>
      <c r="C124" s="411" t="s">
        <v>215</v>
      </c>
      <c r="D124" s="411" t="s">
        <v>482</v>
      </c>
      <c r="E124" s="565" t="s">
        <v>396</v>
      </c>
      <c r="F124" s="565"/>
      <c r="G124" s="413" t="s">
        <v>346</v>
      </c>
      <c r="H124" s="414">
        <v>7.9000000000000001E-2</v>
      </c>
      <c r="I124" s="414"/>
      <c r="J124" s="415">
        <v>15.94</v>
      </c>
      <c r="K124" s="415">
        <v>1.25</v>
      </c>
      <c r="L124" s="66"/>
    </row>
    <row r="125" spans="1:12" ht="25.5" x14ac:dyDescent="0.25">
      <c r="A125" s="411" t="s">
        <v>388</v>
      </c>
      <c r="B125" s="412" t="s">
        <v>483</v>
      </c>
      <c r="C125" s="411" t="s">
        <v>215</v>
      </c>
      <c r="D125" s="411" t="s">
        <v>484</v>
      </c>
      <c r="E125" s="565" t="s">
        <v>396</v>
      </c>
      <c r="F125" s="565"/>
      <c r="G125" s="413" t="s">
        <v>346</v>
      </c>
      <c r="H125" s="414">
        <v>0.18</v>
      </c>
      <c r="I125" s="414"/>
      <c r="J125" s="415">
        <v>14.28</v>
      </c>
      <c r="K125" s="415">
        <v>2.57</v>
      </c>
      <c r="L125" s="66"/>
    </row>
    <row r="126" spans="1:12" ht="25.5" x14ac:dyDescent="0.25">
      <c r="A126" s="411" t="s">
        <v>388</v>
      </c>
      <c r="B126" s="412" t="s">
        <v>485</v>
      </c>
      <c r="C126" s="411" t="s">
        <v>215</v>
      </c>
      <c r="D126" s="411" t="s">
        <v>486</v>
      </c>
      <c r="E126" s="565" t="s">
        <v>396</v>
      </c>
      <c r="F126" s="565"/>
      <c r="G126" s="413" t="s">
        <v>39</v>
      </c>
      <c r="H126" s="414">
        <v>0.01</v>
      </c>
      <c r="I126" s="414"/>
      <c r="J126" s="415">
        <v>198.88</v>
      </c>
      <c r="K126" s="415">
        <v>1.98</v>
      </c>
      <c r="L126" s="66"/>
    </row>
    <row r="127" spans="1:12" ht="25.5" x14ac:dyDescent="0.25">
      <c r="A127" s="411" t="s">
        <v>388</v>
      </c>
      <c r="B127" s="412" t="s">
        <v>437</v>
      </c>
      <c r="C127" s="411" t="s">
        <v>215</v>
      </c>
      <c r="D127" s="411" t="s">
        <v>438</v>
      </c>
      <c r="E127" s="565" t="s">
        <v>396</v>
      </c>
      <c r="F127" s="565"/>
      <c r="G127" s="413" t="s">
        <v>39</v>
      </c>
      <c r="H127" s="414">
        <v>0.372</v>
      </c>
      <c r="I127" s="414"/>
      <c r="J127" s="415">
        <v>172.18</v>
      </c>
      <c r="K127" s="415">
        <v>64.05</v>
      </c>
      <c r="L127" s="66"/>
    </row>
    <row r="128" spans="1:12" ht="25.5" x14ac:dyDescent="0.25">
      <c r="A128" s="416"/>
      <c r="B128" s="416"/>
      <c r="C128" s="416"/>
      <c r="D128" s="416"/>
      <c r="E128" s="416" t="s">
        <v>391</v>
      </c>
      <c r="F128" s="417">
        <v>1992.41</v>
      </c>
      <c r="G128" s="416" t="s">
        <v>392</v>
      </c>
      <c r="H128" s="417">
        <v>0</v>
      </c>
      <c r="I128" s="416" t="s">
        <v>393</v>
      </c>
      <c r="J128" s="417">
        <v>1992.41</v>
      </c>
      <c r="K128"/>
      <c r="L128" s="66"/>
    </row>
    <row r="129" spans="1:12" ht="17.25" thickBot="1" x14ac:dyDescent="0.3">
      <c r="A129" s="416"/>
      <c r="B129" s="416"/>
      <c r="C129" s="416"/>
      <c r="D129" s="416"/>
      <c r="E129" s="416" t="s">
        <v>394</v>
      </c>
      <c r="F129" s="417">
        <v>0</v>
      </c>
      <c r="G129" s="416"/>
      <c r="H129" s="562" t="s">
        <v>395</v>
      </c>
      <c r="I129" s="562"/>
      <c r="J129" s="417">
        <v>3342.16</v>
      </c>
      <c r="K129"/>
      <c r="L129" s="66"/>
    </row>
    <row r="130" spans="1:12" ht="17.25" thickTop="1" x14ac:dyDescent="0.25">
      <c r="A130" s="418"/>
      <c r="B130" s="418"/>
      <c r="C130" s="418"/>
      <c r="D130" s="418"/>
      <c r="E130" s="418"/>
      <c r="F130" s="418"/>
      <c r="G130" s="418"/>
      <c r="H130" s="418"/>
      <c r="I130" s="418"/>
      <c r="J130" s="418"/>
      <c r="K130" s="418"/>
      <c r="L130" s="66"/>
    </row>
    <row r="131" spans="1:12" ht="16.5" x14ac:dyDescent="0.25">
      <c r="A131" s="403" t="s">
        <v>317</v>
      </c>
      <c r="B131" s="404" t="s">
        <v>43</v>
      </c>
      <c r="C131" s="403" t="s">
        <v>213</v>
      </c>
      <c r="D131" s="403" t="s">
        <v>85</v>
      </c>
      <c r="E131" s="563" t="s">
        <v>44</v>
      </c>
      <c r="F131" s="563"/>
      <c r="G131" s="405" t="s">
        <v>68</v>
      </c>
      <c r="H131" s="404" t="s">
        <v>78</v>
      </c>
      <c r="I131" s="404" t="s">
        <v>387</v>
      </c>
      <c r="J131" s="404" t="s">
        <v>291</v>
      </c>
      <c r="K131" s="404" t="s">
        <v>69</v>
      </c>
      <c r="L131" s="66"/>
    </row>
    <row r="132" spans="1:12" ht="25.5" x14ac:dyDescent="0.25">
      <c r="A132" s="406" t="s">
        <v>46</v>
      </c>
      <c r="B132" s="407" t="s">
        <v>310</v>
      </c>
      <c r="C132" s="406" t="s">
        <v>215</v>
      </c>
      <c r="D132" s="406" t="s">
        <v>111</v>
      </c>
      <c r="E132" s="566">
        <v>205</v>
      </c>
      <c r="F132" s="566"/>
      <c r="G132" s="408" t="s">
        <v>308</v>
      </c>
      <c r="H132" s="409">
        <v>1</v>
      </c>
      <c r="I132" s="410"/>
      <c r="J132" s="410">
        <v>4829.8100000000004</v>
      </c>
      <c r="K132" s="410">
        <v>4829.8100000000004</v>
      </c>
      <c r="L132" s="66"/>
    </row>
    <row r="133" spans="1:12" ht="25.5" x14ac:dyDescent="0.25">
      <c r="A133" s="411" t="s">
        <v>388</v>
      </c>
      <c r="B133" s="412" t="s">
        <v>239</v>
      </c>
      <c r="C133" s="411" t="s">
        <v>215</v>
      </c>
      <c r="D133" s="411" t="s">
        <v>240</v>
      </c>
      <c r="E133" s="565" t="s">
        <v>194</v>
      </c>
      <c r="F133" s="565"/>
      <c r="G133" s="413" t="s">
        <v>48</v>
      </c>
      <c r="H133" s="414">
        <v>0.58720000000000006</v>
      </c>
      <c r="I133" s="414"/>
      <c r="J133" s="415">
        <v>17.559999999999999</v>
      </c>
      <c r="K133" s="415">
        <v>10.31</v>
      </c>
      <c r="L133" s="66"/>
    </row>
    <row r="134" spans="1:12" ht="25.5" x14ac:dyDescent="0.25">
      <c r="A134" s="411" t="s">
        <v>388</v>
      </c>
      <c r="B134" s="412" t="s">
        <v>237</v>
      </c>
      <c r="C134" s="411" t="s">
        <v>215</v>
      </c>
      <c r="D134" s="411" t="s">
        <v>238</v>
      </c>
      <c r="E134" s="565" t="s">
        <v>194</v>
      </c>
      <c r="F134" s="565"/>
      <c r="G134" s="413" t="s">
        <v>48</v>
      </c>
      <c r="H134" s="414">
        <v>16.66</v>
      </c>
      <c r="I134" s="414"/>
      <c r="J134" s="415">
        <v>23.41</v>
      </c>
      <c r="K134" s="415">
        <v>390.01</v>
      </c>
      <c r="L134" s="66"/>
    </row>
    <row r="135" spans="1:12" ht="25.5" x14ac:dyDescent="0.25">
      <c r="A135" s="411" t="s">
        <v>388</v>
      </c>
      <c r="B135" s="412" t="s">
        <v>221</v>
      </c>
      <c r="C135" s="411" t="s">
        <v>215</v>
      </c>
      <c r="D135" s="411" t="s">
        <v>222</v>
      </c>
      <c r="E135" s="565" t="s">
        <v>194</v>
      </c>
      <c r="F135" s="565"/>
      <c r="G135" s="413" t="s">
        <v>48</v>
      </c>
      <c r="H135" s="414">
        <v>16.66</v>
      </c>
      <c r="I135" s="414"/>
      <c r="J135" s="415">
        <v>16.04</v>
      </c>
      <c r="K135" s="415">
        <v>267.22000000000003</v>
      </c>
      <c r="L135" s="66"/>
    </row>
    <row r="136" spans="1:12" ht="25.5" x14ac:dyDescent="0.25">
      <c r="A136" s="411" t="s">
        <v>388</v>
      </c>
      <c r="B136" s="412" t="s">
        <v>214</v>
      </c>
      <c r="C136" s="411" t="s">
        <v>215</v>
      </c>
      <c r="D136" s="411" t="s">
        <v>216</v>
      </c>
      <c r="E136" s="565" t="s">
        <v>194</v>
      </c>
      <c r="F136" s="565"/>
      <c r="G136" s="413" t="s">
        <v>48</v>
      </c>
      <c r="H136" s="414">
        <v>5.5907</v>
      </c>
      <c r="I136" s="414"/>
      <c r="J136" s="415">
        <v>14.62</v>
      </c>
      <c r="K136" s="415">
        <v>81.73</v>
      </c>
      <c r="L136" s="66"/>
    </row>
    <row r="137" spans="1:12" ht="25.5" x14ac:dyDescent="0.25">
      <c r="A137" s="411" t="s">
        <v>388</v>
      </c>
      <c r="B137" s="412" t="s">
        <v>487</v>
      </c>
      <c r="C137" s="411" t="s">
        <v>215</v>
      </c>
      <c r="D137" s="411" t="s">
        <v>488</v>
      </c>
      <c r="E137" s="565" t="s">
        <v>396</v>
      </c>
      <c r="F137" s="565"/>
      <c r="G137" s="413" t="s">
        <v>40</v>
      </c>
      <c r="H137" s="414">
        <v>6.25</v>
      </c>
      <c r="I137" s="414"/>
      <c r="J137" s="415">
        <v>13.01</v>
      </c>
      <c r="K137" s="415">
        <v>81.31</v>
      </c>
      <c r="L137" s="66"/>
    </row>
    <row r="138" spans="1:12" ht="25.5" x14ac:dyDescent="0.25">
      <c r="A138" s="411" t="s">
        <v>388</v>
      </c>
      <c r="B138" s="412" t="s">
        <v>489</v>
      </c>
      <c r="C138" s="411" t="s">
        <v>215</v>
      </c>
      <c r="D138" s="411" t="s">
        <v>490</v>
      </c>
      <c r="E138" s="565" t="s">
        <v>396</v>
      </c>
      <c r="F138" s="565"/>
      <c r="G138" s="413" t="s">
        <v>36</v>
      </c>
      <c r="H138" s="414">
        <v>26</v>
      </c>
      <c r="I138" s="414"/>
      <c r="J138" s="415">
        <v>27.59</v>
      </c>
      <c r="K138" s="415">
        <v>717.34</v>
      </c>
      <c r="L138" s="66"/>
    </row>
    <row r="139" spans="1:12" ht="25.5" x14ac:dyDescent="0.25">
      <c r="A139" s="411" t="s">
        <v>388</v>
      </c>
      <c r="B139" s="412" t="s">
        <v>491</v>
      </c>
      <c r="C139" s="411" t="s">
        <v>215</v>
      </c>
      <c r="D139" s="411" t="s">
        <v>492</v>
      </c>
      <c r="E139" s="565" t="s">
        <v>396</v>
      </c>
      <c r="F139" s="565"/>
      <c r="G139" s="413" t="s">
        <v>40</v>
      </c>
      <c r="H139" s="414">
        <v>6.25</v>
      </c>
      <c r="I139" s="414"/>
      <c r="J139" s="415">
        <v>13.37</v>
      </c>
      <c r="K139" s="415">
        <v>83.56</v>
      </c>
      <c r="L139" s="66"/>
    </row>
    <row r="140" spans="1:12" ht="25.5" x14ac:dyDescent="0.25">
      <c r="A140" s="411" t="s">
        <v>388</v>
      </c>
      <c r="B140" s="412" t="s">
        <v>493</v>
      </c>
      <c r="C140" s="411" t="s">
        <v>215</v>
      </c>
      <c r="D140" s="411" t="s">
        <v>494</v>
      </c>
      <c r="E140" s="565" t="s">
        <v>396</v>
      </c>
      <c r="F140" s="565"/>
      <c r="G140" s="413" t="s">
        <v>40</v>
      </c>
      <c r="H140" s="414">
        <v>1</v>
      </c>
      <c r="I140" s="414"/>
      <c r="J140" s="415">
        <v>17.77</v>
      </c>
      <c r="K140" s="415">
        <v>17.77</v>
      </c>
      <c r="L140" s="66"/>
    </row>
    <row r="141" spans="1:12" ht="25.5" x14ac:dyDescent="0.25">
      <c r="A141" s="411" t="s">
        <v>388</v>
      </c>
      <c r="B141" s="412" t="s">
        <v>425</v>
      </c>
      <c r="C141" s="411" t="s">
        <v>215</v>
      </c>
      <c r="D141" s="411" t="s">
        <v>426</v>
      </c>
      <c r="E141" s="565" t="s">
        <v>396</v>
      </c>
      <c r="F141" s="565"/>
      <c r="G141" s="413" t="s">
        <v>40</v>
      </c>
      <c r="H141" s="414">
        <v>0.5</v>
      </c>
      <c r="I141" s="414"/>
      <c r="J141" s="415">
        <v>13.73</v>
      </c>
      <c r="K141" s="415">
        <v>6.86</v>
      </c>
      <c r="L141" s="66"/>
    </row>
    <row r="142" spans="1:12" ht="25.5" x14ac:dyDescent="0.25">
      <c r="A142" s="411" t="s">
        <v>388</v>
      </c>
      <c r="B142" s="412" t="s">
        <v>495</v>
      </c>
      <c r="C142" s="411" t="s">
        <v>215</v>
      </c>
      <c r="D142" s="411" t="s">
        <v>496</v>
      </c>
      <c r="E142" s="565" t="s">
        <v>396</v>
      </c>
      <c r="F142" s="565"/>
      <c r="G142" s="413" t="s">
        <v>40</v>
      </c>
      <c r="H142" s="414">
        <v>16</v>
      </c>
      <c r="I142" s="414"/>
      <c r="J142" s="415">
        <v>5.04</v>
      </c>
      <c r="K142" s="415">
        <v>80.64</v>
      </c>
      <c r="L142" s="66"/>
    </row>
    <row r="143" spans="1:12" ht="25.5" x14ac:dyDescent="0.25">
      <c r="A143" s="411" t="s">
        <v>388</v>
      </c>
      <c r="B143" s="412" t="s">
        <v>497</v>
      </c>
      <c r="C143" s="411" t="s">
        <v>215</v>
      </c>
      <c r="D143" s="411" t="s">
        <v>498</v>
      </c>
      <c r="E143" s="565" t="s">
        <v>396</v>
      </c>
      <c r="F143" s="565"/>
      <c r="G143" s="413" t="s">
        <v>40</v>
      </c>
      <c r="H143" s="414">
        <v>1</v>
      </c>
      <c r="I143" s="414"/>
      <c r="J143" s="415">
        <v>16.399999999999999</v>
      </c>
      <c r="K143" s="415">
        <v>16.399999999999999</v>
      </c>
      <c r="L143" s="66"/>
    </row>
    <row r="144" spans="1:12" ht="25.5" x14ac:dyDescent="0.25">
      <c r="A144" s="411" t="s">
        <v>388</v>
      </c>
      <c r="B144" s="412" t="s">
        <v>499</v>
      </c>
      <c r="C144" s="411" t="s">
        <v>215</v>
      </c>
      <c r="D144" s="411" t="s">
        <v>500</v>
      </c>
      <c r="E144" s="565" t="s">
        <v>396</v>
      </c>
      <c r="F144" s="565"/>
      <c r="G144" s="413" t="s">
        <v>40</v>
      </c>
      <c r="H144" s="414">
        <v>1</v>
      </c>
      <c r="I144" s="414"/>
      <c r="J144" s="415">
        <v>111.31</v>
      </c>
      <c r="K144" s="415">
        <v>111.31</v>
      </c>
      <c r="L144" s="66"/>
    </row>
    <row r="145" spans="1:12" ht="25.5" x14ac:dyDescent="0.25">
      <c r="A145" s="411" t="s">
        <v>388</v>
      </c>
      <c r="B145" s="412" t="s">
        <v>501</v>
      </c>
      <c r="C145" s="411" t="s">
        <v>215</v>
      </c>
      <c r="D145" s="411" t="s">
        <v>502</v>
      </c>
      <c r="E145" s="565" t="s">
        <v>396</v>
      </c>
      <c r="F145" s="565"/>
      <c r="G145" s="413" t="s">
        <v>40</v>
      </c>
      <c r="H145" s="414">
        <v>1</v>
      </c>
      <c r="I145" s="414"/>
      <c r="J145" s="415">
        <v>117.65</v>
      </c>
      <c r="K145" s="415">
        <v>117.65</v>
      </c>
      <c r="L145" s="66"/>
    </row>
    <row r="146" spans="1:12" ht="25.5" x14ac:dyDescent="0.25">
      <c r="A146" s="411" t="s">
        <v>388</v>
      </c>
      <c r="B146" s="412" t="s">
        <v>503</v>
      </c>
      <c r="C146" s="411" t="s">
        <v>215</v>
      </c>
      <c r="D146" s="411" t="s">
        <v>504</v>
      </c>
      <c r="E146" s="565" t="s">
        <v>396</v>
      </c>
      <c r="F146" s="565"/>
      <c r="G146" s="413" t="s">
        <v>40</v>
      </c>
      <c r="H146" s="414">
        <v>0.25</v>
      </c>
      <c r="I146" s="414"/>
      <c r="J146" s="415">
        <v>83.26</v>
      </c>
      <c r="K146" s="415">
        <v>20.81</v>
      </c>
      <c r="L146" s="66"/>
    </row>
    <row r="147" spans="1:12" ht="25.5" x14ac:dyDescent="0.25">
      <c r="A147" s="411" t="s">
        <v>388</v>
      </c>
      <c r="B147" s="412" t="s">
        <v>505</v>
      </c>
      <c r="C147" s="411" t="s">
        <v>215</v>
      </c>
      <c r="D147" s="411" t="s">
        <v>506</v>
      </c>
      <c r="E147" s="565" t="s">
        <v>396</v>
      </c>
      <c r="F147" s="565"/>
      <c r="G147" s="413" t="s">
        <v>36</v>
      </c>
      <c r="H147" s="414">
        <v>5.0999999999999996</v>
      </c>
      <c r="I147" s="414"/>
      <c r="J147" s="415">
        <v>14.24</v>
      </c>
      <c r="K147" s="415">
        <v>72.62</v>
      </c>
      <c r="L147" s="66"/>
    </row>
    <row r="148" spans="1:12" ht="25.5" x14ac:dyDescent="0.25">
      <c r="A148" s="411" t="s">
        <v>388</v>
      </c>
      <c r="B148" s="412" t="s">
        <v>507</v>
      </c>
      <c r="C148" s="411" t="s">
        <v>215</v>
      </c>
      <c r="D148" s="411" t="s">
        <v>508</v>
      </c>
      <c r="E148" s="565" t="s">
        <v>396</v>
      </c>
      <c r="F148" s="565"/>
      <c r="G148" s="413" t="s">
        <v>40</v>
      </c>
      <c r="H148" s="414">
        <v>1.25</v>
      </c>
      <c r="I148" s="414"/>
      <c r="J148" s="415">
        <v>18.34</v>
      </c>
      <c r="K148" s="415">
        <v>22.92</v>
      </c>
      <c r="L148" s="66"/>
    </row>
    <row r="149" spans="1:12" ht="25.5" x14ac:dyDescent="0.25">
      <c r="A149" s="411" t="s">
        <v>388</v>
      </c>
      <c r="B149" s="412" t="s">
        <v>509</v>
      </c>
      <c r="C149" s="411" t="s">
        <v>215</v>
      </c>
      <c r="D149" s="411" t="s">
        <v>510</v>
      </c>
      <c r="E149" s="565" t="s">
        <v>396</v>
      </c>
      <c r="F149" s="565"/>
      <c r="G149" s="413" t="s">
        <v>40</v>
      </c>
      <c r="H149" s="414">
        <v>1.25</v>
      </c>
      <c r="I149" s="414"/>
      <c r="J149" s="415">
        <v>139.16</v>
      </c>
      <c r="K149" s="415">
        <v>173.95</v>
      </c>
      <c r="L149" s="66"/>
    </row>
    <row r="150" spans="1:12" ht="25.5" x14ac:dyDescent="0.25">
      <c r="A150" s="411" t="s">
        <v>388</v>
      </c>
      <c r="B150" s="412" t="s">
        <v>414</v>
      </c>
      <c r="C150" s="411" t="s">
        <v>215</v>
      </c>
      <c r="D150" s="411" t="s">
        <v>415</v>
      </c>
      <c r="E150" s="565" t="s">
        <v>396</v>
      </c>
      <c r="F150" s="565"/>
      <c r="G150" s="413" t="s">
        <v>40</v>
      </c>
      <c r="H150" s="414">
        <v>0.5</v>
      </c>
      <c r="I150" s="414"/>
      <c r="J150" s="415">
        <v>2.7</v>
      </c>
      <c r="K150" s="415">
        <v>1.35</v>
      </c>
      <c r="L150" s="66"/>
    </row>
    <row r="151" spans="1:12" ht="25.5" x14ac:dyDescent="0.25">
      <c r="A151" s="411" t="s">
        <v>388</v>
      </c>
      <c r="B151" s="412" t="s">
        <v>511</v>
      </c>
      <c r="C151" s="411" t="s">
        <v>215</v>
      </c>
      <c r="D151" s="411" t="s">
        <v>512</v>
      </c>
      <c r="E151" s="565" t="s">
        <v>396</v>
      </c>
      <c r="F151" s="565"/>
      <c r="G151" s="413" t="s">
        <v>40</v>
      </c>
      <c r="H151" s="414">
        <v>1</v>
      </c>
      <c r="I151" s="414"/>
      <c r="J151" s="415">
        <v>355.1</v>
      </c>
      <c r="K151" s="415">
        <v>355.1</v>
      </c>
      <c r="L151" s="66"/>
    </row>
    <row r="152" spans="1:12" ht="25.5" x14ac:dyDescent="0.25">
      <c r="A152" s="411" t="s">
        <v>388</v>
      </c>
      <c r="B152" s="412" t="s">
        <v>412</v>
      </c>
      <c r="C152" s="411" t="s">
        <v>215</v>
      </c>
      <c r="D152" s="411" t="s">
        <v>413</v>
      </c>
      <c r="E152" s="565" t="s">
        <v>396</v>
      </c>
      <c r="F152" s="565"/>
      <c r="G152" s="413" t="s">
        <v>346</v>
      </c>
      <c r="H152" s="414">
        <v>58.229700000000001</v>
      </c>
      <c r="I152" s="414"/>
      <c r="J152" s="415">
        <v>0.65</v>
      </c>
      <c r="K152" s="415">
        <v>37.840000000000003</v>
      </c>
      <c r="L152" s="66"/>
    </row>
    <row r="153" spans="1:12" ht="25.5" x14ac:dyDescent="0.25">
      <c r="A153" s="411" t="s">
        <v>388</v>
      </c>
      <c r="B153" s="412" t="s">
        <v>513</v>
      </c>
      <c r="C153" s="411" t="s">
        <v>215</v>
      </c>
      <c r="D153" s="411" t="s">
        <v>514</v>
      </c>
      <c r="E153" s="565" t="s">
        <v>396</v>
      </c>
      <c r="F153" s="565"/>
      <c r="G153" s="413" t="s">
        <v>40</v>
      </c>
      <c r="H153" s="414">
        <v>1</v>
      </c>
      <c r="I153" s="414"/>
      <c r="J153" s="415">
        <v>151.11000000000001</v>
      </c>
      <c r="K153" s="415">
        <v>151.11000000000001</v>
      </c>
      <c r="L153" s="66"/>
    </row>
    <row r="154" spans="1:12" ht="25.5" x14ac:dyDescent="0.25">
      <c r="A154" s="411" t="s">
        <v>388</v>
      </c>
      <c r="B154" s="412" t="s">
        <v>411</v>
      </c>
      <c r="C154" s="411" t="s">
        <v>215</v>
      </c>
      <c r="D154" s="411" t="s">
        <v>360</v>
      </c>
      <c r="E154" s="565" t="s">
        <v>396</v>
      </c>
      <c r="F154" s="565"/>
      <c r="G154" s="413" t="s">
        <v>40</v>
      </c>
      <c r="H154" s="414">
        <v>0.25</v>
      </c>
      <c r="I154" s="414"/>
      <c r="J154" s="415">
        <v>11.48</v>
      </c>
      <c r="K154" s="415">
        <v>2.87</v>
      </c>
      <c r="L154" s="66"/>
    </row>
    <row r="155" spans="1:12" ht="25.5" x14ac:dyDescent="0.25">
      <c r="A155" s="411" t="s">
        <v>388</v>
      </c>
      <c r="B155" s="412" t="s">
        <v>515</v>
      </c>
      <c r="C155" s="411" t="s">
        <v>215</v>
      </c>
      <c r="D155" s="411" t="s">
        <v>516</v>
      </c>
      <c r="E155" s="565" t="s">
        <v>396</v>
      </c>
      <c r="F155" s="565"/>
      <c r="G155" s="413" t="s">
        <v>40</v>
      </c>
      <c r="H155" s="414">
        <v>0.75</v>
      </c>
      <c r="I155" s="414"/>
      <c r="J155" s="415">
        <v>70.22</v>
      </c>
      <c r="K155" s="415">
        <v>52.66</v>
      </c>
      <c r="L155" s="66"/>
    </row>
    <row r="156" spans="1:12" ht="25.5" x14ac:dyDescent="0.25">
      <c r="A156" s="411" t="s">
        <v>388</v>
      </c>
      <c r="B156" s="412" t="s">
        <v>517</v>
      </c>
      <c r="C156" s="411" t="s">
        <v>215</v>
      </c>
      <c r="D156" s="411" t="s">
        <v>518</v>
      </c>
      <c r="E156" s="565" t="s">
        <v>396</v>
      </c>
      <c r="F156" s="565"/>
      <c r="G156" s="413" t="s">
        <v>40</v>
      </c>
      <c r="H156" s="414">
        <v>1.25</v>
      </c>
      <c r="I156" s="414"/>
      <c r="J156" s="415">
        <v>60.44</v>
      </c>
      <c r="K156" s="415">
        <v>75.55</v>
      </c>
      <c r="L156" s="66"/>
    </row>
    <row r="157" spans="1:12" ht="25.5" x14ac:dyDescent="0.25">
      <c r="A157" s="411" t="s">
        <v>388</v>
      </c>
      <c r="B157" s="412" t="s">
        <v>519</v>
      </c>
      <c r="C157" s="411" t="s">
        <v>215</v>
      </c>
      <c r="D157" s="411" t="s">
        <v>520</v>
      </c>
      <c r="E157" s="565" t="s">
        <v>396</v>
      </c>
      <c r="F157" s="565"/>
      <c r="G157" s="413" t="s">
        <v>40</v>
      </c>
      <c r="H157" s="414">
        <v>0.25</v>
      </c>
      <c r="I157" s="414"/>
      <c r="J157" s="415">
        <v>285.3</v>
      </c>
      <c r="K157" s="415">
        <v>71.319999999999993</v>
      </c>
      <c r="L157" s="66"/>
    </row>
    <row r="158" spans="1:12" ht="25.5" x14ac:dyDescent="0.25">
      <c r="A158" s="411" t="s">
        <v>388</v>
      </c>
      <c r="B158" s="412" t="s">
        <v>521</v>
      </c>
      <c r="C158" s="411" t="s">
        <v>215</v>
      </c>
      <c r="D158" s="411" t="s">
        <v>522</v>
      </c>
      <c r="E158" s="565" t="s">
        <v>396</v>
      </c>
      <c r="F158" s="565"/>
      <c r="G158" s="413" t="s">
        <v>36</v>
      </c>
      <c r="H158" s="414">
        <v>125.58750000000001</v>
      </c>
      <c r="I158" s="414"/>
      <c r="J158" s="415">
        <v>8.93</v>
      </c>
      <c r="K158" s="415">
        <v>1121.49</v>
      </c>
      <c r="L158" s="66"/>
    </row>
    <row r="159" spans="1:12" ht="25.5" x14ac:dyDescent="0.25">
      <c r="A159" s="411" t="s">
        <v>388</v>
      </c>
      <c r="B159" s="412" t="s">
        <v>409</v>
      </c>
      <c r="C159" s="411" t="s">
        <v>215</v>
      </c>
      <c r="D159" s="411" t="s">
        <v>410</v>
      </c>
      <c r="E159" s="565" t="s">
        <v>396</v>
      </c>
      <c r="F159" s="565"/>
      <c r="G159" s="413" t="s">
        <v>36</v>
      </c>
      <c r="H159" s="414">
        <v>159.375</v>
      </c>
      <c r="I159" s="414"/>
      <c r="J159" s="415">
        <v>2.21</v>
      </c>
      <c r="K159" s="415">
        <v>352.21</v>
      </c>
      <c r="L159" s="66"/>
    </row>
    <row r="160" spans="1:12" ht="25.5" x14ac:dyDescent="0.25">
      <c r="A160" s="411" t="s">
        <v>388</v>
      </c>
      <c r="B160" s="412" t="s">
        <v>523</v>
      </c>
      <c r="C160" s="411" t="s">
        <v>215</v>
      </c>
      <c r="D160" s="411" t="s">
        <v>524</v>
      </c>
      <c r="E160" s="565" t="s">
        <v>396</v>
      </c>
      <c r="F160" s="565"/>
      <c r="G160" s="413" t="s">
        <v>40</v>
      </c>
      <c r="H160" s="414">
        <v>0.5</v>
      </c>
      <c r="I160" s="414"/>
      <c r="J160" s="415">
        <v>25.99</v>
      </c>
      <c r="K160" s="415">
        <v>12.99</v>
      </c>
      <c r="L160" s="66"/>
    </row>
    <row r="161" spans="1:12" ht="15.75" customHeight="1" x14ac:dyDescent="0.25">
      <c r="A161" s="411" t="s">
        <v>388</v>
      </c>
      <c r="B161" s="412" t="s">
        <v>525</v>
      </c>
      <c r="C161" s="411" t="s">
        <v>215</v>
      </c>
      <c r="D161" s="411" t="s">
        <v>526</v>
      </c>
      <c r="E161" s="565" t="s">
        <v>396</v>
      </c>
      <c r="F161" s="565"/>
      <c r="G161" s="413" t="s">
        <v>40</v>
      </c>
      <c r="H161" s="414">
        <v>0.5</v>
      </c>
      <c r="I161" s="414"/>
      <c r="J161" s="415">
        <v>8.58</v>
      </c>
      <c r="K161" s="415">
        <v>4.29</v>
      </c>
      <c r="L161" s="66"/>
    </row>
    <row r="162" spans="1:12" ht="25.5" x14ac:dyDescent="0.25">
      <c r="A162" s="411" t="s">
        <v>388</v>
      </c>
      <c r="B162" s="412" t="s">
        <v>527</v>
      </c>
      <c r="C162" s="411" t="s">
        <v>215</v>
      </c>
      <c r="D162" s="411" t="s">
        <v>528</v>
      </c>
      <c r="E162" s="565" t="s">
        <v>396</v>
      </c>
      <c r="F162" s="565"/>
      <c r="G162" s="413" t="s">
        <v>40</v>
      </c>
      <c r="H162" s="414">
        <v>1</v>
      </c>
      <c r="I162" s="414"/>
      <c r="J162" s="415">
        <v>7.94</v>
      </c>
      <c r="K162" s="415">
        <v>7.94</v>
      </c>
      <c r="L162" s="66"/>
    </row>
    <row r="163" spans="1:12" ht="25.5" x14ac:dyDescent="0.25">
      <c r="A163" s="411" t="s">
        <v>388</v>
      </c>
      <c r="B163" s="412" t="s">
        <v>529</v>
      </c>
      <c r="C163" s="411" t="s">
        <v>215</v>
      </c>
      <c r="D163" s="411" t="s">
        <v>530</v>
      </c>
      <c r="E163" s="565" t="s">
        <v>396</v>
      </c>
      <c r="F163" s="565"/>
      <c r="G163" s="413" t="s">
        <v>40</v>
      </c>
      <c r="H163" s="414">
        <v>1.25</v>
      </c>
      <c r="I163" s="414"/>
      <c r="J163" s="415">
        <v>111.14</v>
      </c>
      <c r="K163" s="415">
        <v>138.91999999999999</v>
      </c>
      <c r="L163" s="66"/>
    </row>
    <row r="164" spans="1:12" ht="25.5" x14ac:dyDescent="0.25">
      <c r="A164" s="411" t="s">
        <v>388</v>
      </c>
      <c r="B164" s="412" t="s">
        <v>531</v>
      </c>
      <c r="C164" s="411" t="s">
        <v>215</v>
      </c>
      <c r="D164" s="411" t="s">
        <v>532</v>
      </c>
      <c r="E164" s="565" t="s">
        <v>396</v>
      </c>
      <c r="F164" s="565"/>
      <c r="G164" s="413" t="s">
        <v>40</v>
      </c>
      <c r="H164" s="414">
        <v>1</v>
      </c>
      <c r="I164" s="414"/>
      <c r="J164" s="415">
        <v>16.75</v>
      </c>
      <c r="K164" s="415">
        <v>16.75</v>
      </c>
      <c r="L164" s="66"/>
    </row>
    <row r="165" spans="1:12" ht="25.5" x14ac:dyDescent="0.25">
      <c r="A165" s="411" t="s">
        <v>388</v>
      </c>
      <c r="B165" s="412" t="s">
        <v>407</v>
      </c>
      <c r="C165" s="411" t="s">
        <v>215</v>
      </c>
      <c r="D165" s="411" t="s">
        <v>408</v>
      </c>
      <c r="E165" s="565" t="s">
        <v>396</v>
      </c>
      <c r="F165" s="565"/>
      <c r="G165" s="413" t="s">
        <v>40</v>
      </c>
      <c r="H165" s="414">
        <v>1.5</v>
      </c>
      <c r="I165" s="414"/>
      <c r="J165" s="415">
        <v>9.11</v>
      </c>
      <c r="K165" s="415">
        <v>13.66</v>
      </c>
      <c r="L165" s="66"/>
    </row>
    <row r="166" spans="1:12" ht="25.5" x14ac:dyDescent="0.25">
      <c r="A166" s="411" t="s">
        <v>388</v>
      </c>
      <c r="B166" s="412" t="s">
        <v>533</v>
      </c>
      <c r="C166" s="411" t="s">
        <v>215</v>
      </c>
      <c r="D166" s="411" t="s">
        <v>534</v>
      </c>
      <c r="E166" s="565" t="s">
        <v>396</v>
      </c>
      <c r="F166" s="565"/>
      <c r="G166" s="413" t="s">
        <v>40</v>
      </c>
      <c r="H166" s="414">
        <v>21</v>
      </c>
      <c r="I166" s="414"/>
      <c r="J166" s="415">
        <v>0.68</v>
      </c>
      <c r="K166" s="415">
        <v>14.28</v>
      </c>
      <c r="L166" s="66"/>
    </row>
    <row r="167" spans="1:12" ht="25.5" x14ac:dyDescent="0.25">
      <c r="A167" s="411" t="s">
        <v>388</v>
      </c>
      <c r="B167" s="412" t="s">
        <v>535</v>
      </c>
      <c r="C167" s="411" t="s">
        <v>215</v>
      </c>
      <c r="D167" s="411" t="s">
        <v>536</v>
      </c>
      <c r="E167" s="565" t="s">
        <v>396</v>
      </c>
      <c r="F167" s="565"/>
      <c r="G167" s="413" t="s">
        <v>40</v>
      </c>
      <c r="H167" s="414">
        <v>0.75</v>
      </c>
      <c r="I167" s="414"/>
      <c r="J167" s="415">
        <v>65.709999999999994</v>
      </c>
      <c r="K167" s="415">
        <v>49.28</v>
      </c>
      <c r="L167" s="66"/>
    </row>
    <row r="168" spans="1:12" ht="25.5" x14ac:dyDescent="0.25">
      <c r="A168" s="411" t="s">
        <v>388</v>
      </c>
      <c r="B168" s="412" t="s">
        <v>537</v>
      </c>
      <c r="C168" s="411" t="s">
        <v>215</v>
      </c>
      <c r="D168" s="411" t="s">
        <v>538</v>
      </c>
      <c r="E168" s="565" t="s">
        <v>396</v>
      </c>
      <c r="F168" s="565"/>
      <c r="G168" s="413" t="s">
        <v>40</v>
      </c>
      <c r="H168" s="414">
        <v>1</v>
      </c>
      <c r="I168" s="414"/>
      <c r="J168" s="415">
        <v>38.61</v>
      </c>
      <c r="K168" s="415">
        <v>38.61</v>
      </c>
      <c r="L168" s="66"/>
    </row>
    <row r="169" spans="1:12" ht="25.5" x14ac:dyDescent="0.25">
      <c r="A169" s="411" t="s">
        <v>388</v>
      </c>
      <c r="B169" s="412" t="s">
        <v>539</v>
      </c>
      <c r="C169" s="411" t="s">
        <v>215</v>
      </c>
      <c r="D169" s="411" t="s">
        <v>540</v>
      </c>
      <c r="E169" s="565" t="s">
        <v>396</v>
      </c>
      <c r="F169" s="565"/>
      <c r="G169" s="413" t="s">
        <v>40</v>
      </c>
      <c r="H169" s="414">
        <v>1</v>
      </c>
      <c r="I169" s="414"/>
      <c r="J169" s="415">
        <v>39.18</v>
      </c>
      <c r="K169" s="415">
        <v>39.18</v>
      </c>
      <c r="L169" s="66"/>
    </row>
    <row r="170" spans="1:12" ht="25.5" x14ac:dyDescent="0.25">
      <c r="A170" s="416"/>
      <c r="B170" s="416"/>
      <c r="C170" s="416"/>
      <c r="D170" s="416"/>
      <c r="E170" s="416" t="s">
        <v>391</v>
      </c>
      <c r="F170" s="417">
        <v>749.27</v>
      </c>
      <c r="G170" s="416" t="s">
        <v>392</v>
      </c>
      <c r="H170" s="417">
        <v>0</v>
      </c>
      <c r="I170" s="416" t="s">
        <v>393</v>
      </c>
      <c r="J170" s="417">
        <v>749.27</v>
      </c>
      <c r="K170"/>
      <c r="L170" s="66"/>
    </row>
    <row r="171" spans="1:12" ht="17.25" thickBot="1" x14ac:dyDescent="0.3">
      <c r="A171" s="416"/>
      <c r="B171" s="416"/>
      <c r="C171" s="416"/>
      <c r="D171" s="416"/>
      <c r="E171" s="416" t="s">
        <v>394</v>
      </c>
      <c r="F171" s="417">
        <v>0</v>
      </c>
      <c r="G171" s="416"/>
      <c r="H171" s="562" t="s">
        <v>395</v>
      </c>
      <c r="I171" s="562"/>
      <c r="J171" s="417">
        <v>4829.8100000000004</v>
      </c>
      <c r="K171"/>
      <c r="L171" s="66"/>
    </row>
    <row r="172" spans="1:12" ht="17.25" thickTop="1" x14ac:dyDescent="0.25">
      <c r="A172" s="418"/>
      <c r="B172" s="418"/>
      <c r="C172" s="418"/>
      <c r="D172" s="418"/>
      <c r="E172" s="418"/>
      <c r="F172" s="418"/>
      <c r="G172" s="418"/>
      <c r="H172" s="418"/>
      <c r="I172" s="418"/>
      <c r="J172" s="418"/>
      <c r="K172" s="418"/>
      <c r="L172" s="66"/>
    </row>
    <row r="173" spans="1:12" ht="16.5" x14ac:dyDescent="0.25">
      <c r="A173" s="403" t="s">
        <v>320</v>
      </c>
      <c r="B173" s="404" t="s">
        <v>43</v>
      </c>
      <c r="C173" s="403" t="s">
        <v>213</v>
      </c>
      <c r="D173" s="403" t="s">
        <v>85</v>
      </c>
      <c r="E173" s="563" t="s">
        <v>44</v>
      </c>
      <c r="F173" s="563"/>
      <c r="G173" s="405" t="s">
        <v>68</v>
      </c>
      <c r="H173" s="404" t="s">
        <v>78</v>
      </c>
      <c r="I173" s="404" t="s">
        <v>387</v>
      </c>
      <c r="J173" s="404" t="s">
        <v>291</v>
      </c>
      <c r="K173" s="404" t="s">
        <v>69</v>
      </c>
      <c r="L173" s="66"/>
    </row>
    <row r="174" spans="1:12" ht="38.25" x14ac:dyDescent="0.25">
      <c r="A174" s="406" t="s">
        <v>46</v>
      </c>
      <c r="B174" s="407" t="s">
        <v>316</v>
      </c>
      <c r="C174" s="406" t="s">
        <v>215</v>
      </c>
      <c r="D174" s="406" t="s">
        <v>117</v>
      </c>
      <c r="E174" s="566">
        <v>213</v>
      </c>
      <c r="F174" s="566"/>
      <c r="G174" s="408" t="s">
        <v>19</v>
      </c>
      <c r="H174" s="409">
        <v>1</v>
      </c>
      <c r="I174" s="410"/>
      <c r="J174" s="410">
        <v>386.74</v>
      </c>
      <c r="K174" s="410">
        <v>386.74</v>
      </c>
      <c r="L174" s="66"/>
    </row>
    <row r="175" spans="1:12" ht="25.5" x14ac:dyDescent="0.25">
      <c r="A175" s="411" t="s">
        <v>388</v>
      </c>
      <c r="B175" s="412" t="s">
        <v>221</v>
      </c>
      <c r="C175" s="411" t="s">
        <v>215</v>
      </c>
      <c r="D175" s="411" t="s">
        <v>222</v>
      </c>
      <c r="E175" s="565" t="s">
        <v>194</v>
      </c>
      <c r="F175" s="565"/>
      <c r="G175" s="413" t="s">
        <v>48</v>
      </c>
      <c r="H175" s="414">
        <v>0.16919999999999999</v>
      </c>
      <c r="I175" s="414"/>
      <c r="J175" s="415">
        <v>16.04</v>
      </c>
      <c r="K175" s="415">
        <v>2.71</v>
      </c>
      <c r="L175" s="66"/>
    </row>
    <row r="176" spans="1:12" ht="25.5" x14ac:dyDescent="0.25">
      <c r="A176" s="411" t="s">
        <v>388</v>
      </c>
      <c r="B176" s="412" t="s">
        <v>229</v>
      </c>
      <c r="C176" s="411" t="s">
        <v>215</v>
      </c>
      <c r="D176" s="411" t="s">
        <v>230</v>
      </c>
      <c r="E176" s="565" t="s">
        <v>194</v>
      </c>
      <c r="F176" s="565"/>
      <c r="G176" s="413" t="s">
        <v>48</v>
      </c>
      <c r="H176" s="414">
        <v>2.47E-2</v>
      </c>
      <c r="I176" s="414"/>
      <c r="J176" s="415">
        <v>23.41</v>
      </c>
      <c r="K176" s="415">
        <v>0.56999999999999995</v>
      </c>
      <c r="L176" s="66"/>
    </row>
    <row r="177" spans="1:12" ht="25.5" x14ac:dyDescent="0.25">
      <c r="A177" s="411" t="s">
        <v>388</v>
      </c>
      <c r="B177" s="412" t="s">
        <v>489</v>
      </c>
      <c r="C177" s="411" t="s">
        <v>215</v>
      </c>
      <c r="D177" s="411" t="s">
        <v>490</v>
      </c>
      <c r="E177" s="565" t="s">
        <v>396</v>
      </c>
      <c r="F177" s="565"/>
      <c r="G177" s="413" t="s">
        <v>36</v>
      </c>
      <c r="H177" s="414">
        <v>2.4022000000000001</v>
      </c>
      <c r="I177" s="414"/>
      <c r="J177" s="415">
        <v>27.59</v>
      </c>
      <c r="K177" s="415">
        <v>66.27</v>
      </c>
      <c r="L177" s="66"/>
    </row>
    <row r="178" spans="1:12" ht="25.5" x14ac:dyDescent="0.25">
      <c r="A178" s="411" t="s">
        <v>388</v>
      </c>
      <c r="B178" s="412" t="s">
        <v>431</v>
      </c>
      <c r="C178" s="411" t="s">
        <v>215</v>
      </c>
      <c r="D178" s="411" t="s">
        <v>432</v>
      </c>
      <c r="E178" s="565" t="s">
        <v>396</v>
      </c>
      <c r="F178" s="565"/>
      <c r="G178" s="413" t="s">
        <v>36</v>
      </c>
      <c r="H178" s="414">
        <v>1.2613000000000001</v>
      </c>
      <c r="I178" s="414"/>
      <c r="J178" s="415">
        <v>6.74</v>
      </c>
      <c r="K178" s="415">
        <v>8.5</v>
      </c>
      <c r="L178" s="66"/>
    </row>
    <row r="179" spans="1:12" ht="25.5" x14ac:dyDescent="0.25">
      <c r="A179" s="411" t="s">
        <v>388</v>
      </c>
      <c r="B179" s="412" t="s">
        <v>545</v>
      </c>
      <c r="C179" s="411" t="s">
        <v>215</v>
      </c>
      <c r="D179" s="411" t="s">
        <v>546</v>
      </c>
      <c r="E179" s="565" t="s">
        <v>396</v>
      </c>
      <c r="F179" s="565"/>
      <c r="G179" s="413" t="s">
        <v>40</v>
      </c>
      <c r="H179" s="414">
        <v>1.3332999999999999</v>
      </c>
      <c r="I179" s="414"/>
      <c r="J179" s="415">
        <v>2.37</v>
      </c>
      <c r="K179" s="415">
        <v>3.15</v>
      </c>
      <c r="L179" s="66"/>
    </row>
    <row r="180" spans="1:12" ht="25.5" x14ac:dyDescent="0.25">
      <c r="A180" s="411" t="s">
        <v>388</v>
      </c>
      <c r="B180" s="412" t="s">
        <v>402</v>
      </c>
      <c r="C180" s="411" t="s">
        <v>215</v>
      </c>
      <c r="D180" s="411" t="s">
        <v>403</v>
      </c>
      <c r="E180" s="565" t="s">
        <v>396</v>
      </c>
      <c r="F180" s="565"/>
      <c r="G180" s="413" t="s">
        <v>40</v>
      </c>
      <c r="H180" s="414">
        <v>1.1852</v>
      </c>
      <c r="I180" s="414"/>
      <c r="J180" s="415">
        <v>2.1</v>
      </c>
      <c r="K180" s="415">
        <v>2.48</v>
      </c>
      <c r="L180" s="66"/>
    </row>
    <row r="181" spans="1:12" ht="25.5" x14ac:dyDescent="0.25">
      <c r="A181" s="411" t="s">
        <v>388</v>
      </c>
      <c r="B181" s="412" t="s">
        <v>547</v>
      </c>
      <c r="C181" s="411" t="s">
        <v>215</v>
      </c>
      <c r="D181" s="411" t="s">
        <v>548</v>
      </c>
      <c r="E181" s="565" t="s">
        <v>396</v>
      </c>
      <c r="F181" s="565"/>
      <c r="G181" s="413" t="s">
        <v>346</v>
      </c>
      <c r="H181" s="414">
        <v>5.1400000000000001E-2</v>
      </c>
      <c r="I181" s="414"/>
      <c r="J181" s="415">
        <v>20.399999999999999</v>
      </c>
      <c r="K181" s="415">
        <v>1.04</v>
      </c>
      <c r="L181" s="66"/>
    </row>
    <row r="182" spans="1:12" ht="25.5" x14ac:dyDescent="0.25">
      <c r="A182" s="411" t="s">
        <v>388</v>
      </c>
      <c r="B182" s="412" t="s">
        <v>549</v>
      </c>
      <c r="C182" s="411" t="s">
        <v>215</v>
      </c>
      <c r="D182" s="411" t="s">
        <v>550</v>
      </c>
      <c r="E182" s="565" t="s">
        <v>396</v>
      </c>
      <c r="F182" s="565"/>
      <c r="G182" s="413" t="s">
        <v>19</v>
      </c>
      <c r="H182" s="414">
        <v>1</v>
      </c>
      <c r="I182" s="414"/>
      <c r="J182" s="415">
        <v>300</v>
      </c>
      <c r="K182" s="415">
        <v>300</v>
      </c>
      <c r="L182" s="66"/>
    </row>
    <row r="183" spans="1:12" ht="25.5" x14ac:dyDescent="0.25">
      <c r="A183" s="411" t="s">
        <v>388</v>
      </c>
      <c r="B183" s="412" t="s">
        <v>433</v>
      </c>
      <c r="C183" s="411" t="s">
        <v>215</v>
      </c>
      <c r="D183" s="411" t="s">
        <v>434</v>
      </c>
      <c r="E183" s="565" t="s">
        <v>396</v>
      </c>
      <c r="F183" s="565"/>
      <c r="G183" s="413" t="s">
        <v>346</v>
      </c>
      <c r="H183" s="414">
        <v>1.15E-2</v>
      </c>
      <c r="I183" s="414"/>
      <c r="J183" s="415">
        <v>26.83</v>
      </c>
      <c r="K183" s="415">
        <v>0.3</v>
      </c>
      <c r="L183" s="66"/>
    </row>
    <row r="184" spans="1:12" ht="25.5" x14ac:dyDescent="0.25">
      <c r="A184" s="411" t="s">
        <v>388</v>
      </c>
      <c r="B184" s="412" t="s">
        <v>412</v>
      </c>
      <c r="C184" s="411" t="s">
        <v>215</v>
      </c>
      <c r="D184" s="411" t="s">
        <v>413</v>
      </c>
      <c r="E184" s="565" t="s">
        <v>396</v>
      </c>
      <c r="F184" s="565"/>
      <c r="G184" s="413" t="s">
        <v>346</v>
      </c>
      <c r="H184" s="414">
        <v>2.6608000000000001</v>
      </c>
      <c r="I184" s="414"/>
      <c r="J184" s="415">
        <v>0.65</v>
      </c>
      <c r="K184" s="415">
        <v>1.72</v>
      </c>
      <c r="L184" s="66"/>
    </row>
    <row r="185" spans="1:12" ht="25.5" x14ac:dyDescent="0.25">
      <c r="A185" s="416"/>
      <c r="B185" s="416"/>
      <c r="C185" s="416"/>
      <c r="D185" s="416"/>
      <c r="E185" s="416" t="s">
        <v>391</v>
      </c>
      <c r="F185" s="417">
        <v>3.28</v>
      </c>
      <c r="G185" s="416" t="s">
        <v>392</v>
      </c>
      <c r="H185" s="417">
        <v>0</v>
      </c>
      <c r="I185" s="416" t="s">
        <v>393</v>
      </c>
      <c r="J185" s="417">
        <v>3.28</v>
      </c>
      <c r="K185"/>
      <c r="L185" s="66"/>
    </row>
    <row r="186" spans="1:12" ht="17.25" thickBot="1" x14ac:dyDescent="0.3">
      <c r="A186" s="416"/>
      <c r="B186" s="416"/>
      <c r="C186" s="416"/>
      <c r="D186" s="416"/>
      <c r="E186" s="416" t="s">
        <v>394</v>
      </c>
      <c r="F186" s="417">
        <v>0</v>
      </c>
      <c r="G186" s="416"/>
      <c r="H186" s="562" t="s">
        <v>395</v>
      </c>
      <c r="I186" s="562"/>
      <c r="J186" s="417">
        <v>386.74</v>
      </c>
      <c r="K186"/>
      <c r="L186" s="66"/>
    </row>
    <row r="187" spans="1:12" ht="17.25" thickTop="1" x14ac:dyDescent="0.25">
      <c r="A187" s="418"/>
      <c r="B187" s="418"/>
      <c r="C187" s="418"/>
      <c r="D187" s="418"/>
      <c r="E187" s="418"/>
      <c r="F187" s="418"/>
      <c r="G187" s="418"/>
      <c r="H187" s="418"/>
      <c r="I187" s="418"/>
      <c r="J187" s="418"/>
      <c r="K187" s="418"/>
      <c r="L187" s="66"/>
    </row>
    <row r="188" spans="1:12" ht="16.5" x14ac:dyDescent="0.25">
      <c r="A188" s="403" t="s">
        <v>939</v>
      </c>
      <c r="B188" s="404" t="s">
        <v>43</v>
      </c>
      <c r="C188" s="403" t="s">
        <v>213</v>
      </c>
      <c r="D188" s="403" t="s">
        <v>85</v>
      </c>
      <c r="E188" s="563" t="s">
        <v>44</v>
      </c>
      <c r="F188" s="563"/>
      <c r="G188" s="405" t="s">
        <v>68</v>
      </c>
      <c r="H188" s="404" t="s">
        <v>78</v>
      </c>
      <c r="I188" s="404" t="s">
        <v>387</v>
      </c>
      <c r="J188" s="404" t="s">
        <v>291</v>
      </c>
      <c r="K188" s="404" t="s">
        <v>69</v>
      </c>
      <c r="L188" s="66"/>
    </row>
    <row r="189" spans="1:12" ht="25.5" x14ac:dyDescent="0.25">
      <c r="A189" s="406" t="s">
        <v>46</v>
      </c>
      <c r="B189" s="407" t="s">
        <v>312</v>
      </c>
      <c r="C189" s="406" t="s">
        <v>215</v>
      </c>
      <c r="D189" s="406" t="s">
        <v>113</v>
      </c>
      <c r="E189" s="566">
        <v>216</v>
      </c>
      <c r="F189" s="566"/>
      <c r="G189" s="408" t="s">
        <v>19</v>
      </c>
      <c r="H189" s="409">
        <v>1</v>
      </c>
      <c r="I189" s="410"/>
      <c r="J189" s="410">
        <v>47.75</v>
      </c>
      <c r="K189" s="410">
        <v>47.75</v>
      </c>
      <c r="L189" s="66"/>
    </row>
    <row r="190" spans="1:12" ht="25.5" x14ac:dyDescent="0.25">
      <c r="A190" s="411" t="s">
        <v>388</v>
      </c>
      <c r="B190" s="412" t="s">
        <v>541</v>
      </c>
      <c r="C190" s="411" t="s">
        <v>215</v>
      </c>
      <c r="D190" s="411" t="s">
        <v>542</v>
      </c>
      <c r="E190" s="565" t="s">
        <v>396</v>
      </c>
      <c r="F190" s="565"/>
      <c r="G190" s="413" t="s">
        <v>19</v>
      </c>
      <c r="H190" s="414">
        <v>1</v>
      </c>
      <c r="I190" s="414"/>
      <c r="J190" s="415">
        <v>47.75</v>
      </c>
      <c r="K190" s="415">
        <v>47.75</v>
      </c>
      <c r="L190" s="66"/>
    </row>
    <row r="191" spans="1:12" ht="25.5" x14ac:dyDescent="0.25">
      <c r="A191" s="416"/>
      <c r="B191" s="416"/>
      <c r="C191" s="416"/>
      <c r="D191" s="416"/>
      <c r="E191" s="416" t="s">
        <v>391</v>
      </c>
      <c r="F191" s="417">
        <v>0</v>
      </c>
      <c r="G191" s="416" t="s">
        <v>392</v>
      </c>
      <c r="H191" s="417">
        <v>0</v>
      </c>
      <c r="I191" s="416" t="s">
        <v>393</v>
      </c>
      <c r="J191" s="417">
        <v>0</v>
      </c>
      <c r="K191"/>
      <c r="L191" s="66"/>
    </row>
    <row r="192" spans="1:12" ht="17.25" thickBot="1" x14ac:dyDescent="0.3">
      <c r="A192" s="416"/>
      <c r="B192" s="416"/>
      <c r="C192" s="416"/>
      <c r="D192" s="416"/>
      <c r="E192" s="416" t="s">
        <v>394</v>
      </c>
      <c r="F192" s="417">
        <v>0</v>
      </c>
      <c r="G192" s="416"/>
      <c r="H192" s="562" t="s">
        <v>395</v>
      </c>
      <c r="I192" s="562"/>
      <c r="J192" s="417">
        <v>47.75</v>
      </c>
      <c r="K192"/>
      <c r="L192" s="66"/>
    </row>
    <row r="193" spans="1:12" ht="17.25" thickTop="1" x14ac:dyDescent="0.25">
      <c r="A193" s="418"/>
      <c r="B193" s="418"/>
      <c r="C193" s="418"/>
      <c r="D193" s="418"/>
      <c r="E193" s="418"/>
      <c r="F193" s="418"/>
      <c r="G193" s="418"/>
      <c r="H193" s="418"/>
      <c r="I193" s="418"/>
      <c r="J193" s="418"/>
      <c r="K193" s="418"/>
      <c r="L193" s="66"/>
    </row>
    <row r="194" spans="1:12" ht="16.5" x14ac:dyDescent="0.25">
      <c r="A194" s="403" t="s">
        <v>940</v>
      </c>
      <c r="B194" s="404" t="s">
        <v>43</v>
      </c>
      <c r="C194" s="403" t="s">
        <v>213</v>
      </c>
      <c r="D194" s="403" t="s">
        <v>85</v>
      </c>
      <c r="E194" s="563" t="s">
        <v>44</v>
      </c>
      <c r="F194" s="563"/>
      <c r="G194" s="405" t="s">
        <v>68</v>
      </c>
      <c r="H194" s="404" t="s">
        <v>78</v>
      </c>
      <c r="I194" s="404" t="s">
        <v>387</v>
      </c>
      <c r="J194" s="404" t="s">
        <v>291</v>
      </c>
      <c r="K194" s="404" t="s">
        <v>69</v>
      </c>
      <c r="L194" s="66"/>
    </row>
    <row r="195" spans="1:12" ht="25.5" x14ac:dyDescent="0.25">
      <c r="A195" s="406" t="s">
        <v>46</v>
      </c>
      <c r="B195" s="407" t="s">
        <v>314</v>
      </c>
      <c r="C195" s="406" t="s">
        <v>215</v>
      </c>
      <c r="D195" s="406" t="s">
        <v>115</v>
      </c>
      <c r="E195" s="566">
        <v>202</v>
      </c>
      <c r="F195" s="566"/>
      <c r="G195" s="408" t="s">
        <v>19</v>
      </c>
      <c r="H195" s="409">
        <v>1</v>
      </c>
      <c r="I195" s="410"/>
      <c r="J195" s="410">
        <v>7.39</v>
      </c>
      <c r="K195" s="410">
        <v>7.39</v>
      </c>
      <c r="L195" s="66"/>
    </row>
    <row r="196" spans="1:12" ht="25.5" x14ac:dyDescent="0.25">
      <c r="A196" s="411" t="s">
        <v>388</v>
      </c>
      <c r="B196" s="412" t="s">
        <v>543</v>
      </c>
      <c r="C196" s="411" t="s">
        <v>215</v>
      </c>
      <c r="D196" s="411" t="s">
        <v>544</v>
      </c>
      <c r="E196" s="565" t="s">
        <v>396</v>
      </c>
      <c r="F196" s="565"/>
      <c r="G196" s="413" t="s">
        <v>19</v>
      </c>
      <c r="H196" s="414">
        <v>1</v>
      </c>
      <c r="I196" s="414"/>
      <c r="J196" s="415">
        <v>7.39</v>
      </c>
      <c r="K196" s="415">
        <v>7.39</v>
      </c>
      <c r="L196" s="66"/>
    </row>
    <row r="197" spans="1:12" ht="25.5" x14ac:dyDescent="0.25">
      <c r="A197" s="416"/>
      <c r="B197" s="416"/>
      <c r="C197" s="416"/>
      <c r="D197" s="416"/>
      <c r="E197" s="416" t="s">
        <v>391</v>
      </c>
      <c r="F197" s="417">
        <v>0</v>
      </c>
      <c r="G197" s="416" t="s">
        <v>392</v>
      </c>
      <c r="H197" s="417">
        <v>0</v>
      </c>
      <c r="I197" s="416" t="s">
        <v>393</v>
      </c>
      <c r="J197" s="417">
        <v>0</v>
      </c>
      <c r="K197"/>
      <c r="L197" s="66"/>
    </row>
    <row r="198" spans="1:12" ht="17.25" thickBot="1" x14ac:dyDescent="0.3">
      <c r="A198" s="416"/>
      <c r="B198" s="416"/>
      <c r="C198" s="416"/>
      <c r="D198" s="416"/>
      <c r="E198" s="416" t="s">
        <v>394</v>
      </c>
      <c r="F198" s="417">
        <v>0</v>
      </c>
      <c r="G198" s="416"/>
      <c r="H198" s="562" t="s">
        <v>395</v>
      </c>
      <c r="I198" s="562"/>
      <c r="J198" s="417">
        <v>7.39</v>
      </c>
      <c r="K198"/>
      <c r="L198" s="66"/>
    </row>
    <row r="199" spans="1:12" ht="17.25" thickTop="1" x14ac:dyDescent="0.25">
      <c r="A199" s="418"/>
      <c r="B199" s="418"/>
      <c r="C199" s="418"/>
      <c r="D199" s="418"/>
      <c r="E199" s="418"/>
      <c r="F199" s="418"/>
      <c r="G199" s="418"/>
      <c r="H199" s="418"/>
      <c r="I199" s="418"/>
      <c r="J199" s="418"/>
      <c r="K199" s="418"/>
      <c r="L199" s="66"/>
    </row>
    <row r="200" spans="1:12" ht="16.5" x14ac:dyDescent="0.25">
      <c r="A200" s="403" t="s">
        <v>941</v>
      </c>
      <c r="B200" s="404" t="s">
        <v>43</v>
      </c>
      <c r="C200" s="403" t="s">
        <v>213</v>
      </c>
      <c r="D200" s="403" t="s">
        <v>85</v>
      </c>
      <c r="E200" s="563" t="s">
        <v>44</v>
      </c>
      <c r="F200" s="563"/>
      <c r="G200" s="405" t="s">
        <v>68</v>
      </c>
      <c r="H200" s="404" t="s">
        <v>78</v>
      </c>
      <c r="I200" s="404" t="s">
        <v>387</v>
      </c>
      <c r="J200" s="404" t="s">
        <v>291</v>
      </c>
      <c r="K200" s="404" t="s">
        <v>69</v>
      </c>
      <c r="L200" s="66"/>
    </row>
    <row r="201" spans="1:12" ht="25.5" x14ac:dyDescent="0.25">
      <c r="A201" s="406" t="s">
        <v>46</v>
      </c>
      <c r="B201" s="407" t="s">
        <v>318</v>
      </c>
      <c r="C201" s="406" t="s">
        <v>215</v>
      </c>
      <c r="D201" s="406" t="s">
        <v>212</v>
      </c>
      <c r="E201" s="566">
        <v>2715</v>
      </c>
      <c r="F201" s="566"/>
      <c r="G201" s="408" t="s">
        <v>319</v>
      </c>
      <c r="H201" s="409">
        <v>1</v>
      </c>
      <c r="I201" s="410"/>
      <c r="J201" s="410">
        <v>22.5</v>
      </c>
      <c r="K201" s="410">
        <v>22.5</v>
      </c>
      <c r="L201" s="66"/>
    </row>
    <row r="202" spans="1:12" ht="25.5" x14ac:dyDescent="0.25">
      <c r="A202" s="411" t="s">
        <v>388</v>
      </c>
      <c r="B202" s="412" t="s">
        <v>551</v>
      </c>
      <c r="C202" s="411" t="s">
        <v>215</v>
      </c>
      <c r="D202" s="411" t="s">
        <v>552</v>
      </c>
      <c r="E202" s="565" t="s">
        <v>396</v>
      </c>
      <c r="F202" s="565"/>
      <c r="G202" s="413" t="s">
        <v>40</v>
      </c>
      <c r="H202" s="414">
        <v>1</v>
      </c>
      <c r="I202" s="414"/>
      <c r="J202" s="415">
        <v>22.5</v>
      </c>
      <c r="K202" s="415">
        <v>22.5</v>
      </c>
      <c r="L202" s="66"/>
    </row>
    <row r="203" spans="1:12" ht="25.5" x14ac:dyDescent="0.25">
      <c r="A203" s="416"/>
      <c r="B203" s="416"/>
      <c r="C203" s="416"/>
      <c r="D203" s="416"/>
      <c r="E203" s="416" t="s">
        <v>391</v>
      </c>
      <c r="F203" s="417">
        <v>0</v>
      </c>
      <c r="G203" s="416" t="s">
        <v>392</v>
      </c>
      <c r="H203" s="417">
        <v>0</v>
      </c>
      <c r="I203" s="416" t="s">
        <v>393</v>
      </c>
      <c r="J203" s="417">
        <v>0</v>
      </c>
      <c r="K203"/>
      <c r="L203" s="66"/>
    </row>
    <row r="204" spans="1:12" ht="15.75" customHeight="1" thickBot="1" x14ac:dyDescent="0.3">
      <c r="A204" s="416"/>
      <c r="B204" s="416"/>
      <c r="C204" s="416"/>
      <c r="D204" s="416"/>
      <c r="E204" s="416" t="s">
        <v>394</v>
      </c>
      <c r="F204" s="417">
        <v>0</v>
      </c>
      <c r="G204" s="416"/>
      <c r="H204" s="562" t="s">
        <v>395</v>
      </c>
      <c r="I204" s="562"/>
      <c r="J204" s="417">
        <v>22.5</v>
      </c>
      <c r="K204"/>
      <c r="L204" s="66"/>
    </row>
    <row r="205" spans="1:12" ht="17.25" thickTop="1" x14ac:dyDescent="0.25">
      <c r="A205" s="418"/>
      <c r="B205" s="418"/>
      <c r="C205" s="418"/>
      <c r="D205" s="418"/>
      <c r="E205" s="418"/>
      <c r="F205" s="418"/>
      <c r="G205" s="418"/>
      <c r="H205" s="418"/>
      <c r="I205" s="418"/>
      <c r="J205" s="418"/>
      <c r="K205" s="418"/>
      <c r="L205" s="66"/>
    </row>
    <row r="206" spans="1:12" ht="16.5" x14ac:dyDescent="0.25">
      <c r="A206" s="403" t="s">
        <v>942</v>
      </c>
      <c r="B206" s="404" t="s">
        <v>43</v>
      </c>
      <c r="C206" s="403" t="s">
        <v>213</v>
      </c>
      <c r="D206" s="403" t="s">
        <v>85</v>
      </c>
      <c r="E206" s="563" t="s">
        <v>44</v>
      </c>
      <c r="F206" s="563"/>
      <c r="G206" s="405" t="s">
        <v>68</v>
      </c>
      <c r="H206" s="404" t="s">
        <v>78</v>
      </c>
      <c r="I206" s="404" t="s">
        <v>387</v>
      </c>
      <c r="J206" s="404" t="s">
        <v>291</v>
      </c>
      <c r="K206" s="404" t="s">
        <v>69</v>
      </c>
      <c r="L206" s="66"/>
    </row>
    <row r="207" spans="1:12" ht="25.5" x14ac:dyDescent="0.25">
      <c r="A207" s="406" t="s">
        <v>46</v>
      </c>
      <c r="B207" s="407" t="s">
        <v>321</v>
      </c>
      <c r="C207" s="406" t="s">
        <v>215</v>
      </c>
      <c r="D207" s="406" t="s">
        <v>247</v>
      </c>
      <c r="E207" s="566">
        <v>2715</v>
      </c>
      <c r="F207" s="566"/>
      <c r="G207" s="408" t="s">
        <v>319</v>
      </c>
      <c r="H207" s="409">
        <v>1</v>
      </c>
      <c r="I207" s="410"/>
      <c r="J207" s="410">
        <v>3.32</v>
      </c>
      <c r="K207" s="410">
        <v>3.32</v>
      </c>
      <c r="L207" s="66"/>
    </row>
    <row r="208" spans="1:12" ht="25.5" x14ac:dyDescent="0.25">
      <c r="A208" s="411" t="s">
        <v>388</v>
      </c>
      <c r="B208" s="412" t="s">
        <v>553</v>
      </c>
      <c r="C208" s="411" t="s">
        <v>215</v>
      </c>
      <c r="D208" s="411" t="s">
        <v>554</v>
      </c>
      <c r="E208" s="565" t="s">
        <v>396</v>
      </c>
      <c r="F208" s="565"/>
      <c r="G208" s="413" t="s">
        <v>40</v>
      </c>
      <c r="H208" s="414">
        <v>1</v>
      </c>
      <c r="I208" s="414"/>
      <c r="J208" s="415">
        <v>3.32</v>
      </c>
      <c r="K208" s="415">
        <v>3.32</v>
      </c>
      <c r="L208" s="66"/>
    </row>
    <row r="209" spans="1:12" ht="25.5" x14ac:dyDescent="0.25">
      <c r="A209" s="416"/>
      <c r="B209" s="416"/>
      <c r="C209" s="416"/>
      <c r="D209" s="416"/>
      <c r="E209" s="416" t="s">
        <v>391</v>
      </c>
      <c r="F209" s="417">
        <v>0</v>
      </c>
      <c r="G209" s="416" t="s">
        <v>392</v>
      </c>
      <c r="H209" s="417">
        <v>0</v>
      </c>
      <c r="I209" s="416" t="s">
        <v>393</v>
      </c>
      <c r="J209" s="417">
        <v>0</v>
      </c>
      <c r="K209"/>
      <c r="L209" s="66"/>
    </row>
    <row r="210" spans="1:12" ht="17.25" thickBot="1" x14ac:dyDescent="0.3">
      <c r="A210" s="416"/>
      <c r="B210" s="416"/>
      <c r="C210" s="416"/>
      <c r="D210" s="416"/>
      <c r="E210" s="416" t="s">
        <v>394</v>
      </c>
      <c r="F210" s="417">
        <v>0</v>
      </c>
      <c r="G210" s="416"/>
      <c r="H210" s="562" t="s">
        <v>395</v>
      </c>
      <c r="I210" s="562"/>
      <c r="J210" s="417">
        <v>3.32</v>
      </c>
      <c r="K210"/>
      <c r="L210" s="66"/>
    </row>
    <row r="211" spans="1:12" ht="17.25" thickTop="1" x14ac:dyDescent="0.25">
      <c r="A211" s="418"/>
      <c r="B211" s="418"/>
      <c r="C211" s="418"/>
      <c r="D211" s="418"/>
      <c r="E211" s="418"/>
      <c r="F211" s="418"/>
      <c r="G211" s="418"/>
      <c r="H211" s="418"/>
      <c r="I211" s="418"/>
      <c r="J211" s="418"/>
      <c r="K211" s="418"/>
      <c r="L211" s="66"/>
    </row>
    <row r="212" spans="1:12" ht="16.5" x14ac:dyDescent="0.25">
      <c r="A212" s="403" t="s">
        <v>323</v>
      </c>
      <c r="B212" s="404" t="s">
        <v>43</v>
      </c>
      <c r="C212" s="403" t="s">
        <v>213</v>
      </c>
      <c r="D212" s="403" t="s">
        <v>85</v>
      </c>
      <c r="E212" s="563" t="s">
        <v>44</v>
      </c>
      <c r="F212" s="563"/>
      <c r="G212" s="405" t="s">
        <v>68</v>
      </c>
      <c r="H212" s="404" t="s">
        <v>78</v>
      </c>
      <c r="I212" s="404" t="s">
        <v>387</v>
      </c>
      <c r="J212" s="404" t="s">
        <v>291</v>
      </c>
      <c r="K212" s="404" t="s">
        <v>69</v>
      </c>
      <c r="L212" s="66"/>
    </row>
    <row r="213" spans="1:12" ht="25.5" x14ac:dyDescent="0.25">
      <c r="A213" s="406" t="s">
        <v>46</v>
      </c>
      <c r="B213" s="407" t="s">
        <v>943</v>
      </c>
      <c r="C213" s="406" t="s">
        <v>215</v>
      </c>
      <c r="D213" s="406" t="s">
        <v>944</v>
      </c>
      <c r="E213" s="566">
        <v>601</v>
      </c>
      <c r="F213" s="566"/>
      <c r="G213" s="408" t="s">
        <v>945</v>
      </c>
      <c r="H213" s="409">
        <v>1</v>
      </c>
      <c r="I213" s="410"/>
      <c r="J213" s="410">
        <v>28.77</v>
      </c>
      <c r="K213" s="410">
        <v>28.77</v>
      </c>
      <c r="L213" s="66"/>
    </row>
    <row r="214" spans="1:12" ht="25.5" x14ac:dyDescent="0.25">
      <c r="A214" s="411" t="s">
        <v>388</v>
      </c>
      <c r="B214" s="412" t="s">
        <v>888</v>
      </c>
      <c r="C214" s="411" t="s">
        <v>215</v>
      </c>
      <c r="D214" s="411" t="s">
        <v>889</v>
      </c>
      <c r="E214" s="565" t="s">
        <v>194</v>
      </c>
      <c r="F214" s="565"/>
      <c r="G214" s="413" t="s">
        <v>48</v>
      </c>
      <c r="H214" s="414">
        <v>0.08</v>
      </c>
      <c r="I214" s="414"/>
      <c r="J214" s="415">
        <v>23.41</v>
      </c>
      <c r="K214" s="415">
        <v>1.87</v>
      </c>
      <c r="L214" s="66"/>
    </row>
    <row r="215" spans="1:12" ht="25.5" x14ac:dyDescent="0.25">
      <c r="A215" s="411" t="s">
        <v>388</v>
      </c>
      <c r="B215" s="412" t="s">
        <v>214</v>
      </c>
      <c r="C215" s="411" t="s">
        <v>215</v>
      </c>
      <c r="D215" s="411" t="s">
        <v>216</v>
      </c>
      <c r="E215" s="565" t="s">
        <v>194</v>
      </c>
      <c r="F215" s="565"/>
      <c r="G215" s="413" t="s">
        <v>48</v>
      </c>
      <c r="H215" s="414">
        <v>0.1</v>
      </c>
      <c r="I215" s="414"/>
      <c r="J215" s="415">
        <v>14.62</v>
      </c>
      <c r="K215" s="415">
        <v>1.46</v>
      </c>
      <c r="L215" s="66"/>
    </row>
    <row r="216" spans="1:12" ht="25.5" x14ac:dyDescent="0.25">
      <c r="A216" s="411" t="s">
        <v>388</v>
      </c>
      <c r="B216" s="412" t="s">
        <v>1031</v>
      </c>
      <c r="C216" s="411" t="s">
        <v>215</v>
      </c>
      <c r="D216" s="411" t="s">
        <v>1032</v>
      </c>
      <c r="E216" s="565" t="s">
        <v>396</v>
      </c>
      <c r="F216" s="565"/>
      <c r="G216" s="413" t="s">
        <v>945</v>
      </c>
      <c r="H216" s="414">
        <v>1</v>
      </c>
      <c r="I216" s="414"/>
      <c r="J216" s="415">
        <v>25.44</v>
      </c>
      <c r="K216" s="415">
        <v>25.44</v>
      </c>
      <c r="L216" s="66"/>
    </row>
    <row r="217" spans="1:12" ht="25.5" x14ac:dyDescent="0.25">
      <c r="A217" s="416"/>
      <c r="B217" s="416"/>
      <c r="C217" s="416"/>
      <c r="D217" s="416"/>
      <c r="E217" s="416" t="s">
        <v>391</v>
      </c>
      <c r="F217" s="417">
        <v>3.33</v>
      </c>
      <c r="G217" s="416" t="s">
        <v>392</v>
      </c>
      <c r="H217" s="417">
        <v>0</v>
      </c>
      <c r="I217" s="416" t="s">
        <v>393</v>
      </c>
      <c r="J217" s="417">
        <v>3.33</v>
      </c>
      <c r="K217"/>
      <c r="L217" s="66"/>
    </row>
    <row r="218" spans="1:12" ht="17.25" thickBot="1" x14ac:dyDescent="0.3">
      <c r="A218" s="416"/>
      <c r="B218" s="416"/>
      <c r="C218" s="416"/>
      <c r="D218" s="416"/>
      <c r="E218" s="416" t="s">
        <v>394</v>
      </c>
      <c r="F218" s="417">
        <v>0</v>
      </c>
      <c r="G218" s="416"/>
      <c r="H218" s="562" t="s">
        <v>395</v>
      </c>
      <c r="I218" s="562"/>
      <c r="J218" s="417">
        <v>28.77</v>
      </c>
      <c r="K218"/>
      <c r="L218" s="66"/>
    </row>
    <row r="219" spans="1:12" ht="17.25" thickTop="1" x14ac:dyDescent="0.25">
      <c r="A219" s="418"/>
      <c r="B219" s="418"/>
      <c r="C219" s="418"/>
      <c r="D219" s="418"/>
      <c r="E219" s="418"/>
      <c r="F219" s="418"/>
      <c r="G219" s="418"/>
      <c r="H219" s="418"/>
      <c r="I219" s="418"/>
      <c r="J219" s="418"/>
      <c r="K219" s="418"/>
      <c r="L219" s="66"/>
    </row>
    <row r="220" spans="1:12" ht="16.5" x14ac:dyDescent="0.25">
      <c r="A220" s="403" t="s">
        <v>325</v>
      </c>
      <c r="B220" s="404" t="s">
        <v>43</v>
      </c>
      <c r="C220" s="403" t="s">
        <v>213</v>
      </c>
      <c r="D220" s="403" t="s">
        <v>85</v>
      </c>
      <c r="E220" s="563" t="s">
        <v>44</v>
      </c>
      <c r="F220" s="563"/>
      <c r="G220" s="405" t="s">
        <v>68</v>
      </c>
      <c r="H220" s="404" t="s">
        <v>78</v>
      </c>
      <c r="I220" s="404" t="s">
        <v>387</v>
      </c>
      <c r="J220" s="404" t="s">
        <v>291</v>
      </c>
      <c r="K220" s="404" t="s">
        <v>69</v>
      </c>
      <c r="L220" s="66"/>
    </row>
    <row r="221" spans="1:12" ht="25.5" x14ac:dyDescent="0.25">
      <c r="A221" s="406" t="s">
        <v>46</v>
      </c>
      <c r="B221" s="407" t="s">
        <v>946</v>
      </c>
      <c r="C221" s="406" t="s">
        <v>215</v>
      </c>
      <c r="D221" s="406" t="s">
        <v>750</v>
      </c>
      <c r="E221" s="566">
        <v>601</v>
      </c>
      <c r="F221" s="566"/>
      <c r="G221" s="408" t="s">
        <v>947</v>
      </c>
      <c r="H221" s="409">
        <v>1</v>
      </c>
      <c r="I221" s="410"/>
      <c r="J221" s="410">
        <v>22.53</v>
      </c>
      <c r="K221" s="410">
        <v>22.53</v>
      </c>
      <c r="L221" s="66"/>
    </row>
    <row r="222" spans="1:12" ht="25.5" x14ac:dyDescent="0.25">
      <c r="A222" s="411" t="s">
        <v>388</v>
      </c>
      <c r="B222" s="412" t="s">
        <v>888</v>
      </c>
      <c r="C222" s="411" t="s">
        <v>215</v>
      </c>
      <c r="D222" s="411" t="s">
        <v>889</v>
      </c>
      <c r="E222" s="565" t="s">
        <v>194</v>
      </c>
      <c r="F222" s="565"/>
      <c r="G222" s="413" t="s">
        <v>48</v>
      </c>
      <c r="H222" s="414">
        <v>0.08</v>
      </c>
      <c r="I222" s="414"/>
      <c r="J222" s="415">
        <v>23.41</v>
      </c>
      <c r="K222" s="415">
        <v>1.87</v>
      </c>
      <c r="L222" s="66"/>
    </row>
    <row r="223" spans="1:12" ht="25.5" x14ac:dyDescent="0.25">
      <c r="A223" s="411" t="s">
        <v>388</v>
      </c>
      <c r="B223" s="412" t="s">
        <v>214</v>
      </c>
      <c r="C223" s="411" t="s">
        <v>215</v>
      </c>
      <c r="D223" s="411" t="s">
        <v>216</v>
      </c>
      <c r="E223" s="565" t="s">
        <v>194</v>
      </c>
      <c r="F223" s="565"/>
      <c r="G223" s="413" t="s">
        <v>48</v>
      </c>
      <c r="H223" s="414">
        <v>0.16</v>
      </c>
      <c r="I223" s="414"/>
      <c r="J223" s="415">
        <v>14.62</v>
      </c>
      <c r="K223" s="415">
        <v>2.33</v>
      </c>
      <c r="L223" s="66"/>
    </row>
    <row r="224" spans="1:12" ht="25.5" x14ac:dyDescent="0.25">
      <c r="A224" s="411" t="s">
        <v>388</v>
      </c>
      <c r="B224" s="412" t="s">
        <v>1033</v>
      </c>
      <c r="C224" s="411" t="s">
        <v>215</v>
      </c>
      <c r="D224" s="411" t="s">
        <v>1034</v>
      </c>
      <c r="E224" s="565" t="s">
        <v>396</v>
      </c>
      <c r="F224" s="565"/>
      <c r="G224" s="413" t="s">
        <v>947</v>
      </c>
      <c r="H224" s="414">
        <v>1.03</v>
      </c>
      <c r="I224" s="414"/>
      <c r="J224" s="415">
        <v>17.8</v>
      </c>
      <c r="K224" s="415">
        <v>18.329999999999998</v>
      </c>
      <c r="L224" s="66"/>
    </row>
    <row r="225" spans="1:12" ht="25.5" x14ac:dyDescent="0.25">
      <c r="A225" s="416"/>
      <c r="B225" s="416"/>
      <c r="C225" s="416"/>
      <c r="D225" s="416"/>
      <c r="E225" s="416" t="s">
        <v>391</v>
      </c>
      <c r="F225" s="417">
        <v>4.2</v>
      </c>
      <c r="G225" s="416" t="s">
        <v>392</v>
      </c>
      <c r="H225" s="417">
        <v>0</v>
      </c>
      <c r="I225" s="416" t="s">
        <v>393</v>
      </c>
      <c r="J225" s="417">
        <v>4.2</v>
      </c>
      <c r="K225"/>
      <c r="L225" s="66"/>
    </row>
    <row r="226" spans="1:12" ht="17.25" thickBot="1" x14ac:dyDescent="0.3">
      <c r="A226" s="416"/>
      <c r="B226" s="416"/>
      <c r="C226" s="416"/>
      <c r="D226" s="416"/>
      <c r="E226" s="416" t="s">
        <v>394</v>
      </c>
      <c r="F226" s="417">
        <v>0</v>
      </c>
      <c r="G226" s="416"/>
      <c r="H226" s="562" t="s">
        <v>395</v>
      </c>
      <c r="I226" s="562"/>
      <c r="J226" s="417">
        <v>22.53</v>
      </c>
      <c r="K226"/>
      <c r="L226" s="66"/>
    </row>
    <row r="227" spans="1:12" ht="17.25" thickTop="1" x14ac:dyDescent="0.25">
      <c r="A227" s="418"/>
      <c r="B227" s="418"/>
      <c r="C227" s="418"/>
      <c r="D227" s="418"/>
      <c r="E227" s="418"/>
      <c r="F227" s="418"/>
      <c r="G227" s="418"/>
      <c r="H227" s="418"/>
      <c r="I227" s="418"/>
      <c r="J227" s="418"/>
      <c r="K227" s="418"/>
      <c r="L227" s="66"/>
    </row>
    <row r="228" spans="1:12" ht="16.5" x14ac:dyDescent="0.25">
      <c r="A228" s="403" t="s">
        <v>326</v>
      </c>
      <c r="B228" s="404" t="s">
        <v>43</v>
      </c>
      <c r="C228" s="403" t="s">
        <v>213</v>
      </c>
      <c r="D228" s="403" t="s">
        <v>85</v>
      </c>
      <c r="E228" s="563" t="s">
        <v>44</v>
      </c>
      <c r="F228" s="563"/>
      <c r="G228" s="405" t="s">
        <v>68</v>
      </c>
      <c r="H228" s="404" t="s">
        <v>78</v>
      </c>
      <c r="I228" s="404" t="s">
        <v>387</v>
      </c>
      <c r="J228" s="404" t="s">
        <v>291</v>
      </c>
      <c r="K228" s="404" t="s">
        <v>69</v>
      </c>
      <c r="L228" s="66"/>
    </row>
    <row r="229" spans="1:12" ht="38.25" x14ac:dyDescent="0.25">
      <c r="A229" s="406" t="s">
        <v>46</v>
      </c>
      <c r="B229" s="407" t="s">
        <v>948</v>
      </c>
      <c r="C229" s="406" t="s">
        <v>252</v>
      </c>
      <c r="D229" s="406" t="s">
        <v>949</v>
      </c>
      <c r="E229" s="566">
        <v>4019</v>
      </c>
      <c r="F229" s="566"/>
      <c r="G229" s="408" t="s">
        <v>47</v>
      </c>
      <c r="H229" s="409">
        <v>1</v>
      </c>
      <c r="I229" s="410"/>
      <c r="J229" s="410">
        <v>480</v>
      </c>
      <c r="K229" s="410">
        <v>480</v>
      </c>
      <c r="L229" s="66"/>
    </row>
    <row r="230" spans="1:12" ht="16.5" x14ac:dyDescent="0.25">
      <c r="A230" s="569"/>
      <c r="B230" s="569"/>
      <c r="C230" s="569"/>
      <c r="D230" s="569"/>
      <c r="E230" s="569"/>
      <c r="F230" s="569"/>
      <c r="G230" s="569" t="s">
        <v>558</v>
      </c>
      <c r="H230" s="569"/>
      <c r="I230" s="569"/>
      <c r="J230" s="420">
        <v>0</v>
      </c>
      <c r="K230"/>
      <c r="L230" s="66"/>
    </row>
    <row r="231" spans="1:12" ht="16.5" x14ac:dyDescent="0.25">
      <c r="A231" s="569"/>
      <c r="B231" s="569"/>
      <c r="C231" s="569"/>
      <c r="D231" s="569"/>
      <c r="E231" s="569"/>
      <c r="F231" s="569"/>
      <c r="G231" s="569" t="s">
        <v>559</v>
      </c>
      <c r="H231" s="569"/>
      <c r="I231" s="569"/>
      <c r="J231" s="420">
        <v>0</v>
      </c>
      <c r="K231"/>
      <c r="L231" s="66"/>
    </row>
    <row r="232" spans="1:12" ht="16.5" x14ac:dyDescent="0.25">
      <c r="A232" s="569"/>
      <c r="B232" s="569"/>
      <c r="C232" s="569"/>
      <c r="D232" s="569"/>
      <c r="E232" s="569"/>
      <c r="F232" s="569"/>
      <c r="G232" s="569" t="s">
        <v>560</v>
      </c>
      <c r="H232" s="569"/>
      <c r="I232" s="569"/>
      <c r="J232" s="420">
        <v>0</v>
      </c>
      <c r="K232"/>
      <c r="L232" s="66"/>
    </row>
    <row r="233" spans="1:12" ht="16.5" x14ac:dyDescent="0.25">
      <c r="A233" s="569"/>
      <c r="B233" s="569"/>
      <c r="C233" s="569"/>
      <c r="D233" s="569"/>
      <c r="E233" s="569"/>
      <c r="F233" s="569"/>
      <c r="G233" s="569" t="s">
        <v>561</v>
      </c>
      <c r="H233" s="569"/>
      <c r="I233" s="569"/>
      <c r="J233" s="420">
        <v>1</v>
      </c>
      <c r="K233"/>
      <c r="L233" s="66"/>
    </row>
    <row r="234" spans="1:12" ht="16.5" x14ac:dyDescent="0.25">
      <c r="A234" s="569"/>
      <c r="B234" s="569"/>
      <c r="C234" s="569"/>
      <c r="D234" s="569"/>
      <c r="E234" s="569"/>
      <c r="F234" s="569"/>
      <c r="G234" s="569" t="s">
        <v>562</v>
      </c>
      <c r="H234" s="569"/>
      <c r="I234" s="569"/>
      <c r="J234" s="420">
        <v>0</v>
      </c>
      <c r="K234"/>
      <c r="L234" s="66"/>
    </row>
    <row r="235" spans="1:12" ht="16.5" x14ac:dyDescent="0.25">
      <c r="A235" s="403" t="s">
        <v>612</v>
      </c>
      <c r="B235" s="404" t="s">
        <v>213</v>
      </c>
      <c r="C235" s="403" t="s">
        <v>43</v>
      </c>
      <c r="D235" s="403" t="s">
        <v>396</v>
      </c>
      <c r="E235" s="404" t="s">
        <v>45</v>
      </c>
      <c r="F235" s="404" t="s">
        <v>285</v>
      </c>
      <c r="G235" s="567" t="s">
        <v>286</v>
      </c>
      <c r="H235" s="567"/>
      <c r="I235" s="567"/>
      <c r="J235" s="404" t="s">
        <v>565</v>
      </c>
      <c r="K235"/>
      <c r="L235" s="66"/>
    </row>
    <row r="236" spans="1:12" ht="25.5" x14ac:dyDescent="0.25">
      <c r="A236" s="411" t="s">
        <v>388</v>
      </c>
      <c r="B236" s="412" t="s">
        <v>252</v>
      </c>
      <c r="C236" s="411">
        <v>10194</v>
      </c>
      <c r="D236" s="411" t="s">
        <v>949</v>
      </c>
      <c r="E236" s="414">
        <v>1</v>
      </c>
      <c r="F236" s="413" t="s">
        <v>47</v>
      </c>
      <c r="G236" s="570">
        <v>480</v>
      </c>
      <c r="H236" s="570"/>
      <c r="I236" s="565"/>
      <c r="J236" s="419">
        <v>480</v>
      </c>
      <c r="K236"/>
      <c r="L236" s="66"/>
    </row>
    <row r="237" spans="1:12" ht="16.5" x14ac:dyDescent="0.25">
      <c r="A237" s="569"/>
      <c r="B237" s="569"/>
      <c r="C237" s="569"/>
      <c r="D237" s="569"/>
      <c r="E237" s="569"/>
      <c r="F237" s="569"/>
      <c r="G237" s="569" t="s">
        <v>613</v>
      </c>
      <c r="H237" s="569"/>
      <c r="I237" s="569"/>
      <c r="J237" s="420">
        <v>480</v>
      </c>
      <c r="K237"/>
      <c r="L237" s="66"/>
    </row>
    <row r="238" spans="1:12" ht="25.5" x14ac:dyDescent="0.25">
      <c r="A238" s="416"/>
      <c r="B238" s="416"/>
      <c r="C238" s="416"/>
      <c r="D238" s="416"/>
      <c r="E238" s="416" t="s">
        <v>391</v>
      </c>
      <c r="F238" s="417">
        <v>0</v>
      </c>
      <c r="G238" s="416" t="s">
        <v>392</v>
      </c>
      <c r="H238" s="417">
        <v>0</v>
      </c>
      <c r="I238" s="416" t="s">
        <v>393</v>
      </c>
      <c r="J238" s="417">
        <v>0</v>
      </c>
      <c r="K238"/>
      <c r="L238" s="66"/>
    </row>
    <row r="239" spans="1:12" ht="17.25" thickBot="1" x14ac:dyDescent="0.3">
      <c r="A239" s="416"/>
      <c r="B239" s="416"/>
      <c r="C239" s="416"/>
      <c r="D239" s="416"/>
      <c r="E239" s="416" t="s">
        <v>394</v>
      </c>
      <c r="F239" s="417">
        <v>0</v>
      </c>
      <c r="G239" s="416"/>
      <c r="H239" s="562" t="s">
        <v>395</v>
      </c>
      <c r="I239" s="562"/>
      <c r="J239" s="417">
        <v>480</v>
      </c>
      <c r="K239"/>
      <c r="L239" s="66"/>
    </row>
    <row r="240" spans="1:12" ht="17.25" thickTop="1" x14ac:dyDescent="0.25">
      <c r="A240" s="418"/>
      <c r="B240" s="418"/>
      <c r="C240" s="418"/>
      <c r="D240" s="418"/>
      <c r="E240" s="418"/>
      <c r="F240" s="418"/>
      <c r="G240" s="418"/>
      <c r="H240" s="418"/>
      <c r="I240" s="418"/>
      <c r="J240" s="418"/>
      <c r="K240" s="418"/>
      <c r="L240" s="66"/>
    </row>
    <row r="241" spans="1:12" ht="16.5" x14ac:dyDescent="0.25">
      <c r="A241" s="403" t="s">
        <v>327</v>
      </c>
      <c r="B241" s="404" t="s">
        <v>43</v>
      </c>
      <c r="C241" s="403" t="s">
        <v>213</v>
      </c>
      <c r="D241" s="403" t="s">
        <v>85</v>
      </c>
      <c r="E241" s="563" t="s">
        <v>44</v>
      </c>
      <c r="F241" s="563"/>
      <c r="G241" s="405" t="s">
        <v>68</v>
      </c>
      <c r="H241" s="404" t="s">
        <v>78</v>
      </c>
      <c r="I241" s="404" t="s">
        <v>387</v>
      </c>
      <c r="J241" s="404" t="s">
        <v>291</v>
      </c>
      <c r="K241" s="404" t="s">
        <v>69</v>
      </c>
      <c r="L241" s="66"/>
    </row>
    <row r="242" spans="1:12" ht="38.25" x14ac:dyDescent="0.25">
      <c r="A242" s="406" t="s">
        <v>46</v>
      </c>
      <c r="B242" s="407" t="s">
        <v>950</v>
      </c>
      <c r="C242" s="406" t="s">
        <v>592</v>
      </c>
      <c r="D242" s="406" t="s">
        <v>860</v>
      </c>
      <c r="E242" s="566">
        <v>2.06</v>
      </c>
      <c r="F242" s="566"/>
      <c r="G242" s="408" t="s">
        <v>951</v>
      </c>
      <c r="H242" s="409">
        <v>1</v>
      </c>
      <c r="I242" s="410"/>
      <c r="J242" s="410">
        <v>23531.11</v>
      </c>
      <c r="K242" s="410">
        <v>23531.11</v>
      </c>
      <c r="L242" s="66"/>
    </row>
    <row r="243" spans="1:12" ht="38.25" x14ac:dyDescent="0.25">
      <c r="A243" s="411" t="s">
        <v>388</v>
      </c>
      <c r="B243" s="412" t="s">
        <v>1035</v>
      </c>
      <c r="C243" s="411" t="s">
        <v>592</v>
      </c>
      <c r="D243" s="411" t="s">
        <v>1036</v>
      </c>
      <c r="E243" s="565" t="s">
        <v>396</v>
      </c>
      <c r="F243" s="565"/>
      <c r="G243" s="413" t="s">
        <v>951</v>
      </c>
      <c r="H243" s="414">
        <v>1</v>
      </c>
      <c r="I243" s="414"/>
      <c r="J243" s="415">
        <v>21424.21</v>
      </c>
      <c r="K243" s="415">
        <v>21424.21</v>
      </c>
      <c r="L243" s="66"/>
    </row>
    <row r="244" spans="1:12" ht="25.5" x14ac:dyDescent="0.25">
      <c r="A244" s="411" t="s">
        <v>388</v>
      </c>
      <c r="B244" s="412" t="s">
        <v>233</v>
      </c>
      <c r="C244" s="411" t="s">
        <v>215</v>
      </c>
      <c r="D244" s="411" t="s">
        <v>234</v>
      </c>
      <c r="E244" s="565" t="s">
        <v>194</v>
      </c>
      <c r="F244" s="565"/>
      <c r="G244" s="413" t="s">
        <v>48</v>
      </c>
      <c r="H244" s="414">
        <v>90</v>
      </c>
      <c r="I244" s="414"/>
      <c r="J244" s="415">
        <v>23.41</v>
      </c>
      <c r="K244" s="415">
        <v>2106.9</v>
      </c>
      <c r="L244" s="66"/>
    </row>
    <row r="245" spans="1:12" ht="25.5" x14ac:dyDescent="0.25">
      <c r="A245" s="416"/>
      <c r="B245" s="416"/>
      <c r="C245" s="416"/>
      <c r="D245" s="416"/>
      <c r="E245" s="416" t="s">
        <v>391</v>
      </c>
      <c r="F245" s="417">
        <v>2106.9</v>
      </c>
      <c r="G245" s="416" t="s">
        <v>392</v>
      </c>
      <c r="H245" s="417">
        <v>0</v>
      </c>
      <c r="I245" s="416" t="s">
        <v>393</v>
      </c>
      <c r="J245" s="417">
        <v>2106.9</v>
      </c>
      <c r="K245"/>
      <c r="L245" s="66"/>
    </row>
    <row r="246" spans="1:12" ht="17.25" thickBot="1" x14ac:dyDescent="0.3">
      <c r="A246" s="416"/>
      <c r="B246" s="416"/>
      <c r="C246" s="416"/>
      <c r="D246" s="416"/>
      <c r="E246" s="416" t="s">
        <v>394</v>
      </c>
      <c r="F246" s="417">
        <v>0</v>
      </c>
      <c r="G246" s="416"/>
      <c r="H246" s="562" t="s">
        <v>395</v>
      </c>
      <c r="I246" s="562"/>
      <c r="J246" s="417">
        <v>23531.11</v>
      </c>
      <c r="K246"/>
      <c r="L246" s="66"/>
    </row>
    <row r="247" spans="1:12" ht="17.25" thickTop="1" x14ac:dyDescent="0.25">
      <c r="A247" s="418"/>
      <c r="B247" s="418"/>
      <c r="C247" s="418"/>
      <c r="D247" s="418"/>
      <c r="E247" s="418"/>
      <c r="F247" s="418"/>
      <c r="G247" s="418"/>
      <c r="H247" s="418"/>
      <c r="I247" s="418"/>
      <c r="J247" s="418"/>
      <c r="K247" s="418"/>
      <c r="L247" s="66"/>
    </row>
    <row r="248" spans="1:12" ht="16.5" x14ac:dyDescent="0.25">
      <c r="A248" s="403" t="s">
        <v>328</v>
      </c>
      <c r="B248" s="404" t="s">
        <v>43</v>
      </c>
      <c r="C248" s="403" t="s">
        <v>213</v>
      </c>
      <c r="D248" s="403" t="s">
        <v>85</v>
      </c>
      <c r="E248" s="563" t="s">
        <v>44</v>
      </c>
      <c r="F248" s="563"/>
      <c r="G248" s="405" t="s">
        <v>68</v>
      </c>
      <c r="H248" s="404" t="s">
        <v>78</v>
      </c>
      <c r="I248" s="404" t="s">
        <v>387</v>
      </c>
      <c r="J248" s="404" t="s">
        <v>291</v>
      </c>
      <c r="K248" s="404" t="s">
        <v>69</v>
      </c>
      <c r="L248" s="66"/>
    </row>
    <row r="249" spans="1:12" ht="38.25" x14ac:dyDescent="0.25">
      <c r="A249" s="406" t="s">
        <v>46</v>
      </c>
      <c r="B249" s="407" t="s">
        <v>330</v>
      </c>
      <c r="C249" s="406" t="s">
        <v>252</v>
      </c>
      <c r="D249" s="406" t="s">
        <v>204</v>
      </c>
      <c r="E249" s="566">
        <v>4230</v>
      </c>
      <c r="F249" s="566"/>
      <c r="G249" s="408" t="s">
        <v>40</v>
      </c>
      <c r="H249" s="409">
        <v>1</v>
      </c>
      <c r="I249" s="410"/>
      <c r="J249" s="410">
        <v>34343.24</v>
      </c>
      <c r="K249" s="410">
        <v>34343.24</v>
      </c>
      <c r="L249" s="66"/>
    </row>
    <row r="250" spans="1:12" ht="16.5" x14ac:dyDescent="0.25">
      <c r="A250" s="569"/>
      <c r="B250" s="569"/>
      <c r="C250" s="569"/>
      <c r="D250" s="569"/>
      <c r="E250" s="569"/>
      <c r="F250" s="569"/>
      <c r="G250" s="569" t="s">
        <v>558</v>
      </c>
      <c r="H250" s="569"/>
      <c r="I250" s="569"/>
      <c r="J250" s="420">
        <v>0</v>
      </c>
      <c r="K250"/>
      <c r="L250" s="66"/>
    </row>
    <row r="251" spans="1:12" ht="16.5" x14ac:dyDescent="0.25">
      <c r="A251" s="569"/>
      <c r="B251" s="569"/>
      <c r="C251" s="569"/>
      <c r="D251" s="569"/>
      <c r="E251" s="569"/>
      <c r="F251" s="569"/>
      <c r="G251" s="569" t="s">
        <v>559</v>
      </c>
      <c r="H251" s="569"/>
      <c r="I251" s="569"/>
      <c r="J251" s="420">
        <v>0</v>
      </c>
      <c r="K251"/>
      <c r="L251" s="66"/>
    </row>
    <row r="252" spans="1:12" ht="15.75" customHeight="1" x14ac:dyDescent="0.25">
      <c r="A252" s="569"/>
      <c r="B252" s="569"/>
      <c r="C252" s="569"/>
      <c r="D252" s="569"/>
      <c r="E252" s="569"/>
      <c r="F252" s="569"/>
      <c r="G252" s="569" t="s">
        <v>560</v>
      </c>
      <c r="H252" s="569"/>
      <c r="I252" s="569"/>
      <c r="J252" s="420">
        <v>0</v>
      </c>
      <c r="K252"/>
      <c r="L252" s="66"/>
    </row>
    <row r="253" spans="1:12" ht="16.5" x14ac:dyDescent="0.25">
      <c r="A253" s="569"/>
      <c r="B253" s="569"/>
      <c r="C253" s="569"/>
      <c r="D253" s="569"/>
      <c r="E253" s="569"/>
      <c r="F253" s="569"/>
      <c r="G253" s="569" t="s">
        <v>561</v>
      </c>
      <c r="H253" s="569"/>
      <c r="I253" s="569"/>
      <c r="J253" s="420">
        <v>1</v>
      </c>
      <c r="K253"/>
      <c r="L253" s="66"/>
    </row>
    <row r="254" spans="1:12" ht="16.5" x14ac:dyDescent="0.25">
      <c r="A254" s="569"/>
      <c r="B254" s="569"/>
      <c r="C254" s="569"/>
      <c r="D254" s="569"/>
      <c r="E254" s="569"/>
      <c r="F254" s="569"/>
      <c r="G254" s="569" t="s">
        <v>562</v>
      </c>
      <c r="H254" s="569"/>
      <c r="I254" s="569"/>
      <c r="J254" s="420">
        <v>0</v>
      </c>
      <c r="K254"/>
      <c r="L254" s="66"/>
    </row>
    <row r="255" spans="1:12" ht="16.5" x14ac:dyDescent="0.25">
      <c r="A255" s="403" t="s">
        <v>563</v>
      </c>
      <c r="B255" s="404" t="s">
        <v>213</v>
      </c>
      <c r="C255" s="403" t="s">
        <v>43</v>
      </c>
      <c r="D255" s="403" t="s">
        <v>564</v>
      </c>
      <c r="E255" s="404" t="s">
        <v>45</v>
      </c>
      <c r="F255" s="404" t="s">
        <v>285</v>
      </c>
      <c r="G255" s="567" t="s">
        <v>286</v>
      </c>
      <c r="H255" s="567"/>
      <c r="I255" s="567"/>
      <c r="J255" s="404" t="s">
        <v>565</v>
      </c>
      <c r="K255"/>
      <c r="L255" s="66"/>
    </row>
    <row r="256" spans="1:12" ht="16.5" x14ac:dyDescent="0.25">
      <c r="A256" s="411" t="s">
        <v>388</v>
      </c>
      <c r="B256" s="412" t="s">
        <v>329</v>
      </c>
      <c r="C256" s="411" t="s">
        <v>566</v>
      </c>
      <c r="D256" s="411" t="s">
        <v>204</v>
      </c>
      <c r="E256" s="414">
        <v>1</v>
      </c>
      <c r="F256" s="413" t="s">
        <v>288</v>
      </c>
      <c r="G256" s="570">
        <v>34343.24</v>
      </c>
      <c r="H256" s="570"/>
      <c r="I256" s="565"/>
      <c r="J256" s="419">
        <v>34343.24</v>
      </c>
      <c r="K256"/>
      <c r="L256" s="66"/>
    </row>
    <row r="257" spans="1:12" ht="16.5" x14ac:dyDescent="0.25">
      <c r="A257" s="569"/>
      <c r="B257" s="569"/>
      <c r="C257" s="569"/>
      <c r="D257" s="569"/>
      <c r="E257" s="569"/>
      <c r="F257" s="569"/>
      <c r="G257" s="569" t="s">
        <v>567</v>
      </c>
      <c r="H257" s="569"/>
      <c r="I257" s="569"/>
      <c r="J257" s="420">
        <v>34343.24</v>
      </c>
      <c r="K257"/>
      <c r="L257" s="66"/>
    </row>
    <row r="258" spans="1:12" ht="25.5" x14ac:dyDescent="0.25">
      <c r="A258" s="416"/>
      <c r="B258" s="416"/>
      <c r="C258" s="416"/>
      <c r="D258" s="416"/>
      <c r="E258" s="416" t="s">
        <v>391</v>
      </c>
      <c r="F258" s="417">
        <v>0</v>
      </c>
      <c r="G258" s="416" t="s">
        <v>392</v>
      </c>
      <c r="H258" s="417">
        <v>0</v>
      </c>
      <c r="I258" s="416" t="s">
        <v>393</v>
      </c>
      <c r="J258" s="417">
        <v>0</v>
      </c>
      <c r="K258"/>
      <c r="L258" s="66"/>
    </row>
    <row r="259" spans="1:12" ht="17.25" thickBot="1" x14ac:dyDescent="0.3">
      <c r="A259" s="416"/>
      <c r="B259" s="416"/>
      <c r="C259" s="416"/>
      <c r="D259" s="416"/>
      <c r="E259" s="416" t="s">
        <v>394</v>
      </c>
      <c r="F259" s="417">
        <v>0</v>
      </c>
      <c r="G259" s="416"/>
      <c r="H259" s="562" t="s">
        <v>395</v>
      </c>
      <c r="I259" s="562"/>
      <c r="J259" s="417">
        <v>34343.24</v>
      </c>
      <c r="K259"/>
      <c r="L259" s="66"/>
    </row>
    <row r="260" spans="1:12" ht="17.25" thickTop="1" x14ac:dyDescent="0.25">
      <c r="A260" s="418"/>
      <c r="B260" s="418"/>
      <c r="C260" s="418"/>
      <c r="D260" s="418"/>
      <c r="E260" s="418"/>
      <c r="F260" s="418"/>
      <c r="G260" s="418"/>
      <c r="H260" s="418"/>
      <c r="I260" s="418"/>
      <c r="J260" s="418"/>
      <c r="K260" s="418"/>
      <c r="L260" s="66"/>
    </row>
    <row r="261" spans="1:12" ht="16.5" x14ac:dyDescent="0.25">
      <c r="A261" s="403" t="s">
        <v>332</v>
      </c>
      <c r="B261" s="404" t="s">
        <v>43</v>
      </c>
      <c r="C261" s="403" t="s">
        <v>213</v>
      </c>
      <c r="D261" s="403" t="s">
        <v>85</v>
      </c>
      <c r="E261" s="563" t="s">
        <v>44</v>
      </c>
      <c r="F261" s="563"/>
      <c r="G261" s="405" t="s">
        <v>68</v>
      </c>
      <c r="H261" s="404" t="s">
        <v>78</v>
      </c>
      <c r="I261" s="404" t="s">
        <v>387</v>
      </c>
      <c r="J261" s="404" t="s">
        <v>291</v>
      </c>
      <c r="K261" s="404" t="s">
        <v>69</v>
      </c>
      <c r="L261" s="66"/>
    </row>
    <row r="262" spans="1:12" ht="25.5" x14ac:dyDescent="0.25">
      <c r="A262" s="406" t="s">
        <v>46</v>
      </c>
      <c r="B262" s="407" t="s">
        <v>953</v>
      </c>
      <c r="C262" s="406" t="s">
        <v>215</v>
      </c>
      <c r="D262" s="406" t="s">
        <v>954</v>
      </c>
      <c r="E262" s="566">
        <v>2706</v>
      </c>
      <c r="F262" s="566"/>
      <c r="G262" s="408" t="s">
        <v>19</v>
      </c>
      <c r="H262" s="409">
        <v>1</v>
      </c>
      <c r="I262" s="410"/>
      <c r="J262" s="410">
        <v>37</v>
      </c>
      <c r="K262" s="410">
        <v>37</v>
      </c>
      <c r="L262" s="66"/>
    </row>
    <row r="263" spans="1:12" ht="25.5" x14ac:dyDescent="0.25">
      <c r="A263" s="411" t="s">
        <v>388</v>
      </c>
      <c r="B263" s="412" t="s">
        <v>1037</v>
      </c>
      <c r="C263" s="411" t="s">
        <v>215</v>
      </c>
      <c r="D263" s="411" t="s">
        <v>1038</v>
      </c>
      <c r="E263" s="565" t="s">
        <v>396</v>
      </c>
      <c r="F263" s="565"/>
      <c r="G263" s="413" t="s">
        <v>19</v>
      </c>
      <c r="H263" s="414">
        <v>1</v>
      </c>
      <c r="I263" s="414"/>
      <c r="J263" s="415">
        <v>37</v>
      </c>
      <c r="K263" s="415">
        <v>37</v>
      </c>
      <c r="L263" s="66"/>
    </row>
    <row r="264" spans="1:12" ht="25.5" x14ac:dyDescent="0.25">
      <c r="A264" s="416"/>
      <c r="B264" s="416"/>
      <c r="C264" s="416"/>
      <c r="D264" s="416"/>
      <c r="E264" s="416" t="s">
        <v>391</v>
      </c>
      <c r="F264" s="417">
        <v>0</v>
      </c>
      <c r="G264" s="416" t="s">
        <v>392</v>
      </c>
      <c r="H264" s="417">
        <v>0</v>
      </c>
      <c r="I264" s="416" t="s">
        <v>393</v>
      </c>
      <c r="J264" s="417">
        <v>0</v>
      </c>
      <c r="K264"/>
      <c r="L264" s="66"/>
    </row>
    <row r="265" spans="1:12" ht="17.25" thickBot="1" x14ac:dyDescent="0.3">
      <c r="A265" s="416"/>
      <c r="B265" s="416"/>
      <c r="C265" s="416"/>
      <c r="D265" s="416"/>
      <c r="E265" s="416" t="s">
        <v>394</v>
      </c>
      <c r="F265" s="417">
        <v>0</v>
      </c>
      <c r="G265" s="416"/>
      <c r="H265" s="562" t="s">
        <v>395</v>
      </c>
      <c r="I265" s="562"/>
      <c r="J265" s="417">
        <v>37</v>
      </c>
      <c r="K265"/>
      <c r="L265" s="66"/>
    </row>
    <row r="266" spans="1:12" ht="17.25" thickTop="1" x14ac:dyDescent="0.25">
      <c r="A266" s="418"/>
      <c r="B266" s="418"/>
      <c r="C266" s="418"/>
      <c r="D266" s="418"/>
      <c r="E266" s="418"/>
      <c r="F266" s="418"/>
      <c r="G266" s="418"/>
      <c r="H266" s="418"/>
      <c r="I266" s="418"/>
      <c r="J266" s="418"/>
      <c r="K266" s="418"/>
      <c r="L266" s="66"/>
    </row>
    <row r="267" spans="1:12" ht="16.5" x14ac:dyDescent="0.25">
      <c r="A267" s="403" t="s">
        <v>333</v>
      </c>
      <c r="B267" s="404" t="s">
        <v>43</v>
      </c>
      <c r="C267" s="403" t="s">
        <v>213</v>
      </c>
      <c r="D267" s="403" t="s">
        <v>85</v>
      </c>
      <c r="E267" s="563" t="s">
        <v>44</v>
      </c>
      <c r="F267" s="563"/>
      <c r="G267" s="405" t="s">
        <v>68</v>
      </c>
      <c r="H267" s="404" t="s">
        <v>78</v>
      </c>
      <c r="I267" s="404" t="s">
        <v>387</v>
      </c>
      <c r="J267" s="404" t="s">
        <v>291</v>
      </c>
      <c r="K267" s="404" t="s">
        <v>69</v>
      </c>
      <c r="L267" s="66"/>
    </row>
    <row r="268" spans="1:12" ht="25.5" x14ac:dyDescent="0.25">
      <c r="A268" s="406" t="s">
        <v>46</v>
      </c>
      <c r="B268" s="407" t="s">
        <v>955</v>
      </c>
      <c r="C268" s="406" t="s">
        <v>215</v>
      </c>
      <c r="D268" s="406" t="s">
        <v>850</v>
      </c>
      <c r="E268" s="566">
        <v>210</v>
      </c>
      <c r="F268" s="566"/>
      <c r="G268" s="408" t="s">
        <v>36</v>
      </c>
      <c r="H268" s="409">
        <v>1</v>
      </c>
      <c r="I268" s="410"/>
      <c r="J268" s="410">
        <v>356.81</v>
      </c>
      <c r="K268" s="410">
        <v>356.81</v>
      </c>
      <c r="L268" s="66"/>
    </row>
    <row r="269" spans="1:12" ht="25.5" x14ac:dyDescent="0.25">
      <c r="A269" s="411" t="s">
        <v>388</v>
      </c>
      <c r="B269" s="412" t="s">
        <v>229</v>
      </c>
      <c r="C269" s="411" t="s">
        <v>215</v>
      </c>
      <c r="D269" s="411" t="s">
        <v>230</v>
      </c>
      <c r="E269" s="565" t="s">
        <v>194</v>
      </c>
      <c r="F269" s="565"/>
      <c r="G269" s="413" t="s">
        <v>48</v>
      </c>
      <c r="H269" s="414">
        <v>1.8</v>
      </c>
      <c r="I269" s="414"/>
      <c r="J269" s="415">
        <v>23.41</v>
      </c>
      <c r="K269" s="415">
        <v>42.13</v>
      </c>
      <c r="L269" s="66"/>
    </row>
    <row r="270" spans="1:12" ht="25.5" x14ac:dyDescent="0.25">
      <c r="A270" s="411" t="s">
        <v>388</v>
      </c>
      <c r="B270" s="412" t="s">
        <v>214</v>
      </c>
      <c r="C270" s="411" t="s">
        <v>215</v>
      </c>
      <c r="D270" s="411" t="s">
        <v>216</v>
      </c>
      <c r="E270" s="565" t="s">
        <v>194</v>
      </c>
      <c r="F270" s="565"/>
      <c r="G270" s="413" t="s">
        <v>48</v>
      </c>
      <c r="H270" s="414">
        <v>1</v>
      </c>
      <c r="I270" s="414"/>
      <c r="J270" s="415">
        <v>14.62</v>
      </c>
      <c r="K270" s="415">
        <v>14.62</v>
      </c>
      <c r="L270" s="66"/>
    </row>
    <row r="271" spans="1:12" ht="25.5" x14ac:dyDescent="0.25">
      <c r="A271" s="411" t="s">
        <v>388</v>
      </c>
      <c r="B271" s="412" t="s">
        <v>433</v>
      </c>
      <c r="C271" s="411" t="s">
        <v>215</v>
      </c>
      <c r="D271" s="411" t="s">
        <v>434</v>
      </c>
      <c r="E271" s="565" t="s">
        <v>396</v>
      </c>
      <c r="F271" s="565"/>
      <c r="G271" s="413" t="s">
        <v>346</v>
      </c>
      <c r="H271" s="414">
        <v>0.15029999999999999</v>
      </c>
      <c r="I271" s="414"/>
      <c r="J271" s="415">
        <v>26.83</v>
      </c>
      <c r="K271" s="415">
        <v>4.03</v>
      </c>
      <c r="L271" s="66"/>
    </row>
    <row r="272" spans="1:12" ht="25.5" x14ac:dyDescent="0.25">
      <c r="A272" s="411" t="s">
        <v>388</v>
      </c>
      <c r="B272" s="412" t="s">
        <v>404</v>
      </c>
      <c r="C272" s="411" t="s">
        <v>215</v>
      </c>
      <c r="D272" s="411" t="s">
        <v>405</v>
      </c>
      <c r="E272" s="565" t="s">
        <v>396</v>
      </c>
      <c r="F272" s="565"/>
      <c r="G272" s="413" t="s">
        <v>39</v>
      </c>
      <c r="H272" s="414">
        <v>5.3E-3</v>
      </c>
      <c r="I272" s="414"/>
      <c r="J272" s="415">
        <v>3946.7</v>
      </c>
      <c r="K272" s="415">
        <v>20.91</v>
      </c>
      <c r="L272" s="66"/>
    </row>
    <row r="273" spans="1:12" ht="25.5" x14ac:dyDescent="0.25">
      <c r="A273" s="411" t="s">
        <v>388</v>
      </c>
      <c r="B273" s="412" t="s">
        <v>495</v>
      </c>
      <c r="C273" s="411" t="s">
        <v>215</v>
      </c>
      <c r="D273" s="411" t="s">
        <v>496</v>
      </c>
      <c r="E273" s="565" t="s">
        <v>396</v>
      </c>
      <c r="F273" s="565"/>
      <c r="G273" s="413" t="s">
        <v>40</v>
      </c>
      <c r="H273" s="414">
        <v>2.2856999999999998</v>
      </c>
      <c r="I273" s="414"/>
      <c r="J273" s="415">
        <v>5.04</v>
      </c>
      <c r="K273" s="415">
        <v>11.51</v>
      </c>
      <c r="L273" s="66"/>
    </row>
    <row r="274" spans="1:12" ht="25.5" x14ac:dyDescent="0.25">
      <c r="A274" s="411" t="s">
        <v>388</v>
      </c>
      <c r="B274" s="412" t="s">
        <v>427</v>
      </c>
      <c r="C274" s="411" t="s">
        <v>215</v>
      </c>
      <c r="D274" s="411" t="s">
        <v>428</v>
      </c>
      <c r="E274" s="565" t="s">
        <v>396</v>
      </c>
      <c r="F274" s="565"/>
      <c r="G274" s="413" t="s">
        <v>36</v>
      </c>
      <c r="H274" s="414">
        <v>12.65</v>
      </c>
      <c r="I274" s="414"/>
      <c r="J274" s="415">
        <v>12.8</v>
      </c>
      <c r="K274" s="415">
        <v>161.91999999999999</v>
      </c>
      <c r="L274" s="66"/>
    </row>
    <row r="275" spans="1:12" ht="25.5" x14ac:dyDescent="0.25">
      <c r="A275" s="411" t="s">
        <v>388</v>
      </c>
      <c r="B275" s="412" t="s">
        <v>489</v>
      </c>
      <c r="C275" s="411" t="s">
        <v>215</v>
      </c>
      <c r="D275" s="411" t="s">
        <v>490</v>
      </c>
      <c r="E275" s="565" t="s">
        <v>396</v>
      </c>
      <c r="F275" s="565"/>
      <c r="G275" s="413" t="s">
        <v>36</v>
      </c>
      <c r="H275" s="414">
        <v>3.4285999999999999</v>
      </c>
      <c r="I275" s="414"/>
      <c r="J275" s="415">
        <v>27.59</v>
      </c>
      <c r="K275" s="415">
        <v>94.59</v>
      </c>
      <c r="L275" s="66"/>
    </row>
    <row r="276" spans="1:12" ht="25.5" x14ac:dyDescent="0.25">
      <c r="A276" s="411" t="s">
        <v>388</v>
      </c>
      <c r="B276" s="412" t="s">
        <v>575</v>
      </c>
      <c r="C276" s="411" t="s">
        <v>215</v>
      </c>
      <c r="D276" s="411" t="s">
        <v>576</v>
      </c>
      <c r="E276" s="565" t="s">
        <v>396</v>
      </c>
      <c r="F276" s="565"/>
      <c r="G276" s="413" t="s">
        <v>346</v>
      </c>
      <c r="H276" s="414">
        <v>0.93459999999999999</v>
      </c>
      <c r="I276" s="414"/>
      <c r="J276" s="415">
        <v>7.6</v>
      </c>
      <c r="K276" s="415">
        <v>7.1</v>
      </c>
      <c r="L276" s="66"/>
    </row>
    <row r="277" spans="1:12" ht="25.5" x14ac:dyDescent="0.25">
      <c r="A277" s="416"/>
      <c r="B277" s="416"/>
      <c r="C277" s="416"/>
      <c r="D277" s="416"/>
      <c r="E277" s="416" t="s">
        <v>391</v>
      </c>
      <c r="F277" s="417">
        <v>56.75</v>
      </c>
      <c r="G277" s="416" t="s">
        <v>392</v>
      </c>
      <c r="H277" s="417">
        <v>0</v>
      </c>
      <c r="I277" s="416" t="s">
        <v>393</v>
      </c>
      <c r="J277" s="417">
        <v>56.75</v>
      </c>
      <c r="K277"/>
      <c r="L277" s="66"/>
    </row>
    <row r="278" spans="1:12" ht="17.25" thickBot="1" x14ac:dyDescent="0.3">
      <c r="A278" s="416"/>
      <c r="B278" s="416"/>
      <c r="C278" s="416"/>
      <c r="D278" s="416"/>
      <c r="E278" s="416" t="s">
        <v>394</v>
      </c>
      <c r="F278" s="417">
        <v>0</v>
      </c>
      <c r="G278" s="416"/>
      <c r="H278" s="562" t="s">
        <v>395</v>
      </c>
      <c r="I278" s="562"/>
      <c r="J278" s="417">
        <v>356.81</v>
      </c>
      <c r="K278"/>
      <c r="L278" s="66"/>
    </row>
    <row r="279" spans="1:12" ht="17.25" thickTop="1" x14ac:dyDescent="0.25">
      <c r="A279" s="418"/>
      <c r="B279" s="418"/>
      <c r="C279" s="418"/>
      <c r="D279" s="418"/>
      <c r="E279" s="418"/>
      <c r="F279" s="418"/>
      <c r="G279" s="418"/>
      <c r="H279" s="418"/>
      <c r="I279" s="418"/>
      <c r="J279" s="418"/>
      <c r="K279" s="418"/>
      <c r="L279" s="66"/>
    </row>
    <row r="280" spans="1:12" ht="16.5" x14ac:dyDescent="0.25">
      <c r="A280" s="403" t="s">
        <v>334</v>
      </c>
      <c r="B280" s="404" t="s">
        <v>43</v>
      </c>
      <c r="C280" s="403" t="s">
        <v>213</v>
      </c>
      <c r="D280" s="403" t="s">
        <v>85</v>
      </c>
      <c r="E280" s="563" t="s">
        <v>44</v>
      </c>
      <c r="F280" s="563"/>
      <c r="G280" s="405" t="s">
        <v>68</v>
      </c>
      <c r="H280" s="404" t="s">
        <v>78</v>
      </c>
      <c r="I280" s="404" t="s">
        <v>387</v>
      </c>
      <c r="J280" s="404" t="s">
        <v>291</v>
      </c>
      <c r="K280" s="404" t="s">
        <v>69</v>
      </c>
      <c r="L280" s="66"/>
    </row>
    <row r="281" spans="1:12" ht="38.25" x14ac:dyDescent="0.25">
      <c r="A281" s="406" t="s">
        <v>46</v>
      </c>
      <c r="B281" s="407" t="s">
        <v>956</v>
      </c>
      <c r="C281" s="406" t="s">
        <v>289</v>
      </c>
      <c r="D281" s="406" t="s">
        <v>852</v>
      </c>
      <c r="E281" s="566" t="s">
        <v>595</v>
      </c>
      <c r="F281" s="566"/>
      <c r="G281" s="408" t="s">
        <v>73</v>
      </c>
      <c r="H281" s="409">
        <v>1</v>
      </c>
      <c r="I281" s="410"/>
      <c r="J281" s="410">
        <v>35.880000000000003</v>
      </c>
      <c r="K281" s="410">
        <v>35.880000000000003</v>
      </c>
      <c r="L281" s="66"/>
    </row>
    <row r="282" spans="1:12" ht="25.5" x14ac:dyDescent="0.25">
      <c r="A282" s="421" t="s">
        <v>568</v>
      </c>
      <c r="B282" s="422" t="s">
        <v>1039</v>
      </c>
      <c r="C282" s="421" t="s">
        <v>289</v>
      </c>
      <c r="D282" s="421" t="s">
        <v>1040</v>
      </c>
      <c r="E282" s="564" t="s">
        <v>569</v>
      </c>
      <c r="F282" s="564"/>
      <c r="G282" s="423" t="s">
        <v>571</v>
      </c>
      <c r="H282" s="424">
        <v>2.3999999999999998E-3</v>
      </c>
      <c r="I282" s="424"/>
      <c r="J282" s="425">
        <v>24.82</v>
      </c>
      <c r="K282" s="425">
        <v>0.05</v>
      </c>
      <c r="L282" s="66"/>
    </row>
    <row r="283" spans="1:12" ht="25.5" x14ac:dyDescent="0.25">
      <c r="A283" s="421" t="s">
        <v>568</v>
      </c>
      <c r="B283" s="422" t="s">
        <v>1041</v>
      </c>
      <c r="C283" s="421" t="s">
        <v>289</v>
      </c>
      <c r="D283" s="421" t="s">
        <v>1042</v>
      </c>
      <c r="E283" s="564" t="s">
        <v>569</v>
      </c>
      <c r="F283" s="564"/>
      <c r="G283" s="423" t="s">
        <v>570</v>
      </c>
      <c r="H283" s="424">
        <v>9.4000000000000004E-3</v>
      </c>
      <c r="I283" s="424"/>
      <c r="J283" s="425">
        <v>23.5</v>
      </c>
      <c r="K283" s="425">
        <v>0.22</v>
      </c>
      <c r="L283" s="66"/>
    </row>
    <row r="284" spans="1:12" ht="25.5" x14ac:dyDescent="0.25">
      <c r="A284" s="411" t="s">
        <v>388</v>
      </c>
      <c r="B284" s="412" t="s">
        <v>1043</v>
      </c>
      <c r="C284" s="411" t="s">
        <v>289</v>
      </c>
      <c r="D284" s="411" t="s">
        <v>1044</v>
      </c>
      <c r="E284" s="565" t="s">
        <v>396</v>
      </c>
      <c r="F284" s="565"/>
      <c r="G284" s="413" t="s">
        <v>73</v>
      </c>
      <c r="H284" s="414">
        <v>0.36699999999999999</v>
      </c>
      <c r="I284" s="414"/>
      <c r="J284" s="415">
        <v>2.68</v>
      </c>
      <c r="K284" s="415">
        <v>0.98</v>
      </c>
      <c r="L284" s="66"/>
    </row>
    <row r="285" spans="1:12" ht="25.5" x14ac:dyDescent="0.25">
      <c r="A285" s="411" t="s">
        <v>388</v>
      </c>
      <c r="B285" s="412" t="s">
        <v>235</v>
      </c>
      <c r="C285" s="411" t="s">
        <v>215</v>
      </c>
      <c r="D285" s="411" t="s">
        <v>236</v>
      </c>
      <c r="E285" s="565" t="s">
        <v>194</v>
      </c>
      <c r="F285" s="565"/>
      <c r="G285" s="413" t="s">
        <v>48</v>
      </c>
      <c r="H285" s="414">
        <v>0.19209000000000001</v>
      </c>
      <c r="I285" s="414"/>
      <c r="J285" s="415">
        <v>16.04</v>
      </c>
      <c r="K285" s="415">
        <v>3.08</v>
      </c>
      <c r="L285" s="66"/>
    </row>
    <row r="286" spans="1:12" ht="25.5" x14ac:dyDescent="0.25">
      <c r="A286" s="411" t="s">
        <v>388</v>
      </c>
      <c r="B286" s="412" t="s">
        <v>229</v>
      </c>
      <c r="C286" s="411" t="s">
        <v>215</v>
      </c>
      <c r="D286" s="411" t="s">
        <v>230</v>
      </c>
      <c r="E286" s="565" t="s">
        <v>194</v>
      </c>
      <c r="F286" s="565"/>
      <c r="G286" s="413" t="s">
        <v>48</v>
      </c>
      <c r="H286" s="414">
        <v>0.30142999999999998</v>
      </c>
      <c r="I286" s="414"/>
      <c r="J286" s="415">
        <v>23.41</v>
      </c>
      <c r="K286" s="415">
        <v>7.05</v>
      </c>
      <c r="L286" s="66"/>
    </row>
    <row r="287" spans="1:12" ht="25.5" x14ac:dyDescent="0.25">
      <c r="A287" s="411" t="s">
        <v>388</v>
      </c>
      <c r="B287" s="412" t="s">
        <v>416</v>
      </c>
      <c r="C287" s="411" t="s">
        <v>215</v>
      </c>
      <c r="D287" s="411" t="s">
        <v>417</v>
      </c>
      <c r="E287" s="565" t="s">
        <v>396</v>
      </c>
      <c r="F287" s="565"/>
      <c r="G287" s="413" t="s">
        <v>36</v>
      </c>
      <c r="H287" s="414">
        <v>0.44900000000000001</v>
      </c>
      <c r="I287" s="414"/>
      <c r="J287" s="415">
        <v>15.59</v>
      </c>
      <c r="K287" s="415">
        <v>6.99</v>
      </c>
      <c r="L287" s="66"/>
    </row>
    <row r="288" spans="1:12" ht="25.5" x14ac:dyDescent="0.25">
      <c r="A288" s="411" t="s">
        <v>388</v>
      </c>
      <c r="B288" s="412" t="s">
        <v>1045</v>
      </c>
      <c r="C288" s="411" t="s">
        <v>215</v>
      </c>
      <c r="D288" s="411" t="s">
        <v>1046</v>
      </c>
      <c r="E288" s="565" t="s">
        <v>396</v>
      </c>
      <c r="F288" s="565"/>
      <c r="G288" s="413" t="s">
        <v>346</v>
      </c>
      <c r="H288" s="414">
        <v>1.4E-2</v>
      </c>
      <c r="I288" s="414"/>
      <c r="J288" s="415">
        <v>21.38</v>
      </c>
      <c r="K288" s="415">
        <v>0.28999999999999998</v>
      </c>
      <c r="L288" s="66"/>
    </row>
    <row r="289" spans="1:12" ht="25.5" x14ac:dyDescent="0.25">
      <c r="A289" s="411" t="s">
        <v>388</v>
      </c>
      <c r="B289" s="412" t="s">
        <v>1047</v>
      </c>
      <c r="C289" s="411" t="s">
        <v>215</v>
      </c>
      <c r="D289" s="411" t="s">
        <v>1048</v>
      </c>
      <c r="E289" s="565" t="s">
        <v>396</v>
      </c>
      <c r="F289" s="565"/>
      <c r="G289" s="413" t="s">
        <v>36</v>
      </c>
      <c r="H289" s="414">
        <v>1</v>
      </c>
      <c r="I289" s="414"/>
      <c r="J289" s="415">
        <v>17.22</v>
      </c>
      <c r="K289" s="415">
        <v>17.22</v>
      </c>
      <c r="L289" s="66"/>
    </row>
    <row r="290" spans="1:12" ht="25.5" x14ac:dyDescent="0.25">
      <c r="A290" s="416"/>
      <c r="B290" s="416"/>
      <c r="C290" s="416"/>
      <c r="D290" s="416"/>
      <c r="E290" s="416" t="s">
        <v>391</v>
      </c>
      <c r="F290" s="417">
        <v>10.4</v>
      </c>
      <c r="G290" s="416" t="s">
        <v>392</v>
      </c>
      <c r="H290" s="417">
        <v>0</v>
      </c>
      <c r="I290" s="416" t="s">
        <v>393</v>
      </c>
      <c r="J290" s="417">
        <v>10.4</v>
      </c>
      <c r="K290"/>
      <c r="L290" s="66"/>
    </row>
    <row r="291" spans="1:12" ht="17.25" thickBot="1" x14ac:dyDescent="0.3">
      <c r="A291" s="416"/>
      <c r="B291" s="416"/>
      <c r="C291" s="416"/>
      <c r="D291" s="416"/>
      <c r="E291" s="416" t="s">
        <v>394</v>
      </c>
      <c r="F291" s="417">
        <v>0</v>
      </c>
      <c r="G291" s="416"/>
      <c r="H291" s="562" t="s">
        <v>395</v>
      </c>
      <c r="I291" s="562"/>
      <c r="J291" s="417">
        <v>35.880000000000003</v>
      </c>
      <c r="K291"/>
      <c r="L291" s="66"/>
    </row>
    <row r="292" spans="1:12" ht="17.25" thickTop="1" x14ac:dyDescent="0.25">
      <c r="A292" s="418"/>
      <c r="B292" s="418"/>
      <c r="C292" s="418"/>
      <c r="D292" s="418"/>
      <c r="E292" s="418"/>
      <c r="F292" s="418"/>
      <c r="G292" s="418"/>
      <c r="H292" s="418"/>
      <c r="I292" s="418"/>
      <c r="J292" s="418"/>
      <c r="K292" s="418"/>
      <c r="L292" s="66"/>
    </row>
    <row r="293" spans="1:12" ht="16.5" x14ac:dyDescent="0.25">
      <c r="A293" s="403" t="s">
        <v>335</v>
      </c>
      <c r="B293" s="404" t="s">
        <v>43</v>
      </c>
      <c r="C293" s="403" t="s">
        <v>213</v>
      </c>
      <c r="D293" s="403" t="s">
        <v>85</v>
      </c>
      <c r="E293" s="563" t="s">
        <v>44</v>
      </c>
      <c r="F293" s="563"/>
      <c r="G293" s="405" t="s">
        <v>68</v>
      </c>
      <c r="H293" s="404" t="s">
        <v>78</v>
      </c>
      <c r="I293" s="404" t="s">
        <v>387</v>
      </c>
      <c r="J293" s="404" t="s">
        <v>291</v>
      </c>
      <c r="K293" s="404" t="s">
        <v>69</v>
      </c>
      <c r="L293" s="66"/>
    </row>
    <row r="294" spans="1:12" ht="15.75" customHeight="1" x14ac:dyDescent="0.25">
      <c r="A294" s="406" t="s">
        <v>46</v>
      </c>
      <c r="B294" s="407" t="s">
        <v>957</v>
      </c>
      <c r="C294" s="406" t="s">
        <v>853</v>
      </c>
      <c r="D294" s="406" t="s">
        <v>855</v>
      </c>
      <c r="E294" s="566" t="s">
        <v>1049</v>
      </c>
      <c r="F294" s="566"/>
      <c r="G294" s="408" t="s">
        <v>36</v>
      </c>
      <c r="H294" s="409">
        <v>1</v>
      </c>
      <c r="I294" s="410"/>
      <c r="J294" s="410">
        <v>29.58</v>
      </c>
      <c r="K294" s="410">
        <v>29.58</v>
      </c>
      <c r="L294" s="66"/>
    </row>
    <row r="295" spans="1:12" ht="16.5" x14ac:dyDescent="0.25">
      <c r="A295" s="403" t="s">
        <v>88</v>
      </c>
      <c r="B295" s="404" t="s">
        <v>43</v>
      </c>
      <c r="C295" s="403" t="s">
        <v>213</v>
      </c>
      <c r="D295" s="403" t="s">
        <v>194</v>
      </c>
      <c r="E295" s="404" t="s">
        <v>45</v>
      </c>
      <c r="F295" s="567" t="s">
        <v>583</v>
      </c>
      <c r="G295" s="567"/>
      <c r="H295" s="567"/>
      <c r="I295" s="567"/>
      <c r="J295" s="404" t="s">
        <v>565</v>
      </c>
      <c r="K295"/>
      <c r="L295" s="66"/>
    </row>
    <row r="296" spans="1:12" ht="25.5" x14ac:dyDescent="0.25">
      <c r="A296" s="411" t="s">
        <v>388</v>
      </c>
      <c r="B296" s="412">
        <v>8</v>
      </c>
      <c r="C296" s="411" t="s">
        <v>215</v>
      </c>
      <c r="D296" s="411" t="s">
        <v>222</v>
      </c>
      <c r="E296" s="414">
        <v>0.1833333</v>
      </c>
      <c r="F296" s="411"/>
      <c r="G296" s="411"/>
      <c r="H296" s="411"/>
      <c r="I296" s="419">
        <v>16.04</v>
      </c>
      <c r="J296" s="419">
        <v>2.94</v>
      </c>
      <c r="K296"/>
      <c r="L296" s="66"/>
    </row>
    <row r="297" spans="1:12" ht="25.5" x14ac:dyDescent="0.25">
      <c r="A297" s="411" t="s">
        <v>388</v>
      </c>
      <c r="B297" s="412">
        <v>25</v>
      </c>
      <c r="C297" s="411" t="s">
        <v>215</v>
      </c>
      <c r="D297" s="411" t="s">
        <v>234</v>
      </c>
      <c r="E297" s="414">
        <v>0.1833333</v>
      </c>
      <c r="F297" s="411"/>
      <c r="G297" s="411"/>
      <c r="H297" s="411"/>
      <c r="I297" s="419">
        <v>23.41</v>
      </c>
      <c r="J297" s="419">
        <v>4.29</v>
      </c>
      <c r="K297"/>
      <c r="L297" s="66"/>
    </row>
    <row r="298" spans="1:12" ht="16.5" x14ac:dyDescent="0.25">
      <c r="A298" s="569"/>
      <c r="B298" s="569"/>
      <c r="C298" s="569"/>
      <c r="D298" s="569"/>
      <c r="E298" s="569"/>
      <c r="F298" s="569"/>
      <c r="G298" s="569" t="s">
        <v>584</v>
      </c>
      <c r="H298" s="569"/>
      <c r="I298" s="569"/>
      <c r="J298" s="420">
        <v>7.23</v>
      </c>
      <c r="K298"/>
      <c r="L298" s="66"/>
    </row>
    <row r="299" spans="1:12" ht="16.5" x14ac:dyDescent="0.25">
      <c r="A299" s="569"/>
      <c r="B299" s="569"/>
      <c r="C299" s="569"/>
      <c r="D299" s="569"/>
      <c r="E299" s="569"/>
      <c r="F299" s="569"/>
      <c r="G299" s="569" t="s">
        <v>585</v>
      </c>
      <c r="H299" s="569"/>
      <c r="I299" s="569"/>
      <c r="J299" s="420">
        <v>0</v>
      </c>
      <c r="K299"/>
      <c r="L299" s="66"/>
    </row>
    <row r="300" spans="1:12" ht="15.75" customHeight="1" x14ac:dyDescent="0.25">
      <c r="A300" s="569"/>
      <c r="B300" s="569"/>
      <c r="C300" s="569"/>
      <c r="D300" s="569"/>
      <c r="E300" s="569"/>
      <c r="F300" s="569"/>
      <c r="G300" s="569" t="s">
        <v>558</v>
      </c>
      <c r="H300" s="569"/>
      <c r="I300" s="569"/>
      <c r="J300" s="420">
        <v>7.23</v>
      </c>
      <c r="K300"/>
      <c r="L300" s="66"/>
    </row>
    <row r="301" spans="1:12" ht="16.5" x14ac:dyDescent="0.25">
      <c r="A301" s="569"/>
      <c r="B301" s="569"/>
      <c r="C301" s="569"/>
      <c r="D301" s="569"/>
      <c r="E301" s="569"/>
      <c r="F301" s="569"/>
      <c r="G301" s="569" t="s">
        <v>559</v>
      </c>
      <c r="H301" s="569"/>
      <c r="I301" s="569"/>
      <c r="J301" s="420">
        <v>0</v>
      </c>
      <c r="K301"/>
      <c r="L301" s="66"/>
    </row>
    <row r="302" spans="1:12" ht="16.5" x14ac:dyDescent="0.25">
      <c r="A302" s="569"/>
      <c r="B302" s="569"/>
      <c r="C302" s="569"/>
      <c r="D302" s="569"/>
      <c r="E302" s="569"/>
      <c r="F302" s="569"/>
      <c r="G302" s="569" t="s">
        <v>560</v>
      </c>
      <c r="H302" s="569"/>
      <c r="I302" s="569"/>
      <c r="J302" s="420">
        <v>0</v>
      </c>
      <c r="K302"/>
      <c r="L302" s="66"/>
    </row>
    <row r="303" spans="1:12" ht="16.5" x14ac:dyDescent="0.25">
      <c r="A303" s="569"/>
      <c r="B303" s="569"/>
      <c r="C303" s="569"/>
      <c r="D303" s="569"/>
      <c r="E303" s="569"/>
      <c r="F303" s="569"/>
      <c r="G303" s="569" t="s">
        <v>561</v>
      </c>
      <c r="H303" s="569"/>
      <c r="I303" s="569"/>
      <c r="J303" s="420">
        <v>1</v>
      </c>
      <c r="K303"/>
      <c r="L303" s="66"/>
    </row>
    <row r="304" spans="1:12" ht="16.5" x14ac:dyDescent="0.25">
      <c r="A304" s="569"/>
      <c r="B304" s="569"/>
      <c r="C304" s="569"/>
      <c r="D304" s="569"/>
      <c r="E304" s="569"/>
      <c r="F304" s="569"/>
      <c r="G304" s="569" t="s">
        <v>562</v>
      </c>
      <c r="H304" s="569"/>
      <c r="I304" s="569"/>
      <c r="J304" s="420">
        <v>7.23</v>
      </c>
      <c r="K304"/>
      <c r="L304" s="66"/>
    </row>
    <row r="305" spans="1:12" ht="16.5" x14ac:dyDescent="0.25">
      <c r="A305" s="403" t="s">
        <v>612</v>
      </c>
      <c r="B305" s="404" t="s">
        <v>213</v>
      </c>
      <c r="C305" s="403" t="s">
        <v>43</v>
      </c>
      <c r="D305" s="403" t="s">
        <v>396</v>
      </c>
      <c r="E305" s="404" t="s">
        <v>45</v>
      </c>
      <c r="F305" s="404" t="s">
        <v>285</v>
      </c>
      <c r="G305" s="567" t="s">
        <v>286</v>
      </c>
      <c r="H305" s="567"/>
      <c r="I305" s="567"/>
      <c r="J305" s="404" t="s">
        <v>565</v>
      </c>
      <c r="K305"/>
      <c r="L305" s="66"/>
    </row>
    <row r="306" spans="1:12" ht="15.75" customHeight="1" x14ac:dyDescent="0.25">
      <c r="A306" s="411" t="s">
        <v>388</v>
      </c>
      <c r="B306" s="412" t="s">
        <v>853</v>
      </c>
      <c r="C306" s="411" t="s">
        <v>1050</v>
      </c>
      <c r="D306" s="411" t="s">
        <v>1051</v>
      </c>
      <c r="E306" s="414">
        <v>0.4</v>
      </c>
      <c r="F306" s="413" t="s">
        <v>40</v>
      </c>
      <c r="G306" s="570">
        <v>10.39</v>
      </c>
      <c r="H306" s="570"/>
      <c r="I306" s="565"/>
      <c r="J306" s="419">
        <v>4.1500000000000004</v>
      </c>
      <c r="K306"/>
      <c r="L306" s="66"/>
    </row>
    <row r="307" spans="1:12" ht="25.5" x14ac:dyDescent="0.25">
      <c r="A307" s="411" t="s">
        <v>388</v>
      </c>
      <c r="B307" s="412" t="s">
        <v>853</v>
      </c>
      <c r="C307" s="411" t="s">
        <v>1052</v>
      </c>
      <c r="D307" s="411" t="s">
        <v>1053</v>
      </c>
      <c r="E307" s="414">
        <v>0.7</v>
      </c>
      <c r="F307" s="413" t="s">
        <v>36</v>
      </c>
      <c r="G307" s="570">
        <v>14.55</v>
      </c>
      <c r="H307" s="570"/>
      <c r="I307" s="565"/>
      <c r="J307" s="419">
        <v>10.18</v>
      </c>
      <c r="K307"/>
      <c r="L307" s="66"/>
    </row>
    <row r="308" spans="1:12" ht="25.5" x14ac:dyDescent="0.25">
      <c r="A308" s="411" t="s">
        <v>388</v>
      </c>
      <c r="B308" s="412" t="s">
        <v>853</v>
      </c>
      <c r="C308" s="411" t="s">
        <v>1054</v>
      </c>
      <c r="D308" s="411" t="s">
        <v>1055</v>
      </c>
      <c r="E308" s="414">
        <v>0.13333329999999999</v>
      </c>
      <c r="F308" s="413" t="s">
        <v>40</v>
      </c>
      <c r="G308" s="570">
        <v>11.61</v>
      </c>
      <c r="H308" s="570"/>
      <c r="I308" s="565"/>
      <c r="J308" s="419">
        <v>1.54</v>
      </c>
      <c r="K308"/>
      <c r="L308" s="66"/>
    </row>
    <row r="309" spans="1:12" ht="25.5" x14ac:dyDescent="0.25">
      <c r="A309" s="411" t="s">
        <v>388</v>
      </c>
      <c r="B309" s="412" t="s">
        <v>853</v>
      </c>
      <c r="C309" s="411" t="s">
        <v>1056</v>
      </c>
      <c r="D309" s="411" t="s">
        <v>1057</v>
      </c>
      <c r="E309" s="414">
        <v>6.6666699999999995E-2</v>
      </c>
      <c r="F309" s="413" t="s">
        <v>40</v>
      </c>
      <c r="G309" s="570">
        <v>71.66</v>
      </c>
      <c r="H309" s="570"/>
      <c r="I309" s="565"/>
      <c r="J309" s="419">
        <v>4.7699999999999996</v>
      </c>
      <c r="K309"/>
      <c r="L309" s="66"/>
    </row>
    <row r="310" spans="1:12" ht="38.25" x14ac:dyDescent="0.25">
      <c r="A310" s="411" t="s">
        <v>388</v>
      </c>
      <c r="B310" s="412" t="s">
        <v>853</v>
      </c>
      <c r="C310" s="411" t="s">
        <v>1058</v>
      </c>
      <c r="D310" s="411" t="s">
        <v>1059</v>
      </c>
      <c r="E310" s="414">
        <v>0.13333329999999999</v>
      </c>
      <c r="F310" s="413" t="s">
        <v>40</v>
      </c>
      <c r="G310" s="570">
        <v>7.97</v>
      </c>
      <c r="H310" s="570"/>
      <c r="I310" s="565"/>
      <c r="J310" s="419">
        <v>1.06</v>
      </c>
      <c r="K310"/>
      <c r="L310" s="66"/>
    </row>
    <row r="311" spans="1:12" ht="25.5" x14ac:dyDescent="0.25">
      <c r="A311" s="411" t="s">
        <v>388</v>
      </c>
      <c r="B311" s="412" t="s">
        <v>289</v>
      </c>
      <c r="C311" s="411">
        <v>7581</v>
      </c>
      <c r="D311" s="411" t="s">
        <v>1060</v>
      </c>
      <c r="E311" s="414">
        <v>0.13333329999999999</v>
      </c>
      <c r="F311" s="413" t="s">
        <v>33</v>
      </c>
      <c r="G311" s="570">
        <v>4.93</v>
      </c>
      <c r="H311" s="570"/>
      <c r="I311" s="565"/>
      <c r="J311" s="419">
        <v>0.65</v>
      </c>
      <c r="K311"/>
      <c r="L311" s="66"/>
    </row>
    <row r="312" spans="1:12" ht="16.5" x14ac:dyDescent="0.25">
      <c r="A312" s="569"/>
      <c r="B312" s="569"/>
      <c r="C312" s="569"/>
      <c r="D312" s="569"/>
      <c r="E312" s="569"/>
      <c r="F312" s="569"/>
      <c r="G312" s="569" t="s">
        <v>613</v>
      </c>
      <c r="H312" s="569"/>
      <c r="I312" s="569"/>
      <c r="J312" s="420">
        <v>22.35</v>
      </c>
      <c r="K312"/>
      <c r="L312" s="66"/>
    </row>
    <row r="313" spans="1:12" ht="25.5" x14ac:dyDescent="0.25">
      <c r="A313" s="416"/>
      <c r="B313" s="416"/>
      <c r="C313" s="416"/>
      <c r="D313" s="416"/>
      <c r="E313" s="416" t="s">
        <v>391</v>
      </c>
      <c r="F313" s="417">
        <v>7.2324986850000004</v>
      </c>
      <c r="G313" s="416" t="s">
        <v>392</v>
      </c>
      <c r="H313" s="417">
        <v>0</v>
      </c>
      <c r="I313" s="416" t="s">
        <v>393</v>
      </c>
      <c r="J313" s="417">
        <v>7.2324986850000004</v>
      </c>
      <c r="K313"/>
      <c r="L313" s="66"/>
    </row>
    <row r="314" spans="1:12" ht="17.25" thickBot="1" x14ac:dyDescent="0.3">
      <c r="A314" s="416"/>
      <c r="B314" s="416"/>
      <c r="C314" s="416"/>
      <c r="D314" s="416"/>
      <c r="E314" s="416" t="s">
        <v>394</v>
      </c>
      <c r="F314" s="417">
        <v>0</v>
      </c>
      <c r="G314" s="416"/>
      <c r="H314" s="562" t="s">
        <v>395</v>
      </c>
      <c r="I314" s="562"/>
      <c r="J314" s="417">
        <v>29.58</v>
      </c>
      <c r="K314"/>
      <c r="L314" s="66"/>
    </row>
    <row r="315" spans="1:12" ht="17.25" thickTop="1" x14ac:dyDescent="0.25">
      <c r="A315" s="418"/>
      <c r="B315" s="418"/>
      <c r="C315" s="418"/>
      <c r="D315" s="418"/>
      <c r="E315" s="418"/>
      <c r="F315" s="418"/>
      <c r="G315" s="418"/>
      <c r="H315" s="418"/>
      <c r="I315" s="418"/>
      <c r="J315" s="418"/>
      <c r="K315" s="418"/>
      <c r="L315" s="66"/>
    </row>
    <row r="316" spans="1:12" ht="16.5" x14ac:dyDescent="0.25">
      <c r="A316" s="403" t="s">
        <v>337</v>
      </c>
      <c r="B316" s="404" t="s">
        <v>43</v>
      </c>
      <c r="C316" s="403" t="s">
        <v>213</v>
      </c>
      <c r="D316" s="403" t="s">
        <v>85</v>
      </c>
      <c r="E316" s="563" t="s">
        <v>44</v>
      </c>
      <c r="F316" s="563"/>
      <c r="G316" s="405" t="s">
        <v>68</v>
      </c>
      <c r="H316" s="404" t="s">
        <v>78</v>
      </c>
      <c r="I316" s="404" t="s">
        <v>387</v>
      </c>
      <c r="J316" s="404" t="s">
        <v>291</v>
      </c>
      <c r="K316" s="404" t="s">
        <v>69</v>
      </c>
      <c r="L316" s="66"/>
    </row>
    <row r="317" spans="1:12" ht="25.5" x14ac:dyDescent="0.25">
      <c r="A317" s="406" t="s">
        <v>46</v>
      </c>
      <c r="B317" s="407" t="s">
        <v>324</v>
      </c>
      <c r="C317" s="406" t="s">
        <v>215</v>
      </c>
      <c r="D317" s="406" t="s">
        <v>107</v>
      </c>
      <c r="E317" s="566">
        <v>201</v>
      </c>
      <c r="F317" s="566"/>
      <c r="G317" s="408" t="s">
        <v>19</v>
      </c>
      <c r="H317" s="409">
        <v>1</v>
      </c>
      <c r="I317" s="410"/>
      <c r="J317" s="410">
        <v>0.23</v>
      </c>
      <c r="K317" s="410">
        <v>0.23</v>
      </c>
      <c r="L317" s="66"/>
    </row>
    <row r="318" spans="1:12" ht="25.5" x14ac:dyDescent="0.25">
      <c r="A318" s="411" t="s">
        <v>388</v>
      </c>
      <c r="B318" s="412" t="s">
        <v>555</v>
      </c>
      <c r="C318" s="411" t="s">
        <v>215</v>
      </c>
      <c r="D318" s="411" t="s">
        <v>556</v>
      </c>
      <c r="E318" s="565" t="s">
        <v>396</v>
      </c>
      <c r="F318" s="565"/>
      <c r="G318" s="413" t="s">
        <v>19</v>
      </c>
      <c r="H318" s="414">
        <v>1</v>
      </c>
      <c r="I318" s="414"/>
      <c r="J318" s="415">
        <v>0.23</v>
      </c>
      <c r="K318" s="415">
        <v>0.23</v>
      </c>
      <c r="L318" s="66"/>
    </row>
    <row r="319" spans="1:12" ht="25.5" x14ac:dyDescent="0.25">
      <c r="A319" s="416"/>
      <c r="B319" s="416"/>
      <c r="C319" s="416"/>
      <c r="D319" s="416"/>
      <c r="E319" s="416" t="s">
        <v>391</v>
      </c>
      <c r="F319" s="417">
        <v>0</v>
      </c>
      <c r="G319" s="416" t="s">
        <v>392</v>
      </c>
      <c r="H319" s="417">
        <v>0</v>
      </c>
      <c r="I319" s="416" t="s">
        <v>393</v>
      </c>
      <c r="J319" s="417">
        <v>0</v>
      </c>
      <c r="K319"/>
      <c r="L319" s="66"/>
    </row>
    <row r="320" spans="1:12" ht="17.25" thickBot="1" x14ac:dyDescent="0.3">
      <c r="A320" s="416"/>
      <c r="B320" s="416"/>
      <c r="C320" s="416"/>
      <c r="D320" s="416"/>
      <c r="E320" s="416" t="s">
        <v>394</v>
      </c>
      <c r="F320" s="417">
        <v>0</v>
      </c>
      <c r="G320" s="416"/>
      <c r="H320" s="562" t="s">
        <v>395</v>
      </c>
      <c r="I320" s="562"/>
      <c r="J320" s="417">
        <v>0.23</v>
      </c>
      <c r="K320"/>
      <c r="L320" s="66"/>
    </row>
    <row r="321" spans="1:12" ht="15.75" customHeight="1" thickTop="1" x14ac:dyDescent="0.25">
      <c r="A321" s="418"/>
      <c r="B321" s="418"/>
      <c r="C321" s="418"/>
      <c r="D321" s="418"/>
      <c r="E321" s="418"/>
      <c r="F321" s="418"/>
      <c r="G321" s="418"/>
      <c r="H321" s="418"/>
      <c r="I321" s="418"/>
      <c r="J321" s="418"/>
      <c r="K321" s="418"/>
      <c r="L321" s="66"/>
    </row>
    <row r="322" spans="1:12" ht="16.5" x14ac:dyDescent="0.25">
      <c r="A322" s="403" t="s">
        <v>343</v>
      </c>
      <c r="B322" s="404" t="s">
        <v>43</v>
      </c>
      <c r="C322" s="403" t="s">
        <v>213</v>
      </c>
      <c r="D322" s="403" t="s">
        <v>85</v>
      </c>
      <c r="E322" s="563" t="s">
        <v>44</v>
      </c>
      <c r="F322" s="563"/>
      <c r="G322" s="405" t="s">
        <v>68</v>
      </c>
      <c r="H322" s="404" t="s">
        <v>78</v>
      </c>
      <c r="I322" s="404" t="s">
        <v>387</v>
      </c>
      <c r="J322" s="404" t="s">
        <v>291</v>
      </c>
      <c r="K322" s="404" t="s">
        <v>69</v>
      </c>
      <c r="L322" s="66"/>
    </row>
    <row r="323" spans="1:12" ht="16.5" x14ac:dyDescent="0.25">
      <c r="A323" s="406" t="s">
        <v>46</v>
      </c>
      <c r="B323" s="407" t="s">
        <v>960</v>
      </c>
      <c r="C323" s="406" t="s">
        <v>100</v>
      </c>
      <c r="D323" s="406" t="s">
        <v>759</v>
      </c>
      <c r="E323" s="566" t="s">
        <v>1061</v>
      </c>
      <c r="F323" s="566"/>
      <c r="G323" s="408" t="s">
        <v>19</v>
      </c>
      <c r="H323" s="409">
        <v>1</v>
      </c>
      <c r="I323" s="410"/>
      <c r="J323" s="410">
        <v>2.92</v>
      </c>
      <c r="K323" s="410">
        <v>2.92</v>
      </c>
      <c r="L323" s="66"/>
    </row>
    <row r="324" spans="1:12" ht="25.5" x14ac:dyDescent="0.25">
      <c r="A324" s="411" t="s">
        <v>388</v>
      </c>
      <c r="B324" s="412" t="s">
        <v>214</v>
      </c>
      <c r="C324" s="411" t="s">
        <v>215</v>
      </c>
      <c r="D324" s="411" t="s">
        <v>216</v>
      </c>
      <c r="E324" s="565" t="s">
        <v>194</v>
      </c>
      <c r="F324" s="565"/>
      <c r="G324" s="413" t="s">
        <v>48</v>
      </c>
      <c r="H324" s="414">
        <v>0.2</v>
      </c>
      <c r="I324" s="414"/>
      <c r="J324" s="415">
        <v>14.62</v>
      </c>
      <c r="K324" s="415">
        <v>2.92</v>
      </c>
      <c r="L324" s="66"/>
    </row>
    <row r="325" spans="1:12" ht="25.5" x14ac:dyDescent="0.25">
      <c r="A325" s="416"/>
      <c r="B325" s="416"/>
      <c r="C325" s="416"/>
      <c r="D325" s="416"/>
      <c r="E325" s="416" t="s">
        <v>391</v>
      </c>
      <c r="F325" s="417">
        <v>2.92</v>
      </c>
      <c r="G325" s="416" t="s">
        <v>392</v>
      </c>
      <c r="H325" s="417">
        <v>0</v>
      </c>
      <c r="I325" s="416" t="s">
        <v>393</v>
      </c>
      <c r="J325" s="417">
        <v>2.92</v>
      </c>
      <c r="K325"/>
      <c r="L325" s="66"/>
    </row>
    <row r="326" spans="1:12" ht="17.25" thickBot="1" x14ac:dyDescent="0.3">
      <c r="A326" s="416"/>
      <c r="B326" s="416"/>
      <c r="C326" s="416"/>
      <c r="D326" s="416"/>
      <c r="E326" s="416" t="s">
        <v>394</v>
      </c>
      <c r="F326" s="417">
        <v>0</v>
      </c>
      <c r="G326" s="416"/>
      <c r="H326" s="562" t="s">
        <v>395</v>
      </c>
      <c r="I326" s="562"/>
      <c r="J326" s="417">
        <v>2.92</v>
      </c>
      <c r="K326"/>
      <c r="L326" s="66"/>
    </row>
    <row r="327" spans="1:12" ht="15.75" customHeight="1" thickTop="1" x14ac:dyDescent="0.25">
      <c r="A327" s="418"/>
      <c r="B327" s="418"/>
      <c r="C327" s="418"/>
      <c r="D327" s="418"/>
      <c r="E327" s="418"/>
      <c r="F327" s="418"/>
      <c r="G327" s="418"/>
      <c r="H327" s="418"/>
      <c r="I327" s="418"/>
      <c r="J327" s="418"/>
      <c r="K327" s="418"/>
      <c r="L327" s="66"/>
    </row>
    <row r="328" spans="1:12" ht="16.5" x14ac:dyDescent="0.25">
      <c r="A328" s="403" t="s">
        <v>344</v>
      </c>
      <c r="B328" s="404" t="s">
        <v>43</v>
      </c>
      <c r="C328" s="403" t="s">
        <v>213</v>
      </c>
      <c r="D328" s="403" t="s">
        <v>85</v>
      </c>
      <c r="E328" s="563" t="s">
        <v>44</v>
      </c>
      <c r="F328" s="563"/>
      <c r="G328" s="405" t="s">
        <v>68</v>
      </c>
      <c r="H328" s="404" t="s">
        <v>78</v>
      </c>
      <c r="I328" s="404" t="s">
        <v>387</v>
      </c>
      <c r="J328" s="404" t="s">
        <v>291</v>
      </c>
      <c r="K328" s="404" t="s">
        <v>69</v>
      </c>
      <c r="L328" s="66"/>
    </row>
    <row r="329" spans="1:12" ht="25.5" x14ac:dyDescent="0.25">
      <c r="A329" s="406" t="s">
        <v>46</v>
      </c>
      <c r="B329" s="407" t="s">
        <v>961</v>
      </c>
      <c r="C329" s="406" t="s">
        <v>215</v>
      </c>
      <c r="D329" s="406" t="s">
        <v>962</v>
      </c>
      <c r="E329" s="566">
        <v>201</v>
      </c>
      <c r="F329" s="566"/>
      <c r="G329" s="408" t="s">
        <v>19</v>
      </c>
      <c r="H329" s="409">
        <v>1</v>
      </c>
      <c r="I329" s="410"/>
      <c r="J329" s="410">
        <v>6.77</v>
      </c>
      <c r="K329" s="410">
        <v>6.77</v>
      </c>
      <c r="L329" s="66"/>
    </row>
    <row r="330" spans="1:12" ht="25.5" x14ac:dyDescent="0.25">
      <c r="A330" s="411" t="s">
        <v>388</v>
      </c>
      <c r="B330" s="412" t="s">
        <v>214</v>
      </c>
      <c r="C330" s="411" t="s">
        <v>215</v>
      </c>
      <c r="D330" s="411" t="s">
        <v>216</v>
      </c>
      <c r="E330" s="565" t="s">
        <v>194</v>
      </c>
      <c r="F330" s="565"/>
      <c r="G330" s="413" t="s">
        <v>48</v>
      </c>
      <c r="H330" s="414">
        <v>0.4</v>
      </c>
      <c r="I330" s="414"/>
      <c r="J330" s="415">
        <v>14.62</v>
      </c>
      <c r="K330" s="415">
        <v>5.84</v>
      </c>
      <c r="L330" s="66"/>
    </row>
    <row r="331" spans="1:12" ht="25.5" x14ac:dyDescent="0.25">
      <c r="A331" s="411" t="s">
        <v>388</v>
      </c>
      <c r="B331" s="412" t="s">
        <v>225</v>
      </c>
      <c r="C331" s="411" t="s">
        <v>215</v>
      </c>
      <c r="D331" s="411" t="s">
        <v>226</v>
      </c>
      <c r="E331" s="565" t="s">
        <v>194</v>
      </c>
      <c r="F331" s="565"/>
      <c r="G331" s="413" t="s">
        <v>48</v>
      </c>
      <c r="H331" s="414">
        <v>0.04</v>
      </c>
      <c r="I331" s="414"/>
      <c r="J331" s="415">
        <v>23.41</v>
      </c>
      <c r="K331" s="415">
        <v>0.93</v>
      </c>
      <c r="L331" s="66"/>
    </row>
    <row r="332" spans="1:12" ht="25.5" x14ac:dyDescent="0.25">
      <c r="A332" s="416"/>
      <c r="B332" s="416"/>
      <c r="C332" s="416"/>
      <c r="D332" s="416"/>
      <c r="E332" s="416" t="s">
        <v>391</v>
      </c>
      <c r="F332" s="417">
        <v>6.77</v>
      </c>
      <c r="G332" s="416" t="s">
        <v>392</v>
      </c>
      <c r="H332" s="417">
        <v>0</v>
      </c>
      <c r="I332" s="416" t="s">
        <v>393</v>
      </c>
      <c r="J332" s="417">
        <v>6.77</v>
      </c>
      <c r="K332"/>
      <c r="L332" s="66"/>
    </row>
    <row r="333" spans="1:12" ht="15.75" customHeight="1" thickBot="1" x14ac:dyDescent="0.3">
      <c r="A333" s="416"/>
      <c r="B333" s="416"/>
      <c r="C333" s="416"/>
      <c r="D333" s="416"/>
      <c r="E333" s="416" t="s">
        <v>394</v>
      </c>
      <c r="F333" s="417">
        <v>0</v>
      </c>
      <c r="G333" s="416"/>
      <c r="H333" s="562" t="s">
        <v>395</v>
      </c>
      <c r="I333" s="562"/>
      <c r="J333" s="417">
        <v>6.77</v>
      </c>
      <c r="K333"/>
      <c r="L333" s="66"/>
    </row>
    <row r="334" spans="1:12" ht="17.25" thickTop="1" x14ac:dyDescent="0.25">
      <c r="A334" s="418"/>
      <c r="B334" s="418"/>
      <c r="C334" s="418"/>
      <c r="D334" s="418"/>
      <c r="E334" s="418"/>
      <c r="F334" s="418"/>
      <c r="G334" s="418"/>
      <c r="H334" s="418"/>
      <c r="I334" s="418"/>
      <c r="J334" s="418"/>
      <c r="K334" s="418"/>
      <c r="L334" s="66"/>
    </row>
    <row r="335" spans="1:12" ht="16.5" x14ac:dyDescent="0.25">
      <c r="A335" s="403" t="s">
        <v>345</v>
      </c>
      <c r="B335" s="404" t="s">
        <v>43</v>
      </c>
      <c r="C335" s="403" t="s">
        <v>213</v>
      </c>
      <c r="D335" s="403" t="s">
        <v>85</v>
      </c>
      <c r="E335" s="563" t="s">
        <v>44</v>
      </c>
      <c r="F335" s="563"/>
      <c r="G335" s="405" t="s">
        <v>68</v>
      </c>
      <c r="H335" s="404" t="s">
        <v>78</v>
      </c>
      <c r="I335" s="404" t="s">
        <v>387</v>
      </c>
      <c r="J335" s="404" t="s">
        <v>291</v>
      </c>
      <c r="K335" s="404" t="s">
        <v>69</v>
      </c>
      <c r="L335" s="66"/>
    </row>
    <row r="336" spans="1:12" ht="25.5" x14ac:dyDescent="0.25">
      <c r="A336" s="406" t="s">
        <v>46</v>
      </c>
      <c r="B336" s="407" t="s">
        <v>963</v>
      </c>
      <c r="C336" s="406" t="s">
        <v>594</v>
      </c>
      <c r="D336" s="406" t="s">
        <v>760</v>
      </c>
      <c r="E336" s="566" t="s">
        <v>593</v>
      </c>
      <c r="F336" s="566"/>
      <c r="G336" s="408" t="s">
        <v>19</v>
      </c>
      <c r="H336" s="409">
        <v>1</v>
      </c>
      <c r="I336" s="410"/>
      <c r="J336" s="410">
        <v>25.95</v>
      </c>
      <c r="K336" s="410">
        <v>25.95</v>
      </c>
      <c r="L336" s="66"/>
    </row>
    <row r="337" spans="1:12" ht="25.5" x14ac:dyDescent="0.25">
      <c r="A337" s="411" t="s">
        <v>388</v>
      </c>
      <c r="B337" s="412" t="s">
        <v>243</v>
      </c>
      <c r="C337" s="411" t="s">
        <v>215</v>
      </c>
      <c r="D337" s="411" t="s">
        <v>244</v>
      </c>
      <c r="E337" s="565" t="s">
        <v>194</v>
      </c>
      <c r="F337" s="565"/>
      <c r="G337" s="413" t="s">
        <v>48</v>
      </c>
      <c r="H337" s="414">
        <v>0.53890000000000005</v>
      </c>
      <c r="I337" s="414"/>
      <c r="J337" s="415">
        <v>23.41</v>
      </c>
      <c r="K337" s="415">
        <v>12.61</v>
      </c>
      <c r="L337" s="66"/>
    </row>
    <row r="338" spans="1:12" ht="25.5" x14ac:dyDescent="0.25">
      <c r="A338" s="411" t="s">
        <v>388</v>
      </c>
      <c r="B338" s="412" t="s">
        <v>214</v>
      </c>
      <c r="C338" s="411" t="s">
        <v>215</v>
      </c>
      <c r="D338" s="411" t="s">
        <v>216</v>
      </c>
      <c r="E338" s="565" t="s">
        <v>194</v>
      </c>
      <c r="F338" s="565"/>
      <c r="G338" s="413" t="s">
        <v>48</v>
      </c>
      <c r="H338" s="414">
        <v>0.91269999999999996</v>
      </c>
      <c r="I338" s="414"/>
      <c r="J338" s="415">
        <v>14.62</v>
      </c>
      <c r="K338" s="415">
        <v>13.34</v>
      </c>
      <c r="L338" s="66"/>
    </row>
    <row r="339" spans="1:12" ht="15.75" customHeight="1" x14ac:dyDescent="0.25">
      <c r="A339" s="416"/>
      <c r="B339" s="416"/>
      <c r="C339" s="416"/>
      <c r="D339" s="416"/>
      <c r="E339" s="416" t="s">
        <v>391</v>
      </c>
      <c r="F339" s="417">
        <v>25.95</v>
      </c>
      <c r="G339" s="416" t="s">
        <v>392</v>
      </c>
      <c r="H339" s="417">
        <v>0</v>
      </c>
      <c r="I339" s="416" t="s">
        <v>393</v>
      </c>
      <c r="J339" s="417">
        <v>25.95</v>
      </c>
      <c r="K339"/>
      <c r="L339" s="66"/>
    </row>
    <row r="340" spans="1:12" ht="17.25" thickBot="1" x14ac:dyDescent="0.3">
      <c r="A340" s="416"/>
      <c r="B340" s="416"/>
      <c r="C340" s="416"/>
      <c r="D340" s="416"/>
      <c r="E340" s="416" t="s">
        <v>394</v>
      </c>
      <c r="F340" s="417">
        <v>0</v>
      </c>
      <c r="G340" s="416"/>
      <c r="H340" s="562" t="s">
        <v>395</v>
      </c>
      <c r="I340" s="562"/>
      <c r="J340" s="417">
        <v>25.95</v>
      </c>
      <c r="K340"/>
      <c r="L340" s="66"/>
    </row>
    <row r="341" spans="1:12" ht="17.25" thickTop="1" x14ac:dyDescent="0.25">
      <c r="A341" s="418"/>
      <c r="B341" s="418"/>
      <c r="C341" s="418"/>
      <c r="D341" s="418"/>
      <c r="E341" s="418"/>
      <c r="F341" s="418"/>
      <c r="G341" s="418"/>
      <c r="H341" s="418"/>
      <c r="I341" s="418"/>
      <c r="J341" s="418"/>
      <c r="K341" s="418"/>
      <c r="L341" s="66"/>
    </row>
    <row r="342" spans="1:12" ht="16.5" x14ac:dyDescent="0.25">
      <c r="A342" s="403" t="s">
        <v>348</v>
      </c>
      <c r="B342" s="404" t="s">
        <v>43</v>
      </c>
      <c r="C342" s="403" t="s">
        <v>213</v>
      </c>
      <c r="D342" s="403" t="s">
        <v>85</v>
      </c>
      <c r="E342" s="563" t="s">
        <v>44</v>
      </c>
      <c r="F342" s="563"/>
      <c r="G342" s="405" t="s">
        <v>68</v>
      </c>
      <c r="H342" s="404" t="s">
        <v>78</v>
      </c>
      <c r="I342" s="404" t="s">
        <v>387</v>
      </c>
      <c r="J342" s="404" t="s">
        <v>291</v>
      </c>
      <c r="K342" s="404" t="s">
        <v>69</v>
      </c>
      <c r="L342" s="66"/>
    </row>
    <row r="343" spans="1:12" ht="25.5" x14ac:dyDescent="0.25">
      <c r="A343" s="406" t="s">
        <v>46</v>
      </c>
      <c r="B343" s="407" t="s">
        <v>965</v>
      </c>
      <c r="C343" s="406" t="s">
        <v>215</v>
      </c>
      <c r="D343" s="406" t="s">
        <v>966</v>
      </c>
      <c r="E343" s="566">
        <v>201</v>
      </c>
      <c r="F343" s="566"/>
      <c r="G343" s="408" t="s">
        <v>39</v>
      </c>
      <c r="H343" s="409">
        <v>1</v>
      </c>
      <c r="I343" s="410"/>
      <c r="J343" s="410">
        <v>42.4</v>
      </c>
      <c r="K343" s="410">
        <v>42.4</v>
      </c>
      <c r="L343" s="66"/>
    </row>
    <row r="344" spans="1:12" ht="25.5" x14ac:dyDescent="0.25">
      <c r="A344" s="411" t="s">
        <v>388</v>
      </c>
      <c r="B344" s="412" t="s">
        <v>225</v>
      </c>
      <c r="C344" s="411" t="s">
        <v>215</v>
      </c>
      <c r="D344" s="411" t="s">
        <v>226</v>
      </c>
      <c r="E344" s="565" t="s">
        <v>194</v>
      </c>
      <c r="F344" s="565"/>
      <c r="G344" s="413" t="s">
        <v>48</v>
      </c>
      <c r="H344" s="414">
        <v>0.25</v>
      </c>
      <c r="I344" s="414"/>
      <c r="J344" s="415">
        <v>23.41</v>
      </c>
      <c r="K344" s="415">
        <v>5.85</v>
      </c>
      <c r="L344" s="66"/>
    </row>
    <row r="345" spans="1:12" ht="25.5" x14ac:dyDescent="0.25">
      <c r="A345" s="411" t="s">
        <v>388</v>
      </c>
      <c r="B345" s="412" t="s">
        <v>214</v>
      </c>
      <c r="C345" s="411" t="s">
        <v>215</v>
      </c>
      <c r="D345" s="411" t="s">
        <v>216</v>
      </c>
      <c r="E345" s="565" t="s">
        <v>194</v>
      </c>
      <c r="F345" s="565"/>
      <c r="G345" s="413" t="s">
        <v>48</v>
      </c>
      <c r="H345" s="414">
        <v>2.5</v>
      </c>
      <c r="I345" s="414"/>
      <c r="J345" s="415">
        <v>14.62</v>
      </c>
      <c r="K345" s="415">
        <v>36.549999999999997</v>
      </c>
      <c r="L345" s="66"/>
    </row>
    <row r="346" spans="1:12" ht="25.5" x14ac:dyDescent="0.25">
      <c r="A346" s="416"/>
      <c r="B346" s="416"/>
      <c r="C346" s="416"/>
      <c r="D346" s="416"/>
      <c r="E346" s="416" t="s">
        <v>391</v>
      </c>
      <c r="F346" s="417">
        <v>42.4</v>
      </c>
      <c r="G346" s="416" t="s">
        <v>392</v>
      </c>
      <c r="H346" s="417">
        <v>0</v>
      </c>
      <c r="I346" s="416" t="s">
        <v>393</v>
      </c>
      <c r="J346" s="417">
        <v>42.4</v>
      </c>
      <c r="K346"/>
      <c r="L346" s="66"/>
    </row>
    <row r="347" spans="1:12" ht="17.25" thickBot="1" x14ac:dyDescent="0.3">
      <c r="A347" s="416"/>
      <c r="B347" s="416"/>
      <c r="C347" s="416"/>
      <c r="D347" s="416"/>
      <c r="E347" s="416" t="s">
        <v>394</v>
      </c>
      <c r="F347" s="417">
        <v>0</v>
      </c>
      <c r="G347" s="416"/>
      <c r="H347" s="562" t="s">
        <v>395</v>
      </c>
      <c r="I347" s="562"/>
      <c r="J347" s="417">
        <v>42.4</v>
      </c>
      <c r="K347"/>
      <c r="L347" s="66"/>
    </row>
    <row r="348" spans="1:12" ht="17.25" thickTop="1" x14ac:dyDescent="0.25">
      <c r="A348" s="418"/>
      <c r="B348" s="418"/>
      <c r="C348" s="418"/>
      <c r="D348" s="418"/>
      <c r="E348" s="418"/>
      <c r="F348" s="418"/>
      <c r="G348" s="418"/>
      <c r="H348" s="418"/>
      <c r="I348" s="418"/>
      <c r="J348" s="418"/>
      <c r="K348" s="418"/>
      <c r="L348" s="66"/>
    </row>
    <row r="349" spans="1:12" ht="16.5" x14ac:dyDescent="0.25">
      <c r="A349" s="403" t="s">
        <v>350</v>
      </c>
      <c r="B349" s="404" t="s">
        <v>43</v>
      </c>
      <c r="C349" s="403" t="s">
        <v>213</v>
      </c>
      <c r="D349" s="403" t="s">
        <v>85</v>
      </c>
      <c r="E349" s="563" t="s">
        <v>44</v>
      </c>
      <c r="F349" s="563"/>
      <c r="G349" s="405" t="s">
        <v>68</v>
      </c>
      <c r="H349" s="404" t="s">
        <v>78</v>
      </c>
      <c r="I349" s="404" t="s">
        <v>387</v>
      </c>
      <c r="J349" s="404" t="s">
        <v>291</v>
      </c>
      <c r="K349" s="404" t="s">
        <v>69</v>
      </c>
      <c r="L349" s="66"/>
    </row>
    <row r="350" spans="1:12" ht="25.5" x14ac:dyDescent="0.25">
      <c r="A350" s="406" t="s">
        <v>46</v>
      </c>
      <c r="B350" s="407" t="s">
        <v>968</v>
      </c>
      <c r="C350" s="406" t="s">
        <v>215</v>
      </c>
      <c r="D350" s="406" t="s">
        <v>969</v>
      </c>
      <c r="E350" s="566">
        <v>201</v>
      </c>
      <c r="F350" s="566"/>
      <c r="G350" s="408" t="s">
        <v>19</v>
      </c>
      <c r="H350" s="409">
        <v>1</v>
      </c>
      <c r="I350" s="410"/>
      <c r="J350" s="410">
        <v>3.8</v>
      </c>
      <c r="K350" s="410">
        <v>3.8</v>
      </c>
      <c r="L350" s="66"/>
    </row>
    <row r="351" spans="1:12" ht="15.75" customHeight="1" x14ac:dyDescent="0.25">
      <c r="A351" s="411" t="s">
        <v>388</v>
      </c>
      <c r="B351" s="412" t="s">
        <v>225</v>
      </c>
      <c r="C351" s="411" t="s">
        <v>215</v>
      </c>
      <c r="D351" s="411" t="s">
        <v>226</v>
      </c>
      <c r="E351" s="565" t="s">
        <v>194</v>
      </c>
      <c r="F351" s="565"/>
      <c r="G351" s="413" t="s">
        <v>48</v>
      </c>
      <c r="H351" s="414">
        <v>2.2499999999999999E-2</v>
      </c>
      <c r="I351" s="414"/>
      <c r="J351" s="415">
        <v>23.41</v>
      </c>
      <c r="K351" s="415">
        <v>0.52</v>
      </c>
      <c r="L351" s="66"/>
    </row>
    <row r="352" spans="1:12" ht="25.5" x14ac:dyDescent="0.25">
      <c r="A352" s="411" t="s">
        <v>388</v>
      </c>
      <c r="B352" s="412" t="s">
        <v>214</v>
      </c>
      <c r="C352" s="411" t="s">
        <v>215</v>
      </c>
      <c r="D352" s="411" t="s">
        <v>216</v>
      </c>
      <c r="E352" s="565" t="s">
        <v>194</v>
      </c>
      <c r="F352" s="565"/>
      <c r="G352" s="413" t="s">
        <v>48</v>
      </c>
      <c r="H352" s="414">
        <v>0.22500000000000001</v>
      </c>
      <c r="I352" s="414"/>
      <c r="J352" s="415">
        <v>14.62</v>
      </c>
      <c r="K352" s="415">
        <v>3.28</v>
      </c>
      <c r="L352" s="66"/>
    </row>
    <row r="353" spans="1:12" ht="25.5" x14ac:dyDescent="0.25">
      <c r="A353" s="416"/>
      <c r="B353" s="416"/>
      <c r="C353" s="416"/>
      <c r="D353" s="416"/>
      <c r="E353" s="416" t="s">
        <v>391</v>
      </c>
      <c r="F353" s="417">
        <v>3.8</v>
      </c>
      <c r="G353" s="416" t="s">
        <v>392</v>
      </c>
      <c r="H353" s="417">
        <v>0</v>
      </c>
      <c r="I353" s="416" t="s">
        <v>393</v>
      </c>
      <c r="J353" s="417">
        <v>3.8</v>
      </c>
      <c r="K353"/>
      <c r="L353" s="66"/>
    </row>
    <row r="354" spans="1:12" ht="17.25" thickBot="1" x14ac:dyDescent="0.3">
      <c r="A354" s="416"/>
      <c r="B354" s="416"/>
      <c r="C354" s="416"/>
      <c r="D354" s="416"/>
      <c r="E354" s="416" t="s">
        <v>394</v>
      </c>
      <c r="F354" s="417">
        <v>0</v>
      </c>
      <c r="G354" s="416"/>
      <c r="H354" s="562" t="s">
        <v>395</v>
      </c>
      <c r="I354" s="562"/>
      <c r="J354" s="417">
        <v>3.8</v>
      </c>
      <c r="K354"/>
      <c r="L354" s="66"/>
    </row>
    <row r="355" spans="1:12" ht="17.25" thickTop="1" x14ac:dyDescent="0.25">
      <c r="A355" s="418"/>
      <c r="B355" s="418"/>
      <c r="C355" s="418"/>
      <c r="D355" s="418"/>
      <c r="E355" s="418"/>
      <c r="F355" s="418"/>
      <c r="G355" s="418"/>
      <c r="H355" s="418"/>
      <c r="I355" s="418"/>
      <c r="J355" s="418"/>
      <c r="K355" s="418"/>
      <c r="L355" s="66"/>
    </row>
    <row r="356" spans="1:12" ht="16.5" x14ac:dyDescent="0.25">
      <c r="A356" s="403" t="s">
        <v>351</v>
      </c>
      <c r="B356" s="404" t="s">
        <v>43</v>
      </c>
      <c r="C356" s="403" t="s">
        <v>213</v>
      </c>
      <c r="D356" s="403" t="s">
        <v>85</v>
      </c>
      <c r="E356" s="563" t="s">
        <v>44</v>
      </c>
      <c r="F356" s="563"/>
      <c r="G356" s="405" t="s">
        <v>68</v>
      </c>
      <c r="H356" s="404" t="s">
        <v>78</v>
      </c>
      <c r="I356" s="404" t="s">
        <v>387</v>
      </c>
      <c r="J356" s="404" t="s">
        <v>291</v>
      </c>
      <c r="K356" s="404" t="s">
        <v>69</v>
      </c>
      <c r="L356" s="66"/>
    </row>
    <row r="357" spans="1:12" ht="15.75" customHeight="1" x14ac:dyDescent="0.25">
      <c r="A357" s="406" t="s">
        <v>46</v>
      </c>
      <c r="B357" s="407" t="s">
        <v>970</v>
      </c>
      <c r="C357" s="406" t="s">
        <v>100</v>
      </c>
      <c r="D357" s="406" t="s">
        <v>761</v>
      </c>
      <c r="E357" s="566" t="s">
        <v>1062</v>
      </c>
      <c r="F357" s="566"/>
      <c r="G357" s="408" t="s">
        <v>19</v>
      </c>
      <c r="H357" s="409">
        <v>1</v>
      </c>
      <c r="I357" s="410"/>
      <c r="J357" s="410">
        <v>8.01</v>
      </c>
      <c r="K357" s="410">
        <v>8.01</v>
      </c>
      <c r="L357" s="66"/>
    </row>
    <row r="358" spans="1:12" ht="16.5" x14ac:dyDescent="0.25">
      <c r="A358" s="411" t="s">
        <v>388</v>
      </c>
      <c r="B358" s="412" t="s">
        <v>1063</v>
      </c>
      <c r="C358" s="411" t="s">
        <v>100</v>
      </c>
      <c r="D358" s="411" t="s">
        <v>1064</v>
      </c>
      <c r="E358" s="565" t="s">
        <v>144</v>
      </c>
      <c r="F358" s="565"/>
      <c r="G358" s="413" t="s">
        <v>47</v>
      </c>
      <c r="H358" s="414">
        <v>0.2</v>
      </c>
      <c r="I358" s="414"/>
      <c r="J358" s="415">
        <v>1.27</v>
      </c>
      <c r="K358" s="415">
        <v>0.25</v>
      </c>
      <c r="L358" s="66"/>
    </row>
    <row r="359" spans="1:12" ht="16.5" x14ac:dyDescent="0.25">
      <c r="A359" s="411" t="s">
        <v>388</v>
      </c>
      <c r="B359" s="412" t="s">
        <v>1065</v>
      </c>
      <c r="C359" s="411" t="s">
        <v>100</v>
      </c>
      <c r="D359" s="411" t="s">
        <v>1066</v>
      </c>
      <c r="E359" s="565" t="s">
        <v>144</v>
      </c>
      <c r="F359" s="565"/>
      <c r="G359" s="413" t="s">
        <v>40</v>
      </c>
      <c r="H359" s="414">
        <v>0.02</v>
      </c>
      <c r="I359" s="414"/>
      <c r="J359" s="415">
        <v>8</v>
      </c>
      <c r="K359" s="415">
        <v>0.16</v>
      </c>
      <c r="L359" s="66"/>
    </row>
    <row r="360" spans="1:12" ht="25.5" x14ac:dyDescent="0.25">
      <c r="A360" s="411" t="s">
        <v>388</v>
      </c>
      <c r="B360" s="412" t="s">
        <v>214</v>
      </c>
      <c r="C360" s="411" t="s">
        <v>215</v>
      </c>
      <c r="D360" s="411" t="s">
        <v>216</v>
      </c>
      <c r="E360" s="565" t="s">
        <v>194</v>
      </c>
      <c r="F360" s="565"/>
      <c r="G360" s="413" t="s">
        <v>48</v>
      </c>
      <c r="H360" s="414">
        <v>0.2</v>
      </c>
      <c r="I360" s="414"/>
      <c r="J360" s="415">
        <v>14.62</v>
      </c>
      <c r="K360" s="415">
        <v>2.92</v>
      </c>
      <c r="L360" s="66"/>
    </row>
    <row r="361" spans="1:12" ht="25.5" x14ac:dyDescent="0.25">
      <c r="A361" s="411" t="s">
        <v>388</v>
      </c>
      <c r="B361" s="412" t="s">
        <v>243</v>
      </c>
      <c r="C361" s="411" t="s">
        <v>215</v>
      </c>
      <c r="D361" s="411" t="s">
        <v>244</v>
      </c>
      <c r="E361" s="565" t="s">
        <v>194</v>
      </c>
      <c r="F361" s="565"/>
      <c r="G361" s="413" t="s">
        <v>48</v>
      </c>
      <c r="H361" s="414">
        <v>0.2</v>
      </c>
      <c r="I361" s="414"/>
      <c r="J361" s="415">
        <v>23.41</v>
      </c>
      <c r="K361" s="415">
        <v>4.68</v>
      </c>
      <c r="L361" s="66"/>
    </row>
    <row r="362" spans="1:12" ht="25.5" x14ac:dyDescent="0.25">
      <c r="A362" s="416"/>
      <c r="B362" s="416"/>
      <c r="C362" s="416"/>
      <c r="D362" s="416"/>
      <c r="E362" s="416" t="s">
        <v>391</v>
      </c>
      <c r="F362" s="417">
        <v>7.6</v>
      </c>
      <c r="G362" s="416" t="s">
        <v>392</v>
      </c>
      <c r="H362" s="417">
        <v>0</v>
      </c>
      <c r="I362" s="416" t="s">
        <v>393</v>
      </c>
      <c r="J362" s="417">
        <v>7.6</v>
      </c>
      <c r="K362"/>
      <c r="L362" s="66"/>
    </row>
    <row r="363" spans="1:12" ht="15.75" customHeight="1" thickBot="1" x14ac:dyDescent="0.3">
      <c r="A363" s="416"/>
      <c r="B363" s="416"/>
      <c r="C363" s="416"/>
      <c r="D363" s="416"/>
      <c r="E363" s="416" t="s">
        <v>394</v>
      </c>
      <c r="F363" s="417">
        <v>0</v>
      </c>
      <c r="G363" s="416"/>
      <c r="H363" s="562" t="s">
        <v>395</v>
      </c>
      <c r="I363" s="562"/>
      <c r="J363" s="417">
        <v>8.01</v>
      </c>
      <c r="K363"/>
      <c r="L363" s="66"/>
    </row>
    <row r="364" spans="1:12" ht="17.25" thickTop="1" x14ac:dyDescent="0.25">
      <c r="A364" s="418"/>
      <c r="B364" s="418"/>
      <c r="C364" s="418"/>
      <c r="D364" s="418"/>
      <c r="E364" s="418"/>
      <c r="F364" s="418"/>
      <c r="G364" s="418"/>
      <c r="H364" s="418"/>
      <c r="I364" s="418"/>
      <c r="J364" s="418"/>
      <c r="K364" s="418"/>
      <c r="L364" s="66"/>
    </row>
    <row r="365" spans="1:12" ht="16.5" x14ac:dyDescent="0.25">
      <c r="A365" s="403" t="s">
        <v>973</v>
      </c>
      <c r="B365" s="404" t="s">
        <v>43</v>
      </c>
      <c r="C365" s="403" t="s">
        <v>213</v>
      </c>
      <c r="D365" s="403" t="s">
        <v>85</v>
      </c>
      <c r="E365" s="563" t="s">
        <v>44</v>
      </c>
      <c r="F365" s="563"/>
      <c r="G365" s="405" t="s">
        <v>68</v>
      </c>
      <c r="H365" s="404" t="s">
        <v>78</v>
      </c>
      <c r="I365" s="404" t="s">
        <v>387</v>
      </c>
      <c r="J365" s="404" t="s">
        <v>291</v>
      </c>
      <c r="K365" s="404" t="s">
        <v>69</v>
      </c>
      <c r="L365" s="66"/>
    </row>
    <row r="366" spans="1:12" ht="38.25" x14ac:dyDescent="0.25">
      <c r="A366" s="406" t="s">
        <v>46</v>
      </c>
      <c r="B366" s="407" t="s">
        <v>974</v>
      </c>
      <c r="C366" s="406" t="s">
        <v>289</v>
      </c>
      <c r="D366" s="406" t="s">
        <v>775</v>
      </c>
      <c r="E366" s="566" t="s">
        <v>557</v>
      </c>
      <c r="F366" s="566"/>
      <c r="G366" s="408" t="s">
        <v>39</v>
      </c>
      <c r="H366" s="409">
        <v>1</v>
      </c>
      <c r="I366" s="410"/>
      <c r="J366" s="410">
        <v>79.84</v>
      </c>
      <c r="K366" s="410">
        <v>79.84</v>
      </c>
      <c r="L366" s="66"/>
    </row>
    <row r="367" spans="1:12" ht="25.5" x14ac:dyDescent="0.25">
      <c r="A367" s="421" t="s">
        <v>568</v>
      </c>
      <c r="B367" s="422" t="s">
        <v>1067</v>
      </c>
      <c r="C367" s="421" t="s">
        <v>289</v>
      </c>
      <c r="D367" s="421" t="s">
        <v>1068</v>
      </c>
      <c r="E367" s="564" t="s">
        <v>569</v>
      </c>
      <c r="F367" s="564"/>
      <c r="G367" s="423" t="s">
        <v>570</v>
      </c>
      <c r="H367" s="424">
        <v>1.1661999999999999</v>
      </c>
      <c r="I367" s="424"/>
      <c r="J367" s="425">
        <v>24.35</v>
      </c>
      <c r="K367" s="425">
        <v>28.39</v>
      </c>
      <c r="L367" s="66"/>
    </row>
    <row r="368" spans="1:12" ht="25.5" x14ac:dyDescent="0.25">
      <c r="A368" s="421" t="s">
        <v>568</v>
      </c>
      <c r="B368" s="422" t="s">
        <v>1069</v>
      </c>
      <c r="C368" s="421" t="s">
        <v>289</v>
      </c>
      <c r="D368" s="421" t="s">
        <v>1070</v>
      </c>
      <c r="E368" s="564" t="s">
        <v>569</v>
      </c>
      <c r="F368" s="564"/>
      <c r="G368" s="423" t="s">
        <v>571</v>
      </c>
      <c r="H368" s="424">
        <v>1.5122</v>
      </c>
      <c r="I368" s="424"/>
      <c r="J368" s="425">
        <v>26.89</v>
      </c>
      <c r="K368" s="425">
        <v>40.659999999999997</v>
      </c>
      <c r="L368" s="66"/>
    </row>
    <row r="369" spans="1:12" ht="15.75" customHeight="1" x14ac:dyDescent="0.25">
      <c r="A369" s="411" t="s">
        <v>388</v>
      </c>
      <c r="B369" s="412" t="s">
        <v>225</v>
      </c>
      <c r="C369" s="411" t="s">
        <v>215</v>
      </c>
      <c r="D369" s="411" t="s">
        <v>226</v>
      </c>
      <c r="E369" s="565" t="s">
        <v>194</v>
      </c>
      <c r="F369" s="565"/>
      <c r="G369" s="413" t="s">
        <v>48</v>
      </c>
      <c r="H369" s="414">
        <v>9.4700000000000006E-2</v>
      </c>
      <c r="I369" s="414"/>
      <c r="J369" s="415">
        <v>23.41</v>
      </c>
      <c r="K369" s="415">
        <v>2.21</v>
      </c>
      <c r="L369" s="66"/>
    </row>
    <row r="370" spans="1:12" ht="25.5" x14ac:dyDescent="0.25">
      <c r="A370" s="411" t="s">
        <v>388</v>
      </c>
      <c r="B370" s="412" t="s">
        <v>214</v>
      </c>
      <c r="C370" s="411" t="s">
        <v>215</v>
      </c>
      <c r="D370" s="411" t="s">
        <v>216</v>
      </c>
      <c r="E370" s="565" t="s">
        <v>194</v>
      </c>
      <c r="F370" s="565"/>
      <c r="G370" s="413" t="s">
        <v>48</v>
      </c>
      <c r="H370" s="414">
        <v>0.58730000000000004</v>
      </c>
      <c r="I370" s="414"/>
      <c r="J370" s="415">
        <v>14.62</v>
      </c>
      <c r="K370" s="415">
        <v>8.58</v>
      </c>
      <c r="L370" s="66"/>
    </row>
    <row r="371" spans="1:12" ht="25.5" x14ac:dyDescent="0.25">
      <c r="A371" s="416"/>
      <c r="B371" s="416"/>
      <c r="C371" s="416"/>
      <c r="D371" s="416"/>
      <c r="E371" s="416" t="s">
        <v>391</v>
      </c>
      <c r="F371" s="417">
        <v>73.489999999999995</v>
      </c>
      <c r="G371" s="416" t="s">
        <v>392</v>
      </c>
      <c r="H371" s="417">
        <v>0</v>
      </c>
      <c r="I371" s="416" t="s">
        <v>393</v>
      </c>
      <c r="J371" s="417">
        <v>73.489999999999995</v>
      </c>
      <c r="K371"/>
      <c r="L371" s="66"/>
    </row>
    <row r="372" spans="1:12" ht="25.5" customHeight="1" thickBot="1" x14ac:dyDescent="0.3">
      <c r="A372" s="416"/>
      <c r="B372" s="416"/>
      <c r="C372" s="416"/>
      <c r="D372" s="416"/>
      <c r="E372" s="416" t="s">
        <v>394</v>
      </c>
      <c r="F372" s="417">
        <v>0</v>
      </c>
      <c r="G372" s="416"/>
      <c r="H372" s="562" t="s">
        <v>395</v>
      </c>
      <c r="I372" s="562"/>
      <c r="J372" s="417">
        <v>79.84</v>
      </c>
      <c r="K372"/>
      <c r="L372" s="66"/>
    </row>
    <row r="373" spans="1:12" ht="17.25" thickTop="1" x14ac:dyDescent="0.25">
      <c r="A373" s="418"/>
      <c r="B373" s="418"/>
      <c r="C373" s="418"/>
      <c r="D373" s="418"/>
      <c r="E373" s="418"/>
      <c r="F373" s="418"/>
      <c r="G373" s="418"/>
      <c r="H373" s="418"/>
      <c r="I373" s="418"/>
      <c r="J373" s="418"/>
      <c r="K373" s="418"/>
      <c r="L373" s="66"/>
    </row>
    <row r="374" spans="1:12" ht="16.5" x14ac:dyDescent="0.25">
      <c r="A374" s="403" t="s">
        <v>975</v>
      </c>
      <c r="B374" s="404" t="s">
        <v>43</v>
      </c>
      <c r="C374" s="403" t="s">
        <v>213</v>
      </c>
      <c r="D374" s="403" t="s">
        <v>85</v>
      </c>
      <c r="E374" s="563" t="s">
        <v>44</v>
      </c>
      <c r="F374" s="563"/>
      <c r="G374" s="405" t="s">
        <v>68</v>
      </c>
      <c r="H374" s="404" t="s">
        <v>78</v>
      </c>
      <c r="I374" s="404" t="s">
        <v>387</v>
      </c>
      <c r="J374" s="404" t="s">
        <v>291</v>
      </c>
      <c r="K374" s="404" t="s">
        <v>69</v>
      </c>
      <c r="L374" s="66"/>
    </row>
    <row r="375" spans="1:12" ht="15.75" customHeight="1" x14ac:dyDescent="0.25">
      <c r="A375" s="406" t="s">
        <v>46</v>
      </c>
      <c r="B375" s="407" t="s">
        <v>976</v>
      </c>
      <c r="C375" s="406" t="s">
        <v>289</v>
      </c>
      <c r="D375" s="406" t="s">
        <v>776</v>
      </c>
      <c r="E375" s="566" t="s">
        <v>557</v>
      </c>
      <c r="F375" s="566"/>
      <c r="G375" s="408" t="s">
        <v>39</v>
      </c>
      <c r="H375" s="409">
        <v>1</v>
      </c>
      <c r="I375" s="410"/>
      <c r="J375" s="410">
        <v>171.46</v>
      </c>
      <c r="K375" s="410">
        <v>171.46</v>
      </c>
      <c r="L375" s="66"/>
    </row>
    <row r="376" spans="1:12" ht="25.5" x14ac:dyDescent="0.25">
      <c r="A376" s="421" t="s">
        <v>568</v>
      </c>
      <c r="B376" s="422" t="s">
        <v>1067</v>
      </c>
      <c r="C376" s="421" t="s">
        <v>289</v>
      </c>
      <c r="D376" s="421" t="s">
        <v>1068</v>
      </c>
      <c r="E376" s="564" t="s">
        <v>569</v>
      </c>
      <c r="F376" s="564"/>
      <c r="G376" s="423" t="s">
        <v>570</v>
      </c>
      <c r="H376" s="424">
        <v>2.504</v>
      </c>
      <c r="I376" s="424"/>
      <c r="J376" s="425">
        <v>24.35</v>
      </c>
      <c r="K376" s="425">
        <v>60.97</v>
      </c>
      <c r="L376" s="66"/>
    </row>
    <row r="377" spans="1:12" ht="25.5" x14ac:dyDescent="0.25">
      <c r="A377" s="421" t="s">
        <v>568</v>
      </c>
      <c r="B377" s="422" t="s">
        <v>1069</v>
      </c>
      <c r="C377" s="421" t="s">
        <v>289</v>
      </c>
      <c r="D377" s="421" t="s">
        <v>1070</v>
      </c>
      <c r="E377" s="564" t="s">
        <v>569</v>
      </c>
      <c r="F377" s="564"/>
      <c r="G377" s="423" t="s">
        <v>571</v>
      </c>
      <c r="H377" s="424">
        <v>3.2467999999999999</v>
      </c>
      <c r="I377" s="424"/>
      <c r="J377" s="425">
        <v>26.89</v>
      </c>
      <c r="K377" s="425">
        <v>87.3</v>
      </c>
      <c r="L377" s="66"/>
    </row>
    <row r="378" spans="1:12" ht="25.5" x14ac:dyDescent="0.25">
      <c r="A378" s="411" t="s">
        <v>388</v>
      </c>
      <c r="B378" s="412" t="s">
        <v>225</v>
      </c>
      <c r="C378" s="411" t="s">
        <v>215</v>
      </c>
      <c r="D378" s="411" t="s">
        <v>226</v>
      </c>
      <c r="E378" s="565" t="s">
        <v>194</v>
      </c>
      <c r="F378" s="565"/>
      <c r="G378" s="413" t="s">
        <v>48</v>
      </c>
      <c r="H378" s="414">
        <v>0.2034</v>
      </c>
      <c r="I378" s="414"/>
      <c r="J378" s="415">
        <v>23.41</v>
      </c>
      <c r="K378" s="415">
        <v>4.76</v>
      </c>
      <c r="L378" s="66"/>
    </row>
    <row r="379" spans="1:12" ht="15" customHeight="1" x14ac:dyDescent="0.25">
      <c r="A379" s="411" t="s">
        <v>388</v>
      </c>
      <c r="B379" s="412" t="s">
        <v>214</v>
      </c>
      <c r="C379" s="411" t="s">
        <v>215</v>
      </c>
      <c r="D379" s="411" t="s">
        <v>216</v>
      </c>
      <c r="E379" s="565" t="s">
        <v>194</v>
      </c>
      <c r="F379" s="565"/>
      <c r="G379" s="413" t="s">
        <v>48</v>
      </c>
      <c r="H379" s="414">
        <v>1.2608999999999999</v>
      </c>
      <c r="I379" s="414"/>
      <c r="J379" s="415">
        <v>14.62</v>
      </c>
      <c r="K379" s="415">
        <v>18.43</v>
      </c>
      <c r="L379" s="66"/>
    </row>
    <row r="380" spans="1:12" ht="15" customHeight="1" x14ac:dyDescent="0.25">
      <c r="A380" s="416"/>
      <c r="B380" s="416"/>
      <c r="C380" s="416"/>
      <c r="D380" s="416"/>
      <c r="E380" s="416" t="s">
        <v>391</v>
      </c>
      <c r="F380" s="417">
        <v>157.80000000000001</v>
      </c>
      <c r="G380" s="416" t="s">
        <v>392</v>
      </c>
      <c r="H380" s="417">
        <v>0</v>
      </c>
      <c r="I380" s="416" t="s">
        <v>393</v>
      </c>
      <c r="J380" s="417">
        <v>157.80000000000001</v>
      </c>
      <c r="K380"/>
      <c r="L380" s="66"/>
    </row>
    <row r="381" spans="1:12" ht="15" customHeight="1" thickBot="1" x14ac:dyDescent="0.3">
      <c r="A381" s="416"/>
      <c r="B381" s="416"/>
      <c r="C381" s="416"/>
      <c r="D381" s="416"/>
      <c r="E381" s="416" t="s">
        <v>394</v>
      </c>
      <c r="F381" s="417">
        <v>0</v>
      </c>
      <c r="G381" s="416"/>
      <c r="H381" s="562" t="s">
        <v>395</v>
      </c>
      <c r="I381" s="562"/>
      <c r="J381" s="417">
        <v>171.46</v>
      </c>
      <c r="K381"/>
      <c r="L381" s="66"/>
    </row>
    <row r="382" spans="1:12" ht="15" customHeight="1" thickTop="1" x14ac:dyDescent="0.25">
      <c r="A382" s="418"/>
      <c r="B382" s="418"/>
      <c r="C382" s="418"/>
      <c r="D382" s="418"/>
      <c r="E382" s="418"/>
      <c r="F382" s="418"/>
      <c r="G382" s="418"/>
      <c r="H382" s="418"/>
      <c r="I382" s="418"/>
      <c r="J382" s="418"/>
      <c r="K382" s="418"/>
      <c r="L382" s="66"/>
    </row>
    <row r="383" spans="1:12" ht="15" customHeight="1" x14ac:dyDescent="0.25">
      <c r="A383" s="403" t="s">
        <v>977</v>
      </c>
      <c r="B383" s="404" t="s">
        <v>43</v>
      </c>
      <c r="C383" s="403" t="s">
        <v>213</v>
      </c>
      <c r="D383" s="403" t="s">
        <v>85</v>
      </c>
      <c r="E383" s="563" t="s">
        <v>44</v>
      </c>
      <c r="F383" s="563"/>
      <c r="G383" s="405" t="s">
        <v>68</v>
      </c>
      <c r="H383" s="404" t="s">
        <v>78</v>
      </c>
      <c r="I383" s="404" t="s">
        <v>387</v>
      </c>
      <c r="J383" s="404" t="s">
        <v>291</v>
      </c>
      <c r="K383" s="404" t="s">
        <v>69</v>
      </c>
      <c r="L383" s="66"/>
    </row>
    <row r="384" spans="1:12" ht="15" customHeight="1" x14ac:dyDescent="0.25">
      <c r="A384" s="406" t="s">
        <v>46</v>
      </c>
      <c r="B384" s="407" t="s">
        <v>978</v>
      </c>
      <c r="C384" s="406" t="s">
        <v>329</v>
      </c>
      <c r="D384" s="406" t="s">
        <v>781</v>
      </c>
      <c r="E384" s="566" t="s">
        <v>595</v>
      </c>
      <c r="F384" s="566"/>
      <c r="G384" s="408" t="s">
        <v>288</v>
      </c>
      <c r="H384" s="409">
        <v>1</v>
      </c>
      <c r="I384" s="410"/>
      <c r="J384" s="410">
        <v>499.88</v>
      </c>
      <c r="K384" s="410">
        <v>499.88</v>
      </c>
      <c r="L384" s="66"/>
    </row>
    <row r="385" spans="1:12" ht="38.25" x14ac:dyDescent="0.25">
      <c r="A385" s="411" t="s">
        <v>388</v>
      </c>
      <c r="B385" s="412" t="s">
        <v>1071</v>
      </c>
      <c r="C385" s="411" t="s">
        <v>252</v>
      </c>
      <c r="D385" s="411" t="s">
        <v>168</v>
      </c>
      <c r="E385" s="565" t="s">
        <v>144</v>
      </c>
      <c r="F385" s="565"/>
      <c r="G385" s="413" t="s">
        <v>47</v>
      </c>
      <c r="H385" s="414">
        <v>1</v>
      </c>
      <c r="I385" s="414">
        <v>0</v>
      </c>
      <c r="J385" s="415">
        <v>265.64999999999998</v>
      </c>
      <c r="K385" s="415">
        <v>265.64999999999998</v>
      </c>
      <c r="L385" s="66"/>
    </row>
    <row r="386" spans="1:12" ht="15" customHeight="1" x14ac:dyDescent="0.25">
      <c r="A386" s="411" t="s">
        <v>388</v>
      </c>
      <c r="B386" s="412" t="s">
        <v>214</v>
      </c>
      <c r="C386" s="411" t="s">
        <v>215</v>
      </c>
      <c r="D386" s="411" t="s">
        <v>216</v>
      </c>
      <c r="E386" s="565" t="s">
        <v>194</v>
      </c>
      <c r="F386" s="565"/>
      <c r="G386" s="413" t="s">
        <v>48</v>
      </c>
      <c r="H386" s="414">
        <v>2</v>
      </c>
      <c r="I386" s="414">
        <v>0</v>
      </c>
      <c r="J386" s="415">
        <v>14.62</v>
      </c>
      <c r="K386" s="415">
        <v>29.24</v>
      </c>
      <c r="L386" s="66"/>
    </row>
    <row r="387" spans="1:12" ht="16.5" x14ac:dyDescent="0.25">
      <c r="A387" s="411" t="s">
        <v>388</v>
      </c>
      <c r="B387" s="412" t="s">
        <v>1072</v>
      </c>
      <c r="C387" s="411" t="s">
        <v>980</v>
      </c>
      <c r="D387" s="411" t="s">
        <v>1073</v>
      </c>
      <c r="E387" s="565" t="s">
        <v>396</v>
      </c>
      <c r="F387" s="565"/>
      <c r="G387" s="413" t="s">
        <v>36</v>
      </c>
      <c r="H387" s="414">
        <v>0.75</v>
      </c>
      <c r="I387" s="414">
        <v>0</v>
      </c>
      <c r="J387" s="415">
        <v>273.3306</v>
      </c>
      <c r="K387" s="415">
        <v>204.99</v>
      </c>
      <c r="L387" s="66"/>
    </row>
    <row r="388" spans="1:12" ht="15.75" customHeight="1" x14ac:dyDescent="0.25">
      <c r="A388" s="416"/>
      <c r="B388" s="416"/>
      <c r="C388" s="416"/>
      <c r="D388" s="416"/>
      <c r="E388" s="416" t="s">
        <v>391</v>
      </c>
      <c r="F388" s="417">
        <v>29.24</v>
      </c>
      <c r="G388" s="416" t="s">
        <v>392</v>
      </c>
      <c r="H388" s="417">
        <v>0</v>
      </c>
      <c r="I388" s="416" t="s">
        <v>393</v>
      </c>
      <c r="J388" s="417">
        <v>29.24</v>
      </c>
      <c r="K388"/>
      <c r="L388" s="66"/>
    </row>
    <row r="389" spans="1:12" ht="17.25" thickBot="1" x14ac:dyDescent="0.3">
      <c r="A389" s="416"/>
      <c r="B389" s="416"/>
      <c r="C389" s="416"/>
      <c r="D389" s="416"/>
      <c r="E389" s="416" t="s">
        <v>394</v>
      </c>
      <c r="F389" s="417">
        <v>0</v>
      </c>
      <c r="G389" s="416"/>
      <c r="H389" s="562" t="s">
        <v>395</v>
      </c>
      <c r="I389" s="562"/>
      <c r="J389" s="417">
        <v>499.88</v>
      </c>
      <c r="K389"/>
      <c r="L389" s="66"/>
    </row>
    <row r="390" spans="1:12" ht="17.25" thickTop="1" x14ac:dyDescent="0.25">
      <c r="A390" s="418"/>
      <c r="B390" s="418"/>
      <c r="C390" s="418"/>
      <c r="D390" s="418"/>
      <c r="E390" s="418"/>
      <c r="F390" s="418"/>
      <c r="G390" s="418"/>
      <c r="H390" s="418"/>
      <c r="I390" s="418"/>
      <c r="J390" s="418"/>
      <c r="K390" s="418"/>
      <c r="L390" s="66"/>
    </row>
    <row r="391" spans="1:12" ht="16.5" x14ac:dyDescent="0.25">
      <c r="A391" s="403" t="s">
        <v>979</v>
      </c>
      <c r="B391" s="404" t="s">
        <v>43</v>
      </c>
      <c r="C391" s="403" t="s">
        <v>213</v>
      </c>
      <c r="D391" s="403" t="s">
        <v>85</v>
      </c>
      <c r="E391" s="563" t="s">
        <v>44</v>
      </c>
      <c r="F391" s="563"/>
      <c r="G391" s="405" t="s">
        <v>68</v>
      </c>
      <c r="H391" s="404" t="s">
        <v>78</v>
      </c>
      <c r="I391" s="404" t="s">
        <v>387</v>
      </c>
      <c r="J391" s="404" t="s">
        <v>291</v>
      </c>
      <c r="K391" s="404" t="s">
        <v>69</v>
      </c>
      <c r="L391" s="66"/>
    </row>
    <row r="392" spans="1:12" ht="38.25" customHeight="1" x14ac:dyDescent="0.25">
      <c r="A392" s="406" t="s">
        <v>46</v>
      </c>
      <c r="B392" s="407" t="s">
        <v>981</v>
      </c>
      <c r="C392" s="406" t="s">
        <v>980</v>
      </c>
      <c r="D392" s="406" t="s">
        <v>784</v>
      </c>
      <c r="E392" s="566" t="s">
        <v>626</v>
      </c>
      <c r="F392" s="566"/>
      <c r="G392" s="408" t="s">
        <v>39</v>
      </c>
      <c r="H392" s="409">
        <v>1</v>
      </c>
      <c r="I392" s="410"/>
      <c r="J392" s="410">
        <v>66.27</v>
      </c>
      <c r="K392" s="410">
        <v>66.27</v>
      </c>
      <c r="L392" s="66"/>
    </row>
    <row r="393" spans="1:12" ht="38.25" customHeight="1" x14ac:dyDescent="0.25">
      <c r="A393" s="563" t="s">
        <v>87</v>
      </c>
      <c r="B393" s="567" t="s">
        <v>43</v>
      </c>
      <c r="C393" s="563" t="s">
        <v>213</v>
      </c>
      <c r="D393" s="563" t="s">
        <v>577</v>
      </c>
      <c r="E393" s="567" t="s">
        <v>45</v>
      </c>
      <c r="F393" s="568" t="s">
        <v>578</v>
      </c>
      <c r="G393" s="567"/>
      <c r="H393" s="568" t="s">
        <v>579</v>
      </c>
      <c r="I393" s="567"/>
      <c r="J393" s="567" t="s">
        <v>565</v>
      </c>
      <c r="K393"/>
      <c r="L393" s="66"/>
    </row>
    <row r="394" spans="1:12" ht="16.5" x14ac:dyDescent="0.25">
      <c r="A394" s="567"/>
      <c r="B394" s="567"/>
      <c r="C394" s="567"/>
      <c r="D394" s="567"/>
      <c r="E394" s="567"/>
      <c r="F394" s="404" t="s">
        <v>580</v>
      </c>
      <c r="G394" s="404" t="s">
        <v>581</v>
      </c>
      <c r="H394" s="404" t="s">
        <v>580</v>
      </c>
      <c r="I394" s="404" t="s">
        <v>581</v>
      </c>
      <c r="J394" s="567"/>
      <c r="K394"/>
      <c r="L394" s="66"/>
    </row>
    <row r="395" spans="1:12" ht="16.5" x14ac:dyDescent="0.25">
      <c r="A395" s="411" t="s">
        <v>388</v>
      </c>
      <c r="B395" s="412" t="s">
        <v>1074</v>
      </c>
      <c r="C395" s="411" t="s">
        <v>980</v>
      </c>
      <c r="D395" s="411" t="s">
        <v>1075</v>
      </c>
      <c r="E395" s="414">
        <v>1</v>
      </c>
      <c r="F395" s="415">
        <v>1</v>
      </c>
      <c r="G395" s="415">
        <v>0</v>
      </c>
      <c r="H395" s="419">
        <v>394.66430000000003</v>
      </c>
      <c r="I395" s="419">
        <v>187.11019999999999</v>
      </c>
      <c r="J395" s="419">
        <v>394.66430000000003</v>
      </c>
      <c r="K395"/>
      <c r="L395" s="66"/>
    </row>
    <row r="396" spans="1:12" ht="16.5" x14ac:dyDescent="0.25">
      <c r="A396" s="569"/>
      <c r="B396" s="569"/>
      <c r="C396" s="569"/>
      <c r="D396" s="569"/>
      <c r="E396" s="569"/>
      <c r="F396" s="569"/>
      <c r="G396" s="569" t="s">
        <v>582</v>
      </c>
      <c r="H396" s="569"/>
      <c r="I396" s="569"/>
      <c r="J396" s="420">
        <v>394.66430000000003</v>
      </c>
      <c r="K396"/>
      <c r="L396" s="66"/>
    </row>
    <row r="397" spans="1:12" ht="15.75" customHeight="1" x14ac:dyDescent="0.25">
      <c r="A397" s="569"/>
      <c r="B397" s="569"/>
      <c r="C397" s="569"/>
      <c r="D397" s="569"/>
      <c r="E397" s="569"/>
      <c r="F397" s="569"/>
      <c r="G397" s="569" t="s">
        <v>558</v>
      </c>
      <c r="H397" s="569"/>
      <c r="I397" s="569"/>
      <c r="J397" s="420">
        <v>394.66430000000003</v>
      </c>
      <c r="K397"/>
      <c r="L397" s="66"/>
    </row>
    <row r="398" spans="1:12" ht="16.5" x14ac:dyDescent="0.25">
      <c r="A398" s="569"/>
      <c r="B398" s="569"/>
      <c r="C398" s="569"/>
      <c r="D398" s="569"/>
      <c r="E398" s="569"/>
      <c r="F398" s="569"/>
      <c r="G398" s="569" t="s">
        <v>559</v>
      </c>
      <c r="H398" s="569"/>
      <c r="I398" s="569"/>
      <c r="J398" s="420">
        <v>0</v>
      </c>
      <c r="K398"/>
      <c r="L398" s="66"/>
    </row>
    <row r="399" spans="1:12" ht="16.5" x14ac:dyDescent="0.25">
      <c r="A399" s="569"/>
      <c r="B399" s="569"/>
      <c r="C399" s="569"/>
      <c r="D399" s="569"/>
      <c r="E399" s="569"/>
      <c r="F399" s="569"/>
      <c r="G399" s="569" t="s">
        <v>560</v>
      </c>
      <c r="H399" s="569"/>
      <c r="I399" s="569"/>
      <c r="J399" s="420">
        <v>0</v>
      </c>
      <c r="K399"/>
      <c r="L399" s="66"/>
    </row>
    <row r="400" spans="1:12" ht="16.5" x14ac:dyDescent="0.25">
      <c r="A400" s="569"/>
      <c r="B400" s="569"/>
      <c r="C400" s="569"/>
      <c r="D400" s="569"/>
      <c r="E400" s="569"/>
      <c r="F400" s="569"/>
      <c r="G400" s="569" t="s">
        <v>561</v>
      </c>
      <c r="H400" s="569"/>
      <c r="I400" s="569"/>
      <c r="J400" s="420">
        <v>8.3025000000000002</v>
      </c>
      <c r="K400"/>
      <c r="L400" s="66"/>
    </row>
    <row r="401" spans="1:12" ht="38.25" customHeight="1" x14ac:dyDescent="0.25">
      <c r="A401" s="569"/>
      <c r="B401" s="569"/>
      <c r="C401" s="569"/>
      <c r="D401" s="569"/>
      <c r="E401" s="569"/>
      <c r="F401" s="569"/>
      <c r="G401" s="569" t="s">
        <v>562</v>
      </c>
      <c r="H401" s="569"/>
      <c r="I401" s="569"/>
      <c r="J401" s="420">
        <v>47.535499999999999</v>
      </c>
      <c r="K401"/>
      <c r="L401" s="66"/>
    </row>
    <row r="402" spans="1:12" ht="38.25" customHeight="1" x14ac:dyDescent="0.25">
      <c r="A402" s="403" t="s">
        <v>612</v>
      </c>
      <c r="B402" s="404" t="s">
        <v>213</v>
      </c>
      <c r="C402" s="403" t="s">
        <v>43</v>
      </c>
      <c r="D402" s="403" t="s">
        <v>396</v>
      </c>
      <c r="E402" s="404" t="s">
        <v>45</v>
      </c>
      <c r="F402" s="404" t="s">
        <v>285</v>
      </c>
      <c r="G402" s="567" t="s">
        <v>286</v>
      </c>
      <c r="H402" s="567"/>
      <c r="I402" s="567"/>
      <c r="J402" s="404" t="s">
        <v>565</v>
      </c>
      <c r="K402"/>
      <c r="L402" s="66"/>
    </row>
    <row r="403" spans="1:12" ht="16.5" x14ac:dyDescent="0.25">
      <c r="A403" s="411" t="s">
        <v>388</v>
      </c>
      <c r="B403" s="412" t="s">
        <v>980</v>
      </c>
      <c r="C403" s="411" t="s">
        <v>1076</v>
      </c>
      <c r="D403" s="411" t="s">
        <v>1077</v>
      </c>
      <c r="E403" s="414">
        <v>7.1000000000000002E-4</v>
      </c>
      <c r="F403" s="413" t="s">
        <v>40</v>
      </c>
      <c r="G403" s="570">
        <v>5863.7754000000004</v>
      </c>
      <c r="H403" s="570"/>
      <c r="I403" s="565"/>
      <c r="J403" s="419">
        <v>4.1632999999999996</v>
      </c>
      <c r="K403"/>
      <c r="L403" s="66"/>
    </row>
    <row r="404" spans="1:12" ht="16.5" x14ac:dyDescent="0.25">
      <c r="A404" s="569"/>
      <c r="B404" s="569"/>
      <c r="C404" s="569"/>
      <c r="D404" s="569"/>
      <c r="E404" s="569"/>
      <c r="F404" s="569"/>
      <c r="G404" s="569" t="s">
        <v>613</v>
      </c>
      <c r="H404" s="569"/>
      <c r="I404" s="569"/>
      <c r="J404" s="420">
        <v>4.1632999999999996</v>
      </c>
      <c r="K404"/>
      <c r="L404" s="66"/>
    </row>
    <row r="405" spans="1:12" ht="16.5" x14ac:dyDescent="0.25">
      <c r="A405" s="403" t="s">
        <v>586</v>
      </c>
      <c r="B405" s="404" t="s">
        <v>213</v>
      </c>
      <c r="C405" s="403" t="s">
        <v>43</v>
      </c>
      <c r="D405" s="403" t="s">
        <v>587</v>
      </c>
      <c r="E405" s="404" t="s">
        <v>45</v>
      </c>
      <c r="F405" s="404" t="s">
        <v>285</v>
      </c>
      <c r="G405" s="567" t="s">
        <v>286</v>
      </c>
      <c r="H405" s="567"/>
      <c r="I405" s="567"/>
      <c r="J405" s="404" t="s">
        <v>565</v>
      </c>
      <c r="K405"/>
      <c r="L405" s="66"/>
    </row>
    <row r="406" spans="1:12" ht="15.75" customHeight="1" x14ac:dyDescent="0.25">
      <c r="A406" s="421" t="s">
        <v>588</v>
      </c>
      <c r="B406" s="422" t="s">
        <v>980</v>
      </c>
      <c r="C406" s="421">
        <v>1416201</v>
      </c>
      <c r="D406" s="421" t="s">
        <v>1078</v>
      </c>
      <c r="E406" s="424">
        <v>40</v>
      </c>
      <c r="F406" s="423" t="s">
        <v>1079</v>
      </c>
      <c r="G406" s="573">
        <v>0.18</v>
      </c>
      <c r="H406" s="573"/>
      <c r="I406" s="564"/>
      <c r="J406" s="426">
        <v>7.2</v>
      </c>
      <c r="K406"/>
      <c r="L406" s="66"/>
    </row>
    <row r="407" spans="1:12" ht="25.5" x14ac:dyDescent="0.25">
      <c r="A407" s="421" t="s">
        <v>588</v>
      </c>
      <c r="B407" s="422" t="s">
        <v>980</v>
      </c>
      <c r="C407" s="421">
        <v>5914675</v>
      </c>
      <c r="D407" s="421" t="s">
        <v>1080</v>
      </c>
      <c r="E407" s="424">
        <v>2.5</v>
      </c>
      <c r="F407" s="423" t="s">
        <v>1006</v>
      </c>
      <c r="G407" s="573">
        <v>2.95</v>
      </c>
      <c r="H407" s="573"/>
      <c r="I407" s="564"/>
      <c r="J407" s="426">
        <v>7.375</v>
      </c>
      <c r="K407"/>
      <c r="L407" s="66"/>
    </row>
    <row r="408" spans="1:12" ht="16.5" x14ac:dyDescent="0.25">
      <c r="A408" s="569"/>
      <c r="B408" s="569"/>
      <c r="C408" s="569"/>
      <c r="D408" s="569"/>
      <c r="E408" s="569"/>
      <c r="F408" s="569"/>
      <c r="G408" s="569" t="s">
        <v>589</v>
      </c>
      <c r="H408" s="569"/>
      <c r="I408" s="569"/>
      <c r="J408" s="420">
        <v>14.574999999999999</v>
      </c>
      <c r="K408"/>
      <c r="L408" s="66"/>
    </row>
    <row r="409" spans="1:12" ht="25.5" x14ac:dyDescent="0.25">
      <c r="A409" s="416"/>
      <c r="B409" s="416"/>
      <c r="C409" s="416"/>
      <c r="D409" s="416"/>
      <c r="E409" s="416" t="s">
        <v>391</v>
      </c>
      <c r="F409" s="417">
        <v>1.88032</v>
      </c>
      <c r="G409" s="416" t="s">
        <v>392</v>
      </c>
      <c r="H409" s="417">
        <v>0</v>
      </c>
      <c r="I409" s="416" t="s">
        <v>393</v>
      </c>
      <c r="J409" s="417">
        <v>1.8803212851405622</v>
      </c>
      <c r="K409"/>
      <c r="L409" s="66"/>
    </row>
    <row r="410" spans="1:12" ht="17.25" thickBot="1" x14ac:dyDescent="0.3">
      <c r="A410" s="416"/>
      <c r="B410" s="416"/>
      <c r="C410" s="416"/>
      <c r="D410" s="416"/>
      <c r="E410" s="416" t="s">
        <v>394</v>
      </c>
      <c r="F410" s="417">
        <v>0</v>
      </c>
      <c r="G410" s="416"/>
      <c r="H410" s="562" t="s">
        <v>395</v>
      </c>
      <c r="I410" s="562"/>
      <c r="J410" s="417">
        <v>66.27</v>
      </c>
      <c r="K410"/>
      <c r="L410" s="66"/>
    </row>
    <row r="411" spans="1:12" ht="17.25" thickTop="1" x14ac:dyDescent="0.25">
      <c r="A411" s="418"/>
      <c r="B411" s="418"/>
      <c r="C411" s="418"/>
      <c r="D411" s="418"/>
      <c r="E411" s="418"/>
      <c r="F411" s="418"/>
      <c r="G411" s="418"/>
      <c r="H411" s="418"/>
      <c r="I411" s="418"/>
      <c r="J411" s="418"/>
      <c r="K411" s="418"/>
      <c r="L411" s="66"/>
    </row>
    <row r="412" spans="1:12" ht="16.5" x14ac:dyDescent="0.25">
      <c r="A412" s="403" t="s">
        <v>982</v>
      </c>
      <c r="B412" s="404" t="s">
        <v>43</v>
      </c>
      <c r="C412" s="403" t="s">
        <v>213</v>
      </c>
      <c r="D412" s="403" t="s">
        <v>85</v>
      </c>
      <c r="E412" s="563" t="s">
        <v>44</v>
      </c>
      <c r="F412" s="563"/>
      <c r="G412" s="405" t="s">
        <v>68</v>
      </c>
      <c r="H412" s="404" t="s">
        <v>78</v>
      </c>
      <c r="I412" s="404" t="s">
        <v>387</v>
      </c>
      <c r="J412" s="404" t="s">
        <v>291</v>
      </c>
      <c r="K412" s="404" t="s">
        <v>69</v>
      </c>
      <c r="L412" s="66"/>
    </row>
    <row r="413" spans="1:12" ht="15.75" customHeight="1" x14ac:dyDescent="0.25">
      <c r="A413" s="406" t="s">
        <v>46</v>
      </c>
      <c r="B413" s="407" t="s">
        <v>983</v>
      </c>
      <c r="C413" s="406" t="s">
        <v>329</v>
      </c>
      <c r="D413" s="406" t="s">
        <v>796</v>
      </c>
      <c r="E413" s="566" t="s">
        <v>596</v>
      </c>
      <c r="F413" s="566"/>
      <c r="G413" s="408" t="s">
        <v>33</v>
      </c>
      <c r="H413" s="409">
        <v>1</v>
      </c>
      <c r="I413" s="410"/>
      <c r="J413" s="410">
        <v>5481.25</v>
      </c>
      <c r="K413" s="410">
        <v>5481.25</v>
      </c>
      <c r="L413" s="66"/>
    </row>
    <row r="414" spans="1:12" ht="38.25" x14ac:dyDescent="0.25">
      <c r="A414" s="411" t="s">
        <v>388</v>
      </c>
      <c r="B414" s="412" t="s">
        <v>1081</v>
      </c>
      <c r="C414" s="411" t="s">
        <v>329</v>
      </c>
      <c r="D414" s="411" t="s">
        <v>1082</v>
      </c>
      <c r="E414" s="565" t="s">
        <v>396</v>
      </c>
      <c r="F414" s="565"/>
      <c r="G414" s="413" t="s">
        <v>33</v>
      </c>
      <c r="H414" s="414">
        <v>1</v>
      </c>
      <c r="I414" s="414">
        <v>0</v>
      </c>
      <c r="J414" s="415">
        <v>5481.25</v>
      </c>
      <c r="K414" s="415">
        <v>5481.25</v>
      </c>
      <c r="L414" s="66"/>
    </row>
    <row r="415" spans="1:12" ht="25.5" x14ac:dyDescent="0.25">
      <c r="A415" s="416"/>
      <c r="B415" s="416"/>
      <c r="C415" s="416"/>
      <c r="D415" s="416"/>
      <c r="E415" s="416" t="s">
        <v>391</v>
      </c>
      <c r="F415" s="417">
        <v>0</v>
      </c>
      <c r="G415" s="416" t="s">
        <v>392</v>
      </c>
      <c r="H415" s="417">
        <v>0</v>
      </c>
      <c r="I415" s="416" t="s">
        <v>393</v>
      </c>
      <c r="J415" s="417">
        <v>0</v>
      </c>
      <c r="K415"/>
      <c r="L415" s="66"/>
    </row>
    <row r="416" spans="1:12" ht="17.25" thickBot="1" x14ac:dyDescent="0.3">
      <c r="A416" s="416"/>
      <c r="B416" s="416"/>
      <c r="C416" s="416"/>
      <c r="D416" s="416"/>
      <c r="E416" s="416" t="s">
        <v>394</v>
      </c>
      <c r="F416" s="417">
        <v>0</v>
      </c>
      <c r="G416" s="416"/>
      <c r="H416" s="562" t="s">
        <v>395</v>
      </c>
      <c r="I416" s="562"/>
      <c r="J416" s="417">
        <v>5481.25</v>
      </c>
      <c r="K416"/>
      <c r="L416" s="66"/>
    </row>
    <row r="417" spans="1:12" ht="38.25" customHeight="1" thickTop="1" x14ac:dyDescent="0.25">
      <c r="A417" s="418"/>
      <c r="B417" s="418"/>
      <c r="C417" s="418"/>
      <c r="D417" s="418"/>
      <c r="E417" s="418"/>
      <c r="F417" s="418"/>
      <c r="G417" s="418"/>
      <c r="H417" s="418"/>
      <c r="I417" s="418"/>
      <c r="J417" s="418"/>
      <c r="K417" s="418"/>
      <c r="L417" s="66"/>
    </row>
    <row r="418" spans="1:12" ht="38.25" customHeight="1" x14ac:dyDescent="0.25">
      <c r="A418" s="403" t="s">
        <v>988</v>
      </c>
      <c r="B418" s="404" t="s">
        <v>43</v>
      </c>
      <c r="C418" s="403" t="s">
        <v>213</v>
      </c>
      <c r="D418" s="403" t="s">
        <v>85</v>
      </c>
      <c r="E418" s="563" t="s">
        <v>44</v>
      </c>
      <c r="F418" s="563"/>
      <c r="G418" s="405" t="s">
        <v>68</v>
      </c>
      <c r="H418" s="404" t="s">
        <v>78</v>
      </c>
      <c r="I418" s="404" t="s">
        <v>387</v>
      </c>
      <c r="J418" s="404" t="s">
        <v>291</v>
      </c>
      <c r="K418" s="404" t="s">
        <v>69</v>
      </c>
      <c r="L418" s="66"/>
    </row>
    <row r="419" spans="1:12" ht="38.25" customHeight="1" x14ac:dyDescent="0.25">
      <c r="A419" s="406" t="s">
        <v>46</v>
      </c>
      <c r="B419" s="407" t="s">
        <v>989</v>
      </c>
      <c r="C419" s="406" t="s">
        <v>215</v>
      </c>
      <c r="D419" s="406" t="s">
        <v>809</v>
      </c>
      <c r="E419" s="566">
        <v>201</v>
      </c>
      <c r="F419" s="566"/>
      <c r="G419" s="408" t="s">
        <v>19</v>
      </c>
      <c r="H419" s="409">
        <v>1</v>
      </c>
      <c r="I419" s="410"/>
      <c r="J419" s="410">
        <v>6.1</v>
      </c>
      <c r="K419" s="410">
        <v>6.1</v>
      </c>
      <c r="L419" s="66"/>
    </row>
    <row r="420" spans="1:12" ht="38.25" customHeight="1" x14ac:dyDescent="0.25">
      <c r="A420" s="411" t="s">
        <v>388</v>
      </c>
      <c r="B420" s="412" t="s">
        <v>225</v>
      </c>
      <c r="C420" s="411" t="s">
        <v>215</v>
      </c>
      <c r="D420" s="411" t="s">
        <v>226</v>
      </c>
      <c r="E420" s="565" t="s">
        <v>194</v>
      </c>
      <c r="F420" s="565"/>
      <c r="G420" s="413" t="s">
        <v>48</v>
      </c>
      <c r="H420" s="414">
        <v>3.5999999999999997E-2</v>
      </c>
      <c r="I420" s="414"/>
      <c r="J420" s="415">
        <v>23.41</v>
      </c>
      <c r="K420" s="415">
        <v>0.84</v>
      </c>
      <c r="L420" s="66"/>
    </row>
    <row r="421" spans="1:12" ht="25.5" x14ac:dyDescent="0.25">
      <c r="A421" s="411" t="s">
        <v>388</v>
      </c>
      <c r="B421" s="412" t="s">
        <v>214</v>
      </c>
      <c r="C421" s="411" t="s">
        <v>215</v>
      </c>
      <c r="D421" s="411" t="s">
        <v>216</v>
      </c>
      <c r="E421" s="565" t="s">
        <v>194</v>
      </c>
      <c r="F421" s="565"/>
      <c r="G421" s="413" t="s">
        <v>48</v>
      </c>
      <c r="H421" s="414">
        <v>0.36</v>
      </c>
      <c r="I421" s="414"/>
      <c r="J421" s="415">
        <v>14.62</v>
      </c>
      <c r="K421" s="415">
        <v>5.26</v>
      </c>
      <c r="L421" s="66"/>
    </row>
    <row r="422" spans="1:12" ht="25.5" x14ac:dyDescent="0.25">
      <c r="A422" s="416"/>
      <c r="B422" s="416"/>
      <c r="C422" s="416"/>
      <c r="D422" s="416"/>
      <c r="E422" s="416" t="s">
        <v>391</v>
      </c>
      <c r="F422" s="417">
        <v>6.1</v>
      </c>
      <c r="G422" s="416" t="s">
        <v>392</v>
      </c>
      <c r="H422" s="417">
        <v>0</v>
      </c>
      <c r="I422" s="416" t="s">
        <v>393</v>
      </c>
      <c r="J422" s="417">
        <v>6.1</v>
      </c>
      <c r="K422"/>
      <c r="L422" s="66"/>
    </row>
    <row r="423" spans="1:12" ht="15.75" customHeight="1" thickBot="1" x14ac:dyDescent="0.3">
      <c r="A423" s="416"/>
      <c r="B423" s="416"/>
      <c r="C423" s="416"/>
      <c r="D423" s="416"/>
      <c r="E423" s="416" t="s">
        <v>394</v>
      </c>
      <c r="F423" s="417">
        <v>0</v>
      </c>
      <c r="G423" s="416"/>
      <c r="H423" s="562" t="s">
        <v>395</v>
      </c>
      <c r="I423" s="562"/>
      <c r="J423" s="417">
        <v>6.1</v>
      </c>
      <c r="K423"/>
      <c r="L423" s="66"/>
    </row>
    <row r="424" spans="1:12" ht="17.25" thickTop="1" x14ac:dyDescent="0.25">
      <c r="A424" s="418"/>
      <c r="B424" s="418"/>
      <c r="C424" s="418"/>
      <c r="D424" s="418"/>
      <c r="E424" s="418"/>
      <c r="F424" s="418"/>
      <c r="G424" s="418"/>
      <c r="H424" s="418"/>
      <c r="I424" s="418"/>
      <c r="J424" s="418"/>
      <c r="K424" s="418"/>
      <c r="L424" s="66"/>
    </row>
    <row r="425" spans="1:12" ht="16.5" x14ac:dyDescent="0.25">
      <c r="A425" s="403" t="s">
        <v>356</v>
      </c>
      <c r="B425" s="404" t="s">
        <v>43</v>
      </c>
      <c r="C425" s="403" t="s">
        <v>213</v>
      </c>
      <c r="D425" s="403" t="s">
        <v>85</v>
      </c>
      <c r="E425" s="563" t="s">
        <v>44</v>
      </c>
      <c r="F425" s="563"/>
      <c r="G425" s="405" t="s">
        <v>68</v>
      </c>
      <c r="H425" s="404" t="s">
        <v>78</v>
      </c>
      <c r="I425" s="404" t="s">
        <v>387</v>
      </c>
      <c r="J425" s="404" t="s">
        <v>291</v>
      </c>
      <c r="K425" s="404" t="s">
        <v>69</v>
      </c>
      <c r="L425" s="66"/>
    </row>
    <row r="426" spans="1:12" ht="25.5" x14ac:dyDescent="0.25">
      <c r="A426" s="406" t="s">
        <v>46</v>
      </c>
      <c r="B426" s="407" t="s">
        <v>991</v>
      </c>
      <c r="C426" s="406" t="s">
        <v>592</v>
      </c>
      <c r="D426" s="406" t="s">
        <v>815</v>
      </c>
      <c r="E426" s="566">
        <v>4.21</v>
      </c>
      <c r="F426" s="566"/>
      <c r="G426" s="408" t="s">
        <v>33</v>
      </c>
      <c r="H426" s="409">
        <v>1</v>
      </c>
      <c r="I426" s="410"/>
      <c r="J426" s="410">
        <v>210.98</v>
      </c>
      <c r="K426" s="410">
        <v>210.98</v>
      </c>
      <c r="L426" s="66"/>
    </row>
    <row r="427" spans="1:12" ht="25.5" x14ac:dyDescent="0.25">
      <c r="A427" s="411" t="s">
        <v>388</v>
      </c>
      <c r="B427" s="412" t="s">
        <v>237</v>
      </c>
      <c r="C427" s="411" t="s">
        <v>215</v>
      </c>
      <c r="D427" s="411" t="s">
        <v>238</v>
      </c>
      <c r="E427" s="565" t="s">
        <v>194</v>
      </c>
      <c r="F427" s="565"/>
      <c r="G427" s="413" t="s">
        <v>48</v>
      </c>
      <c r="H427" s="414">
        <v>2</v>
      </c>
      <c r="I427" s="414"/>
      <c r="J427" s="415">
        <v>23.41</v>
      </c>
      <c r="K427" s="415">
        <v>46.82</v>
      </c>
      <c r="L427" s="66"/>
    </row>
    <row r="428" spans="1:12" ht="25.5" x14ac:dyDescent="0.25">
      <c r="A428" s="411" t="s">
        <v>388</v>
      </c>
      <c r="B428" s="412" t="s">
        <v>221</v>
      </c>
      <c r="C428" s="411" t="s">
        <v>215</v>
      </c>
      <c r="D428" s="411" t="s">
        <v>222</v>
      </c>
      <c r="E428" s="565" t="s">
        <v>194</v>
      </c>
      <c r="F428" s="565"/>
      <c r="G428" s="413" t="s">
        <v>48</v>
      </c>
      <c r="H428" s="414">
        <v>4</v>
      </c>
      <c r="I428" s="414"/>
      <c r="J428" s="415">
        <v>16.04</v>
      </c>
      <c r="K428" s="415">
        <v>64.16</v>
      </c>
      <c r="L428" s="66"/>
    </row>
    <row r="429" spans="1:12" ht="25.5" x14ac:dyDescent="0.25">
      <c r="A429" s="411" t="s">
        <v>388</v>
      </c>
      <c r="B429" s="412" t="s">
        <v>590</v>
      </c>
      <c r="C429" s="411" t="s">
        <v>215</v>
      </c>
      <c r="D429" s="411" t="s">
        <v>591</v>
      </c>
      <c r="E429" s="565" t="s">
        <v>396</v>
      </c>
      <c r="F429" s="565"/>
      <c r="G429" s="413" t="s">
        <v>47</v>
      </c>
      <c r="H429" s="414">
        <v>0.5</v>
      </c>
      <c r="I429" s="414"/>
      <c r="J429" s="415">
        <v>200</v>
      </c>
      <c r="K429" s="415">
        <v>100</v>
      </c>
      <c r="L429" s="66"/>
    </row>
    <row r="430" spans="1:12" ht="15.75" customHeight="1" x14ac:dyDescent="0.25">
      <c r="A430" s="416"/>
      <c r="B430" s="416"/>
      <c r="C430" s="416"/>
      <c r="D430" s="416"/>
      <c r="E430" s="416" t="s">
        <v>391</v>
      </c>
      <c r="F430" s="417">
        <v>110.98</v>
      </c>
      <c r="G430" s="416" t="s">
        <v>392</v>
      </c>
      <c r="H430" s="417">
        <v>0</v>
      </c>
      <c r="I430" s="416" t="s">
        <v>393</v>
      </c>
      <c r="J430" s="417">
        <v>110.98</v>
      </c>
      <c r="K430"/>
      <c r="L430" s="66"/>
    </row>
    <row r="431" spans="1:12" ht="17.25" thickBot="1" x14ac:dyDescent="0.3">
      <c r="A431" s="416"/>
      <c r="B431" s="416"/>
      <c r="C431" s="416"/>
      <c r="D431" s="416"/>
      <c r="E431" s="416" t="s">
        <v>394</v>
      </c>
      <c r="F431" s="417">
        <v>0</v>
      </c>
      <c r="G431" s="416"/>
      <c r="H431" s="562" t="s">
        <v>395</v>
      </c>
      <c r="I431" s="562"/>
      <c r="J431" s="417">
        <v>210.98</v>
      </c>
      <c r="K431"/>
      <c r="L431" s="66"/>
    </row>
    <row r="432" spans="1:12" ht="17.25" thickTop="1" x14ac:dyDescent="0.25">
      <c r="A432" s="418"/>
      <c r="B432" s="418"/>
      <c r="C432" s="418"/>
      <c r="D432" s="418"/>
      <c r="E432" s="418"/>
      <c r="F432" s="418"/>
      <c r="G432" s="418"/>
      <c r="H432" s="418"/>
      <c r="I432" s="418"/>
      <c r="J432" s="418"/>
      <c r="K432" s="418"/>
      <c r="L432" s="66"/>
    </row>
    <row r="433" spans="1:12" ht="16.5" x14ac:dyDescent="0.25">
      <c r="A433" s="403" t="s">
        <v>994</v>
      </c>
      <c r="B433" s="404" t="s">
        <v>43</v>
      </c>
      <c r="C433" s="403" t="s">
        <v>213</v>
      </c>
      <c r="D433" s="403" t="s">
        <v>85</v>
      </c>
      <c r="E433" s="563" t="s">
        <v>44</v>
      </c>
      <c r="F433" s="563"/>
      <c r="G433" s="405" t="s">
        <v>68</v>
      </c>
      <c r="H433" s="404" t="s">
        <v>78</v>
      </c>
      <c r="I433" s="404" t="s">
        <v>387</v>
      </c>
      <c r="J433" s="404" t="s">
        <v>291</v>
      </c>
      <c r="K433" s="404" t="s">
        <v>69</v>
      </c>
      <c r="L433" s="66"/>
    </row>
    <row r="434" spans="1:12" ht="25.5" x14ac:dyDescent="0.25">
      <c r="A434" s="406" t="s">
        <v>46</v>
      </c>
      <c r="B434" s="407" t="s">
        <v>338</v>
      </c>
      <c r="C434" s="406" t="s">
        <v>215</v>
      </c>
      <c r="D434" s="406" t="s">
        <v>339</v>
      </c>
      <c r="E434" s="566">
        <v>410</v>
      </c>
      <c r="F434" s="566"/>
      <c r="G434" s="408" t="s">
        <v>39</v>
      </c>
      <c r="H434" s="409">
        <v>1</v>
      </c>
      <c r="I434" s="410"/>
      <c r="J434" s="410">
        <v>2.2200000000000002</v>
      </c>
      <c r="K434" s="410">
        <v>2.2200000000000002</v>
      </c>
      <c r="L434" s="66"/>
    </row>
    <row r="435" spans="1:12" ht="25.5" x14ac:dyDescent="0.25">
      <c r="A435" s="411" t="s">
        <v>388</v>
      </c>
      <c r="B435" s="412" t="s">
        <v>572</v>
      </c>
      <c r="C435" s="411" t="s">
        <v>215</v>
      </c>
      <c r="D435" s="411" t="s">
        <v>573</v>
      </c>
      <c r="E435" s="565" t="s">
        <v>396</v>
      </c>
      <c r="F435" s="565"/>
      <c r="G435" s="413" t="s">
        <v>39</v>
      </c>
      <c r="H435" s="414">
        <v>1</v>
      </c>
      <c r="I435" s="414"/>
      <c r="J435" s="415">
        <v>2.2200000000000002</v>
      </c>
      <c r="K435" s="415">
        <v>2.2200000000000002</v>
      </c>
      <c r="L435" s="66"/>
    </row>
    <row r="436" spans="1:12" ht="15.75" customHeight="1" x14ac:dyDescent="0.25">
      <c r="A436" s="416"/>
      <c r="B436" s="416"/>
      <c r="C436" s="416"/>
      <c r="D436" s="416"/>
      <c r="E436" s="416" t="s">
        <v>391</v>
      </c>
      <c r="F436" s="417">
        <v>0</v>
      </c>
      <c r="G436" s="416" t="s">
        <v>392</v>
      </c>
      <c r="H436" s="417">
        <v>0</v>
      </c>
      <c r="I436" s="416" t="s">
        <v>393</v>
      </c>
      <c r="J436" s="417">
        <v>0</v>
      </c>
      <c r="K436"/>
      <c r="L436" s="66"/>
    </row>
    <row r="437" spans="1:12" ht="17.25" thickBot="1" x14ac:dyDescent="0.3">
      <c r="A437" s="416"/>
      <c r="B437" s="416"/>
      <c r="C437" s="416"/>
      <c r="D437" s="416"/>
      <c r="E437" s="416" t="s">
        <v>394</v>
      </c>
      <c r="F437" s="417">
        <v>0</v>
      </c>
      <c r="G437" s="416"/>
      <c r="H437" s="562" t="s">
        <v>395</v>
      </c>
      <c r="I437" s="562"/>
      <c r="J437" s="417">
        <v>2.2200000000000002</v>
      </c>
      <c r="K437"/>
      <c r="L437" s="66"/>
    </row>
    <row r="438" spans="1:12" ht="17.25" thickTop="1" x14ac:dyDescent="0.25">
      <c r="A438" s="418"/>
      <c r="B438" s="418"/>
      <c r="C438" s="418"/>
      <c r="D438" s="418"/>
      <c r="E438" s="418"/>
      <c r="F438" s="418"/>
      <c r="G438" s="418"/>
      <c r="H438" s="418"/>
      <c r="I438" s="418"/>
      <c r="J438" s="418"/>
      <c r="K438" s="418"/>
      <c r="L438" s="66"/>
    </row>
    <row r="439" spans="1:12" ht="16.5" x14ac:dyDescent="0.25">
      <c r="A439" s="403" t="s">
        <v>996</v>
      </c>
      <c r="B439" s="404" t="s">
        <v>43</v>
      </c>
      <c r="C439" s="403" t="s">
        <v>213</v>
      </c>
      <c r="D439" s="403" t="s">
        <v>85</v>
      </c>
      <c r="E439" s="563" t="s">
        <v>44</v>
      </c>
      <c r="F439" s="563"/>
      <c r="G439" s="405" t="s">
        <v>68</v>
      </c>
      <c r="H439" s="404" t="s">
        <v>78</v>
      </c>
      <c r="I439" s="404" t="s">
        <v>387</v>
      </c>
      <c r="J439" s="404" t="s">
        <v>291</v>
      </c>
      <c r="K439" s="404" t="s">
        <v>69</v>
      </c>
      <c r="L439" s="66"/>
    </row>
    <row r="440" spans="1:12" ht="25.5" x14ac:dyDescent="0.25">
      <c r="A440" s="406" t="s">
        <v>46</v>
      </c>
      <c r="B440" s="407" t="s">
        <v>997</v>
      </c>
      <c r="C440" s="406" t="s">
        <v>215</v>
      </c>
      <c r="D440" s="406" t="s">
        <v>831</v>
      </c>
      <c r="E440" s="566">
        <v>301</v>
      </c>
      <c r="F440" s="566"/>
      <c r="G440" s="408" t="s">
        <v>39</v>
      </c>
      <c r="H440" s="409">
        <v>1</v>
      </c>
      <c r="I440" s="410"/>
      <c r="J440" s="410">
        <v>84.55</v>
      </c>
      <c r="K440" s="410">
        <v>84.55</v>
      </c>
      <c r="L440" s="66"/>
    </row>
    <row r="441" spans="1:12" ht="25.5" x14ac:dyDescent="0.25">
      <c r="A441" s="411" t="s">
        <v>388</v>
      </c>
      <c r="B441" s="412" t="s">
        <v>1083</v>
      </c>
      <c r="C441" s="411" t="s">
        <v>215</v>
      </c>
      <c r="D441" s="411" t="s">
        <v>1084</v>
      </c>
      <c r="E441" s="565" t="s">
        <v>396</v>
      </c>
      <c r="F441" s="565"/>
      <c r="G441" s="413" t="s">
        <v>39</v>
      </c>
      <c r="H441" s="414">
        <v>1</v>
      </c>
      <c r="I441" s="414"/>
      <c r="J441" s="415">
        <v>84.55</v>
      </c>
      <c r="K441" s="415">
        <v>84.55</v>
      </c>
      <c r="L441" s="66"/>
    </row>
    <row r="442" spans="1:12" ht="15.75" customHeight="1" x14ac:dyDescent="0.25">
      <c r="A442" s="416"/>
      <c r="B442" s="416"/>
      <c r="C442" s="416"/>
      <c r="D442" s="416"/>
      <c r="E442" s="416" t="s">
        <v>391</v>
      </c>
      <c r="F442" s="417">
        <v>0</v>
      </c>
      <c r="G442" s="416" t="s">
        <v>392</v>
      </c>
      <c r="H442" s="417">
        <v>0</v>
      </c>
      <c r="I442" s="416" t="s">
        <v>393</v>
      </c>
      <c r="J442" s="417">
        <v>0</v>
      </c>
      <c r="K442"/>
      <c r="L442" s="66"/>
    </row>
    <row r="443" spans="1:12" ht="17.25" thickBot="1" x14ac:dyDescent="0.3">
      <c r="A443" s="416"/>
      <c r="B443" s="416"/>
      <c r="C443" s="416"/>
      <c r="D443" s="416"/>
      <c r="E443" s="416" t="s">
        <v>394</v>
      </c>
      <c r="F443" s="417">
        <v>0</v>
      </c>
      <c r="G443" s="416"/>
      <c r="H443" s="562" t="s">
        <v>395</v>
      </c>
      <c r="I443" s="562"/>
      <c r="J443" s="417">
        <v>84.55</v>
      </c>
      <c r="K443"/>
      <c r="L443" s="66"/>
    </row>
    <row r="444" spans="1:12" ht="17.25" thickTop="1" x14ac:dyDescent="0.25">
      <c r="A444" s="418"/>
      <c r="B444" s="418"/>
      <c r="C444" s="418"/>
      <c r="D444" s="418"/>
      <c r="E444" s="418"/>
      <c r="F444" s="418"/>
      <c r="G444" s="418"/>
      <c r="H444" s="418"/>
      <c r="I444" s="418"/>
      <c r="J444" s="418"/>
      <c r="K444" s="418"/>
      <c r="L444" s="66"/>
    </row>
    <row r="445" spans="1:12" ht="16.5" x14ac:dyDescent="0.25">
      <c r="A445" s="403" t="s">
        <v>998</v>
      </c>
      <c r="B445" s="404" t="s">
        <v>43</v>
      </c>
      <c r="C445" s="403" t="s">
        <v>213</v>
      </c>
      <c r="D445" s="403" t="s">
        <v>85</v>
      </c>
      <c r="E445" s="563" t="s">
        <v>44</v>
      </c>
      <c r="F445" s="563"/>
      <c r="G445" s="405" t="s">
        <v>68</v>
      </c>
      <c r="H445" s="404" t="s">
        <v>78</v>
      </c>
      <c r="I445" s="404" t="s">
        <v>387</v>
      </c>
      <c r="J445" s="404" t="s">
        <v>291</v>
      </c>
      <c r="K445" s="404" t="s">
        <v>69</v>
      </c>
      <c r="L445" s="66"/>
    </row>
    <row r="446" spans="1:12" ht="25.5" x14ac:dyDescent="0.25">
      <c r="A446" s="406" t="s">
        <v>46</v>
      </c>
      <c r="B446" s="407" t="s">
        <v>999</v>
      </c>
      <c r="C446" s="406" t="s">
        <v>215</v>
      </c>
      <c r="D446" s="406" t="s">
        <v>1000</v>
      </c>
      <c r="E446" s="566">
        <v>410</v>
      </c>
      <c r="F446" s="566"/>
      <c r="G446" s="408" t="s">
        <v>39</v>
      </c>
      <c r="H446" s="409">
        <v>1</v>
      </c>
      <c r="I446" s="410"/>
      <c r="J446" s="410">
        <v>1.63</v>
      </c>
      <c r="K446" s="410">
        <v>1.63</v>
      </c>
      <c r="L446" s="66"/>
    </row>
    <row r="447" spans="1:12" ht="25.5" x14ac:dyDescent="0.25">
      <c r="A447" s="411" t="s">
        <v>388</v>
      </c>
      <c r="B447" s="412" t="s">
        <v>1085</v>
      </c>
      <c r="C447" s="411" t="s">
        <v>215</v>
      </c>
      <c r="D447" s="411" t="s">
        <v>1086</v>
      </c>
      <c r="E447" s="565" t="s">
        <v>396</v>
      </c>
      <c r="F447" s="565"/>
      <c r="G447" s="413" t="s">
        <v>39</v>
      </c>
      <c r="H447" s="414">
        <v>1</v>
      </c>
      <c r="I447" s="414"/>
      <c r="J447" s="415">
        <v>1.63</v>
      </c>
      <c r="K447" s="415">
        <v>1.63</v>
      </c>
      <c r="L447" s="66"/>
    </row>
    <row r="448" spans="1:12" ht="15.75" customHeight="1" x14ac:dyDescent="0.25">
      <c r="A448" s="416"/>
      <c r="B448" s="416"/>
      <c r="C448" s="416"/>
      <c r="D448" s="416"/>
      <c r="E448" s="416" t="s">
        <v>391</v>
      </c>
      <c r="F448" s="417">
        <v>0</v>
      </c>
      <c r="G448" s="416" t="s">
        <v>392</v>
      </c>
      <c r="H448" s="417">
        <v>0</v>
      </c>
      <c r="I448" s="416" t="s">
        <v>393</v>
      </c>
      <c r="J448" s="417">
        <v>0</v>
      </c>
      <c r="K448"/>
      <c r="L448" s="66"/>
    </row>
    <row r="449" spans="1:12" ht="17.25" thickBot="1" x14ac:dyDescent="0.3">
      <c r="A449" s="416"/>
      <c r="B449" s="416"/>
      <c r="C449" s="416"/>
      <c r="D449" s="416"/>
      <c r="E449" s="416" t="s">
        <v>394</v>
      </c>
      <c r="F449" s="417">
        <v>0</v>
      </c>
      <c r="G449" s="416"/>
      <c r="H449" s="562" t="s">
        <v>395</v>
      </c>
      <c r="I449" s="562"/>
      <c r="J449" s="417">
        <v>1.63</v>
      </c>
      <c r="K449"/>
      <c r="L449" s="66"/>
    </row>
    <row r="450" spans="1:12" ht="17.25" thickTop="1" x14ac:dyDescent="0.25">
      <c r="A450" s="418"/>
      <c r="B450" s="418"/>
      <c r="C450" s="418"/>
      <c r="D450" s="418"/>
      <c r="E450" s="418"/>
      <c r="F450" s="418"/>
      <c r="G450" s="418"/>
      <c r="H450" s="418"/>
      <c r="I450" s="418"/>
      <c r="J450" s="418"/>
      <c r="K450" s="418"/>
      <c r="L450" s="66"/>
    </row>
    <row r="451" spans="1:12" ht="16.5" x14ac:dyDescent="0.25">
      <c r="A451" s="403" t="s">
        <v>1001</v>
      </c>
      <c r="B451" s="404" t="s">
        <v>43</v>
      </c>
      <c r="C451" s="403" t="s">
        <v>213</v>
      </c>
      <c r="D451" s="403" t="s">
        <v>85</v>
      </c>
      <c r="E451" s="563" t="s">
        <v>44</v>
      </c>
      <c r="F451" s="563"/>
      <c r="G451" s="405" t="s">
        <v>68</v>
      </c>
      <c r="H451" s="404" t="s">
        <v>78</v>
      </c>
      <c r="I451" s="404" t="s">
        <v>387</v>
      </c>
      <c r="J451" s="404" t="s">
        <v>291</v>
      </c>
      <c r="K451" s="404" t="s">
        <v>69</v>
      </c>
      <c r="L451" s="66"/>
    </row>
    <row r="452" spans="1:12" ht="38.25" x14ac:dyDescent="0.25">
      <c r="A452" s="406" t="s">
        <v>46</v>
      </c>
      <c r="B452" s="407" t="s">
        <v>1002</v>
      </c>
      <c r="C452" s="406" t="s">
        <v>252</v>
      </c>
      <c r="D452" s="406" t="s">
        <v>837</v>
      </c>
      <c r="E452" s="566">
        <v>4401</v>
      </c>
      <c r="F452" s="566"/>
      <c r="G452" s="408" t="s">
        <v>340</v>
      </c>
      <c r="H452" s="409">
        <v>1</v>
      </c>
      <c r="I452" s="410"/>
      <c r="J452" s="410">
        <v>3.09</v>
      </c>
      <c r="K452" s="410">
        <v>3.09</v>
      </c>
      <c r="L452" s="66"/>
    </row>
    <row r="453" spans="1:12" ht="16.5" x14ac:dyDescent="0.25">
      <c r="A453" s="563" t="s">
        <v>87</v>
      </c>
      <c r="B453" s="567" t="s">
        <v>43</v>
      </c>
      <c r="C453" s="563" t="s">
        <v>213</v>
      </c>
      <c r="D453" s="563" t="s">
        <v>577</v>
      </c>
      <c r="E453" s="567" t="s">
        <v>45</v>
      </c>
      <c r="F453" s="568" t="s">
        <v>578</v>
      </c>
      <c r="G453" s="567"/>
      <c r="H453" s="568" t="s">
        <v>579</v>
      </c>
      <c r="I453" s="567"/>
      <c r="J453" s="567" t="s">
        <v>565</v>
      </c>
      <c r="K453"/>
      <c r="L453" s="66"/>
    </row>
    <row r="454" spans="1:12" ht="15.75" customHeight="1" x14ac:dyDescent="0.25">
      <c r="A454" s="567"/>
      <c r="B454" s="567"/>
      <c r="C454" s="567"/>
      <c r="D454" s="567"/>
      <c r="E454" s="567"/>
      <c r="F454" s="404" t="s">
        <v>580</v>
      </c>
      <c r="G454" s="404" t="s">
        <v>581</v>
      </c>
      <c r="H454" s="404" t="s">
        <v>580</v>
      </c>
      <c r="I454" s="404" t="s">
        <v>581</v>
      </c>
      <c r="J454" s="567"/>
      <c r="K454"/>
      <c r="L454" s="66"/>
    </row>
    <row r="455" spans="1:12" ht="38.25" x14ac:dyDescent="0.25">
      <c r="A455" s="411" t="s">
        <v>388</v>
      </c>
      <c r="B455" s="412">
        <v>30037</v>
      </c>
      <c r="C455" s="411" t="s">
        <v>252</v>
      </c>
      <c r="D455" s="411" t="s">
        <v>152</v>
      </c>
      <c r="E455" s="414">
        <v>1</v>
      </c>
      <c r="F455" s="415">
        <v>1</v>
      </c>
      <c r="G455" s="415">
        <v>0</v>
      </c>
      <c r="H455" s="419">
        <v>292.75</v>
      </c>
      <c r="I455" s="419">
        <v>73.05</v>
      </c>
      <c r="J455" s="419">
        <v>292.75</v>
      </c>
      <c r="K455"/>
      <c r="L455" s="66"/>
    </row>
    <row r="456" spans="1:12" ht="16.5" x14ac:dyDescent="0.25">
      <c r="A456" s="569"/>
      <c r="B456" s="569"/>
      <c r="C456" s="569"/>
      <c r="D456" s="569"/>
      <c r="E456" s="569"/>
      <c r="F456" s="569"/>
      <c r="G456" s="569" t="s">
        <v>582</v>
      </c>
      <c r="H456" s="569"/>
      <c r="I456" s="569"/>
      <c r="J456" s="420">
        <v>292.75</v>
      </c>
      <c r="K456"/>
      <c r="L456" s="66"/>
    </row>
    <row r="457" spans="1:12" ht="16.5" x14ac:dyDescent="0.25">
      <c r="A457" s="569"/>
      <c r="B457" s="569"/>
      <c r="C457" s="569"/>
      <c r="D457" s="569"/>
      <c r="E457" s="569"/>
      <c r="F457" s="569"/>
      <c r="G457" s="569" t="s">
        <v>558</v>
      </c>
      <c r="H457" s="569"/>
      <c r="I457" s="569"/>
      <c r="J457" s="420">
        <v>292.75</v>
      </c>
      <c r="K457"/>
      <c r="L457" s="66"/>
    </row>
    <row r="458" spans="1:12" ht="16.5" x14ac:dyDescent="0.25">
      <c r="A458" s="569"/>
      <c r="B458" s="569"/>
      <c r="C458" s="569"/>
      <c r="D458" s="569"/>
      <c r="E458" s="569"/>
      <c r="F458" s="569"/>
      <c r="G458" s="569" t="s">
        <v>559</v>
      </c>
      <c r="H458" s="569"/>
      <c r="I458" s="569"/>
      <c r="J458" s="420">
        <v>0</v>
      </c>
      <c r="K458"/>
      <c r="L458" s="66"/>
    </row>
    <row r="459" spans="1:12" ht="16.5" x14ac:dyDescent="0.25">
      <c r="A459" s="569"/>
      <c r="B459" s="569"/>
      <c r="C459" s="569"/>
      <c r="D459" s="569"/>
      <c r="E459" s="569"/>
      <c r="F459" s="569"/>
      <c r="G459" s="569" t="s">
        <v>560</v>
      </c>
      <c r="H459" s="569"/>
      <c r="I459" s="569"/>
      <c r="J459" s="420">
        <v>0</v>
      </c>
      <c r="K459"/>
      <c r="L459" s="66"/>
    </row>
    <row r="460" spans="1:12" ht="15.75" customHeight="1" x14ac:dyDescent="0.25">
      <c r="A460" s="569"/>
      <c r="B460" s="569"/>
      <c r="C460" s="569"/>
      <c r="D460" s="569"/>
      <c r="E460" s="569"/>
      <c r="F460" s="569"/>
      <c r="G460" s="569" t="s">
        <v>561</v>
      </c>
      <c r="H460" s="569"/>
      <c r="I460" s="569"/>
      <c r="J460" s="420">
        <v>94.5</v>
      </c>
      <c r="K460"/>
      <c r="L460" s="66"/>
    </row>
    <row r="461" spans="1:12" ht="16.5" x14ac:dyDescent="0.25">
      <c r="A461" s="569"/>
      <c r="B461" s="569"/>
      <c r="C461" s="569"/>
      <c r="D461" s="569"/>
      <c r="E461" s="569"/>
      <c r="F461" s="569"/>
      <c r="G461" s="569" t="s">
        <v>562</v>
      </c>
      <c r="H461" s="569"/>
      <c r="I461" s="569"/>
      <c r="J461" s="420">
        <v>3.09</v>
      </c>
      <c r="K461"/>
      <c r="L461" s="66"/>
    </row>
    <row r="462" spans="1:12" ht="25.5" x14ac:dyDescent="0.25">
      <c r="A462" s="416"/>
      <c r="B462" s="416"/>
      <c r="C462" s="416"/>
      <c r="D462" s="416"/>
      <c r="E462" s="416" t="s">
        <v>391</v>
      </c>
      <c r="F462" s="417">
        <v>0</v>
      </c>
      <c r="G462" s="416" t="s">
        <v>392</v>
      </c>
      <c r="H462" s="417">
        <v>0</v>
      </c>
      <c r="I462" s="416" t="s">
        <v>393</v>
      </c>
      <c r="J462" s="417">
        <v>0</v>
      </c>
      <c r="K462"/>
      <c r="L462" s="66"/>
    </row>
    <row r="463" spans="1:12" ht="17.25" thickBot="1" x14ac:dyDescent="0.3">
      <c r="A463" s="416"/>
      <c r="B463" s="416"/>
      <c r="C463" s="416"/>
      <c r="D463" s="416"/>
      <c r="E463" s="416" t="s">
        <v>394</v>
      </c>
      <c r="F463" s="417">
        <v>0</v>
      </c>
      <c r="G463" s="416"/>
      <c r="H463" s="562" t="s">
        <v>395</v>
      </c>
      <c r="I463" s="562"/>
      <c r="J463" s="417">
        <v>3.09</v>
      </c>
      <c r="K463"/>
      <c r="L463" s="66"/>
    </row>
    <row r="464" spans="1:12" ht="17.25" thickTop="1" x14ac:dyDescent="0.25">
      <c r="A464" s="418"/>
      <c r="B464" s="418"/>
      <c r="C464" s="418"/>
      <c r="D464" s="418"/>
      <c r="E464" s="418"/>
      <c r="F464" s="418"/>
      <c r="G464" s="418"/>
      <c r="H464" s="418"/>
      <c r="I464" s="418"/>
      <c r="J464" s="418"/>
      <c r="K464" s="418"/>
      <c r="L464" s="66"/>
    </row>
    <row r="465" spans="1:12" ht="16.5" x14ac:dyDescent="0.25">
      <c r="A465" s="403" t="s">
        <v>1004</v>
      </c>
      <c r="B465" s="404" t="s">
        <v>43</v>
      </c>
      <c r="C465" s="403" t="s">
        <v>213</v>
      </c>
      <c r="D465" s="403" t="s">
        <v>85</v>
      </c>
      <c r="E465" s="563" t="s">
        <v>44</v>
      </c>
      <c r="F465" s="563"/>
      <c r="G465" s="405" t="s">
        <v>68</v>
      </c>
      <c r="H465" s="404" t="s">
        <v>78</v>
      </c>
      <c r="I465" s="404" t="s">
        <v>387</v>
      </c>
      <c r="J465" s="404" t="s">
        <v>291</v>
      </c>
      <c r="K465" s="404" t="s">
        <v>69</v>
      </c>
      <c r="L465" s="66"/>
    </row>
    <row r="466" spans="1:12" ht="15.75" customHeight="1" x14ac:dyDescent="0.25">
      <c r="A466" s="406" t="s">
        <v>46</v>
      </c>
      <c r="B466" s="407" t="s">
        <v>1005</v>
      </c>
      <c r="C466" s="406" t="s">
        <v>100</v>
      </c>
      <c r="D466" s="406" t="s">
        <v>844</v>
      </c>
      <c r="E466" s="566" t="s">
        <v>1087</v>
      </c>
      <c r="F466" s="566"/>
      <c r="G466" s="408" t="s">
        <v>1006</v>
      </c>
      <c r="H466" s="409">
        <v>1</v>
      </c>
      <c r="I466" s="410"/>
      <c r="J466" s="410">
        <v>30</v>
      </c>
      <c r="K466" s="410">
        <v>30</v>
      </c>
      <c r="L466" s="66"/>
    </row>
    <row r="467" spans="1:12" ht="16.5" x14ac:dyDescent="0.25">
      <c r="A467" s="411" t="s">
        <v>388</v>
      </c>
      <c r="B467" s="412" t="s">
        <v>1088</v>
      </c>
      <c r="C467" s="411" t="s">
        <v>100</v>
      </c>
      <c r="D467" s="411" t="s">
        <v>1089</v>
      </c>
      <c r="E467" s="565" t="s">
        <v>574</v>
      </c>
      <c r="F467" s="565"/>
      <c r="G467" s="413" t="s">
        <v>1006</v>
      </c>
      <c r="H467" s="414">
        <v>1</v>
      </c>
      <c r="I467" s="414"/>
      <c r="J467" s="415">
        <v>30</v>
      </c>
      <c r="K467" s="415">
        <v>30</v>
      </c>
      <c r="L467" s="66"/>
    </row>
    <row r="468" spans="1:12" ht="25.5" x14ac:dyDescent="0.25">
      <c r="A468" s="416"/>
      <c r="B468" s="416"/>
      <c r="C468" s="416"/>
      <c r="D468" s="416"/>
      <c r="E468" s="416" t="s">
        <v>391</v>
      </c>
      <c r="F468" s="417">
        <v>0</v>
      </c>
      <c r="G468" s="416" t="s">
        <v>392</v>
      </c>
      <c r="H468" s="417">
        <v>0</v>
      </c>
      <c r="I468" s="416" t="s">
        <v>393</v>
      </c>
      <c r="J468" s="417">
        <v>0</v>
      </c>
      <c r="K468"/>
      <c r="L468" s="66"/>
    </row>
    <row r="469" spans="1:12" ht="17.25" thickBot="1" x14ac:dyDescent="0.3">
      <c r="A469" s="416"/>
      <c r="B469" s="416"/>
      <c r="C469" s="416"/>
      <c r="D469" s="416"/>
      <c r="E469" s="416" t="s">
        <v>394</v>
      </c>
      <c r="F469" s="417">
        <v>0</v>
      </c>
      <c r="G469" s="416"/>
      <c r="H469" s="562" t="s">
        <v>395</v>
      </c>
      <c r="I469" s="562"/>
      <c r="J469" s="417">
        <v>30</v>
      </c>
      <c r="K469"/>
      <c r="L469" s="66"/>
    </row>
    <row r="470" spans="1:12" ht="17.25" thickTop="1" x14ac:dyDescent="0.25">
      <c r="A470" s="418"/>
      <c r="B470" s="418"/>
      <c r="C470" s="418"/>
      <c r="D470" s="418"/>
      <c r="E470" s="418"/>
      <c r="F470" s="418"/>
      <c r="G470" s="418"/>
      <c r="H470" s="418"/>
      <c r="I470" s="418"/>
      <c r="J470" s="418"/>
      <c r="K470" s="418"/>
      <c r="L470" s="66"/>
    </row>
    <row r="471" spans="1:12" ht="16.5" x14ac:dyDescent="0.25">
      <c r="A471" s="571" t="s">
        <v>597</v>
      </c>
      <c r="B471" s="572"/>
      <c r="C471" s="572"/>
      <c r="D471" s="572"/>
      <c r="E471" s="572"/>
      <c r="F471" s="572"/>
      <c r="G471" s="572"/>
      <c r="H471" s="572"/>
      <c r="I471" s="572"/>
      <c r="J471" s="572"/>
      <c r="K471" s="572"/>
      <c r="L471" s="66"/>
    </row>
    <row r="472" spans="1:12" ht="15.75" customHeight="1" x14ac:dyDescent="0.25">
      <c r="A472" s="403"/>
      <c r="B472" s="404" t="s">
        <v>43</v>
      </c>
      <c r="C472" s="403" t="s">
        <v>213</v>
      </c>
      <c r="D472" s="403" t="s">
        <v>85</v>
      </c>
      <c r="E472" s="563" t="s">
        <v>44</v>
      </c>
      <c r="F472" s="563"/>
      <c r="G472" s="405" t="s">
        <v>68</v>
      </c>
      <c r="H472" s="404" t="s">
        <v>78</v>
      </c>
      <c r="I472" s="404" t="s">
        <v>387</v>
      </c>
      <c r="J472" s="404" t="s">
        <v>291</v>
      </c>
      <c r="K472" s="404" t="s">
        <v>69</v>
      </c>
      <c r="L472" s="66"/>
    </row>
    <row r="473" spans="1:12" ht="25.5" x14ac:dyDescent="0.25">
      <c r="A473" s="406" t="s">
        <v>46</v>
      </c>
      <c r="B473" s="407" t="s">
        <v>1090</v>
      </c>
      <c r="C473" s="406" t="s">
        <v>980</v>
      </c>
      <c r="D473" s="406" t="s">
        <v>1080</v>
      </c>
      <c r="E473" s="566" t="s">
        <v>626</v>
      </c>
      <c r="F473" s="566"/>
      <c r="G473" s="408" t="s">
        <v>1006</v>
      </c>
      <c r="H473" s="409">
        <v>1</v>
      </c>
      <c r="I473" s="410"/>
      <c r="J473" s="410">
        <v>2.95</v>
      </c>
      <c r="K473" s="410">
        <v>2.95</v>
      </c>
      <c r="L473" s="66"/>
    </row>
    <row r="474" spans="1:12" ht="16.5" x14ac:dyDescent="0.25">
      <c r="A474" s="563" t="s">
        <v>87</v>
      </c>
      <c r="B474" s="567" t="s">
        <v>43</v>
      </c>
      <c r="C474" s="563" t="s">
        <v>213</v>
      </c>
      <c r="D474" s="563" t="s">
        <v>577</v>
      </c>
      <c r="E474" s="567" t="s">
        <v>45</v>
      </c>
      <c r="F474" s="568" t="s">
        <v>578</v>
      </c>
      <c r="G474" s="567"/>
      <c r="H474" s="568" t="s">
        <v>579</v>
      </c>
      <c r="I474" s="567"/>
      <c r="J474" s="567" t="s">
        <v>565</v>
      </c>
      <c r="K474"/>
      <c r="L474" s="66"/>
    </row>
    <row r="475" spans="1:12" ht="16.5" x14ac:dyDescent="0.25">
      <c r="A475" s="567"/>
      <c r="B475" s="567"/>
      <c r="C475" s="567"/>
      <c r="D475" s="567"/>
      <c r="E475" s="567"/>
      <c r="F475" s="404" t="s">
        <v>580</v>
      </c>
      <c r="G475" s="404" t="s">
        <v>581</v>
      </c>
      <c r="H475" s="404" t="s">
        <v>580</v>
      </c>
      <c r="I475" s="404" t="s">
        <v>581</v>
      </c>
      <c r="J475" s="567"/>
      <c r="K475"/>
      <c r="L475" s="66"/>
    </row>
    <row r="476" spans="1:12" ht="16.5" x14ac:dyDescent="0.25">
      <c r="A476" s="411" t="s">
        <v>388</v>
      </c>
      <c r="B476" s="412" t="s">
        <v>1091</v>
      </c>
      <c r="C476" s="411" t="s">
        <v>980</v>
      </c>
      <c r="D476" s="411" t="s">
        <v>1092</v>
      </c>
      <c r="E476" s="414">
        <v>2</v>
      </c>
      <c r="F476" s="415">
        <v>0.97</v>
      </c>
      <c r="G476" s="415">
        <v>0.03</v>
      </c>
      <c r="H476" s="419">
        <v>177.98650000000001</v>
      </c>
      <c r="I476" s="419">
        <v>68.900499999999994</v>
      </c>
      <c r="J476" s="419">
        <v>349.42779999999999</v>
      </c>
      <c r="K476"/>
      <c r="L476" s="66"/>
    </row>
    <row r="477" spans="1:12" ht="16.5" x14ac:dyDescent="0.25">
      <c r="A477" s="411" t="s">
        <v>388</v>
      </c>
      <c r="B477" s="412" t="s">
        <v>1093</v>
      </c>
      <c r="C477" s="411" t="s">
        <v>980</v>
      </c>
      <c r="D477" s="411" t="s">
        <v>1094</v>
      </c>
      <c r="E477" s="414">
        <v>1</v>
      </c>
      <c r="F477" s="415">
        <v>1</v>
      </c>
      <c r="G477" s="415">
        <v>0</v>
      </c>
      <c r="H477" s="419">
        <v>201.75630000000001</v>
      </c>
      <c r="I477" s="419">
        <v>104.07559999999999</v>
      </c>
      <c r="J477" s="419">
        <v>201.75630000000001</v>
      </c>
      <c r="K477"/>
      <c r="L477" s="66"/>
    </row>
    <row r="478" spans="1:12" ht="16.5" x14ac:dyDescent="0.25">
      <c r="A478" s="569"/>
      <c r="B478" s="569"/>
      <c r="C478" s="569"/>
      <c r="D478" s="569"/>
      <c r="E478" s="569"/>
      <c r="F478" s="569"/>
      <c r="G478" s="569" t="s">
        <v>582</v>
      </c>
      <c r="H478" s="569"/>
      <c r="I478" s="569"/>
      <c r="J478" s="420">
        <v>551.18409999999994</v>
      </c>
      <c r="K478"/>
      <c r="L478" s="66"/>
    </row>
    <row r="479" spans="1:12" ht="16.5" x14ac:dyDescent="0.25">
      <c r="A479" s="569"/>
      <c r="B479" s="569"/>
      <c r="C479" s="569"/>
      <c r="D479" s="569"/>
      <c r="E479" s="569"/>
      <c r="F479" s="569"/>
      <c r="G479" s="569" t="s">
        <v>558</v>
      </c>
      <c r="H479" s="569"/>
      <c r="I479" s="569"/>
      <c r="J479" s="420">
        <v>551.18409999999994</v>
      </c>
      <c r="K479"/>
      <c r="L479" s="66"/>
    </row>
    <row r="480" spans="1:12" ht="15.75" customHeight="1" x14ac:dyDescent="0.25">
      <c r="A480" s="569"/>
      <c r="B480" s="569"/>
      <c r="C480" s="569"/>
      <c r="D480" s="569"/>
      <c r="E480" s="569"/>
      <c r="F480" s="569"/>
      <c r="G480" s="569" t="s">
        <v>559</v>
      </c>
      <c r="H480" s="569"/>
      <c r="I480" s="569"/>
      <c r="J480" s="420">
        <v>0</v>
      </c>
      <c r="K480"/>
      <c r="L480" s="66"/>
    </row>
    <row r="481" spans="1:12" ht="16.5" x14ac:dyDescent="0.25">
      <c r="A481" s="569"/>
      <c r="B481" s="569"/>
      <c r="C481" s="569"/>
      <c r="D481" s="569"/>
      <c r="E481" s="569"/>
      <c r="F481" s="569"/>
      <c r="G481" s="569" t="s">
        <v>560</v>
      </c>
      <c r="H481" s="569"/>
      <c r="I481" s="569"/>
      <c r="J481" s="420">
        <v>0</v>
      </c>
      <c r="K481"/>
      <c r="L481" s="66"/>
    </row>
    <row r="482" spans="1:12" ht="16.5" x14ac:dyDescent="0.25">
      <c r="A482" s="569"/>
      <c r="B482" s="569"/>
      <c r="C482" s="569"/>
      <c r="D482" s="569"/>
      <c r="E482" s="569"/>
      <c r="F482" s="569"/>
      <c r="G482" s="569" t="s">
        <v>561</v>
      </c>
      <c r="H482" s="569"/>
      <c r="I482" s="569"/>
      <c r="J482" s="420">
        <v>186.89</v>
      </c>
      <c r="K482"/>
      <c r="L482" s="66"/>
    </row>
    <row r="483" spans="1:12" ht="16.5" x14ac:dyDescent="0.25">
      <c r="A483" s="569"/>
      <c r="B483" s="569"/>
      <c r="C483" s="569"/>
      <c r="D483" s="569"/>
      <c r="E483" s="569"/>
      <c r="F483" s="569"/>
      <c r="G483" s="569" t="s">
        <v>562</v>
      </c>
      <c r="H483" s="569"/>
      <c r="I483" s="569"/>
      <c r="J483" s="420">
        <v>2.9491999999999998</v>
      </c>
      <c r="K483"/>
      <c r="L483" s="66"/>
    </row>
    <row r="484" spans="1:12" ht="25.5" x14ac:dyDescent="0.25">
      <c r="A484" s="416"/>
      <c r="B484" s="416"/>
      <c r="C484" s="416"/>
      <c r="D484" s="416"/>
      <c r="E484" s="416" t="s">
        <v>391</v>
      </c>
      <c r="F484" s="417">
        <v>0</v>
      </c>
      <c r="G484" s="416" t="s">
        <v>392</v>
      </c>
      <c r="H484" s="417">
        <v>0</v>
      </c>
      <c r="I484" s="416" t="s">
        <v>393</v>
      </c>
      <c r="J484" s="417">
        <v>0</v>
      </c>
      <c r="K484"/>
      <c r="L484" s="66"/>
    </row>
    <row r="485" spans="1:12" ht="17.25" thickBot="1" x14ac:dyDescent="0.3">
      <c r="A485" s="416"/>
      <c r="B485" s="416"/>
      <c r="C485" s="416"/>
      <c r="D485" s="416"/>
      <c r="E485" s="416" t="s">
        <v>394</v>
      </c>
      <c r="F485" s="417">
        <v>0</v>
      </c>
      <c r="G485" s="416"/>
      <c r="H485" s="562" t="s">
        <v>395</v>
      </c>
      <c r="I485" s="562"/>
      <c r="J485" s="417">
        <v>2.95</v>
      </c>
      <c r="K485"/>
      <c r="L485" s="66"/>
    </row>
    <row r="486" spans="1:12" ht="17.25" thickTop="1" x14ac:dyDescent="0.25">
      <c r="A486" s="418"/>
      <c r="B486" s="418"/>
      <c r="C486" s="418"/>
      <c r="D486" s="418"/>
      <c r="E486" s="418"/>
      <c r="F486" s="418"/>
      <c r="G486" s="418"/>
      <c r="H486" s="418"/>
      <c r="I486" s="418"/>
      <c r="J486" s="418"/>
      <c r="K486"/>
      <c r="L486" s="66"/>
    </row>
    <row r="487" spans="1:12" ht="15.75" customHeight="1" x14ac:dyDescent="0.25">
      <c r="A487" s="403"/>
      <c r="B487" s="404" t="s">
        <v>43</v>
      </c>
      <c r="C487" s="403" t="s">
        <v>213</v>
      </c>
      <c r="D487" s="403" t="s">
        <v>85</v>
      </c>
      <c r="E487" s="563" t="s">
        <v>44</v>
      </c>
      <c r="F487" s="563"/>
      <c r="G487" s="405" t="s">
        <v>68</v>
      </c>
      <c r="H487" s="404" t="s">
        <v>78</v>
      </c>
      <c r="I487" s="404" t="s">
        <v>387</v>
      </c>
      <c r="J487" s="404" t="s">
        <v>291</v>
      </c>
      <c r="K487" s="404" t="s">
        <v>69</v>
      </c>
      <c r="L487" s="66"/>
    </row>
    <row r="488" spans="1:12" ht="16.5" x14ac:dyDescent="0.25">
      <c r="A488" s="406" t="s">
        <v>46</v>
      </c>
      <c r="B488" s="407" t="s">
        <v>1095</v>
      </c>
      <c r="C488" s="406" t="s">
        <v>980</v>
      </c>
      <c r="D488" s="406" t="s">
        <v>1078</v>
      </c>
      <c r="E488" s="566" t="s">
        <v>626</v>
      </c>
      <c r="F488" s="566"/>
      <c r="G488" s="408" t="s">
        <v>1079</v>
      </c>
      <c r="H488" s="409">
        <v>1</v>
      </c>
      <c r="I488" s="410"/>
      <c r="J488" s="410">
        <v>0.18</v>
      </c>
      <c r="K488" s="410">
        <v>0.18</v>
      </c>
      <c r="L488" s="66"/>
    </row>
    <row r="489" spans="1:12" ht="16.5" x14ac:dyDescent="0.25">
      <c r="A489" s="563" t="s">
        <v>87</v>
      </c>
      <c r="B489" s="567" t="s">
        <v>43</v>
      </c>
      <c r="C489" s="563" t="s">
        <v>213</v>
      </c>
      <c r="D489" s="563" t="s">
        <v>577</v>
      </c>
      <c r="E489" s="567" t="s">
        <v>45</v>
      </c>
      <c r="F489" s="568" t="s">
        <v>578</v>
      </c>
      <c r="G489" s="567"/>
      <c r="H489" s="568" t="s">
        <v>579</v>
      </c>
      <c r="I489" s="567"/>
      <c r="J489" s="567" t="s">
        <v>565</v>
      </c>
      <c r="K489"/>
      <c r="L489" s="66"/>
    </row>
    <row r="490" spans="1:12" ht="16.5" x14ac:dyDescent="0.25">
      <c r="A490" s="567"/>
      <c r="B490" s="567"/>
      <c r="C490" s="567"/>
      <c r="D490" s="567"/>
      <c r="E490" s="567"/>
      <c r="F490" s="404" t="s">
        <v>580</v>
      </c>
      <c r="G490" s="404" t="s">
        <v>581</v>
      </c>
      <c r="H490" s="404" t="s">
        <v>580</v>
      </c>
      <c r="I490" s="404" t="s">
        <v>581</v>
      </c>
      <c r="J490" s="567"/>
      <c r="K490"/>
      <c r="L490" s="66"/>
    </row>
    <row r="491" spans="1:12" ht="16.5" x14ac:dyDescent="0.25">
      <c r="A491" s="411" t="s">
        <v>388</v>
      </c>
      <c r="B491" s="412" t="s">
        <v>1096</v>
      </c>
      <c r="C491" s="411" t="s">
        <v>980</v>
      </c>
      <c r="D491" s="411" t="s">
        <v>1097</v>
      </c>
      <c r="E491" s="414">
        <v>1</v>
      </c>
      <c r="F491" s="415">
        <v>1</v>
      </c>
      <c r="G491" s="415">
        <v>0</v>
      </c>
      <c r="H491" s="419">
        <v>1.0734999999999999</v>
      </c>
      <c r="I491" s="419">
        <v>0.59240000000000004</v>
      </c>
      <c r="J491" s="419">
        <v>1.0734999999999999</v>
      </c>
      <c r="K491"/>
      <c r="L491" s="66"/>
    </row>
    <row r="492" spans="1:12" ht="16.5" x14ac:dyDescent="0.25">
      <c r="A492" s="569"/>
      <c r="B492" s="569"/>
      <c r="C492" s="569"/>
      <c r="D492" s="569"/>
      <c r="E492" s="569"/>
      <c r="F492" s="569"/>
      <c r="G492" s="569" t="s">
        <v>582</v>
      </c>
      <c r="H492" s="569"/>
      <c r="I492" s="569"/>
      <c r="J492" s="420">
        <v>1.0734999999999999</v>
      </c>
      <c r="K492"/>
      <c r="L492" s="66"/>
    </row>
    <row r="493" spans="1:12" ht="16.5" x14ac:dyDescent="0.25">
      <c r="A493" s="403" t="s">
        <v>88</v>
      </c>
      <c r="B493" s="404" t="s">
        <v>43</v>
      </c>
      <c r="C493" s="403" t="s">
        <v>213</v>
      </c>
      <c r="D493" s="403" t="s">
        <v>194</v>
      </c>
      <c r="E493" s="404" t="s">
        <v>45</v>
      </c>
      <c r="F493" s="567" t="s">
        <v>583</v>
      </c>
      <c r="G493" s="567"/>
      <c r="H493" s="567"/>
      <c r="I493" s="567"/>
      <c r="J493" s="404" t="s">
        <v>565</v>
      </c>
      <c r="K493"/>
      <c r="L493" s="66"/>
    </row>
    <row r="494" spans="1:12" ht="25.5" x14ac:dyDescent="0.25">
      <c r="A494" s="411" t="s">
        <v>388</v>
      </c>
      <c r="B494" s="412">
        <v>21</v>
      </c>
      <c r="C494" s="411" t="s">
        <v>215</v>
      </c>
      <c r="D494" s="411" t="s">
        <v>244</v>
      </c>
      <c r="E494" s="414">
        <v>1</v>
      </c>
      <c r="F494" s="411"/>
      <c r="G494" s="411"/>
      <c r="H494" s="411"/>
      <c r="I494" s="419">
        <v>23.41</v>
      </c>
      <c r="J494" s="419">
        <v>23.41</v>
      </c>
      <c r="K494"/>
      <c r="L494" s="66"/>
    </row>
    <row r="495" spans="1:12" ht="15.75" customHeight="1" x14ac:dyDescent="0.25">
      <c r="A495" s="569"/>
      <c r="B495" s="569"/>
      <c r="C495" s="569"/>
      <c r="D495" s="569"/>
      <c r="E495" s="569"/>
      <c r="F495" s="569"/>
      <c r="G495" s="569" t="s">
        <v>584</v>
      </c>
      <c r="H495" s="569"/>
      <c r="I495" s="569"/>
      <c r="J495" s="420">
        <v>23.41</v>
      </c>
      <c r="K495"/>
      <c r="L495" s="66"/>
    </row>
    <row r="496" spans="1:12" ht="16.5" x14ac:dyDescent="0.25">
      <c r="A496" s="569"/>
      <c r="B496" s="569"/>
      <c r="C496" s="569"/>
      <c r="D496" s="569"/>
      <c r="E496" s="569"/>
      <c r="F496" s="569"/>
      <c r="G496" s="569" t="s">
        <v>585</v>
      </c>
      <c r="H496" s="569"/>
      <c r="I496" s="569"/>
      <c r="J496" s="420">
        <v>0</v>
      </c>
      <c r="K496"/>
      <c r="L496" s="66"/>
    </row>
    <row r="497" spans="1:12" ht="16.5" x14ac:dyDescent="0.25">
      <c r="A497" s="569"/>
      <c r="B497" s="569"/>
      <c r="C497" s="569"/>
      <c r="D497" s="569"/>
      <c r="E497" s="569"/>
      <c r="F497" s="569"/>
      <c r="G497" s="569" t="s">
        <v>558</v>
      </c>
      <c r="H497" s="569"/>
      <c r="I497" s="569"/>
      <c r="J497" s="420">
        <v>24.483499999999999</v>
      </c>
      <c r="K497"/>
      <c r="L497" s="66"/>
    </row>
    <row r="498" spans="1:12" ht="16.5" x14ac:dyDescent="0.25">
      <c r="A498" s="569"/>
      <c r="B498" s="569"/>
      <c r="C498" s="569"/>
      <c r="D498" s="569"/>
      <c r="E498" s="569"/>
      <c r="F498" s="569"/>
      <c r="G498" s="569" t="s">
        <v>559</v>
      </c>
      <c r="H498" s="569"/>
      <c r="I498" s="569"/>
      <c r="J498" s="420">
        <v>0</v>
      </c>
      <c r="K498"/>
      <c r="L498" s="66"/>
    </row>
    <row r="499" spans="1:12" ht="16.5" x14ac:dyDescent="0.25">
      <c r="A499" s="569"/>
      <c r="B499" s="569"/>
      <c r="C499" s="569"/>
      <c r="D499" s="569"/>
      <c r="E499" s="569"/>
      <c r="F499" s="569"/>
      <c r="G499" s="569" t="s">
        <v>560</v>
      </c>
      <c r="H499" s="569"/>
      <c r="I499" s="569"/>
      <c r="J499" s="420">
        <v>0</v>
      </c>
      <c r="K499"/>
      <c r="L499" s="66"/>
    </row>
    <row r="500" spans="1:12" ht="16.5" x14ac:dyDescent="0.25">
      <c r="A500" s="569"/>
      <c r="B500" s="569"/>
      <c r="C500" s="569"/>
      <c r="D500" s="569"/>
      <c r="E500" s="569"/>
      <c r="F500" s="569"/>
      <c r="G500" s="569" t="s">
        <v>561</v>
      </c>
      <c r="H500" s="569"/>
      <c r="I500" s="569"/>
      <c r="J500" s="420">
        <v>498</v>
      </c>
      <c r="K500"/>
      <c r="L500" s="66"/>
    </row>
    <row r="501" spans="1:12" ht="15.75" customHeight="1" x14ac:dyDescent="0.25">
      <c r="A501" s="569"/>
      <c r="B501" s="569"/>
      <c r="C501" s="569"/>
      <c r="D501" s="569"/>
      <c r="E501" s="569"/>
      <c r="F501" s="569"/>
      <c r="G501" s="569" t="s">
        <v>562</v>
      </c>
      <c r="H501" s="569"/>
      <c r="I501" s="569"/>
      <c r="J501" s="420">
        <v>4.9200000000000001E-2</v>
      </c>
      <c r="K501"/>
      <c r="L501" s="66"/>
    </row>
    <row r="502" spans="1:12" ht="16.5" x14ac:dyDescent="0.25">
      <c r="A502" s="403" t="s">
        <v>612</v>
      </c>
      <c r="B502" s="404" t="s">
        <v>213</v>
      </c>
      <c r="C502" s="403" t="s">
        <v>43</v>
      </c>
      <c r="D502" s="403" t="s">
        <v>396</v>
      </c>
      <c r="E502" s="404" t="s">
        <v>45</v>
      </c>
      <c r="F502" s="404" t="s">
        <v>285</v>
      </c>
      <c r="G502" s="567" t="s">
        <v>286</v>
      </c>
      <c r="H502" s="567"/>
      <c r="I502" s="567"/>
      <c r="J502" s="404" t="s">
        <v>565</v>
      </c>
      <c r="K502"/>
      <c r="L502" s="66"/>
    </row>
    <row r="503" spans="1:12" ht="16.5" x14ac:dyDescent="0.25">
      <c r="A503" s="411" t="s">
        <v>388</v>
      </c>
      <c r="B503" s="412" t="s">
        <v>980</v>
      </c>
      <c r="C503" s="411" t="s">
        <v>1098</v>
      </c>
      <c r="D503" s="411" t="s">
        <v>1099</v>
      </c>
      <c r="E503" s="414">
        <v>7.9000000000000001E-4</v>
      </c>
      <c r="F503" s="413" t="s">
        <v>1100</v>
      </c>
      <c r="G503" s="570">
        <v>74.662999999999997</v>
      </c>
      <c r="H503" s="570"/>
      <c r="I503" s="565"/>
      <c r="J503" s="419">
        <v>5.8999999999999997E-2</v>
      </c>
      <c r="K503"/>
      <c r="L503" s="66"/>
    </row>
    <row r="504" spans="1:12" ht="16.5" x14ac:dyDescent="0.25">
      <c r="A504" s="411" t="s">
        <v>388</v>
      </c>
      <c r="B504" s="412" t="s">
        <v>980</v>
      </c>
      <c r="C504" s="411" t="s">
        <v>1101</v>
      </c>
      <c r="D504" s="411" t="s">
        <v>1102</v>
      </c>
      <c r="E504" s="414">
        <v>4.7299999999999998E-3</v>
      </c>
      <c r="F504" s="413" t="s">
        <v>39</v>
      </c>
      <c r="G504" s="570">
        <v>15.3187</v>
      </c>
      <c r="H504" s="570"/>
      <c r="I504" s="565"/>
      <c r="J504" s="419">
        <v>7.2499999999999995E-2</v>
      </c>
      <c r="K504"/>
      <c r="L504" s="66"/>
    </row>
    <row r="505" spans="1:12" ht="16.5" x14ac:dyDescent="0.25">
      <c r="A505" s="569"/>
      <c r="B505" s="569"/>
      <c r="C505" s="569"/>
      <c r="D505" s="569"/>
      <c r="E505" s="569"/>
      <c r="F505" s="569"/>
      <c r="G505" s="569" t="s">
        <v>613</v>
      </c>
      <c r="H505" s="569"/>
      <c r="I505" s="569"/>
      <c r="J505" s="420">
        <v>0.13150000000000001</v>
      </c>
      <c r="K505"/>
      <c r="L505" s="66"/>
    </row>
    <row r="506" spans="1:12" ht="25.5" x14ac:dyDescent="0.25">
      <c r="A506" s="416"/>
      <c r="B506" s="416"/>
      <c r="C506" s="416"/>
      <c r="D506" s="416"/>
      <c r="E506" s="416" t="s">
        <v>391</v>
      </c>
      <c r="F506" s="417">
        <v>4.7008000000000001E-2</v>
      </c>
      <c r="G506" s="416" t="s">
        <v>392</v>
      </c>
      <c r="H506" s="417">
        <v>0</v>
      </c>
      <c r="I506" s="416" t="s">
        <v>393</v>
      </c>
      <c r="J506" s="417">
        <v>4.7008032128514059E-2</v>
      </c>
      <c r="K506"/>
      <c r="L506" s="66"/>
    </row>
    <row r="507" spans="1:12" ht="17.25" thickBot="1" x14ac:dyDescent="0.3">
      <c r="A507" s="416"/>
      <c r="B507" s="416"/>
      <c r="C507" s="416"/>
      <c r="D507" s="416"/>
      <c r="E507" s="416" t="s">
        <v>394</v>
      </c>
      <c r="F507" s="417">
        <v>0</v>
      </c>
      <c r="G507" s="416"/>
      <c r="H507" s="562" t="s">
        <v>395</v>
      </c>
      <c r="I507" s="562"/>
      <c r="J507" s="417">
        <v>0.18</v>
      </c>
      <c r="K507"/>
      <c r="L507" s="66"/>
    </row>
    <row r="508" spans="1:12" ht="17.25" thickTop="1" x14ac:dyDescent="0.25">
      <c r="A508" s="418"/>
      <c r="B508" s="418"/>
      <c r="C508" s="418"/>
      <c r="D508" s="418"/>
      <c r="E508" s="418"/>
      <c r="F508" s="418"/>
      <c r="G508" s="418"/>
      <c r="H508" s="418"/>
      <c r="I508" s="418"/>
      <c r="J508" s="418"/>
      <c r="K508"/>
      <c r="L508" s="66"/>
    </row>
    <row r="509" spans="1:12" ht="16.5" x14ac:dyDescent="0.25">
      <c r="A509" s="403"/>
      <c r="B509" s="404" t="s">
        <v>43</v>
      </c>
      <c r="C509" s="403" t="s">
        <v>213</v>
      </c>
      <c r="D509" s="403" t="s">
        <v>85</v>
      </c>
      <c r="E509" s="563" t="s">
        <v>44</v>
      </c>
      <c r="F509" s="563"/>
      <c r="G509" s="405" t="s">
        <v>68</v>
      </c>
      <c r="H509" s="404" t="s">
        <v>78</v>
      </c>
      <c r="I509" s="404" t="s">
        <v>387</v>
      </c>
      <c r="J509" s="404" t="s">
        <v>291</v>
      </c>
      <c r="K509" s="404" t="s">
        <v>69</v>
      </c>
      <c r="L509" s="66"/>
    </row>
    <row r="510" spans="1:12" ht="25.5" x14ac:dyDescent="0.25">
      <c r="A510" s="406" t="s">
        <v>46</v>
      </c>
      <c r="B510" s="407" t="s">
        <v>1067</v>
      </c>
      <c r="C510" s="406" t="s">
        <v>289</v>
      </c>
      <c r="D510" s="406" t="s">
        <v>1068</v>
      </c>
      <c r="E510" s="566" t="s">
        <v>569</v>
      </c>
      <c r="F510" s="566"/>
      <c r="G510" s="408" t="s">
        <v>570</v>
      </c>
      <c r="H510" s="409">
        <v>1</v>
      </c>
      <c r="I510" s="410"/>
      <c r="J510" s="410">
        <v>24.35</v>
      </c>
      <c r="K510" s="410">
        <v>24.35</v>
      </c>
      <c r="L510" s="66"/>
    </row>
    <row r="511" spans="1:12" ht="15.75" customHeight="1" x14ac:dyDescent="0.25">
      <c r="A511" s="421" t="s">
        <v>568</v>
      </c>
      <c r="B511" s="422" t="s">
        <v>599</v>
      </c>
      <c r="C511" s="421" t="s">
        <v>289</v>
      </c>
      <c r="D511" s="421" t="s">
        <v>600</v>
      </c>
      <c r="E511" s="564" t="s">
        <v>569</v>
      </c>
      <c r="F511" s="564"/>
      <c r="G511" s="423" t="s">
        <v>48</v>
      </c>
      <c r="H511" s="424">
        <v>1</v>
      </c>
      <c r="I511" s="424"/>
      <c r="J511" s="425">
        <v>0.77</v>
      </c>
      <c r="K511" s="425">
        <v>0.77</v>
      </c>
      <c r="L511" s="66"/>
    </row>
    <row r="512" spans="1:12" ht="25.5" x14ac:dyDescent="0.25">
      <c r="A512" s="421" t="s">
        <v>568</v>
      </c>
      <c r="B512" s="422" t="s">
        <v>601</v>
      </c>
      <c r="C512" s="421" t="s">
        <v>289</v>
      </c>
      <c r="D512" s="421" t="s">
        <v>602</v>
      </c>
      <c r="E512" s="564" t="s">
        <v>569</v>
      </c>
      <c r="F512" s="564"/>
      <c r="G512" s="423" t="s">
        <v>48</v>
      </c>
      <c r="H512" s="424">
        <v>1</v>
      </c>
      <c r="I512" s="424"/>
      <c r="J512" s="425">
        <v>0.17</v>
      </c>
      <c r="K512" s="425">
        <v>0.17</v>
      </c>
      <c r="L512" s="66"/>
    </row>
    <row r="513" spans="1:12" ht="25.5" x14ac:dyDescent="0.25">
      <c r="A513" s="411" t="s">
        <v>388</v>
      </c>
      <c r="B513" s="412" t="s">
        <v>233</v>
      </c>
      <c r="C513" s="411" t="s">
        <v>215</v>
      </c>
      <c r="D513" s="411" t="s">
        <v>234</v>
      </c>
      <c r="E513" s="565" t="s">
        <v>194</v>
      </c>
      <c r="F513" s="565"/>
      <c r="G513" s="413" t="s">
        <v>48</v>
      </c>
      <c r="H513" s="414">
        <v>1</v>
      </c>
      <c r="I513" s="414"/>
      <c r="J513" s="415">
        <v>23.41</v>
      </c>
      <c r="K513" s="415">
        <v>23.41</v>
      </c>
      <c r="L513" s="66"/>
    </row>
    <row r="514" spans="1:12" ht="25.5" x14ac:dyDescent="0.25">
      <c r="A514" s="416"/>
      <c r="B514" s="416"/>
      <c r="C514" s="416"/>
      <c r="D514" s="416"/>
      <c r="E514" s="416" t="s">
        <v>391</v>
      </c>
      <c r="F514" s="417">
        <v>23.41</v>
      </c>
      <c r="G514" s="416" t="s">
        <v>392</v>
      </c>
      <c r="H514" s="417">
        <v>0</v>
      </c>
      <c r="I514" s="416" t="s">
        <v>393</v>
      </c>
      <c r="J514" s="417">
        <v>23.41</v>
      </c>
      <c r="K514"/>
      <c r="L514" s="66"/>
    </row>
    <row r="515" spans="1:12" ht="17.25" thickBot="1" x14ac:dyDescent="0.3">
      <c r="A515" s="416"/>
      <c r="B515" s="416"/>
      <c r="C515" s="416"/>
      <c r="D515" s="416"/>
      <c r="E515" s="416" t="s">
        <v>394</v>
      </c>
      <c r="F515" s="417">
        <v>0</v>
      </c>
      <c r="G515" s="416"/>
      <c r="H515" s="562" t="s">
        <v>395</v>
      </c>
      <c r="I515" s="562"/>
      <c r="J515" s="417">
        <v>24.35</v>
      </c>
      <c r="K515"/>
      <c r="L515" s="66"/>
    </row>
    <row r="516" spans="1:12" ht="17.25" thickTop="1" x14ac:dyDescent="0.25">
      <c r="A516" s="418"/>
      <c r="B516" s="418"/>
      <c r="C516" s="418"/>
      <c r="D516" s="418"/>
      <c r="E516" s="418"/>
      <c r="F516" s="418"/>
      <c r="G516" s="418"/>
      <c r="H516" s="418"/>
      <c r="I516" s="418"/>
      <c r="J516" s="418"/>
      <c r="K516"/>
      <c r="L516" s="66"/>
    </row>
    <row r="517" spans="1:12" ht="16.5" x14ac:dyDescent="0.25">
      <c r="A517" s="403"/>
      <c r="B517" s="404" t="s">
        <v>43</v>
      </c>
      <c r="C517" s="403" t="s">
        <v>213</v>
      </c>
      <c r="D517" s="403" t="s">
        <v>85</v>
      </c>
      <c r="E517" s="563" t="s">
        <v>44</v>
      </c>
      <c r="F517" s="563"/>
      <c r="G517" s="405" t="s">
        <v>68</v>
      </c>
      <c r="H517" s="404" t="s">
        <v>78</v>
      </c>
      <c r="I517" s="404" t="s">
        <v>387</v>
      </c>
      <c r="J517" s="404" t="s">
        <v>291</v>
      </c>
      <c r="K517" s="404" t="s">
        <v>69</v>
      </c>
      <c r="L517" s="66"/>
    </row>
    <row r="518" spans="1:12" ht="25.5" x14ac:dyDescent="0.25">
      <c r="A518" s="406" t="s">
        <v>46</v>
      </c>
      <c r="B518" s="407" t="s">
        <v>1069</v>
      </c>
      <c r="C518" s="406" t="s">
        <v>289</v>
      </c>
      <c r="D518" s="406" t="s">
        <v>1070</v>
      </c>
      <c r="E518" s="566" t="s">
        <v>569</v>
      </c>
      <c r="F518" s="566"/>
      <c r="G518" s="408" t="s">
        <v>571</v>
      </c>
      <c r="H518" s="409">
        <v>1</v>
      </c>
      <c r="I518" s="410"/>
      <c r="J518" s="410">
        <v>26.89</v>
      </c>
      <c r="K518" s="410">
        <v>26.89</v>
      </c>
      <c r="L518" s="66"/>
    </row>
    <row r="519" spans="1:12" ht="25.5" x14ac:dyDescent="0.25">
      <c r="A519" s="421" t="s">
        <v>568</v>
      </c>
      <c r="B519" s="422" t="s">
        <v>599</v>
      </c>
      <c r="C519" s="421" t="s">
        <v>289</v>
      </c>
      <c r="D519" s="421" t="s">
        <v>600</v>
      </c>
      <c r="E519" s="564" t="s">
        <v>569</v>
      </c>
      <c r="F519" s="564"/>
      <c r="G519" s="423" t="s">
        <v>48</v>
      </c>
      <c r="H519" s="424">
        <v>1</v>
      </c>
      <c r="I519" s="424"/>
      <c r="J519" s="425">
        <v>0.77</v>
      </c>
      <c r="K519" s="425">
        <v>0.77</v>
      </c>
      <c r="L519" s="66"/>
    </row>
    <row r="520" spans="1:12" ht="25.5" x14ac:dyDescent="0.25">
      <c r="A520" s="421" t="s">
        <v>568</v>
      </c>
      <c r="B520" s="422" t="s">
        <v>601</v>
      </c>
      <c r="C520" s="421" t="s">
        <v>289</v>
      </c>
      <c r="D520" s="421" t="s">
        <v>602</v>
      </c>
      <c r="E520" s="564" t="s">
        <v>569</v>
      </c>
      <c r="F520" s="564"/>
      <c r="G520" s="423" t="s">
        <v>48</v>
      </c>
      <c r="H520" s="424">
        <v>1</v>
      </c>
      <c r="I520" s="424"/>
      <c r="J520" s="425">
        <v>0.17</v>
      </c>
      <c r="K520" s="425">
        <v>0.17</v>
      </c>
      <c r="L520" s="66"/>
    </row>
    <row r="521" spans="1:12" ht="25.5" x14ac:dyDescent="0.25">
      <c r="A521" s="421" t="s">
        <v>568</v>
      </c>
      <c r="B521" s="422" t="s">
        <v>603</v>
      </c>
      <c r="C521" s="421" t="s">
        <v>289</v>
      </c>
      <c r="D521" s="421" t="s">
        <v>604</v>
      </c>
      <c r="E521" s="564" t="s">
        <v>569</v>
      </c>
      <c r="F521" s="564"/>
      <c r="G521" s="423" t="s">
        <v>48</v>
      </c>
      <c r="H521" s="424">
        <v>1</v>
      </c>
      <c r="I521" s="424"/>
      <c r="J521" s="425">
        <v>0.96</v>
      </c>
      <c r="K521" s="425">
        <v>0.96</v>
      </c>
      <c r="L521" s="66"/>
    </row>
    <row r="522" spans="1:12" ht="15.75" customHeight="1" x14ac:dyDescent="0.25">
      <c r="A522" s="421" t="s">
        <v>568</v>
      </c>
      <c r="B522" s="422" t="s">
        <v>605</v>
      </c>
      <c r="C522" s="421" t="s">
        <v>289</v>
      </c>
      <c r="D522" s="421" t="s">
        <v>606</v>
      </c>
      <c r="E522" s="564" t="s">
        <v>569</v>
      </c>
      <c r="F522" s="564"/>
      <c r="G522" s="423" t="s">
        <v>48</v>
      </c>
      <c r="H522" s="424">
        <v>1</v>
      </c>
      <c r="I522" s="424"/>
      <c r="J522" s="425">
        <v>1.58</v>
      </c>
      <c r="K522" s="425">
        <v>1.58</v>
      </c>
      <c r="L522" s="66"/>
    </row>
    <row r="523" spans="1:12" ht="25.5" x14ac:dyDescent="0.25">
      <c r="A523" s="411" t="s">
        <v>388</v>
      </c>
      <c r="B523" s="412" t="s">
        <v>233</v>
      </c>
      <c r="C523" s="411" t="s">
        <v>215</v>
      </c>
      <c r="D523" s="411" t="s">
        <v>234</v>
      </c>
      <c r="E523" s="565" t="s">
        <v>194</v>
      </c>
      <c r="F523" s="565"/>
      <c r="G523" s="413" t="s">
        <v>48</v>
      </c>
      <c r="H523" s="414">
        <v>1</v>
      </c>
      <c r="I523" s="414"/>
      <c r="J523" s="415">
        <v>23.41</v>
      </c>
      <c r="K523" s="415">
        <v>23.41</v>
      </c>
      <c r="L523" s="66"/>
    </row>
    <row r="524" spans="1:12" ht="25.5" x14ac:dyDescent="0.25">
      <c r="A524" s="416"/>
      <c r="B524" s="416"/>
      <c r="C524" s="416"/>
      <c r="D524" s="416"/>
      <c r="E524" s="416" t="s">
        <v>391</v>
      </c>
      <c r="F524" s="417">
        <v>23.41</v>
      </c>
      <c r="G524" s="416" t="s">
        <v>392</v>
      </c>
      <c r="H524" s="417">
        <v>0</v>
      </c>
      <c r="I524" s="416" t="s">
        <v>393</v>
      </c>
      <c r="J524" s="417">
        <v>23.41</v>
      </c>
      <c r="K524"/>
      <c r="L524" s="66"/>
    </row>
    <row r="525" spans="1:12" ht="17.25" thickBot="1" x14ac:dyDescent="0.3">
      <c r="A525" s="416"/>
      <c r="B525" s="416"/>
      <c r="C525" s="416"/>
      <c r="D525" s="416"/>
      <c r="E525" s="416" t="s">
        <v>394</v>
      </c>
      <c r="F525" s="417">
        <v>0</v>
      </c>
      <c r="G525" s="416"/>
      <c r="H525" s="562" t="s">
        <v>395</v>
      </c>
      <c r="I525" s="562"/>
      <c r="J525" s="417">
        <v>26.89</v>
      </c>
      <c r="K525"/>
      <c r="L525" s="66"/>
    </row>
    <row r="526" spans="1:12" ht="17.25" thickTop="1" x14ac:dyDescent="0.25">
      <c r="A526" s="418"/>
      <c r="B526" s="418"/>
      <c r="C526" s="418"/>
      <c r="D526" s="418"/>
      <c r="E526" s="418"/>
      <c r="F526" s="418"/>
      <c r="G526" s="418"/>
      <c r="H526" s="418"/>
      <c r="I526" s="418"/>
      <c r="J526" s="418"/>
      <c r="K526"/>
      <c r="L526" s="66"/>
    </row>
    <row r="527" spans="1:12" ht="16.5" x14ac:dyDescent="0.25">
      <c r="A527" s="403"/>
      <c r="B527" s="404" t="s">
        <v>43</v>
      </c>
      <c r="C527" s="403" t="s">
        <v>213</v>
      </c>
      <c r="D527" s="403" t="s">
        <v>85</v>
      </c>
      <c r="E527" s="563" t="s">
        <v>44</v>
      </c>
      <c r="F527" s="563"/>
      <c r="G527" s="405" t="s">
        <v>68</v>
      </c>
      <c r="H527" s="404" t="s">
        <v>78</v>
      </c>
      <c r="I527" s="404" t="s">
        <v>387</v>
      </c>
      <c r="J527" s="404" t="s">
        <v>291</v>
      </c>
      <c r="K527" s="404" t="s">
        <v>69</v>
      </c>
      <c r="L527" s="66"/>
    </row>
    <row r="528" spans="1:12" ht="25.5" x14ac:dyDescent="0.25">
      <c r="A528" s="406" t="s">
        <v>46</v>
      </c>
      <c r="B528" s="407" t="s">
        <v>599</v>
      </c>
      <c r="C528" s="406" t="s">
        <v>289</v>
      </c>
      <c r="D528" s="406" t="s">
        <v>600</v>
      </c>
      <c r="E528" s="566" t="s">
        <v>569</v>
      </c>
      <c r="F528" s="566"/>
      <c r="G528" s="408" t="s">
        <v>48</v>
      </c>
      <c r="H528" s="409">
        <v>1</v>
      </c>
      <c r="I528" s="410"/>
      <c r="J528" s="410">
        <v>0.77</v>
      </c>
      <c r="K528" s="410">
        <v>0.77</v>
      </c>
      <c r="L528" s="66"/>
    </row>
    <row r="529" spans="1:12" ht="38.25" x14ac:dyDescent="0.25">
      <c r="A529" s="411" t="s">
        <v>388</v>
      </c>
      <c r="B529" s="412" t="s">
        <v>607</v>
      </c>
      <c r="C529" s="411" t="s">
        <v>289</v>
      </c>
      <c r="D529" s="411" t="s">
        <v>608</v>
      </c>
      <c r="E529" s="565" t="s">
        <v>598</v>
      </c>
      <c r="F529" s="565"/>
      <c r="G529" s="413" t="s">
        <v>33</v>
      </c>
      <c r="H529" s="414">
        <v>6.3999999999999997E-5</v>
      </c>
      <c r="I529" s="414"/>
      <c r="J529" s="415">
        <v>12046.67</v>
      </c>
      <c r="K529" s="415">
        <v>0.77</v>
      </c>
      <c r="L529" s="66"/>
    </row>
    <row r="530" spans="1:12" ht="25.5" x14ac:dyDescent="0.25">
      <c r="A530" s="416"/>
      <c r="B530" s="416"/>
      <c r="C530" s="416"/>
      <c r="D530" s="416"/>
      <c r="E530" s="416" t="s">
        <v>391</v>
      </c>
      <c r="F530" s="417">
        <v>0</v>
      </c>
      <c r="G530" s="416" t="s">
        <v>392</v>
      </c>
      <c r="H530" s="417">
        <v>0</v>
      </c>
      <c r="I530" s="416" t="s">
        <v>393</v>
      </c>
      <c r="J530" s="417">
        <v>0</v>
      </c>
      <c r="K530"/>
      <c r="L530" s="66"/>
    </row>
    <row r="531" spans="1:12" ht="17.25" thickBot="1" x14ac:dyDescent="0.3">
      <c r="A531" s="416"/>
      <c r="B531" s="416"/>
      <c r="C531" s="416"/>
      <c r="D531" s="416"/>
      <c r="E531" s="416" t="s">
        <v>394</v>
      </c>
      <c r="F531" s="417">
        <v>0</v>
      </c>
      <c r="G531" s="416"/>
      <c r="H531" s="562" t="s">
        <v>395</v>
      </c>
      <c r="I531" s="562"/>
      <c r="J531" s="417">
        <v>0.77</v>
      </c>
      <c r="K531"/>
      <c r="L531" s="66"/>
    </row>
    <row r="532" spans="1:12" ht="17.25" thickTop="1" x14ac:dyDescent="0.25">
      <c r="A532" s="418"/>
      <c r="B532" s="418"/>
      <c r="C532" s="418"/>
      <c r="D532" s="418"/>
      <c r="E532" s="418"/>
      <c r="F532" s="418"/>
      <c r="G532" s="418"/>
      <c r="H532" s="418"/>
      <c r="I532" s="418"/>
      <c r="J532" s="418"/>
      <c r="K532"/>
      <c r="L532" s="66"/>
    </row>
    <row r="533" spans="1:12" ht="15.75" customHeight="1" x14ac:dyDescent="0.25">
      <c r="A533" s="403"/>
      <c r="B533" s="404" t="s">
        <v>43</v>
      </c>
      <c r="C533" s="403" t="s">
        <v>213</v>
      </c>
      <c r="D533" s="403" t="s">
        <v>85</v>
      </c>
      <c r="E533" s="563" t="s">
        <v>44</v>
      </c>
      <c r="F533" s="563"/>
      <c r="G533" s="405" t="s">
        <v>68</v>
      </c>
      <c r="H533" s="404" t="s">
        <v>78</v>
      </c>
      <c r="I533" s="404" t="s">
        <v>387</v>
      </c>
      <c r="J533" s="404" t="s">
        <v>291</v>
      </c>
      <c r="K533" s="404" t="s">
        <v>69</v>
      </c>
      <c r="L533" s="66"/>
    </row>
    <row r="534" spans="1:12" ht="25.5" x14ac:dyDescent="0.25">
      <c r="A534" s="406" t="s">
        <v>46</v>
      </c>
      <c r="B534" s="407" t="s">
        <v>601</v>
      </c>
      <c r="C534" s="406" t="s">
        <v>289</v>
      </c>
      <c r="D534" s="406" t="s">
        <v>602</v>
      </c>
      <c r="E534" s="566" t="s">
        <v>569</v>
      </c>
      <c r="F534" s="566"/>
      <c r="G534" s="408" t="s">
        <v>48</v>
      </c>
      <c r="H534" s="409">
        <v>1</v>
      </c>
      <c r="I534" s="410"/>
      <c r="J534" s="410">
        <v>0.17</v>
      </c>
      <c r="K534" s="410">
        <v>0.17</v>
      </c>
      <c r="L534" s="66"/>
    </row>
    <row r="535" spans="1:12" ht="38.25" x14ac:dyDescent="0.25">
      <c r="A535" s="411" t="s">
        <v>388</v>
      </c>
      <c r="B535" s="412" t="s">
        <v>607</v>
      </c>
      <c r="C535" s="411" t="s">
        <v>289</v>
      </c>
      <c r="D535" s="411" t="s">
        <v>608</v>
      </c>
      <c r="E535" s="565" t="s">
        <v>598</v>
      </c>
      <c r="F535" s="565"/>
      <c r="G535" s="413" t="s">
        <v>33</v>
      </c>
      <c r="H535" s="414">
        <v>1.4800000000000001E-5</v>
      </c>
      <c r="I535" s="414"/>
      <c r="J535" s="415">
        <v>12046.67</v>
      </c>
      <c r="K535" s="415">
        <v>0.17</v>
      </c>
      <c r="L535" s="66"/>
    </row>
    <row r="536" spans="1:12" ht="25.5" x14ac:dyDescent="0.25">
      <c r="A536" s="416"/>
      <c r="B536" s="416"/>
      <c r="C536" s="416"/>
      <c r="D536" s="416"/>
      <c r="E536" s="416" t="s">
        <v>391</v>
      </c>
      <c r="F536" s="417">
        <v>0</v>
      </c>
      <c r="G536" s="416" t="s">
        <v>392</v>
      </c>
      <c r="H536" s="417">
        <v>0</v>
      </c>
      <c r="I536" s="416" t="s">
        <v>393</v>
      </c>
      <c r="J536" s="417">
        <v>0</v>
      </c>
      <c r="K536"/>
      <c r="L536" s="66"/>
    </row>
    <row r="537" spans="1:12" ht="17.25" thickBot="1" x14ac:dyDescent="0.3">
      <c r="A537" s="416"/>
      <c r="B537" s="416"/>
      <c r="C537" s="416"/>
      <c r="D537" s="416"/>
      <c r="E537" s="416" t="s">
        <v>394</v>
      </c>
      <c r="F537" s="417">
        <v>0</v>
      </c>
      <c r="G537" s="416"/>
      <c r="H537" s="562" t="s">
        <v>395</v>
      </c>
      <c r="I537" s="562"/>
      <c r="J537" s="417">
        <v>0.17</v>
      </c>
      <c r="K537"/>
      <c r="L537" s="66"/>
    </row>
    <row r="538" spans="1:12" ht="17.25" thickTop="1" x14ac:dyDescent="0.25">
      <c r="A538" s="418"/>
      <c r="B538" s="418"/>
      <c r="C538" s="418"/>
      <c r="D538" s="418"/>
      <c r="E538" s="418"/>
      <c r="F538" s="418"/>
      <c r="G538" s="418"/>
      <c r="H538" s="418"/>
      <c r="I538" s="418"/>
      <c r="J538" s="418"/>
      <c r="K538"/>
      <c r="L538" s="66"/>
    </row>
    <row r="539" spans="1:12" ht="16.5" x14ac:dyDescent="0.25">
      <c r="A539" s="403"/>
      <c r="B539" s="404" t="s">
        <v>43</v>
      </c>
      <c r="C539" s="403" t="s">
        <v>213</v>
      </c>
      <c r="D539" s="403" t="s">
        <v>85</v>
      </c>
      <c r="E539" s="563" t="s">
        <v>44</v>
      </c>
      <c r="F539" s="563"/>
      <c r="G539" s="405" t="s">
        <v>68</v>
      </c>
      <c r="H539" s="404" t="s">
        <v>78</v>
      </c>
      <c r="I539" s="404" t="s">
        <v>387</v>
      </c>
      <c r="J539" s="404" t="s">
        <v>291</v>
      </c>
      <c r="K539" s="404" t="s">
        <v>69</v>
      </c>
      <c r="L539" s="66"/>
    </row>
    <row r="540" spans="1:12" ht="25.5" x14ac:dyDescent="0.25">
      <c r="A540" s="406" t="s">
        <v>46</v>
      </c>
      <c r="B540" s="407" t="s">
        <v>603</v>
      </c>
      <c r="C540" s="406" t="s">
        <v>289</v>
      </c>
      <c r="D540" s="406" t="s">
        <v>604</v>
      </c>
      <c r="E540" s="566" t="s">
        <v>569</v>
      </c>
      <c r="F540" s="566"/>
      <c r="G540" s="408" t="s">
        <v>48</v>
      </c>
      <c r="H540" s="409">
        <v>1</v>
      </c>
      <c r="I540" s="410"/>
      <c r="J540" s="410">
        <v>0.96</v>
      </c>
      <c r="K540" s="410">
        <v>0.96</v>
      </c>
      <c r="L540" s="66"/>
    </row>
    <row r="541" spans="1:12" ht="38.25" x14ac:dyDescent="0.25">
      <c r="A541" s="411" t="s">
        <v>388</v>
      </c>
      <c r="B541" s="412" t="s">
        <v>607</v>
      </c>
      <c r="C541" s="411" t="s">
        <v>289</v>
      </c>
      <c r="D541" s="411" t="s">
        <v>608</v>
      </c>
      <c r="E541" s="565" t="s">
        <v>598</v>
      </c>
      <c r="F541" s="565"/>
      <c r="G541" s="413" t="s">
        <v>33</v>
      </c>
      <c r="H541" s="414">
        <v>8.0000000000000007E-5</v>
      </c>
      <c r="I541" s="414"/>
      <c r="J541" s="415">
        <v>12046.67</v>
      </c>
      <c r="K541" s="415">
        <v>0.96</v>
      </c>
      <c r="L541" s="66"/>
    </row>
    <row r="542" spans="1:12" ht="15.75" customHeight="1" x14ac:dyDescent="0.25">
      <c r="A542" s="416"/>
      <c r="B542" s="416"/>
      <c r="C542" s="416"/>
      <c r="D542" s="416"/>
      <c r="E542" s="416" t="s">
        <v>391</v>
      </c>
      <c r="F542" s="417">
        <v>0</v>
      </c>
      <c r="G542" s="416" t="s">
        <v>392</v>
      </c>
      <c r="H542" s="417">
        <v>0</v>
      </c>
      <c r="I542" s="416" t="s">
        <v>393</v>
      </c>
      <c r="J542" s="417">
        <v>0</v>
      </c>
      <c r="K542"/>
      <c r="L542" s="66"/>
    </row>
    <row r="543" spans="1:12" ht="17.25" thickBot="1" x14ac:dyDescent="0.3">
      <c r="A543" s="416"/>
      <c r="B543" s="416"/>
      <c r="C543" s="416"/>
      <c r="D543" s="416"/>
      <c r="E543" s="416" t="s">
        <v>394</v>
      </c>
      <c r="F543" s="417">
        <v>0</v>
      </c>
      <c r="G543" s="416"/>
      <c r="H543" s="562" t="s">
        <v>395</v>
      </c>
      <c r="I543" s="562"/>
      <c r="J543" s="417">
        <v>0.96</v>
      </c>
      <c r="K543"/>
      <c r="L543" s="66"/>
    </row>
    <row r="544" spans="1:12" ht="17.25" thickTop="1" x14ac:dyDescent="0.25">
      <c r="A544" s="418"/>
      <c r="B544" s="418"/>
      <c r="C544" s="418"/>
      <c r="D544" s="418"/>
      <c r="E544" s="418"/>
      <c r="F544" s="418"/>
      <c r="G544" s="418"/>
      <c r="H544" s="418"/>
      <c r="I544" s="418"/>
      <c r="J544" s="418"/>
      <c r="K544"/>
      <c r="L544" s="66"/>
    </row>
    <row r="545" spans="1:12" ht="16.5" x14ac:dyDescent="0.25">
      <c r="A545" s="403"/>
      <c r="B545" s="404" t="s">
        <v>43</v>
      </c>
      <c r="C545" s="403" t="s">
        <v>213</v>
      </c>
      <c r="D545" s="403" t="s">
        <v>85</v>
      </c>
      <c r="E545" s="563" t="s">
        <v>44</v>
      </c>
      <c r="F545" s="563"/>
      <c r="G545" s="405" t="s">
        <v>68</v>
      </c>
      <c r="H545" s="404" t="s">
        <v>78</v>
      </c>
      <c r="I545" s="404" t="s">
        <v>387</v>
      </c>
      <c r="J545" s="404" t="s">
        <v>291</v>
      </c>
      <c r="K545" s="404" t="s">
        <v>69</v>
      </c>
      <c r="L545" s="66"/>
    </row>
    <row r="546" spans="1:12" ht="38.25" x14ac:dyDescent="0.25">
      <c r="A546" s="406" t="s">
        <v>46</v>
      </c>
      <c r="B546" s="407" t="s">
        <v>605</v>
      </c>
      <c r="C546" s="406" t="s">
        <v>289</v>
      </c>
      <c r="D546" s="406" t="s">
        <v>606</v>
      </c>
      <c r="E546" s="566" t="s">
        <v>569</v>
      </c>
      <c r="F546" s="566"/>
      <c r="G546" s="408" t="s">
        <v>48</v>
      </c>
      <c r="H546" s="409">
        <v>1</v>
      </c>
      <c r="I546" s="410"/>
      <c r="J546" s="410">
        <v>1.58</v>
      </c>
      <c r="K546" s="410">
        <v>1.58</v>
      </c>
      <c r="L546" s="66"/>
    </row>
    <row r="547" spans="1:12" ht="25.5" x14ac:dyDescent="0.25">
      <c r="A547" s="411" t="s">
        <v>388</v>
      </c>
      <c r="B547" s="412" t="s">
        <v>609</v>
      </c>
      <c r="C547" s="411" t="s">
        <v>215</v>
      </c>
      <c r="D547" s="411" t="s">
        <v>610</v>
      </c>
      <c r="E547" s="565" t="s">
        <v>396</v>
      </c>
      <c r="F547" s="565"/>
      <c r="G547" s="413" t="s">
        <v>611</v>
      </c>
      <c r="H547" s="414">
        <v>1.7</v>
      </c>
      <c r="I547" s="414"/>
      <c r="J547" s="415">
        <v>0.93</v>
      </c>
      <c r="K547" s="415">
        <v>1.58</v>
      </c>
      <c r="L547" s="66"/>
    </row>
    <row r="548" spans="1:12" ht="25.5" x14ac:dyDescent="0.25">
      <c r="A548" s="416"/>
      <c r="B548" s="416"/>
      <c r="C548" s="416"/>
      <c r="D548" s="416"/>
      <c r="E548" s="416" t="s">
        <v>391</v>
      </c>
      <c r="F548" s="417">
        <v>0</v>
      </c>
      <c r="G548" s="416" t="s">
        <v>392</v>
      </c>
      <c r="H548" s="417">
        <v>0</v>
      </c>
      <c r="I548" s="416" t="s">
        <v>393</v>
      </c>
      <c r="J548" s="417">
        <v>0</v>
      </c>
      <c r="K548"/>
      <c r="L548" s="66"/>
    </row>
    <row r="549" spans="1:12" ht="17.25" thickBot="1" x14ac:dyDescent="0.3">
      <c r="A549" s="416"/>
      <c r="B549" s="416"/>
      <c r="C549" s="416"/>
      <c r="D549" s="416"/>
      <c r="E549" s="416" t="s">
        <v>394</v>
      </c>
      <c r="F549" s="417">
        <v>0</v>
      </c>
      <c r="G549" s="416"/>
      <c r="H549" s="562" t="s">
        <v>395</v>
      </c>
      <c r="I549" s="562"/>
      <c r="J549" s="417">
        <v>1.58</v>
      </c>
      <c r="K549"/>
      <c r="L549" s="66"/>
    </row>
    <row r="550" spans="1:12" ht="17.25" thickTop="1" x14ac:dyDescent="0.25">
      <c r="A550" s="418"/>
      <c r="B550" s="418"/>
      <c r="C550" s="418"/>
      <c r="D550" s="418"/>
      <c r="E550" s="418"/>
      <c r="F550" s="418"/>
      <c r="G550" s="418"/>
      <c r="H550" s="418"/>
      <c r="I550" s="418"/>
      <c r="J550" s="418"/>
      <c r="K550"/>
      <c r="L550" s="66"/>
    </row>
    <row r="551" spans="1:12" ht="15.75" customHeight="1" x14ac:dyDescent="0.25">
      <c r="A551" s="403"/>
      <c r="B551" s="404" t="s">
        <v>43</v>
      </c>
      <c r="C551" s="403" t="s">
        <v>213</v>
      </c>
      <c r="D551" s="403" t="s">
        <v>85</v>
      </c>
      <c r="E551" s="563" t="s">
        <v>44</v>
      </c>
      <c r="F551" s="563"/>
      <c r="G551" s="405" t="s">
        <v>68</v>
      </c>
      <c r="H551" s="404" t="s">
        <v>78</v>
      </c>
      <c r="I551" s="404" t="s">
        <v>387</v>
      </c>
      <c r="J551" s="404" t="s">
        <v>291</v>
      </c>
      <c r="K551" s="404" t="s">
        <v>69</v>
      </c>
      <c r="L551" s="66"/>
    </row>
    <row r="552" spans="1:12" ht="25.5" x14ac:dyDescent="0.25">
      <c r="A552" s="406" t="s">
        <v>46</v>
      </c>
      <c r="B552" s="407" t="s">
        <v>1041</v>
      </c>
      <c r="C552" s="406" t="s">
        <v>289</v>
      </c>
      <c r="D552" s="406" t="s">
        <v>1042</v>
      </c>
      <c r="E552" s="566" t="s">
        <v>569</v>
      </c>
      <c r="F552" s="566"/>
      <c r="G552" s="408" t="s">
        <v>570</v>
      </c>
      <c r="H552" s="409">
        <v>1</v>
      </c>
      <c r="I552" s="410"/>
      <c r="J552" s="410">
        <v>23.5</v>
      </c>
      <c r="K552" s="410">
        <v>23.5</v>
      </c>
      <c r="L552" s="66"/>
    </row>
    <row r="553" spans="1:12" ht="25.5" x14ac:dyDescent="0.25">
      <c r="A553" s="421" t="s">
        <v>568</v>
      </c>
      <c r="B553" s="422" t="s">
        <v>1103</v>
      </c>
      <c r="C553" s="421" t="s">
        <v>289</v>
      </c>
      <c r="D553" s="421" t="s">
        <v>1104</v>
      </c>
      <c r="E553" s="564" t="s">
        <v>569</v>
      </c>
      <c r="F553" s="564"/>
      <c r="G553" s="423" t="s">
        <v>48</v>
      </c>
      <c r="H553" s="424">
        <v>1</v>
      </c>
      <c r="I553" s="424"/>
      <c r="J553" s="425">
        <v>0.08</v>
      </c>
      <c r="K553" s="425">
        <v>0.08</v>
      </c>
      <c r="L553" s="66"/>
    </row>
    <row r="554" spans="1:12" ht="25.5" x14ac:dyDescent="0.25">
      <c r="A554" s="421" t="s">
        <v>568</v>
      </c>
      <c r="B554" s="422" t="s">
        <v>1105</v>
      </c>
      <c r="C554" s="421" t="s">
        <v>289</v>
      </c>
      <c r="D554" s="421" t="s">
        <v>1106</v>
      </c>
      <c r="E554" s="564" t="s">
        <v>569</v>
      </c>
      <c r="F554" s="564"/>
      <c r="G554" s="423" t="s">
        <v>48</v>
      </c>
      <c r="H554" s="424">
        <v>1</v>
      </c>
      <c r="I554" s="424"/>
      <c r="J554" s="425">
        <v>0.01</v>
      </c>
      <c r="K554" s="425">
        <v>0.01</v>
      </c>
      <c r="L554" s="66"/>
    </row>
    <row r="555" spans="1:12" ht="25.5" x14ac:dyDescent="0.25">
      <c r="A555" s="411" t="s">
        <v>388</v>
      </c>
      <c r="B555" s="412" t="s">
        <v>233</v>
      </c>
      <c r="C555" s="411" t="s">
        <v>215</v>
      </c>
      <c r="D555" s="411" t="s">
        <v>234</v>
      </c>
      <c r="E555" s="565" t="s">
        <v>194</v>
      </c>
      <c r="F555" s="565"/>
      <c r="G555" s="413" t="s">
        <v>48</v>
      </c>
      <c r="H555" s="414">
        <v>1</v>
      </c>
      <c r="I555" s="414"/>
      <c r="J555" s="415">
        <v>23.41</v>
      </c>
      <c r="K555" s="415">
        <v>23.41</v>
      </c>
      <c r="L555" s="66"/>
    </row>
    <row r="556" spans="1:12" ht="25.5" x14ac:dyDescent="0.25">
      <c r="A556" s="416"/>
      <c r="B556" s="416"/>
      <c r="C556" s="416"/>
      <c r="D556" s="416"/>
      <c r="E556" s="416" t="s">
        <v>391</v>
      </c>
      <c r="F556" s="417">
        <v>23.41</v>
      </c>
      <c r="G556" s="416" t="s">
        <v>392</v>
      </c>
      <c r="H556" s="417">
        <v>0</v>
      </c>
      <c r="I556" s="416" t="s">
        <v>393</v>
      </c>
      <c r="J556" s="417">
        <v>23.41</v>
      </c>
      <c r="K556"/>
      <c r="L556" s="66"/>
    </row>
    <row r="557" spans="1:12" ht="17.25" thickBot="1" x14ac:dyDescent="0.3">
      <c r="A557" s="416"/>
      <c r="B557" s="416"/>
      <c r="C557" s="416"/>
      <c r="D557" s="416"/>
      <c r="E557" s="416" t="s">
        <v>394</v>
      </c>
      <c r="F557" s="417">
        <v>0</v>
      </c>
      <c r="G557" s="416"/>
      <c r="H557" s="562" t="s">
        <v>395</v>
      </c>
      <c r="I557" s="562"/>
      <c r="J557" s="417">
        <v>23.5</v>
      </c>
      <c r="K557"/>
      <c r="L557" s="66"/>
    </row>
    <row r="558" spans="1:12" ht="17.25" thickTop="1" x14ac:dyDescent="0.25">
      <c r="A558" s="418"/>
      <c r="B558" s="418"/>
      <c r="C558" s="418"/>
      <c r="D558" s="418"/>
      <c r="E558" s="418"/>
      <c r="F558" s="418"/>
      <c r="G558" s="418"/>
      <c r="H558" s="418"/>
      <c r="I558" s="418"/>
      <c r="J558" s="418"/>
      <c r="K558"/>
      <c r="L558" s="66"/>
    </row>
    <row r="559" spans="1:12" ht="16.5" x14ac:dyDescent="0.25">
      <c r="A559" s="403"/>
      <c r="B559" s="404" t="s">
        <v>43</v>
      </c>
      <c r="C559" s="403" t="s">
        <v>213</v>
      </c>
      <c r="D559" s="403" t="s">
        <v>85</v>
      </c>
      <c r="E559" s="563" t="s">
        <v>44</v>
      </c>
      <c r="F559" s="563"/>
      <c r="G559" s="405" t="s">
        <v>68</v>
      </c>
      <c r="H559" s="404" t="s">
        <v>78</v>
      </c>
      <c r="I559" s="404" t="s">
        <v>387</v>
      </c>
      <c r="J559" s="404" t="s">
        <v>291</v>
      </c>
      <c r="K559" s="404" t="s">
        <v>69</v>
      </c>
      <c r="L559" s="66"/>
    </row>
    <row r="560" spans="1:12" ht="15.75" customHeight="1" x14ac:dyDescent="0.25">
      <c r="A560" s="406" t="s">
        <v>46</v>
      </c>
      <c r="B560" s="407" t="s">
        <v>1039</v>
      </c>
      <c r="C560" s="406" t="s">
        <v>289</v>
      </c>
      <c r="D560" s="406" t="s">
        <v>1040</v>
      </c>
      <c r="E560" s="566" t="s">
        <v>569</v>
      </c>
      <c r="F560" s="566"/>
      <c r="G560" s="408" t="s">
        <v>571</v>
      </c>
      <c r="H560" s="409">
        <v>1</v>
      </c>
      <c r="I560" s="410"/>
      <c r="J560" s="410">
        <v>24.82</v>
      </c>
      <c r="K560" s="410">
        <v>24.82</v>
      </c>
      <c r="L560" s="66"/>
    </row>
    <row r="561" spans="1:12" ht="25.5" x14ac:dyDescent="0.25">
      <c r="A561" s="421" t="s">
        <v>568</v>
      </c>
      <c r="B561" s="422" t="s">
        <v>1103</v>
      </c>
      <c r="C561" s="421" t="s">
        <v>289</v>
      </c>
      <c r="D561" s="421" t="s">
        <v>1104</v>
      </c>
      <c r="E561" s="564" t="s">
        <v>569</v>
      </c>
      <c r="F561" s="564"/>
      <c r="G561" s="423" t="s">
        <v>48</v>
      </c>
      <c r="H561" s="424">
        <v>1</v>
      </c>
      <c r="I561" s="424"/>
      <c r="J561" s="425">
        <v>0.08</v>
      </c>
      <c r="K561" s="425">
        <v>0.08</v>
      </c>
      <c r="L561" s="66"/>
    </row>
    <row r="562" spans="1:12" ht="25.5" x14ac:dyDescent="0.25">
      <c r="A562" s="421" t="s">
        <v>568</v>
      </c>
      <c r="B562" s="422" t="s">
        <v>1105</v>
      </c>
      <c r="C562" s="421" t="s">
        <v>289</v>
      </c>
      <c r="D562" s="421" t="s">
        <v>1106</v>
      </c>
      <c r="E562" s="564" t="s">
        <v>569</v>
      </c>
      <c r="F562" s="564"/>
      <c r="G562" s="423" t="s">
        <v>48</v>
      </c>
      <c r="H562" s="424">
        <v>1</v>
      </c>
      <c r="I562" s="424"/>
      <c r="J562" s="425">
        <v>0.01</v>
      </c>
      <c r="K562" s="425">
        <v>0.01</v>
      </c>
      <c r="L562" s="66"/>
    </row>
    <row r="563" spans="1:12" ht="25.5" x14ac:dyDescent="0.25">
      <c r="A563" s="421" t="s">
        <v>568</v>
      </c>
      <c r="B563" s="422" t="s">
        <v>1107</v>
      </c>
      <c r="C563" s="421" t="s">
        <v>289</v>
      </c>
      <c r="D563" s="421" t="s">
        <v>1108</v>
      </c>
      <c r="E563" s="564" t="s">
        <v>569</v>
      </c>
      <c r="F563" s="564"/>
      <c r="G563" s="423" t="s">
        <v>48</v>
      </c>
      <c r="H563" s="424">
        <v>1</v>
      </c>
      <c r="I563" s="424"/>
      <c r="J563" s="425">
        <v>0.06</v>
      </c>
      <c r="K563" s="425">
        <v>0.06</v>
      </c>
      <c r="L563" s="66"/>
    </row>
    <row r="564" spans="1:12" ht="38.25" x14ac:dyDescent="0.25">
      <c r="A564" s="421" t="s">
        <v>568</v>
      </c>
      <c r="B564" s="422" t="s">
        <v>1109</v>
      </c>
      <c r="C564" s="421" t="s">
        <v>289</v>
      </c>
      <c r="D564" s="421" t="s">
        <v>1110</v>
      </c>
      <c r="E564" s="564" t="s">
        <v>569</v>
      </c>
      <c r="F564" s="564"/>
      <c r="G564" s="423" t="s">
        <v>48</v>
      </c>
      <c r="H564" s="424">
        <v>1</v>
      </c>
      <c r="I564" s="424"/>
      <c r="J564" s="425">
        <v>1.26</v>
      </c>
      <c r="K564" s="425">
        <v>1.26</v>
      </c>
      <c r="L564" s="66"/>
    </row>
    <row r="565" spans="1:12" ht="25.5" x14ac:dyDescent="0.25">
      <c r="A565" s="411" t="s">
        <v>388</v>
      </c>
      <c r="B565" s="412" t="s">
        <v>233</v>
      </c>
      <c r="C565" s="411" t="s">
        <v>215</v>
      </c>
      <c r="D565" s="411" t="s">
        <v>234</v>
      </c>
      <c r="E565" s="565" t="s">
        <v>194</v>
      </c>
      <c r="F565" s="565"/>
      <c r="G565" s="413" t="s">
        <v>48</v>
      </c>
      <c r="H565" s="414">
        <v>1</v>
      </c>
      <c r="I565" s="414"/>
      <c r="J565" s="415">
        <v>23.41</v>
      </c>
      <c r="K565" s="415">
        <v>23.41</v>
      </c>
      <c r="L565" s="66"/>
    </row>
    <row r="566" spans="1:12" ht="25.5" x14ac:dyDescent="0.25">
      <c r="A566" s="416"/>
      <c r="B566" s="416"/>
      <c r="C566" s="416"/>
      <c r="D566" s="416"/>
      <c r="E566" s="416" t="s">
        <v>391</v>
      </c>
      <c r="F566" s="417">
        <v>23.41</v>
      </c>
      <c r="G566" s="416" t="s">
        <v>392</v>
      </c>
      <c r="H566" s="417">
        <v>0</v>
      </c>
      <c r="I566" s="416" t="s">
        <v>393</v>
      </c>
      <c r="J566" s="417">
        <v>23.41</v>
      </c>
      <c r="K566"/>
      <c r="L566" s="66"/>
    </row>
    <row r="567" spans="1:12" ht="17.25" thickBot="1" x14ac:dyDescent="0.3">
      <c r="A567" s="416"/>
      <c r="B567" s="416"/>
      <c r="C567" s="416"/>
      <c r="D567" s="416"/>
      <c r="E567" s="416" t="s">
        <v>394</v>
      </c>
      <c r="F567" s="417">
        <v>0</v>
      </c>
      <c r="G567" s="416"/>
      <c r="H567" s="562" t="s">
        <v>395</v>
      </c>
      <c r="I567" s="562"/>
      <c r="J567" s="417">
        <v>24.82</v>
      </c>
      <c r="K567"/>
      <c r="L567" s="66"/>
    </row>
    <row r="568" spans="1:12" ht="17.25" thickTop="1" x14ac:dyDescent="0.25">
      <c r="A568" s="418"/>
      <c r="B568" s="418"/>
      <c r="C568" s="418"/>
      <c r="D568" s="418"/>
      <c r="E568" s="418"/>
      <c r="F568" s="418"/>
      <c r="G568" s="418"/>
      <c r="H568" s="418"/>
      <c r="I568" s="418"/>
      <c r="J568" s="418"/>
      <c r="K568"/>
      <c r="L568" s="66"/>
    </row>
    <row r="569" spans="1:12" ht="15.75" customHeight="1" x14ac:dyDescent="0.25">
      <c r="A569" s="403"/>
      <c r="B569" s="404" t="s">
        <v>43</v>
      </c>
      <c r="C569" s="403" t="s">
        <v>213</v>
      </c>
      <c r="D569" s="403" t="s">
        <v>85</v>
      </c>
      <c r="E569" s="563" t="s">
        <v>44</v>
      </c>
      <c r="F569" s="563"/>
      <c r="G569" s="405" t="s">
        <v>68</v>
      </c>
      <c r="H569" s="404" t="s">
        <v>78</v>
      </c>
      <c r="I569" s="404" t="s">
        <v>387</v>
      </c>
      <c r="J569" s="404" t="s">
        <v>291</v>
      </c>
      <c r="K569" s="404" t="s">
        <v>69</v>
      </c>
      <c r="L569" s="66"/>
    </row>
    <row r="570" spans="1:12" ht="25.5" x14ac:dyDescent="0.25">
      <c r="A570" s="406" t="s">
        <v>46</v>
      </c>
      <c r="B570" s="407" t="s">
        <v>1103</v>
      </c>
      <c r="C570" s="406" t="s">
        <v>289</v>
      </c>
      <c r="D570" s="406" t="s">
        <v>1104</v>
      </c>
      <c r="E570" s="566" t="s">
        <v>569</v>
      </c>
      <c r="F570" s="566"/>
      <c r="G570" s="408" t="s">
        <v>48</v>
      </c>
      <c r="H570" s="409">
        <v>1</v>
      </c>
      <c r="I570" s="410"/>
      <c r="J570" s="410">
        <v>0.08</v>
      </c>
      <c r="K570" s="410">
        <v>0.08</v>
      </c>
      <c r="L570" s="66"/>
    </row>
    <row r="571" spans="1:12" ht="25.5" x14ac:dyDescent="0.25">
      <c r="A571" s="411" t="s">
        <v>388</v>
      </c>
      <c r="B571" s="412" t="s">
        <v>1111</v>
      </c>
      <c r="C571" s="411" t="s">
        <v>289</v>
      </c>
      <c r="D571" s="411" t="s">
        <v>1112</v>
      </c>
      <c r="E571" s="565" t="s">
        <v>598</v>
      </c>
      <c r="F571" s="565"/>
      <c r="G571" s="413" t="s">
        <v>33</v>
      </c>
      <c r="H571" s="414">
        <v>7.2000000000000002E-5</v>
      </c>
      <c r="I571" s="414"/>
      <c r="J571" s="415">
        <v>1211.1500000000001</v>
      </c>
      <c r="K571" s="415">
        <v>0.08</v>
      </c>
      <c r="L571" s="66"/>
    </row>
    <row r="572" spans="1:12" ht="25.5" x14ac:dyDescent="0.25">
      <c r="A572" s="416"/>
      <c r="B572" s="416"/>
      <c r="C572" s="416"/>
      <c r="D572" s="416"/>
      <c r="E572" s="416" t="s">
        <v>391</v>
      </c>
      <c r="F572" s="417">
        <v>0</v>
      </c>
      <c r="G572" s="416" t="s">
        <v>392</v>
      </c>
      <c r="H572" s="417">
        <v>0</v>
      </c>
      <c r="I572" s="416" t="s">
        <v>393</v>
      </c>
      <c r="J572" s="417">
        <v>0</v>
      </c>
      <c r="K572"/>
      <c r="L572" s="66"/>
    </row>
    <row r="573" spans="1:12" ht="17.25" thickBot="1" x14ac:dyDescent="0.3">
      <c r="A573" s="416"/>
      <c r="B573" s="416"/>
      <c r="C573" s="416"/>
      <c r="D573" s="416"/>
      <c r="E573" s="416" t="s">
        <v>394</v>
      </c>
      <c r="F573" s="417">
        <v>0</v>
      </c>
      <c r="G573" s="416"/>
      <c r="H573" s="562" t="s">
        <v>395</v>
      </c>
      <c r="I573" s="562"/>
      <c r="J573" s="417">
        <v>0.08</v>
      </c>
      <c r="K573"/>
      <c r="L573" s="66"/>
    </row>
    <row r="574" spans="1:12" ht="17.25" thickTop="1" x14ac:dyDescent="0.25">
      <c r="A574" s="418"/>
      <c r="B574" s="418"/>
      <c r="C574" s="418"/>
      <c r="D574" s="418"/>
      <c r="E574" s="418"/>
      <c r="F574" s="418"/>
      <c r="G574" s="418"/>
      <c r="H574" s="418"/>
      <c r="I574" s="418"/>
      <c r="J574" s="418"/>
      <c r="K574"/>
      <c r="L574" s="66"/>
    </row>
    <row r="575" spans="1:12" ht="16.5" x14ac:dyDescent="0.25">
      <c r="A575" s="403"/>
      <c r="B575" s="404" t="s">
        <v>43</v>
      </c>
      <c r="C575" s="403" t="s">
        <v>213</v>
      </c>
      <c r="D575" s="403" t="s">
        <v>85</v>
      </c>
      <c r="E575" s="563" t="s">
        <v>44</v>
      </c>
      <c r="F575" s="563"/>
      <c r="G575" s="405" t="s">
        <v>68</v>
      </c>
      <c r="H575" s="404" t="s">
        <v>78</v>
      </c>
      <c r="I575" s="404" t="s">
        <v>387</v>
      </c>
      <c r="J575" s="404" t="s">
        <v>291</v>
      </c>
      <c r="K575" s="404" t="s">
        <v>69</v>
      </c>
      <c r="L575" s="66"/>
    </row>
    <row r="576" spans="1:12" ht="25.5" x14ac:dyDescent="0.25">
      <c r="A576" s="406" t="s">
        <v>46</v>
      </c>
      <c r="B576" s="407" t="s">
        <v>1105</v>
      </c>
      <c r="C576" s="406" t="s">
        <v>289</v>
      </c>
      <c r="D576" s="406" t="s">
        <v>1106</v>
      </c>
      <c r="E576" s="566" t="s">
        <v>569</v>
      </c>
      <c r="F576" s="566"/>
      <c r="G576" s="408" t="s">
        <v>48</v>
      </c>
      <c r="H576" s="409">
        <v>1</v>
      </c>
      <c r="I576" s="410"/>
      <c r="J576" s="410">
        <v>0.01</v>
      </c>
      <c r="K576" s="410">
        <v>0.01</v>
      </c>
      <c r="L576" s="66"/>
    </row>
    <row r="577" spans="1:12" ht="25.5" x14ac:dyDescent="0.25">
      <c r="A577" s="411" t="s">
        <v>388</v>
      </c>
      <c r="B577" s="412" t="s">
        <v>1111</v>
      </c>
      <c r="C577" s="411" t="s">
        <v>289</v>
      </c>
      <c r="D577" s="411" t="s">
        <v>1112</v>
      </c>
      <c r="E577" s="565" t="s">
        <v>598</v>
      </c>
      <c r="F577" s="565"/>
      <c r="G577" s="413" t="s">
        <v>33</v>
      </c>
      <c r="H577" s="414">
        <v>1.4800000000000001E-5</v>
      </c>
      <c r="I577" s="414"/>
      <c r="J577" s="415">
        <v>1211.1500000000001</v>
      </c>
      <c r="K577" s="415">
        <v>0.01</v>
      </c>
      <c r="L577" s="66"/>
    </row>
    <row r="578" spans="1:12" ht="25.5" x14ac:dyDescent="0.25">
      <c r="A578" s="416"/>
      <c r="B578" s="416"/>
      <c r="C578" s="416"/>
      <c r="D578" s="416"/>
      <c r="E578" s="416" t="s">
        <v>391</v>
      </c>
      <c r="F578" s="417">
        <v>0</v>
      </c>
      <c r="G578" s="416" t="s">
        <v>392</v>
      </c>
      <c r="H578" s="417">
        <v>0</v>
      </c>
      <c r="I578" s="416" t="s">
        <v>393</v>
      </c>
      <c r="J578" s="417">
        <v>0</v>
      </c>
      <c r="K578"/>
      <c r="L578" s="66"/>
    </row>
    <row r="579" spans="1:12" ht="15.75" customHeight="1" thickBot="1" x14ac:dyDescent="0.3">
      <c r="A579" s="416"/>
      <c r="B579" s="416"/>
      <c r="C579" s="416"/>
      <c r="D579" s="416"/>
      <c r="E579" s="416" t="s">
        <v>394</v>
      </c>
      <c r="F579" s="417">
        <v>0</v>
      </c>
      <c r="G579" s="416"/>
      <c r="H579" s="562" t="s">
        <v>395</v>
      </c>
      <c r="I579" s="562"/>
      <c r="J579" s="417">
        <v>0.01</v>
      </c>
      <c r="K579"/>
      <c r="L579" s="66"/>
    </row>
    <row r="580" spans="1:12" ht="17.25" thickTop="1" x14ac:dyDescent="0.25">
      <c r="A580" s="418"/>
      <c r="B580" s="418"/>
      <c r="C580" s="418"/>
      <c r="D580" s="418"/>
      <c r="E580" s="418"/>
      <c r="F580" s="418"/>
      <c r="G580" s="418"/>
      <c r="H580" s="418"/>
      <c r="I580" s="418"/>
      <c r="J580" s="418"/>
      <c r="K580"/>
      <c r="L580" s="66"/>
    </row>
    <row r="581" spans="1:12" ht="16.5" x14ac:dyDescent="0.25">
      <c r="A581" s="403"/>
      <c r="B581" s="404" t="s">
        <v>43</v>
      </c>
      <c r="C581" s="403" t="s">
        <v>213</v>
      </c>
      <c r="D581" s="403" t="s">
        <v>85</v>
      </c>
      <c r="E581" s="563" t="s">
        <v>44</v>
      </c>
      <c r="F581" s="563"/>
      <c r="G581" s="405" t="s">
        <v>68</v>
      </c>
      <c r="H581" s="404" t="s">
        <v>78</v>
      </c>
      <c r="I581" s="404" t="s">
        <v>387</v>
      </c>
      <c r="J581" s="404" t="s">
        <v>291</v>
      </c>
      <c r="K581" s="404" t="s">
        <v>69</v>
      </c>
      <c r="L581" s="66"/>
    </row>
    <row r="582" spans="1:12" ht="25.5" x14ac:dyDescent="0.25">
      <c r="A582" s="406" t="s">
        <v>46</v>
      </c>
      <c r="B582" s="407" t="s">
        <v>1107</v>
      </c>
      <c r="C582" s="406" t="s">
        <v>289</v>
      </c>
      <c r="D582" s="406" t="s">
        <v>1108</v>
      </c>
      <c r="E582" s="566" t="s">
        <v>569</v>
      </c>
      <c r="F582" s="566"/>
      <c r="G582" s="408" t="s">
        <v>48</v>
      </c>
      <c r="H582" s="409">
        <v>1</v>
      </c>
      <c r="I582" s="410"/>
      <c r="J582" s="410">
        <v>0.06</v>
      </c>
      <c r="K582" s="410">
        <v>0.06</v>
      </c>
      <c r="L582" s="66"/>
    </row>
    <row r="583" spans="1:12" ht="25.5" x14ac:dyDescent="0.25">
      <c r="A583" s="411" t="s">
        <v>388</v>
      </c>
      <c r="B583" s="412" t="s">
        <v>1111</v>
      </c>
      <c r="C583" s="411" t="s">
        <v>289</v>
      </c>
      <c r="D583" s="411" t="s">
        <v>1112</v>
      </c>
      <c r="E583" s="565" t="s">
        <v>598</v>
      </c>
      <c r="F583" s="565"/>
      <c r="G583" s="413" t="s">
        <v>33</v>
      </c>
      <c r="H583" s="414">
        <v>5.0000000000000002E-5</v>
      </c>
      <c r="I583" s="414"/>
      <c r="J583" s="415">
        <v>1211.1500000000001</v>
      </c>
      <c r="K583" s="415">
        <v>0.06</v>
      </c>
      <c r="L583" s="66"/>
    </row>
    <row r="584" spans="1:12" ht="25.5" x14ac:dyDescent="0.25">
      <c r="A584" s="416"/>
      <c r="B584" s="416"/>
      <c r="C584" s="416"/>
      <c r="D584" s="416"/>
      <c r="E584" s="416" t="s">
        <v>391</v>
      </c>
      <c r="F584" s="417">
        <v>0</v>
      </c>
      <c r="G584" s="416" t="s">
        <v>392</v>
      </c>
      <c r="H584" s="417">
        <v>0</v>
      </c>
      <c r="I584" s="416" t="s">
        <v>393</v>
      </c>
      <c r="J584" s="417">
        <v>0</v>
      </c>
      <c r="K584"/>
      <c r="L584" s="66"/>
    </row>
    <row r="585" spans="1:12" ht="17.25" thickBot="1" x14ac:dyDescent="0.3">
      <c r="A585" s="416"/>
      <c r="B585" s="416"/>
      <c r="C585" s="416"/>
      <c r="D585" s="416"/>
      <c r="E585" s="416" t="s">
        <v>394</v>
      </c>
      <c r="F585" s="417">
        <v>0</v>
      </c>
      <c r="G585" s="416"/>
      <c r="H585" s="562" t="s">
        <v>395</v>
      </c>
      <c r="I585" s="562"/>
      <c r="J585" s="417">
        <v>0.06</v>
      </c>
      <c r="K585"/>
      <c r="L585" s="66"/>
    </row>
    <row r="586" spans="1:12" ht="15.75" customHeight="1" thickTop="1" x14ac:dyDescent="0.25">
      <c r="A586" s="418"/>
      <c r="B586" s="418"/>
      <c r="C586" s="418"/>
      <c r="D586" s="418"/>
      <c r="E586" s="418"/>
      <c r="F586" s="418"/>
      <c r="G586" s="418"/>
      <c r="H586" s="418"/>
      <c r="I586" s="418"/>
      <c r="J586" s="418"/>
      <c r="K586"/>
      <c r="L586" s="66"/>
    </row>
    <row r="587" spans="1:12" ht="16.5" x14ac:dyDescent="0.25">
      <c r="A587" s="403"/>
      <c r="B587" s="404" t="s">
        <v>43</v>
      </c>
      <c r="C587" s="403" t="s">
        <v>213</v>
      </c>
      <c r="D587" s="403" t="s">
        <v>85</v>
      </c>
      <c r="E587" s="563" t="s">
        <v>44</v>
      </c>
      <c r="F587" s="563"/>
      <c r="G587" s="405" t="s">
        <v>68</v>
      </c>
      <c r="H587" s="404" t="s">
        <v>78</v>
      </c>
      <c r="I587" s="404" t="s">
        <v>387</v>
      </c>
      <c r="J587" s="404" t="s">
        <v>291</v>
      </c>
      <c r="K587" s="404" t="s">
        <v>69</v>
      </c>
      <c r="L587" s="66"/>
    </row>
    <row r="588" spans="1:12" ht="38.25" x14ac:dyDescent="0.25">
      <c r="A588" s="406" t="s">
        <v>46</v>
      </c>
      <c r="B588" s="407" t="s">
        <v>1109</v>
      </c>
      <c r="C588" s="406" t="s">
        <v>289</v>
      </c>
      <c r="D588" s="406" t="s">
        <v>1110</v>
      </c>
      <c r="E588" s="566" t="s">
        <v>569</v>
      </c>
      <c r="F588" s="566"/>
      <c r="G588" s="408" t="s">
        <v>48</v>
      </c>
      <c r="H588" s="409">
        <v>1</v>
      </c>
      <c r="I588" s="410"/>
      <c r="J588" s="410">
        <v>1.26</v>
      </c>
      <c r="K588" s="410">
        <v>1.26</v>
      </c>
      <c r="L588" s="66"/>
    </row>
    <row r="589" spans="1:12" ht="25.5" x14ac:dyDescent="0.25">
      <c r="A589" s="411" t="s">
        <v>388</v>
      </c>
      <c r="B589" s="412" t="s">
        <v>609</v>
      </c>
      <c r="C589" s="411" t="s">
        <v>215</v>
      </c>
      <c r="D589" s="411" t="s">
        <v>610</v>
      </c>
      <c r="E589" s="565" t="s">
        <v>396</v>
      </c>
      <c r="F589" s="565"/>
      <c r="G589" s="413" t="s">
        <v>611</v>
      </c>
      <c r="H589" s="414">
        <v>1.36</v>
      </c>
      <c r="I589" s="414"/>
      <c r="J589" s="415">
        <v>0.93</v>
      </c>
      <c r="K589" s="415">
        <v>1.26</v>
      </c>
      <c r="L589" s="66"/>
    </row>
    <row r="590" spans="1:12" ht="25.5" x14ac:dyDescent="0.25">
      <c r="A590" s="416"/>
      <c r="B590" s="416"/>
      <c r="C590" s="416"/>
      <c r="D590" s="416"/>
      <c r="E590" s="416" t="s">
        <v>391</v>
      </c>
      <c r="F590" s="417">
        <v>0</v>
      </c>
      <c r="G590" s="416" t="s">
        <v>392</v>
      </c>
      <c r="H590" s="417">
        <v>0</v>
      </c>
      <c r="I590" s="416" t="s">
        <v>393</v>
      </c>
      <c r="J590" s="417">
        <v>0</v>
      </c>
      <c r="K590"/>
      <c r="L590" s="66"/>
    </row>
    <row r="591" spans="1:12" ht="17.25" thickBot="1" x14ac:dyDescent="0.3">
      <c r="A591" s="416"/>
      <c r="B591" s="416"/>
      <c r="C591" s="416"/>
      <c r="D591" s="416"/>
      <c r="E591" s="416" t="s">
        <v>394</v>
      </c>
      <c r="F591" s="417">
        <v>0</v>
      </c>
      <c r="G591" s="416"/>
      <c r="H591" s="562" t="s">
        <v>395</v>
      </c>
      <c r="I591" s="562"/>
      <c r="J591" s="417">
        <v>1.26</v>
      </c>
      <c r="K591"/>
      <c r="L591" s="66"/>
    </row>
    <row r="592" spans="1:12" ht="0.95" customHeight="1" thickTop="1" x14ac:dyDescent="0.25">
      <c r="A592" s="268"/>
      <c r="B592" s="268"/>
      <c r="C592" s="268"/>
      <c r="D592" s="271"/>
      <c r="E592" s="268"/>
      <c r="F592" s="268"/>
      <c r="G592" s="268"/>
      <c r="H592" s="268"/>
      <c r="I592" s="268"/>
      <c r="J592" s="268"/>
    </row>
  </sheetData>
  <mergeCells count="538">
    <mergeCell ref="E539:F539"/>
    <mergeCell ref="E540:F540"/>
    <mergeCell ref="E582:F582"/>
    <mergeCell ref="E583:F583"/>
    <mergeCell ref="E588:F588"/>
    <mergeCell ref="E589:F589"/>
    <mergeCell ref="E576:F576"/>
    <mergeCell ref="A1:K1"/>
    <mergeCell ref="B5:E6"/>
    <mergeCell ref="G481:I481"/>
    <mergeCell ref="A482:F482"/>
    <mergeCell ref="G482:I482"/>
    <mergeCell ref="A483:F483"/>
    <mergeCell ref="G483:I483"/>
    <mergeCell ref="H485:I485"/>
    <mergeCell ref="E487:F487"/>
    <mergeCell ref="E488:F488"/>
    <mergeCell ref="A489:A490"/>
    <mergeCell ref="E263:F263"/>
    <mergeCell ref="E365:F365"/>
    <mergeCell ref="E366:F366"/>
    <mergeCell ref="E367:F367"/>
    <mergeCell ref="E359:F359"/>
    <mergeCell ref="E360:F360"/>
    <mergeCell ref="H333:I333"/>
    <mergeCell ref="E280:F280"/>
    <mergeCell ref="E281:F281"/>
    <mergeCell ref="E282:F282"/>
    <mergeCell ref="E283:F283"/>
    <mergeCell ref="E284:F284"/>
    <mergeCell ref="E338:F338"/>
    <mergeCell ref="H340:I340"/>
    <mergeCell ref="G309:I309"/>
    <mergeCell ref="G310:I310"/>
    <mergeCell ref="G311:I311"/>
    <mergeCell ref="A312:F312"/>
    <mergeCell ref="E335:F335"/>
    <mergeCell ref="E336:F336"/>
    <mergeCell ref="E337:F337"/>
    <mergeCell ref="E330:F330"/>
    <mergeCell ref="E331:F331"/>
    <mergeCell ref="E317:F317"/>
    <mergeCell ref="E318:F318"/>
    <mergeCell ref="E316:F316"/>
    <mergeCell ref="E267:F267"/>
    <mergeCell ref="E268:F268"/>
    <mergeCell ref="E269:F269"/>
    <mergeCell ref="E270:F270"/>
    <mergeCell ref="E271:F271"/>
    <mergeCell ref="E272:F272"/>
    <mergeCell ref="E275:F275"/>
    <mergeCell ref="E276:F276"/>
    <mergeCell ref="E273:F273"/>
    <mergeCell ref="E274:F274"/>
    <mergeCell ref="E155:F155"/>
    <mergeCell ref="E156:F156"/>
    <mergeCell ref="E157:F157"/>
    <mergeCell ref="E158:F158"/>
    <mergeCell ref="E220:F220"/>
    <mergeCell ref="E221:F221"/>
    <mergeCell ref="E222:F222"/>
    <mergeCell ref="H204:I204"/>
    <mergeCell ref="E206:F206"/>
    <mergeCell ref="E207:F207"/>
    <mergeCell ref="E208:F208"/>
    <mergeCell ref="E194:F194"/>
    <mergeCell ref="E195:F195"/>
    <mergeCell ref="E196:F196"/>
    <mergeCell ref="E175:F175"/>
    <mergeCell ref="E176:F176"/>
    <mergeCell ref="E177:F177"/>
    <mergeCell ref="E178:F178"/>
    <mergeCell ref="E173:F173"/>
    <mergeCell ref="E174:F174"/>
    <mergeCell ref="E215:F215"/>
    <mergeCell ref="E216:F216"/>
    <mergeCell ref="E212:F212"/>
    <mergeCell ref="E200:F200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01:F101"/>
    <mergeCell ref="E102:F102"/>
    <mergeCell ref="E103:F103"/>
    <mergeCell ref="E104:F104"/>
    <mergeCell ref="H573:I573"/>
    <mergeCell ref="E9:F9"/>
    <mergeCell ref="E21:F21"/>
    <mergeCell ref="E22:F22"/>
    <mergeCell ref="E27:F27"/>
    <mergeCell ref="E10:F10"/>
    <mergeCell ref="E15:F15"/>
    <mergeCell ref="E16:F16"/>
    <mergeCell ref="E71:F71"/>
    <mergeCell ref="E72:F72"/>
    <mergeCell ref="E73:F73"/>
    <mergeCell ref="E59:F59"/>
    <mergeCell ref="E60:F60"/>
    <mergeCell ref="E61:F61"/>
    <mergeCell ref="E47:F47"/>
    <mergeCell ref="E48:F48"/>
    <mergeCell ref="E49:F49"/>
    <mergeCell ref="E28:F28"/>
    <mergeCell ref="E83:F83"/>
    <mergeCell ref="E84:F84"/>
    <mergeCell ref="E85:F85"/>
    <mergeCell ref="E86:F86"/>
    <mergeCell ref="E141:F141"/>
    <mergeCell ref="E142:F142"/>
    <mergeCell ref="E562:F562"/>
    <mergeCell ref="E563:F563"/>
    <mergeCell ref="E564:F564"/>
    <mergeCell ref="E545:F545"/>
    <mergeCell ref="E546:F546"/>
    <mergeCell ref="E547:F547"/>
    <mergeCell ref="E565:F565"/>
    <mergeCell ref="E571:F571"/>
    <mergeCell ref="E553:F553"/>
    <mergeCell ref="E554:F554"/>
    <mergeCell ref="E555:F555"/>
    <mergeCell ref="E569:F569"/>
    <mergeCell ref="E570:F570"/>
    <mergeCell ref="E535:F535"/>
    <mergeCell ref="E520:F520"/>
    <mergeCell ref="E509:F509"/>
    <mergeCell ref="E513:F513"/>
    <mergeCell ref="E439:F439"/>
    <mergeCell ref="E440:F440"/>
    <mergeCell ref="E419:F419"/>
    <mergeCell ref="E420:F420"/>
    <mergeCell ref="E421:F421"/>
    <mergeCell ref="E425:F425"/>
    <mergeCell ref="E426:F426"/>
    <mergeCell ref="E527:F527"/>
    <mergeCell ref="E528:F528"/>
    <mergeCell ref="E529:F529"/>
    <mergeCell ref="E517:F517"/>
    <mergeCell ref="E518:F518"/>
    <mergeCell ref="E519:F519"/>
    <mergeCell ref="A481:F481"/>
    <mergeCell ref="A478:F478"/>
    <mergeCell ref="E369:F369"/>
    <mergeCell ref="E370:F370"/>
    <mergeCell ref="H372:I372"/>
    <mergeCell ref="E374:F374"/>
    <mergeCell ref="E375:F375"/>
    <mergeCell ref="E376:F376"/>
    <mergeCell ref="E378:F378"/>
    <mergeCell ref="E433:F433"/>
    <mergeCell ref="E434:F434"/>
    <mergeCell ref="E427:F427"/>
    <mergeCell ref="E428:F428"/>
    <mergeCell ref="E418:F418"/>
    <mergeCell ref="E377:F377"/>
    <mergeCell ref="H347:I347"/>
    <mergeCell ref="E350:F350"/>
    <mergeCell ref="E351:F351"/>
    <mergeCell ref="E352:F352"/>
    <mergeCell ref="H354:I354"/>
    <mergeCell ref="E356:F356"/>
    <mergeCell ref="E357:F357"/>
    <mergeCell ref="E358:F358"/>
    <mergeCell ref="E368:F368"/>
    <mergeCell ref="E361:F361"/>
    <mergeCell ref="H363:I363"/>
    <mergeCell ref="E349:F349"/>
    <mergeCell ref="G312:I312"/>
    <mergeCell ref="H314:I314"/>
    <mergeCell ref="H320:I320"/>
    <mergeCell ref="E322:F322"/>
    <mergeCell ref="H326:I326"/>
    <mergeCell ref="E328:F328"/>
    <mergeCell ref="G302:I302"/>
    <mergeCell ref="A303:F303"/>
    <mergeCell ref="G303:I303"/>
    <mergeCell ref="A304:F304"/>
    <mergeCell ref="G304:I304"/>
    <mergeCell ref="G305:I305"/>
    <mergeCell ref="G306:I306"/>
    <mergeCell ref="G307:I307"/>
    <mergeCell ref="G308:I308"/>
    <mergeCell ref="E323:F323"/>
    <mergeCell ref="E324:F324"/>
    <mergeCell ref="E329:F329"/>
    <mergeCell ref="E287:F287"/>
    <mergeCell ref="E288:F288"/>
    <mergeCell ref="E289:F289"/>
    <mergeCell ref="E285:F285"/>
    <mergeCell ref="E286:F286"/>
    <mergeCell ref="A302:F302"/>
    <mergeCell ref="E188:F188"/>
    <mergeCell ref="E189:F189"/>
    <mergeCell ref="E190:F190"/>
    <mergeCell ref="E261:F261"/>
    <mergeCell ref="E262:F262"/>
    <mergeCell ref="E249:F249"/>
    <mergeCell ref="E248:F248"/>
    <mergeCell ref="E228:F228"/>
    <mergeCell ref="E241:F241"/>
    <mergeCell ref="E242:F242"/>
    <mergeCell ref="E243:F243"/>
    <mergeCell ref="E244:F244"/>
    <mergeCell ref="E229:F229"/>
    <mergeCell ref="E223:F223"/>
    <mergeCell ref="E224:F224"/>
    <mergeCell ref="E213:F213"/>
    <mergeCell ref="E214:F214"/>
    <mergeCell ref="E201:F201"/>
    <mergeCell ref="E202:F202"/>
    <mergeCell ref="E179:F179"/>
    <mergeCell ref="E180:F180"/>
    <mergeCell ref="E181:F181"/>
    <mergeCell ref="E182:F182"/>
    <mergeCell ref="E183:F183"/>
    <mergeCell ref="E184:F184"/>
    <mergeCell ref="E166:F166"/>
    <mergeCell ref="E167:F167"/>
    <mergeCell ref="E168:F168"/>
    <mergeCell ref="E169:F169"/>
    <mergeCell ref="E123:F123"/>
    <mergeCell ref="E124:F124"/>
    <mergeCell ref="E113:F113"/>
    <mergeCell ref="E114:F114"/>
    <mergeCell ref="E115:F115"/>
    <mergeCell ref="E116:F116"/>
    <mergeCell ref="E163:F163"/>
    <mergeCell ref="E164:F164"/>
    <mergeCell ref="E165:F165"/>
    <mergeCell ref="E159:F159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31:F131"/>
    <mergeCell ref="E132:F132"/>
    <mergeCell ref="E133:F133"/>
    <mergeCell ref="E134:F134"/>
    <mergeCell ref="E147:F147"/>
    <mergeCell ref="E148:F148"/>
    <mergeCell ref="E137:F137"/>
    <mergeCell ref="E138:F138"/>
    <mergeCell ref="E139:F139"/>
    <mergeCell ref="E140:F140"/>
    <mergeCell ref="E135:F135"/>
    <mergeCell ref="E136:F136"/>
    <mergeCell ref="E125:F125"/>
    <mergeCell ref="E126:F126"/>
    <mergeCell ref="E127:F127"/>
    <mergeCell ref="E79:F79"/>
    <mergeCell ref="E105:F105"/>
    <mergeCell ref="E106:F106"/>
    <mergeCell ref="E107:F107"/>
    <mergeCell ref="E108:F108"/>
    <mergeCell ref="E109:F109"/>
    <mergeCell ref="E110:F110"/>
    <mergeCell ref="E93:F93"/>
    <mergeCell ref="E94:F94"/>
    <mergeCell ref="E95:F95"/>
    <mergeCell ref="E96:F96"/>
    <mergeCell ref="E97:F97"/>
    <mergeCell ref="E98:F98"/>
    <mergeCell ref="E99:F99"/>
    <mergeCell ref="E100:F100"/>
    <mergeCell ref="E89:F89"/>
    <mergeCell ref="E90:F90"/>
    <mergeCell ref="E33:F33"/>
    <mergeCell ref="E65:F65"/>
    <mergeCell ref="E66:F66"/>
    <mergeCell ref="E67:F67"/>
    <mergeCell ref="E53:F53"/>
    <mergeCell ref="E54:F54"/>
    <mergeCell ref="E55:F55"/>
    <mergeCell ref="E34:F34"/>
    <mergeCell ref="A41:F41"/>
    <mergeCell ref="F35:I35"/>
    <mergeCell ref="A37:F37"/>
    <mergeCell ref="G37:I37"/>
    <mergeCell ref="A38:F38"/>
    <mergeCell ref="G38:I38"/>
    <mergeCell ref="A39:F39"/>
    <mergeCell ref="G39:I39"/>
    <mergeCell ref="A40:F40"/>
    <mergeCell ref="G40:I40"/>
    <mergeCell ref="A8:K8"/>
    <mergeCell ref="E11:F11"/>
    <mergeCell ref="H13:I13"/>
    <mergeCell ref="E17:F17"/>
    <mergeCell ref="H19:I19"/>
    <mergeCell ref="E23:F23"/>
    <mergeCell ref="H25:I25"/>
    <mergeCell ref="E29:F29"/>
    <mergeCell ref="H31:I31"/>
    <mergeCell ref="G235:I235"/>
    <mergeCell ref="G41:I41"/>
    <mergeCell ref="A42:F42"/>
    <mergeCell ref="G42:I42"/>
    <mergeCell ref="A43:F43"/>
    <mergeCell ref="G43:I43"/>
    <mergeCell ref="H45:I45"/>
    <mergeCell ref="H51:I51"/>
    <mergeCell ref="H57:I57"/>
    <mergeCell ref="H63:I63"/>
    <mergeCell ref="H69:I69"/>
    <mergeCell ref="H75:I75"/>
    <mergeCell ref="H81:I81"/>
    <mergeCell ref="H129:I129"/>
    <mergeCell ref="E160:F160"/>
    <mergeCell ref="E161:F161"/>
    <mergeCell ref="E162:F162"/>
    <mergeCell ref="H171:I171"/>
    <mergeCell ref="E91:F91"/>
    <mergeCell ref="E92:F92"/>
    <mergeCell ref="E87:F87"/>
    <mergeCell ref="E88:F88"/>
    <mergeCell ref="E77:F77"/>
    <mergeCell ref="E78:F78"/>
    <mergeCell ref="A252:F252"/>
    <mergeCell ref="G252:I252"/>
    <mergeCell ref="A253:F253"/>
    <mergeCell ref="G253:I253"/>
    <mergeCell ref="A254:F254"/>
    <mergeCell ref="G254:I254"/>
    <mergeCell ref="G255:I255"/>
    <mergeCell ref="G256:I256"/>
    <mergeCell ref="H186:I186"/>
    <mergeCell ref="H192:I192"/>
    <mergeCell ref="H198:I198"/>
    <mergeCell ref="H210:I210"/>
    <mergeCell ref="H218:I218"/>
    <mergeCell ref="H226:I226"/>
    <mergeCell ref="A230:F230"/>
    <mergeCell ref="G230:I230"/>
    <mergeCell ref="A231:F231"/>
    <mergeCell ref="G231:I231"/>
    <mergeCell ref="A232:F232"/>
    <mergeCell ref="G232:I232"/>
    <mergeCell ref="A233:F233"/>
    <mergeCell ref="G233:I233"/>
    <mergeCell ref="A234:F234"/>
    <mergeCell ref="G234:I234"/>
    <mergeCell ref="G236:I236"/>
    <mergeCell ref="A237:F237"/>
    <mergeCell ref="G237:I237"/>
    <mergeCell ref="H239:I239"/>
    <mergeCell ref="H246:I246"/>
    <mergeCell ref="A250:F250"/>
    <mergeCell ref="G250:I250"/>
    <mergeCell ref="A251:F251"/>
    <mergeCell ref="G251:I251"/>
    <mergeCell ref="J393:J394"/>
    <mergeCell ref="A396:F396"/>
    <mergeCell ref="G396:I396"/>
    <mergeCell ref="A257:F257"/>
    <mergeCell ref="G257:I257"/>
    <mergeCell ref="H259:I259"/>
    <mergeCell ref="H265:I265"/>
    <mergeCell ref="H278:I278"/>
    <mergeCell ref="H291:I291"/>
    <mergeCell ref="E293:F293"/>
    <mergeCell ref="E294:F294"/>
    <mergeCell ref="F295:I295"/>
    <mergeCell ref="A298:F298"/>
    <mergeCell ref="G298:I298"/>
    <mergeCell ref="A299:F299"/>
    <mergeCell ref="G299:I299"/>
    <mergeCell ref="A300:F300"/>
    <mergeCell ref="G300:I300"/>
    <mergeCell ref="A301:F301"/>
    <mergeCell ref="G301:I301"/>
    <mergeCell ref="E342:F342"/>
    <mergeCell ref="E343:F343"/>
    <mergeCell ref="E344:F344"/>
    <mergeCell ref="E345:F345"/>
    <mergeCell ref="A393:A394"/>
    <mergeCell ref="B393:B394"/>
    <mergeCell ref="C393:C394"/>
    <mergeCell ref="D393:D394"/>
    <mergeCell ref="E393:E394"/>
    <mergeCell ref="F393:G393"/>
    <mergeCell ref="H393:I393"/>
    <mergeCell ref="A397:F397"/>
    <mergeCell ref="G397:I397"/>
    <mergeCell ref="G406:I406"/>
    <mergeCell ref="G407:I407"/>
    <mergeCell ref="E379:F379"/>
    <mergeCell ref="H381:I381"/>
    <mergeCell ref="E383:F383"/>
    <mergeCell ref="E384:F384"/>
    <mergeCell ref="E385:F385"/>
    <mergeCell ref="E386:F386"/>
    <mergeCell ref="E387:F387"/>
    <mergeCell ref="H389:I389"/>
    <mergeCell ref="E391:F391"/>
    <mergeCell ref="E392:F392"/>
    <mergeCell ref="A398:F398"/>
    <mergeCell ref="G398:I398"/>
    <mergeCell ref="A399:F399"/>
    <mergeCell ref="G399:I399"/>
    <mergeCell ref="A400:F400"/>
    <mergeCell ref="G400:I400"/>
    <mergeCell ref="A401:F401"/>
    <mergeCell ref="G401:I401"/>
    <mergeCell ref="E435:F435"/>
    <mergeCell ref="A408:F408"/>
    <mergeCell ref="G408:I408"/>
    <mergeCell ref="H410:I410"/>
    <mergeCell ref="E412:F412"/>
    <mergeCell ref="E413:F413"/>
    <mergeCell ref="E414:F414"/>
    <mergeCell ref="H416:I416"/>
    <mergeCell ref="E429:F429"/>
    <mergeCell ref="H431:I431"/>
    <mergeCell ref="H423:I423"/>
    <mergeCell ref="G402:I402"/>
    <mergeCell ref="G403:I403"/>
    <mergeCell ref="A404:F404"/>
    <mergeCell ref="G404:I404"/>
    <mergeCell ref="G405:I405"/>
    <mergeCell ref="A471:K471"/>
    <mergeCell ref="H437:I437"/>
    <mergeCell ref="E441:F441"/>
    <mergeCell ref="H443:I443"/>
    <mergeCell ref="E447:F447"/>
    <mergeCell ref="H449:I449"/>
    <mergeCell ref="A453:A454"/>
    <mergeCell ref="B453:B454"/>
    <mergeCell ref="C453:C454"/>
    <mergeCell ref="D453:D454"/>
    <mergeCell ref="E453:E454"/>
    <mergeCell ref="F453:G453"/>
    <mergeCell ref="H453:I453"/>
    <mergeCell ref="E451:F451"/>
    <mergeCell ref="E452:F452"/>
    <mergeCell ref="E445:F445"/>
    <mergeCell ref="E446:F446"/>
    <mergeCell ref="A460:F460"/>
    <mergeCell ref="G460:I460"/>
    <mergeCell ref="A461:F461"/>
    <mergeCell ref="G461:I461"/>
    <mergeCell ref="H463:I463"/>
    <mergeCell ref="E465:F465"/>
    <mergeCell ref="E466:F466"/>
    <mergeCell ref="E467:F467"/>
    <mergeCell ref="H469:I469"/>
    <mergeCell ref="J453:J454"/>
    <mergeCell ref="A456:F456"/>
    <mergeCell ref="G456:I456"/>
    <mergeCell ref="A457:F457"/>
    <mergeCell ref="G457:I457"/>
    <mergeCell ref="A458:F458"/>
    <mergeCell ref="G458:I458"/>
    <mergeCell ref="A459:F459"/>
    <mergeCell ref="G459:I459"/>
    <mergeCell ref="E472:F472"/>
    <mergeCell ref="E473:F473"/>
    <mergeCell ref="A474:A475"/>
    <mergeCell ref="B474:B475"/>
    <mergeCell ref="C474:C475"/>
    <mergeCell ref="D474:D475"/>
    <mergeCell ref="E474:E475"/>
    <mergeCell ref="F474:G474"/>
    <mergeCell ref="H474:I474"/>
    <mergeCell ref="E511:F511"/>
    <mergeCell ref="E512:F512"/>
    <mergeCell ref="H515:I515"/>
    <mergeCell ref="J474:J475"/>
    <mergeCell ref="J489:J490"/>
    <mergeCell ref="A492:F492"/>
    <mergeCell ref="G492:I492"/>
    <mergeCell ref="F493:I493"/>
    <mergeCell ref="A495:F495"/>
    <mergeCell ref="G495:I495"/>
    <mergeCell ref="A496:F496"/>
    <mergeCell ref="G496:I496"/>
    <mergeCell ref="G478:I478"/>
    <mergeCell ref="A479:F479"/>
    <mergeCell ref="G479:I479"/>
    <mergeCell ref="A480:F480"/>
    <mergeCell ref="G480:I480"/>
    <mergeCell ref="E521:F521"/>
    <mergeCell ref="B489:B490"/>
    <mergeCell ref="C489:C490"/>
    <mergeCell ref="D489:D490"/>
    <mergeCell ref="E489:E490"/>
    <mergeCell ref="F489:G489"/>
    <mergeCell ref="H489:I489"/>
    <mergeCell ref="A498:F498"/>
    <mergeCell ref="G498:I498"/>
    <mergeCell ref="A499:F499"/>
    <mergeCell ref="G499:I499"/>
    <mergeCell ref="A500:F500"/>
    <mergeCell ref="G500:I500"/>
    <mergeCell ref="A501:F501"/>
    <mergeCell ref="G501:I501"/>
    <mergeCell ref="G502:I502"/>
    <mergeCell ref="G503:I503"/>
    <mergeCell ref="G504:I504"/>
    <mergeCell ref="A497:F497"/>
    <mergeCell ref="G497:I497"/>
    <mergeCell ref="A505:F505"/>
    <mergeCell ref="G505:I505"/>
    <mergeCell ref="H507:I507"/>
    <mergeCell ref="E510:F510"/>
    <mergeCell ref="H585:I585"/>
    <mergeCell ref="E587:F587"/>
    <mergeCell ref="H591:I591"/>
    <mergeCell ref="E522:F522"/>
    <mergeCell ref="E523:F523"/>
    <mergeCell ref="H525:I525"/>
    <mergeCell ref="H531:I531"/>
    <mergeCell ref="E533:F533"/>
    <mergeCell ref="E534:F534"/>
    <mergeCell ref="H537:I537"/>
    <mergeCell ref="E541:F541"/>
    <mergeCell ref="H543:I543"/>
    <mergeCell ref="H549:I549"/>
    <mergeCell ref="E551:F551"/>
    <mergeCell ref="E552:F552"/>
    <mergeCell ref="H557:I557"/>
    <mergeCell ref="E559:F559"/>
    <mergeCell ref="E560:F560"/>
    <mergeCell ref="E561:F561"/>
    <mergeCell ref="H567:I567"/>
    <mergeCell ref="E577:F577"/>
    <mergeCell ref="H579:I579"/>
    <mergeCell ref="E581:F581"/>
    <mergeCell ref="E575:F57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Header>&amp;L&amp;G</oddHeader>
    <oddFooter>&amp;L&amp;"Arial Narrow,Normal"&amp;10&amp;A
&amp;F&amp;R&amp;"Arial Narrow,Normal"&amp;10Página &amp;P de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BFFC-5CE9-4E42-8380-49F111E845E1}">
  <dimension ref="B1:Y30"/>
  <sheetViews>
    <sheetView showGridLines="0" showZeros="0" view="pageBreakPreview" topLeftCell="A3" zoomScaleNormal="100" zoomScaleSheetLayoutView="100" workbookViewId="0">
      <selection activeCell="F19" sqref="F19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5" s="65" customFormat="1" ht="20.100000000000001" customHeight="1" x14ac:dyDescent="0.25">
      <c r="B1" s="466" t="s">
        <v>1012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5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5" s="65" customFormat="1" ht="20.100000000000001" customHeight="1" x14ac:dyDescent="0.25"/>
    <row r="4" spans="2:25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L4" s="2"/>
      <c r="N4" s="3" t="s">
        <v>62</v>
      </c>
      <c r="O4" s="4" t="str">
        <f>+'DADOS DA OBRA'!$N$22</f>
        <v>18/11/2024</v>
      </c>
      <c r="R4" s="31"/>
      <c r="S4" s="31"/>
      <c r="T4" s="32"/>
      <c r="U4" s="32"/>
    </row>
    <row r="5" spans="2:25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N5" s="3" t="s">
        <v>17</v>
      </c>
      <c r="O5" s="4" t="str">
        <f>'DADOS DA OBRA'!$N$25</f>
        <v>02</v>
      </c>
    </row>
    <row r="6" spans="2:25" s="5" customFormat="1" ht="20.100000000000001" customHeight="1" x14ac:dyDescent="0.25"/>
    <row r="7" spans="2:25" s="5" customFormat="1" ht="20.100000000000001" customHeight="1" x14ac:dyDescent="0.25">
      <c r="B7" s="5" t="s">
        <v>255</v>
      </c>
      <c r="E7" s="192" t="s">
        <v>885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2:25" ht="20.100000000000001" customHeight="1" x14ac:dyDescent="0.25">
      <c r="B8" s="5" t="s">
        <v>256</v>
      </c>
      <c r="C8" s="5"/>
      <c r="D8" s="5"/>
      <c r="E8" s="191">
        <v>1</v>
      </c>
      <c r="F8" s="180" t="s">
        <v>257</v>
      </c>
      <c r="G8" s="181">
        <v>0.03</v>
      </c>
      <c r="H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2:25" ht="20.100000000000001" customHeight="1" thickBot="1" x14ac:dyDescent="0.3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O9" s="75"/>
    </row>
    <row r="10" spans="2:25" s="167" customFormat="1" ht="24" customHeight="1" thickBot="1" x14ac:dyDescent="0.3">
      <c r="B10" s="63"/>
      <c r="C10" s="575" t="s">
        <v>85</v>
      </c>
      <c r="D10" s="576"/>
      <c r="E10" s="577"/>
      <c r="F10" s="581" t="s">
        <v>258</v>
      </c>
      <c r="G10" s="63"/>
      <c r="H10" s="63"/>
      <c r="I10" s="583" t="s">
        <v>259</v>
      </c>
      <c r="J10" s="584"/>
      <c r="K10" s="585"/>
      <c r="L10" s="197"/>
      <c r="M10" s="583" t="s">
        <v>273</v>
      </c>
      <c r="N10" s="584"/>
      <c r="O10" s="585"/>
    </row>
    <row r="11" spans="2:25" s="167" customFormat="1" ht="20.100000000000001" customHeight="1" thickBot="1" x14ac:dyDescent="0.3">
      <c r="B11" s="63"/>
      <c r="C11" s="578"/>
      <c r="D11" s="579"/>
      <c r="E11" s="580"/>
      <c r="F11" s="582"/>
      <c r="G11" s="170"/>
      <c r="H11" s="170"/>
      <c r="I11" s="198" t="s">
        <v>260</v>
      </c>
      <c r="J11" s="199" t="s">
        <v>261</v>
      </c>
      <c r="K11" s="200" t="s">
        <v>262</v>
      </c>
      <c r="M11" s="207">
        <v>20.34</v>
      </c>
      <c r="N11" s="208">
        <v>22.12</v>
      </c>
      <c r="O11" s="209">
        <v>25</v>
      </c>
    </row>
    <row r="12" spans="2:25" s="167" customFormat="1" ht="20.100000000000001" customHeight="1" x14ac:dyDescent="0.25">
      <c r="B12" s="168"/>
      <c r="C12" s="193" t="s">
        <v>263</v>
      </c>
      <c r="D12" s="194"/>
      <c r="E12" s="194"/>
      <c r="F12" s="195">
        <v>4</v>
      </c>
      <c r="G12" s="169"/>
      <c r="H12" s="64"/>
      <c r="I12" s="201">
        <v>3</v>
      </c>
      <c r="J12" s="202">
        <v>4</v>
      </c>
      <c r="K12" s="203">
        <v>5.5</v>
      </c>
    </row>
    <row r="13" spans="2:25" s="167" customFormat="1" ht="20.100000000000001" customHeight="1" x14ac:dyDescent="0.25">
      <c r="B13" s="168"/>
      <c r="C13" s="193" t="s">
        <v>264</v>
      </c>
      <c r="D13" s="194"/>
      <c r="E13" s="194"/>
      <c r="F13" s="195">
        <v>0.12</v>
      </c>
      <c r="G13" s="169"/>
      <c r="H13" s="64"/>
      <c r="I13" s="201">
        <v>0.8</v>
      </c>
      <c r="J13" s="202">
        <v>0.8</v>
      </c>
      <c r="K13" s="203">
        <v>1</v>
      </c>
    </row>
    <row r="14" spans="2:25" s="167" customFormat="1" ht="20.100000000000001" customHeight="1" x14ac:dyDescent="0.25">
      <c r="B14" s="168"/>
      <c r="C14" s="193" t="s">
        <v>265</v>
      </c>
      <c r="D14" s="194"/>
      <c r="E14" s="194"/>
      <c r="F14" s="195">
        <f t="shared" ref="F14:F18" si="0">I14</f>
        <v>0.97</v>
      </c>
      <c r="G14" s="169"/>
      <c r="H14" s="64"/>
      <c r="I14" s="201">
        <v>0.97</v>
      </c>
      <c r="J14" s="202">
        <v>1.27</v>
      </c>
      <c r="K14" s="203">
        <v>1.27</v>
      </c>
    </row>
    <row r="15" spans="2:25" s="167" customFormat="1" ht="20.100000000000001" customHeight="1" x14ac:dyDescent="0.25">
      <c r="B15" s="168"/>
      <c r="C15" s="193" t="s">
        <v>266</v>
      </c>
      <c r="D15" s="194"/>
      <c r="E15" s="194"/>
      <c r="F15" s="195">
        <v>0.88</v>
      </c>
      <c r="G15" s="169"/>
      <c r="H15" s="64"/>
      <c r="I15" s="201">
        <v>0.59</v>
      </c>
      <c r="J15" s="202">
        <v>1.23</v>
      </c>
      <c r="K15" s="203">
        <v>1.39</v>
      </c>
    </row>
    <row r="16" spans="2:25" s="167" customFormat="1" ht="20.100000000000001" customHeight="1" x14ac:dyDescent="0.25">
      <c r="B16" s="168"/>
      <c r="C16" s="193" t="s">
        <v>267</v>
      </c>
      <c r="D16" s="194"/>
      <c r="E16" s="194"/>
      <c r="F16" s="195">
        <v>7.4</v>
      </c>
      <c r="G16" s="169"/>
      <c r="H16" s="64"/>
      <c r="I16" s="201">
        <v>6.16</v>
      </c>
      <c r="J16" s="202">
        <v>7.4</v>
      </c>
      <c r="K16" s="203">
        <v>8.9600000000000009</v>
      </c>
    </row>
    <row r="17" spans="2:25" s="167" customFormat="1" ht="20.100000000000001" customHeight="1" x14ac:dyDescent="0.25">
      <c r="B17" s="168"/>
      <c r="C17" s="193" t="s">
        <v>268</v>
      </c>
      <c r="D17" s="194"/>
      <c r="E17" s="194"/>
      <c r="F17" s="195">
        <f t="shared" si="0"/>
        <v>0.65</v>
      </c>
      <c r="G17" s="169"/>
      <c r="H17" s="64"/>
      <c r="I17" s="201">
        <v>0.65</v>
      </c>
      <c r="J17" s="202">
        <v>0.65</v>
      </c>
      <c r="K17" s="203">
        <v>0.65</v>
      </c>
    </row>
    <row r="18" spans="2:25" s="167" customFormat="1" ht="20.100000000000001" customHeight="1" x14ac:dyDescent="0.25">
      <c r="B18" s="168"/>
      <c r="C18" s="193" t="s">
        <v>269</v>
      </c>
      <c r="D18" s="194"/>
      <c r="E18" s="194"/>
      <c r="F18" s="195">
        <f t="shared" si="0"/>
        <v>3</v>
      </c>
      <c r="G18" s="169"/>
      <c r="H18" s="64"/>
      <c r="I18" s="201">
        <v>3</v>
      </c>
      <c r="J18" s="202">
        <v>3</v>
      </c>
      <c r="K18" s="203">
        <v>3</v>
      </c>
    </row>
    <row r="19" spans="2:25" s="167" customFormat="1" ht="20.100000000000001" customHeight="1" thickBot="1" x14ac:dyDescent="0.3">
      <c r="B19" s="168"/>
      <c r="C19" s="193" t="s">
        <v>270</v>
      </c>
      <c r="D19" s="194"/>
      <c r="E19" s="194"/>
      <c r="F19" s="195">
        <f>+G8*100</f>
        <v>3</v>
      </c>
      <c r="G19" s="169"/>
      <c r="H19" s="64"/>
      <c r="I19" s="204">
        <v>2</v>
      </c>
      <c r="J19" s="205">
        <v>2</v>
      </c>
      <c r="K19" s="206">
        <v>5</v>
      </c>
    </row>
    <row r="20" spans="2:25" s="167" customFormat="1" ht="20.100000000000001" customHeight="1" x14ac:dyDescent="0.25">
      <c r="B20" s="168"/>
      <c r="C20" s="193" t="s">
        <v>271</v>
      </c>
      <c r="D20" s="194"/>
      <c r="E20" s="194"/>
      <c r="F20" s="195"/>
      <c r="G20" s="169"/>
      <c r="H20" s="64"/>
      <c r="I20" s="210" t="s">
        <v>281</v>
      </c>
      <c r="J20" s="99"/>
      <c r="K20" s="64"/>
    </row>
    <row r="21" spans="2:25" s="167" customFormat="1" ht="20.100000000000001" customHeight="1" thickBot="1" x14ac:dyDescent="0.3">
      <c r="B21" s="168"/>
      <c r="C21" s="586" t="s">
        <v>272</v>
      </c>
      <c r="D21" s="587"/>
      <c r="E21" s="588"/>
      <c r="F21" s="196">
        <f>TRUNC((((((1+F12/100+F13/100+F14/100)*(1+F15/100)*(1+F16/100))/(1-(F17/100+F18/100+F19/100+F20/100)))-1)*100),2)</f>
        <v>21.97</v>
      </c>
      <c r="G21" s="173"/>
      <c r="H21" s="64"/>
      <c r="J21" s="5"/>
      <c r="K21" s="5"/>
      <c r="L21" s="5"/>
      <c r="M21" s="5"/>
    </row>
    <row r="22" spans="2:25" s="167" customFormat="1" ht="20.100000000000001" customHeight="1" x14ac:dyDescent="0.25">
      <c r="B22" s="63"/>
      <c r="C22" s="7"/>
      <c r="D22" s="171"/>
      <c r="E22" s="174"/>
      <c r="F22" s="174"/>
      <c r="G22" s="174"/>
      <c r="H22" s="175"/>
      <c r="I22" s="182"/>
      <c r="J22" s="182"/>
      <c r="K22" s="182"/>
    </row>
    <row r="23" spans="2:25" s="167" customFormat="1" ht="20.100000000000001" customHeight="1" x14ac:dyDescent="0.25">
      <c r="B23" s="574" t="s">
        <v>274</v>
      </c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</row>
    <row r="24" spans="2:25" s="167" customFormat="1" ht="20.100000000000001" customHeight="1" x14ac:dyDescent="0.25"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</row>
    <row r="25" spans="2:25" s="167" customFormat="1" ht="20.100000000000001" customHeight="1" x14ac:dyDescent="0.25">
      <c r="B25" s="183" t="s">
        <v>275</v>
      </c>
      <c r="C25" s="188"/>
      <c r="D25" s="188"/>
      <c r="E25" s="188"/>
      <c r="F25" s="188"/>
      <c r="G25" s="188"/>
      <c r="H25" s="188"/>
      <c r="I25" s="188"/>
      <c r="J25" s="184"/>
      <c r="K25" s="184"/>
      <c r="L25" s="184"/>
      <c r="M25" s="189"/>
      <c r="N25" s="189"/>
      <c r="O25" s="189"/>
      <c r="P25" s="190"/>
      <c r="Q25" s="190"/>
      <c r="R25" s="190"/>
      <c r="S25" s="190"/>
      <c r="T25" s="190"/>
      <c r="U25" s="190"/>
      <c r="V25" s="190"/>
      <c r="W25" s="190"/>
      <c r="X25" s="190"/>
      <c r="Y25" s="190"/>
    </row>
    <row r="26" spans="2:25" s="167" customFormat="1" ht="20.100000000000001" customHeight="1" x14ac:dyDescent="0.25">
      <c r="B26" s="183" t="s">
        <v>276</v>
      </c>
      <c r="C26" s="184"/>
      <c r="D26" s="185"/>
      <c r="E26" s="185"/>
      <c r="F26" s="185"/>
      <c r="G26" s="185"/>
      <c r="H26" s="185"/>
      <c r="I26" s="185"/>
      <c r="J26" s="185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5"/>
    </row>
    <row r="27" spans="2:25" s="167" customFormat="1" ht="20.100000000000001" customHeight="1" x14ac:dyDescent="0.25">
      <c r="B27" s="183" t="s">
        <v>277</v>
      </c>
      <c r="C27" s="184"/>
      <c r="D27" s="185"/>
      <c r="E27" s="185"/>
      <c r="F27" s="185"/>
      <c r="G27" s="185"/>
      <c r="H27" s="185"/>
      <c r="I27" s="185"/>
      <c r="J27" s="185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5"/>
    </row>
    <row r="28" spans="2:25" s="167" customFormat="1" ht="20.100000000000001" customHeight="1" x14ac:dyDescent="0.25">
      <c r="B28" s="183" t="s">
        <v>278</v>
      </c>
      <c r="C28" s="188"/>
      <c r="D28" s="188"/>
      <c r="E28" s="188"/>
      <c r="F28" s="188"/>
      <c r="G28" s="188"/>
      <c r="H28" s="188"/>
      <c r="I28" s="188"/>
      <c r="J28" s="184"/>
      <c r="K28" s="184"/>
      <c r="L28" s="184"/>
      <c r="M28" s="189"/>
      <c r="N28" s="189"/>
      <c r="O28" s="189"/>
      <c r="P28" s="190"/>
      <c r="Q28" s="190"/>
      <c r="R28" s="190"/>
      <c r="S28" s="190"/>
      <c r="T28" s="190"/>
      <c r="U28" s="190"/>
      <c r="V28" s="190"/>
      <c r="W28" s="190"/>
      <c r="X28" s="190"/>
      <c r="Y28" s="190"/>
    </row>
    <row r="29" spans="2:25" s="167" customFormat="1" ht="20.100000000000001" customHeight="1" x14ac:dyDescent="0.25">
      <c r="B29" s="183" t="s">
        <v>279</v>
      </c>
      <c r="C29" s="184"/>
      <c r="D29" s="185"/>
      <c r="E29" s="185"/>
      <c r="F29" s="185"/>
      <c r="G29" s="185"/>
      <c r="H29" s="185"/>
      <c r="I29" s="185"/>
      <c r="J29" s="185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5"/>
    </row>
    <row r="30" spans="2:25" s="167" customFormat="1" ht="20.100000000000001" customHeight="1" x14ac:dyDescent="0.25">
      <c r="B30" s="183" t="s">
        <v>280</v>
      </c>
      <c r="C30" s="184"/>
      <c r="D30" s="185"/>
      <c r="E30" s="185"/>
      <c r="F30" s="185"/>
      <c r="G30" s="185"/>
      <c r="H30" s="185"/>
      <c r="I30" s="185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5"/>
    </row>
  </sheetData>
  <mergeCells count="7">
    <mergeCell ref="B23:Y23"/>
    <mergeCell ref="B1:P2"/>
    <mergeCell ref="C10:E11"/>
    <mergeCell ref="F10:F11"/>
    <mergeCell ref="I10:K10"/>
    <mergeCell ref="M10:O10"/>
    <mergeCell ref="C21:E21"/>
  </mergeCells>
  <conditionalFormatting sqref="E7">
    <cfRule type="cellIs" dxfId="9" priority="1" stopIfTrue="1" operator="equal">
      <formula>0</formula>
    </cfRule>
  </conditionalFormatting>
  <conditionalFormatting sqref="F12:F18">
    <cfRule type="cellIs" dxfId="8" priority="2" stopIfTrue="1" operator="equal">
      <formula>0</formula>
    </cfRule>
  </conditionalFormatting>
  <conditionalFormatting sqref="Q7:Y7">
    <cfRule type="cellIs" dxfId="7" priority="3" stopIfTrue="1" operator="equal">
      <formula>0</formula>
    </cfRule>
  </conditionalFormatting>
  <printOptions horizontalCentered="1"/>
  <pageMargins left="0.51181102362204722" right="0.51181102362204722" top="0.78740157480314965" bottom="0.78740157480314965" header="0.31496062992125984" footer="0.39370078740157483"/>
  <pageSetup paperSize="9" scale="66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3608-9C04-4BDD-933D-2D2E8DB3B373}">
  <dimension ref="B1:Y30"/>
  <sheetViews>
    <sheetView showGridLines="0" showZeros="0" view="pageBreakPreview" topLeftCell="A7" zoomScaleNormal="100" zoomScaleSheetLayoutView="100" workbookViewId="0">
      <selection activeCell="M10" sqref="M10:O10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5" s="65" customFormat="1" ht="20.100000000000001" customHeight="1" x14ac:dyDescent="0.25">
      <c r="B1" s="466" t="s">
        <v>284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5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5" s="65" customFormat="1" ht="20.100000000000001" customHeight="1" x14ac:dyDescent="0.25"/>
    <row r="4" spans="2:25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L4" s="2"/>
      <c r="N4" s="3" t="s">
        <v>62</v>
      </c>
      <c r="O4" s="4" t="str">
        <f>+'DADOS DA OBRA'!$N$22</f>
        <v>18/11/2024</v>
      </c>
      <c r="R4" s="31"/>
      <c r="S4" s="31"/>
      <c r="T4" s="32"/>
      <c r="U4" s="32"/>
    </row>
    <row r="5" spans="2:25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N5" s="3" t="s">
        <v>17</v>
      </c>
      <c r="O5" s="4" t="str">
        <f>'DADOS DA OBRA'!$N$25</f>
        <v>02</v>
      </c>
    </row>
    <row r="6" spans="2:25" s="5" customFormat="1" ht="20.100000000000001" customHeight="1" x14ac:dyDescent="0.25"/>
    <row r="7" spans="2:25" s="5" customFormat="1" ht="20.100000000000001" customHeight="1" x14ac:dyDescent="0.25">
      <c r="B7" s="5" t="s">
        <v>255</v>
      </c>
      <c r="E7" s="192" t="s">
        <v>885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2:25" ht="20.100000000000001" customHeight="1" x14ac:dyDescent="0.25">
      <c r="B8" s="5" t="s">
        <v>256</v>
      </c>
      <c r="C8" s="5"/>
      <c r="D8" s="5"/>
      <c r="E8" s="191">
        <v>1</v>
      </c>
      <c r="F8" s="180" t="s">
        <v>257</v>
      </c>
      <c r="G8" s="181">
        <v>0.03</v>
      </c>
      <c r="H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2:25" ht="20.100000000000001" customHeight="1" thickBot="1" x14ac:dyDescent="0.3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O9" s="75"/>
    </row>
    <row r="10" spans="2:25" s="167" customFormat="1" ht="24" customHeight="1" thickBot="1" x14ac:dyDescent="0.3">
      <c r="B10" s="63"/>
      <c r="C10" s="575" t="s">
        <v>85</v>
      </c>
      <c r="D10" s="576"/>
      <c r="E10" s="577"/>
      <c r="F10" s="581" t="s">
        <v>258</v>
      </c>
      <c r="G10" s="63"/>
      <c r="H10" s="63"/>
      <c r="I10" s="583" t="s">
        <v>259</v>
      </c>
      <c r="J10" s="584"/>
      <c r="K10" s="585"/>
      <c r="L10" s="197"/>
      <c r="M10" s="583" t="s">
        <v>273</v>
      </c>
      <c r="N10" s="584"/>
      <c r="O10" s="585"/>
    </row>
    <row r="11" spans="2:25" s="167" customFormat="1" ht="20.100000000000001" customHeight="1" thickBot="1" x14ac:dyDescent="0.3">
      <c r="B11" s="63"/>
      <c r="C11" s="578"/>
      <c r="D11" s="579"/>
      <c r="E11" s="580"/>
      <c r="F11" s="582"/>
      <c r="G11" s="170"/>
      <c r="H11" s="170"/>
      <c r="I11" s="198" t="s">
        <v>260</v>
      </c>
      <c r="J11" s="199" t="s">
        <v>261</v>
      </c>
      <c r="K11" s="200" t="s">
        <v>262</v>
      </c>
      <c r="M11" s="207">
        <v>11.1</v>
      </c>
      <c r="N11" s="208">
        <v>14.02</v>
      </c>
      <c r="O11" s="209">
        <v>16.8</v>
      </c>
    </row>
    <row r="12" spans="2:25" s="167" customFormat="1" ht="20.100000000000001" customHeight="1" x14ac:dyDescent="0.25">
      <c r="B12" s="168"/>
      <c r="C12" s="193" t="s">
        <v>263</v>
      </c>
      <c r="D12" s="194"/>
      <c r="E12" s="194"/>
      <c r="F12" s="195">
        <v>3.45</v>
      </c>
      <c r="G12" s="169"/>
      <c r="H12" s="64"/>
      <c r="I12" s="201">
        <v>1.5</v>
      </c>
      <c r="J12" s="202">
        <v>3.45</v>
      </c>
      <c r="K12" s="203">
        <v>4.49</v>
      </c>
    </row>
    <row r="13" spans="2:25" s="167" customFormat="1" ht="20.100000000000001" customHeight="1" x14ac:dyDescent="0.25">
      <c r="B13" s="168"/>
      <c r="C13" s="193" t="s">
        <v>264</v>
      </c>
      <c r="D13" s="194"/>
      <c r="E13" s="194"/>
      <c r="F13" s="195">
        <v>0.06</v>
      </c>
      <c r="G13" s="169"/>
      <c r="H13" s="64"/>
      <c r="I13" s="201">
        <v>0.3</v>
      </c>
      <c r="J13" s="202">
        <v>0.48</v>
      </c>
      <c r="K13" s="203">
        <v>0.82</v>
      </c>
    </row>
    <row r="14" spans="2:25" s="167" customFormat="1" ht="20.100000000000001" customHeight="1" x14ac:dyDescent="0.25">
      <c r="B14" s="168"/>
      <c r="C14" s="193" t="s">
        <v>265</v>
      </c>
      <c r="D14" s="194"/>
      <c r="E14" s="194"/>
      <c r="F14" s="195">
        <f t="shared" ref="F14:F18" si="0">I14</f>
        <v>0.56000000000000005</v>
      </c>
      <c r="G14" s="169"/>
      <c r="H14" s="64"/>
      <c r="I14" s="201">
        <v>0.56000000000000005</v>
      </c>
      <c r="J14" s="202">
        <v>0.85</v>
      </c>
      <c r="K14" s="203">
        <v>0.89</v>
      </c>
    </row>
    <row r="15" spans="2:25" s="167" customFormat="1" ht="20.100000000000001" customHeight="1" x14ac:dyDescent="0.25">
      <c r="B15" s="168"/>
      <c r="C15" s="193" t="s">
        <v>266</v>
      </c>
      <c r="D15" s="194"/>
      <c r="E15" s="194"/>
      <c r="F15" s="195">
        <v>0.88</v>
      </c>
      <c r="G15" s="169"/>
      <c r="H15" s="64"/>
      <c r="I15" s="201">
        <v>0.85</v>
      </c>
      <c r="J15" s="202">
        <v>0.85</v>
      </c>
      <c r="K15" s="203">
        <v>1.1100000000000001</v>
      </c>
    </row>
    <row r="16" spans="2:25" s="167" customFormat="1" ht="20.100000000000001" customHeight="1" x14ac:dyDescent="0.25">
      <c r="B16" s="168"/>
      <c r="C16" s="193" t="s">
        <v>267</v>
      </c>
      <c r="D16" s="194"/>
      <c r="E16" s="194"/>
      <c r="F16" s="195">
        <v>4.8</v>
      </c>
      <c r="G16" s="169"/>
      <c r="H16" s="64"/>
      <c r="I16" s="201">
        <v>3.5</v>
      </c>
      <c r="J16" s="202">
        <v>5.1100000000000003</v>
      </c>
      <c r="K16" s="203">
        <v>6.22</v>
      </c>
    </row>
    <row r="17" spans="2:25" s="167" customFormat="1" ht="20.100000000000001" customHeight="1" x14ac:dyDescent="0.25">
      <c r="B17" s="168"/>
      <c r="C17" s="193" t="s">
        <v>268</v>
      </c>
      <c r="D17" s="194"/>
      <c r="E17" s="194"/>
      <c r="F17" s="195">
        <f t="shared" si="0"/>
        <v>0.65</v>
      </c>
      <c r="G17" s="169"/>
      <c r="H17" s="64"/>
      <c r="I17" s="201">
        <v>0.65</v>
      </c>
      <c r="J17" s="202">
        <v>0.65</v>
      </c>
      <c r="K17" s="203">
        <v>0.65</v>
      </c>
    </row>
    <row r="18" spans="2:25" s="167" customFormat="1" ht="20.100000000000001" customHeight="1" x14ac:dyDescent="0.25">
      <c r="B18" s="168"/>
      <c r="C18" s="193" t="s">
        <v>269</v>
      </c>
      <c r="D18" s="194"/>
      <c r="E18" s="194"/>
      <c r="F18" s="195">
        <f t="shared" si="0"/>
        <v>3</v>
      </c>
      <c r="G18" s="169"/>
      <c r="H18" s="64"/>
      <c r="I18" s="201">
        <v>3</v>
      </c>
      <c r="J18" s="202">
        <v>3</v>
      </c>
      <c r="K18" s="203">
        <v>3</v>
      </c>
    </row>
    <row r="19" spans="2:25" s="167" customFormat="1" ht="20.100000000000001" customHeight="1" thickBot="1" x14ac:dyDescent="0.3">
      <c r="B19" s="168"/>
      <c r="C19" s="193" t="s">
        <v>270</v>
      </c>
      <c r="D19" s="194"/>
      <c r="E19" s="194"/>
      <c r="F19" s="195"/>
      <c r="G19" s="169"/>
      <c r="H19" s="64"/>
      <c r="I19" s="204">
        <v>2</v>
      </c>
      <c r="J19" s="205">
        <v>2</v>
      </c>
      <c r="K19" s="206">
        <v>5</v>
      </c>
    </row>
    <row r="20" spans="2:25" s="167" customFormat="1" ht="20.100000000000001" customHeight="1" x14ac:dyDescent="0.25">
      <c r="B20" s="168"/>
      <c r="C20" s="193" t="s">
        <v>271</v>
      </c>
      <c r="D20" s="194"/>
      <c r="E20" s="194"/>
      <c r="F20" s="195"/>
      <c r="G20" s="169"/>
      <c r="H20" s="64"/>
      <c r="I20" s="210" t="s">
        <v>281</v>
      </c>
      <c r="J20" s="99"/>
      <c r="K20" s="64"/>
    </row>
    <row r="21" spans="2:25" s="167" customFormat="1" ht="20.100000000000001" customHeight="1" thickBot="1" x14ac:dyDescent="0.3">
      <c r="B21" s="168"/>
      <c r="C21" s="586" t="s">
        <v>272</v>
      </c>
      <c r="D21" s="587"/>
      <c r="E21" s="588"/>
      <c r="F21" s="196">
        <f>TRUNC((((((1+F12/100+F13/100+F14/100)*(1+F15/100)*(1+F16/100))/(1-(F17/100+F18/100+F19/100+F20/100)))-1)*100),2)</f>
        <v>14.19</v>
      </c>
      <c r="G21" s="173"/>
      <c r="H21" s="64"/>
      <c r="J21" s="5"/>
      <c r="K21" s="5"/>
      <c r="L21" s="5"/>
      <c r="M21" s="5"/>
    </row>
    <row r="22" spans="2:25" s="167" customFormat="1" ht="20.100000000000001" customHeight="1" x14ac:dyDescent="0.25">
      <c r="B22" s="63"/>
      <c r="C22" s="7"/>
      <c r="D22" s="171"/>
      <c r="E22" s="174"/>
      <c r="F22" s="174"/>
      <c r="G22" s="174"/>
      <c r="H22" s="175"/>
      <c r="I22" s="182"/>
      <c r="J22" s="182"/>
      <c r="K22" s="182"/>
    </row>
    <row r="23" spans="2:25" s="167" customFormat="1" ht="20.100000000000001" customHeight="1" x14ac:dyDescent="0.25">
      <c r="B23" s="574" t="s">
        <v>274</v>
      </c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</row>
    <row r="24" spans="2:25" s="167" customFormat="1" ht="20.100000000000001" customHeight="1" x14ac:dyDescent="0.25"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</row>
    <row r="25" spans="2:25" s="167" customFormat="1" ht="20.100000000000001" customHeight="1" x14ac:dyDescent="0.25">
      <c r="B25" s="183" t="s">
        <v>275</v>
      </c>
      <c r="C25" s="188"/>
      <c r="D25" s="188"/>
      <c r="E25" s="188"/>
      <c r="F25" s="188"/>
      <c r="G25" s="188"/>
      <c r="H25" s="188"/>
      <c r="I25" s="188"/>
      <c r="J25" s="184"/>
      <c r="K25" s="184"/>
      <c r="L25" s="184"/>
      <c r="M25" s="189"/>
      <c r="N25" s="189"/>
      <c r="O25" s="189"/>
      <c r="P25" s="190"/>
      <c r="Q25" s="190"/>
      <c r="R25" s="190"/>
      <c r="S25" s="190"/>
      <c r="T25" s="190"/>
      <c r="U25" s="190"/>
      <c r="V25" s="190"/>
      <c r="W25" s="190"/>
      <c r="X25" s="190"/>
      <c r="Y25" s="190"/>
    </row>
    <row r="26" spans="2:25" s="167" customFormat="1" ht="20.100000000000001" customHeight="1" x14ac:dyDescent="0.25">
      <c r="B26" s="183" t="s">
        <v>276</v>
      </c>
      <c r="C26" s="184"/>
      <c r="D26" s="185"/>
      <c r="E26" s="185"/>
      <c r="F26" s="185"/>
      <c r="G26" s="185"/>
      <c r="H26" s="185"/>
      <c r="I26" s="185"/>
      <c r="J26" s="185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5"/>
    </row>
    <row r="27" spans="2:25" s="167" customFormat="1" ht="20.100000000000001" customHeight="1" x14ac:dyDescent="0.25">
      <c r="B27" s="183" t="s">
        <v>277</v>
      </c>
      <c r="C27" s="184"/>
      <c r="D27" s="185"/>
      <c r="E27" s="185"/>
      <c r="F27" s="185"/>
      <c r="G27" s="185"/>
      <c r="H27" s="185"/>
      <c r="I27" s="185"/>
      <c r="J27" s="185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5"/>
    </row>
    <row r="28" spans="2:25" s="167" customFormat="1" ht="20.100000000000001" customHeight="1" x14ac:dyDescent="0.25">
      <c r="B28" s="183" t="s">
        <v>278</v>
      </c>
      <c r="C28" s="188"/>
      <c r="D28" s="188"/>
      <c r="E28" s="188"/>
      <c r="F28" s="188"/>
      <c r="G28" s="188"/>
      <c r="H28" s="188"/>
      <c r="I28" s="188"/>
      <c r="J28" s="184"/>
      <c r="K28" s="184"/>
      <c r="L28" s="184"/>
      <c r="M28" s="189"/>
      <c r="N28" s="189"/>
      <c r="O28" s="189"/>
      <c r="P28" s="190"/>
      <c r="Q28" s="190"/>
      <c r="R28" s="190"/>
      <c r="S28" s="190"/>
      <c r="T28" s="190"/>
      <c r="U28" s="190"/>
      <c r="V28" s="190"/>
      <c r="W28" s="190"/>
      <c r="X28" s="190"/>
      <c r="Y28" s="190"/>
    </row>
    <row r="29" spans="2:25" s="167" customFormat="1" ht="20.100000000000001" customHeight="1" x14ac:dyDescent="0.25">
      <c r="B29" s="183" t="s">
        <v>279</v>
      </c>
      <c r="C29" s="184"/>
      <c r="D29" s="185"/>
      <c r="E29" s="185"/>
      <c r="F29" s="185"/>
      <c r="G29" s="185"/>
      <c r="H29" s="185"/>
      <c r="I29" s="185"/>
      <c r="J29" s="185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5"/>
    </row>
    <row r="30" spans="2:25" s="167" customFormat="1" ht="20.100000000000001" customHeight="1" x14ac:dyDescent="0.25">
      <c r="B30" s="183" t="s">
        <v>280</v>
      </c>
      <c r="C30" s="184"/>
      <c r="D30" s="185"/>
      <c r="E30" s="185"/>
      <c r="F30" s="185"/>
      <c r="G30" s="185"/>
      <c r="H30" s="185"/>
      <c r="I30" s="185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5"/>
    </row>
  </sheetData>
  <mergeCells count="7">
    <mergeCell ref="B23:Y23"/>
    <mergeCell ref="B1:P2"/>
    <mergeCell ref="C10:E11"/>
    <mergeCell ref="F10:F11"/>
    <mergeCell ref="I10:K10"/>
    <mergeCell ref="M10:O10"/>
    <mergeCell ref="C21:E21"/>
  </mergeCells>
  <conditionalFormatting sqref="E7 Q7:Y7">
    <cfRule type="cellIs" dxfId="6" priority="2" stopIfTrue="1" operator="equal">
      <formula>0</formula>
    </cfRule>
  </conditionalFormatting>
  <conditionalFormatting sqref="F12:F18">
    <cfRule type="cellIs" dxfId="5" priority="1" stopIfTrue="1" operator="equal">
      <formula>0</formula>
    </cfRule>
  </conditionalFormatting>
  <printOptions horizontalCentered="1"/>
  <pageMargins left="0.51181102362204722" right="0.51181102362204722" top="0.78740157480314965" bottom="0.78740157480314965" header="0.31496062992125984" footer="0.39370078740157483"/>
  <pageSetup paperSize="9" scale="66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C182-4B42-4ADD-9F41-711A359D8635}">
  <dimension ref="B1:K95"/>
  <sheetViews>
    <sheetView showGridLines="0" view="pageBreakPreview" zoomScaleNormal="85" zoomScaleSheetLayoutView="100" workbookViewId="0">
      <selection activeCell="C5" sqref="C5:E5"/>
    </sheetView>
  </sheetViews>
  <sheetFormatPr defaultRowHeight="12.75" x14ac:dyDescent="0.25"/>
  <cols>
    <col min="1" max="1" width="1.7109375" style="45" customWidth="1"/>
    <col min="2" max="2" width="9" style="45" customWidth="1"/>
    <col min="3" max="3" width="91.7109375" style="45" customWidth="1"/>
    <col min="4" max="4" width="11.7109375" style="45" customWidth="1"/>
    <col min="5" max="5" width="14.28515625" style="45" customWidth="1"/>
    <col min="6" max="6" width="11.85546875" style="292" customWidth="1"/>
    <col min="7" max="7" width="11.7109375" style="292" customWidth="1"/>
    <col min="8" max="8" width="1.7109375" style="45" customWidth="1"/>
    <col min="9" max="16384" width="9.140625" style="45"/>
  </cols>
  <sheetData>
    <row r="1" spans="2:11" s="217" customFormat="1" ht="24.75" customHeight="1" x14ac:dyDescent="0.25">
      <c r="B1" s="466" t="s">
        <v>689</v>
      </c>
      <c r="C1" s="466"/>
      <c r="D1" s="466"/>
      <c r="E1" s="466"/>
      <c r="F1" s="466"/>
      <c r="G1" s="466"/>
      <c r="H1" s="228"/>
      <c r="I1" s="228"/>
      <c r="J1" s="228"/>
      <c r="K1" s="115"/>
    </row>
    <row r="2" spans="2:11" s="217" customFormat="1" ht="9.9499999999999993" customHeight="1" x14ac:dyDescent="0.25">
      <c r="C2" s="115"/>
      <c r="D2" s="115"/>
      <c r="E2" s="115"/>
      <c r="F2" s="66"/>
      <c r="G2" s="115"/>
      <c r="H2" s="115"/>
      <c r="I2" s="115"/>
      <c r="J2" s="115"/>
      <c r="K2" s="115"/>
    </row>
    <row r="3" spans="2:11" s="218" customFormat="1" ht="15" customHeight="1" x14ac:dyDescent="0.25">
      <c r="B3" s="219" t="s">
        <v>16</v>
      </c>
      <c r="C3" s="220" t="str">
        <f>'DADOS DA OBRA'!$B$13</f>
        <v>Demolição do Estádio Ulisses Jayme, em Pirenópolis-GO, e Destinação Final de Resíduos de Construção.</v>
      </c>
      <c r="F3" s="222" t="s">
        <v>62</v>
      </c>
      <c r="G3" s="223" t="str">
        <f>'DADOS DA OBRA'!$N$22</f>
        <v>18/11/2024</v>
      </c>
      <c r="H3" s="221"/>
      <c r="K3" s="221"/>
    </row>
    <row r="4" spans="2:11" s="218" customFormat="1" ht="15" customHeight="1" x14ac:dyDescent="0.25">
      <c r="B4" s="219" t="s">
        <v>18</v>
      </c>
      <c r="C4" s="221" t="str">
        <f>+""&amp;'DADOS DA OBRA'!$B$16&amp;", "&amp;'DADOS DA OBRA'!$J$19&amp;", "&amp;'DADOS DA OBRA'!$P$19</f>
        <v xml:space="preserve"> R. 21 de Abril, 10 , Pirenópolis, GO</v>
      </c>
      <c r="F4" s="222" t="s">
        <v>17</v>
      </c>
      <c r="G4" s="223" t="str">
        <f>'DADOS DA OBRA'!$N$25</f>
        <v>02</v>
      </c>
    </row>
    <row r="5" spans="2:11" s="218" customFormat="1" ht="28.5" customHeight="1" x14ac:dyDescent="0.25">
      <c r="B5" s="219" t="s">
        <v>369</v>
      </c>
      <c r="C5" s="490" t="str">
        <f>'DADOS DA OBRA'!$B$28</f>
        <v>AGETOP CIVIL - 06/2024 - Goiás &gt; AGETOP RODOVIARIA - 06/2024 - Goiás &gt; SINAPI - 09/2024 - Goiás &gt; SICRO3 - 04/2024 - Goiás &gt; ORSE - 06/2024 - Sergipe &gt; SETOP - 07/2024 - Minas Gerais &gt; SIURB - 01/2024 - São Paulo &gt; CPOS - 06/2024 - São Paulo</v>
      </c>
      <c r="D5" s="490"/>
      <c r="E5" s="490"/>
      <c r="F5" s="222"/>
      <c r="G5" s="224"/>
    </row>
    <row r="6" spans="2:11" s="225" customFormat="1" ht="6.95" customHeight="1" thickBot="1" x14ac:dyDescent="0.3">
      <c r="D6" s="79"/>
      <c r="J6" s="226"/>
      <c r="K6" s="227"/>
    </row>
    <row r="7" spans="2:11" ht="15.75" customHeight="1" x14ac:dyDescent="0.25">
      <c r="B7" s="597" t="s">
        <v>49</v>
      </c>
      <c r="C7" s="598" t="s">
        <v>629</v>
      </c>
      <c r="D7" s="600" t="s">
        <v>630</v>
      </c>
      <c r="E7" s="600"/>
      <c r="F7" s="601" t="s">
        <v>631</v>
      </c>
      <c r="G7" s="602"/>
    </row>
    <row r="8" spans="2:11" ht="24.95" customHeight="1" thickBot="1" x14ac:dyDescent="0.3">
      <c r="B8" s="595"/>
      <c r="C8" s="599"/>
      <c r="D8" s="277" t="s">
        <v>632</v>
      </c>
      <c r="E8" s="277" t="s">
        <v>633</v>
      </c>
      <c r="F8" s="277" t="s">
        <v>632</v>
      </c>
      <c r="G8" s="278" t="s">
        <v>633</v>
      </c>
    </row>
    <row r="9" spans="2:11" x14ac:dyDescent="0.25">
      <c r="B9" s="589" t="s">
        <v>634</v>
      </c>
      <c r="C9" s="590"/>
      <c r="D9" s="590"/>
      <c r="E9" s="590"/>
      <c r="F9" s="590"/>
      <c r="G9" s="591"/>
    </row>
    <row r="10" spans="2:11" x14ac:dyDescent="0.25">
      <c r="B10" s="279" t="s">
        <v>635</v>
      </c>
      <c r="C10" s="280" t="s">
        <v>636</v>
      </c>
      <c r="D10" s="281">
        <v>0</v>
      </c>
      <c r="E10" s="281">
        <v>0</v>
      </c>
      <c r="F10" s="281">
        <v>0.2</v>
      </c>
      <c r="G10" s="282">
        <v>0.2</v>
      </c>
    </row>
    <row r="11" spans="2:11" x14ac:dyDescent="0.25">
      <c r="B11" s="279" t="s">
        <v>637</v>
      </c>
      <c r="C11" s="280" t="s">
        <v>638</v>
      </c>
      <c r="D11" s="281">
        <v>1.4999999999999999E-2</v>
      </c>
      <c r="E11" s="281">
        <v>1.4999999999999999E-2</v>
      </c>
      <c r="F11" s="281">
        <v>1.4999999999999999E-2</v>
      </c>
      <c r="G11" s="282">
        <v>1.4999999999999999E-2</v>
      </c>
    </row>
    <row r="12" spans="2:11" x14ac:dyDescent="0.25">
      <c r="B12" s="279" t="s">
        <v>639</v>
      </c>
      <c r="C12" s="280" t="s">
        <v>640</v>
      </c>
      <c r="D12" s="281">
        <v>0.01</v>
      </c>
      <c r="E12" s="281">
        <v>0.01</v>
      </c>
      <c r="F12" s="281">
        <v>0.01</v>
      </c>
      <c r="G12" s="282">
        <v>0.01</v>
      </c>
    </row>
    <row r="13" spans="2:11" x14ac:dyDescent="0.25">
      <c r="B13" s="279" t="s">
        <v>641</v>
      </c>
      <c r="C13" s="280" t="s">
        <v>642</v>
      </c>
      <c r="D13" s="281">
        <v>2E-3</v>
      </c>
      <c r="E13" s="281">
        <v>2E-3</v>
      </c>
      <c r="F13" s="281">
        <v>2E-3</v>
      </c>
      <c r="G13" s="282">
        <v>2E-3</v>
      </c>
    </row>
    <row r="14" spans="2:11" x14ac:dyDescent="0.25">
      <c r="B14" s="279" t="s">
        <v>643</v>
      </c>
      <c r="C14" s="280" t="s">
        <v>644</v>
      </c>
      <c r="D14" s="281">
        <v>6.0000000000000001E-3</v>
      </c>
      <c r="E14" s="281">
        <v>6.0000000000000001E-3</v>
      </c>
      <c r="F14" s="281">
        <v>6.0000000000000001E-3</v>
      </c>
      <c r="G14" s="282">
        <v>6.0000000000000001E-3</v>
      </c>
    </row>
    <row r="15" spans="2:11" x14ac:dyDescent="0.25">
      <c r="B15" s="279" t="s">
        <v>645</v>
      </c>
      <c r="C15" s="280" t="s">
        <v>646</v>
      </c>
      <c r="D15" s="281">
        <v>2.5000000000000001E-2</v>
      </c>
      <c r="E15" s="281">
        <v>2.5000000000000001E-2</v>
      </c>
      <c r="F15" s="281">
        <v>2.5000000000000001E-2</v>
      </c>
      <c r="G15" s="282">
        <v>2.5000000000000001E-2</v>
      </c>
    </row>
    <row r="16" spans="2:11" x14ac:dyDescent="0.25">
      <c r="B16" s="279" t="s">
        <v>647</v>
      </c>
      <c r="C16" s="280" t="s">
        <v>648</v>
      </c>
      <c r="D16" s="281">
        <v>0.03</v>
      </c>
      <c r="E16" s="281">
        <v>0.03</v>
      </c>
      <c r="F16" s="281">
        <v>0.03</v>
      </c>
      <c r="G16" s="282">
        <v>0.03</v>
      </c>
    </row>
    <row r="17" spans="2:7" x14ac:dyDescent="0.25">
      <c r="B17" s="279" t="s">
        <v>649</v>
      </c>
      <c r="C17" s="280" t="s">
        <v>650</v>
      </c>
      <c r="D17" s="281">
        <v>0.08</v>
      </c>
      <c r="E17" s="281">
        <v>0.08</v>
      </c>
      <c r="F17" s="281">
        <v>0.08</v>
      </c>
      <c r="G17" s="282">
        <v>0.08</v>
      </c>
    </row>
    <row r="18" spans="2:7" x14ac:dyDescent="0.25">
      <c r="B18" s="279" t="s">
        <v>651</v>
      </c>
      <c r="C18" s="280" t="s">
        <v>652</v>
      </c>
      <c r="D18" s="281">
        <v>0.01</v>
      </c>
      <c r="E18" s="281">
        <v>0.01</v>
      </c>
      <c r="F18" s="281">
        <v>0.01</v>
      </c>
      <c r="G18" s="282">
        <v>0.01</v>
      </c>
    </row>
    <row r="19" spans="2:7" x14ac:dyDescent="0.25">
      <c r="B19" s="283" t="s">
        <v>87</v>
      </c>
      <c r="C19" s="284" t="s">
        <v>69</v>
      </c>
      <c r="D19" s="285">
        <f>SUM(D10:D18)</f>
        <v>0.17799999999999999</v>
      </c>
      <c r="E19" s="285">
        <f t="shared" ref="E19:G19" si="0">SUM(E10:E18)</f>
        <v>0.17799999999999999</v>
      </c>
      <c r="F19" s="285">
        <f t="shared" si="0"/>
        <v>0.37800000000000006</v>
      </c>
      <c r="G19" s="286">
        <f t="shared" si="0"/>
        <v>0.37800000000000006</v>
      </c>
    </row>
    <row r="20" spans="2:7" x14ac:dyDescent="0.25">
      <c r="B20" s="592" t="s">
        <v>653</v>
      </c>
      <c r="C20" s="593"/>
      <c r="D20" s="593"/>
      <c r="E20" s="593"/>
      <c r="F20" s="593"/>
      <c r="G20" s="594"/>
    </row>
    <row r="21" spans="2:7" x14ac:dyDescent="0.25">
      <c r="B21" s="279" t="s">
        <v>95</v>
      </c>
      <c r="C21" s="280" t="s">
        <v>654</v>
      </c>
      <c r="D21" s="281">
        <v>0.17810000000000001</v>
      </c>
      <c r="E21" s="287" t="s">
        <v>655</v>
      </c>
      <c r="F21" s="281">
        <v>0.17810000000000001</v>
      </c>
      <c r="G21" s="288" t="s">
        <v>655</v>
      </c>
    </row>
    <row r="22" spans="2:7" x14ac:dyDescent="0.25">
      <c r="B22" s="279" t="s">
        <v>82</v>
      </c>
      <c r="C22" s="280" t="s">
        <v>656</v>
      </c>
      <c r="D22" s="281">
        <v>3.6999999999999998E-2</v>
      </c>
      <c r="E22" s="287" t="s">
        <v>655</v>
      </c>
      <c r="F22" s="281">
        <v>3.6999999999999998E-2</v>
      </c>
      <c r="G22" s="288" t="s">
        <v>655</v>
      </c>
    </row>
    <row r="23" spans="2:7" x14ac:dyDescent="0.25">
      <c r="B23" s="279" t="s">
        <v>83</v>
      </c>
      <c r="C23" s="280" t="s">
        <v>657</v>
      </c>
      <c r="D23" s="281">
        <v>8.6E-3</v>
      </c>
      <c r="E23" s="281">
        <v>6.4000000000000003E-3</v>
      </c>
      <c r="F23" s="281">
        <v>8.6E-3</v>
      </c>
      <c r="G23" s="282">
        <v>6.4000000000000003E-3</v>
      </c>
    </row>
    <row r="24" spans="2:7" x14ac:dyDescent="0.25">
      <c r="B24" s="279" t="s">
        <v>84</v>
      </c>
      <c r="C24" s="280" t="s">
        <v>658</v>
      </c>
      <c r="D24" s="281">
        <v>0.1118</v>
      </c>
      <c r="E24" s="281">
        <v>8.3299999999999999E-2</v>
      </c>
      <c r="F24" s="281">
        <v>0.1118</v>
      </c>
      <c r="G24" s="282">
        <v>8.3299999999999999E-2</v>
      </c>
    </row>
    <row r="25" spans="2:7" x14ac:dyDescent="0.25">
      <c r="B25" s="279" t="s">
        <v>659</v>
      </c>
      <c r="C25" s="280" t="s">
        <v>660</v>
      </c>
      <c r="D25" s="281">
        <v>5.9999999999999995E-4</v>
      </c>
      <c r="E25" s="281">
        <v>4.0000000000000002E-4</v>
      </c>
      <c r="F25" s="281">
        <v>5.9999999999999995E-4</v>
      </c>
      <c r="G25" s="282">
        <v>4.0000000000000002E-4</v>
      </c>
    </row>
    <row r="26" spans="2:7" x14ac:dyDescent="0.25">
      <c r="B26" s="279" t="s">
        <v>661</v>
      </c>
      <c r="C26" s="280" t="s">
        <v>662</v>
      </c>
      <c r="D26" s="281">
        <v>7.4999999999999997E-3</v>
      </c>
      <c r="E26" s="281">
        <v>5.5999999999999999E-3</v>
      </c>
      <c r="F26" s="281">
        <v>7.4999999999999997E-3</v>
      </c>
      <c r="G26" s="282">
        <v>5.5999999999999999E-3</v>
      </c>
    </row>
    <row r="27" spans="2:7" x14ac:dyDescent="0.25">
      <c r="B27" s="279" t="s">
        <v>663</v>
      </c>
      <c r="C27" s="280" t="s">
        <v>664</v>
      </c>
      <c r="D27" s="281">
        <v>1.3599999999999999E-2</v>
      </c>
      <c r="E27" s="287" t="s">
        <v>655</v>
      </c>
      <c r="F27" s="281">
        <v>1.3599999999999999E-2</v>
      </c>
      <c r="G27" s="288" t="s">
        <v>655</v>
      </c>
    </row>
    <row r="28" spans="2:7" x14ac:dyDescent="0.25">
      <c r="B28" s="279" t="s">
        <v>665</v>
      </c>
      <c r="C28" s="280" t="s">
        <v>666</v>
      </c>
      <c r="D28" s="281">
        <v>1E-3</v>
      </c>
      <c r="E28" s="281">
        <v>8.0000000000000004E-4</v>
      </c>
      <c r="F28" s="281">
        <v>1E-3</v>
      </c>
      <c r="G28" s="282">
        <v>8.0000000000000004E-4</v>
      </c>
    </row>
    <row r="29" spans="2:7" x14ac:dyDescent="0.25">
      <c r="B29" s="279" t="s">
        <v>667</v>
      </c>
      <c r="C29" s="280" t="s">
        <v>668</v>
      </c>
      <c r="D29" s="281">
        <v>0</v>
      </c>
      <c r="E29" s="281">
        <v>0</v>
      </c>
      <c r="F29" s="281">
        <v>0</v>
      </c>
      <c r="G29" s="282">
        <v>0</v>
      </c>
    </row>
    <row r="30" spans="2:7" x14ac:dyDescent="0.25">
      <c r="B30" s="279" t="s">
        <v>669</v>
      </c>
      <c r="C30" s="280" t="s">
        <v>670</v>
      </c>
      <c r="D30" s="281">
        <v>4.0000000000000002E-4</v>
      </c>
      <c r="E30" s="281">
        <v>2.9999999999999997E-4</v>
      </c>
      <c r="F30" s="281">
        <v>4.0000000000000002E-4</v>
      </c>
      <c r="G30" s="282">
        <v>2.9999999999999997E-4</v>
      </c>
    </row>
    <row r="31" spans="2:7" x14ac:dyDescent="0.25">
      <c r="B31" s="283" t="s">
        <v>88</v>
      </c>
      <c r="C31" s="284" t="s">
        <v>69</v>
      </c>
      <c r="D31" s="285">
        <f>SUM(D21:D30)</f>
        <v>0.35860000000000003</v>
      </c>
      <c r="E31" s="285">
        <f t="shared" ref="E31:G31" si="1">SUM(E21:E30)</f>
        <v>9.6799999999999983E-2</v>
      </c>
      <c r="F31" s="285">
        <f t="shared" si="1"/>
        <v>0.35860000000000003</v>
      </c>
      <c r="G31" s="286">
        <f t="shared" si="1"/>
        <v>9.6799999999999983E-2</v>
      </c>
    </row>
    <row r="32" spans="2:7" x14ac:dyDescent="0.25">
      <c r="B32" s="592" t="s">
        <v>671</v>
      </c>
      <c r="C32" s="593"/>
      <c r="D32" s="593"/>
      <c r="E32" s="593"/>
      <c r="F32" s="593"/>
      <c r="G32" s="594"/>
    </row>
    <row r="33" spans="2:7" x14ac:dyDescent="0.25">
      <c r="B33" s="279" t="s">
        <v>672</v>
      </c>
      <c r="C33" s="280" t="s">
        <v>673</v>
      </c>
      <c r="D33" s="281">
        <v>5.91E-2</v>
      </c>
      <c r="E33" s="281">
        <v>4.3999999999999997E-2</v>
      </c>
      <c r="F33" s="281">
        <v>5.91E-2</v>
      </c>
      <c r="G33" s="282">
        <v>4.3999999999999997E-2</v>
      </c>
    </row>
    <row r="34" spans="2:7" x14ac:dyDescent="0.25">
      <c r="B34" s="279" t="s">
        <v>674</v>
      </c>
      <c r="C34" s="280" t="s">
        <v>675</v>
      </c>
      <c r="D34" s="281">
        <v>1.4E-3</v>
      </c>
      <c r="E34" s="281">
        <v>1E-3</v>
      </c>
      <c r="F34" s="281">
        <v>1.4E-3</v>
      </c>
      <c r="G34" s="282">
        <v>1E-3</v>
      </c>
    </row>
    <row r="35" spans="2:7" x14ac:dyDescent="0.25">
      <c r="B35" s="279" t="s">
        <v>676</v>
      </c>
      <c r="C35" s="280" t="s">
        <v>677</v>
      </c>
      <c r="D35" s="281">
        <v>0.1202</v>
      </c>
      <c r="E35" s="281">
        <v>8.9599999999999999E-2</v>
      </c>
      <c r="F35" s="281">
        <v>0.1202</v>
      </c>
      <c r="G35" s="282">
        <v>8.9599999999999999E-2</v>
      </c>
    </row>
    <row r="36" spans="2:7" x14ac:dyDescent="0.25">
      <c r="B36" s="279" t="s">
        <v>678</v>
      </c>
      <c r="C36" s="280" t="s">
        <v>679</v>
      </c>
      <c r="D36" s="281">
        <v>2.52E-2</v>
      </c>
      <c r="E36" s="281">
        <v>1.8800000000000001E-2</v>
      </c>
      <c r="F36" s="281">
        <v>2.52E-2</v>
      </c>
      <c r="G36" s="282">
        <v>1.8800000000000001E-2</v>
      </c>
    </row>
    <row r="37" spans="2:7" x14ac:dyDescent="0.25">
      <c r="B37" s="279" t="s">
        <v>680</v>
      </c>
      <c r="C37" s="280" t="s">
        <v>681</v>
      </c>
      <c r="D37" s="281">
        <v>5.0000000000000001E-3</v>
      </c>
      <c r="E37" s="281">
        <v>3.7000000000000002E-3</v>
      </c>
      <c r="F37" s="281">
        <v>5.0000000000000001E-3</v>
      </c>
      <c r="G37" s="282">
        <v>3.7000000000000002E-3</v>
      </c>
    </row>
    <row r="38" spans="2:7" x14ac:dyDescent="0.25">
      <c r="B38" s="283" t="s">
        <v>612</v>
      </c>
      <c r="C38" s="284" t="s">
        <v>69</v>
      </c>
      <c r="D38" s="285">
        <f>SUM(D33:D37)</f>
        <v>0.2109</v>
      </c>
      <c r="E38" s="285">
        <f t="shared" ref="E38:G38" si="2">SUM(E33:E37)</f>
        <v>0.15710000000000002</v>
      </c>
      <c r="F38" s="285">
        <f t="shared" si="2"/>
        <v>0.2109</v>
      </c>
      <c r="G38" s="286">
        <f t="shared" si="2"/>
        <v>0.15710000000000002</v>
      </c>
    </row>
    <row r="39" spans="2:7" x14ac:dyDescent="0.25">
      <c r="B39" s="592" t="s">
        <v>682</v>
      </c>
      <c r="C39" s="593"/>
      <c r="D39" s="593"/>
      <c r="E39" s="593"/>
      <c r="F39" s="593"/>
      <c r="G39" s="594"/>
    </row>
    <row r="40" spans="2:7" x14ac:dyDescent="0.25">
      <c r="B40" s="279" t="s">
        <v>683</v>
      </c>
      <c r="C40" s="280" t="s">
        <v>684</v>
      </c>
      <c r="D40" s="281">
        <v>6.3799999999999996E-2</v>
      </c>
      <c r="E40" s="281">
        <v>1.72E-2</v>
      </c>
      <c r="F40" s="281">
        <v>0.1356</v>
      </c>
      <c r="G40" s="282">
        <v>3.6600000000000001E-2</v>
      </c>
    </row>
    <row r="41" spans="2:7" ht="25.5" x14ac:dyDescent="0.25">
      <c r="B41" s="279" t="s">
        <v>685</v>
      </c>
      <c r="C41" s="289" t="s">
        <v>686</v>
      </c>
      <c r="D41" s="281">
        <v>5.0000000000000001E-3</v>
      </c>
      <c r="E41" s="281">
        <v>3.7000000000000002E-3</v>
      </c>
      <c r="F41" s="281">
        <v>5.3E-3</v>
      </c>
      <c r="G41" s="282">
        <v>3.8999999999999998E-3</v>
      </c>
    </row>
    <row r="42" spans="2:7" x14ac:dyDescent="0.25">
      <c r="B42" s="283" t="s">
        <v>586</v>
      </c>
      <c r="C42" s="284" t="s">
        <v>69</v>
      </c>
      <c r="D42" s="285">
        <f>SUM(D40:D41)</f>
        <v>6.88E-2</v>
      </c>
      <c r="E42" s="285">
        <f t="shared" ref="E42:G42" si="3">SUM(E40:E41)</f>
        <v>2.0900000000000002E-2</v>
      </c>
      <c r="F42" s="285">
        <f t="shared" si="3"/>
        <v>0.1409</v>
      </c>
      <c r="G42" s="286">
        <f t="shared" si="3"/>
        <v>4.0500000000000001E-2</v>
      </c>
    </row>
    <row r="43" spans="2:7" ht="13.5" thickBot="1" x14ac:dyDescent="0.3">
      <c r="B43" s="595" t="s">
        <v>687</v>
      </c>
      <c r="C43" s="596"/>
      <c r="D43" s="290">
        <f>SUM(D42,D38,D31,D19)</f>
        <v>0.81630000000000003</v>
      </c>
      <c r="E43" s="290">
        <f>SUM(E42,E38,E31,E19)</f>
        <v>0.45279999999999998</v>
      </c>
      <c r="F43" s="290">
        <f>SUM(F42,F38,F31,F19)</f>
        <v>1.0884</v>
      </c>
      <c r="G43" s="291">
        <f>SUM(G42,G38,G31,G19)</f>
        <v>0.67240000000000011</v>
      </c>
    </row>
    <row r="44" spans="2:7" ht="24.95" customHeight="1" x14ac:dyDescent="0.25">
      <c r="B44" s="45" t="s">
        <v>688</v>
      </c>
    </row>
    <row r="45" spans="2:7" ht="24.95" customHeight="1" x14ac:dyDescent="0.25"/>
    <row r="46" spans="2:7" ht="24.95" customHeight="1" x14ac:dyDescent="0.25"/>
    <row r="47" spans="2:7" ht="24.95" customHeight="1" x14ac:dyDescent="0.25"/>
    <row r="48" spans="2:7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</sheetData>
  <mergeCells count="11">
    <mergeCell ref="B1:G1"/>
    <mergeCell ref="B7:B8"/>
    <mergeCell ref="C7:C8"/>
    <mergeCell ref="D7:E7"/>
    <mergeCell ref="F7:G7"/>
    <mergeCell ref="C5:E5"/>
    <mergeCell ref="B9:G9"/>
    <mergeCell ref="B20:G20"/>
    <mergeCell ref="B32:G32"/>
    <mergeCell ref="B39:G39"/>
    <mergeCell ref="B43:C43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77" orientation="landscape" r:id="rId1"/>
  <headerFooter>
    <oddHeader>&amp;L&amp;G</oddHeader>
    <oddFooter>&amp;L&amp;"Arial Narrow,Normal"&amp;10&amp;A
&amp;F&amp;R&amp;"Arial Narrow,Normal"&amp;10Página &amp;P de &amp;N</oddFooter>
  </headerFooter>
  <colBreaks count="1" manualBreakCount="1">
    <brk id="21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F309-E481-4FA6-8959-4BF99EE16EF3}">
  <dimension ref="B1:U27"/>
  <sheetViews>
    <sheetView showGridLines="0" showZeros="0" view="pageBreakPreview" zoomScale="85" zoomScaleNormal="100" zoomScaleSheetLayoutView="85" workbookViewId="0">
      <selection activeCell="B10" sqref="B9:P10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/>
      <c r="C4" s="2"/>
      <c r="E4" s="2"/>
      <c r="F4" s="2"/>
      <c r="G4" s="2"/>
      <c r="H4" s="2"/>
      <c r="I4" s="2"/>
      <c r="J4" s="2"/>
      <c r="K4" s="2"/>
      <c r="L4" s="2"/>
      <c r="N4" s="3"/>
      <c r="O4" s="4"/>
      <c r="R4" s="31"/>
      <c r="S4" s="31"/>
      <c r="T4" s="32"/>
      <c r="U4" s="32"/>
    </row>
    <row r="5" spans="2:21" s="5" customFormat="1" ht="20.100000000000001" customHeight="1" x14ac:dyDescent="0.25">
      <c r="B5" s="1"/>
      <c r="C5" s="2"/>
      <c r="N5" s="3"/>
      <c r="O5" s="4"/>
    </row>
    <row r="6" spans="2:21" s="5" customFormat="1" ht="20.100000000000001" customHeight="1" x14ac:dyDescent="0.25"/>
    <row r="7" spans="2:21" s="5" customFormat="1" ht="20.100000000000001" customHeight="1" x14ac:dyDescent="0.25">
      <c r="B7" s="1"/>
      <c r="C7" s="38"/>
      <c r="N7" s="3"/>
      <c r="O7" s="62"/>
    </row>
    <row r="8" spans="2:21" s="63" customFormat="1" ht="20.100000000000001" customHeight="1" x14ac:dyDescent="0.25">
      <c r="B8" s="50"/>
      <c r="C8" s="51"/>
      <c r="D8" s="9"/>
      <c r="E8" s="9"/>
      <c r="F8" s="9"/>
      <c r="G8" s="10"/>
      <c r="H8" s="10"/>
      <c r="I8" s="10"/>
      <c r="J8" s="10"/>
      <c r="K8" s="9"/>
      <c r="M8" s="10"/>
      <c r="N8" s="10"/>
    </row>
    <row r="9" spans="2:21" ht="20.100000000000001" customHeight="1" x14ac:dyDescent="0.25">
      <c r="B9" s="125"/>
      <c r="C9" s="452" t="s">
        <v>386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76"/>
    </row>
    <row r="10" spans="2:21" ht="20.100000000000001" customHeight="1" x14ac:dyDescent="0.25">
      <c r="B10" s="12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76"/>
    </row>
    <row r="11" spans="2:21" ht="20.100000000000001" customHeight="1" x14ac:dyDescent="0.25">
      <c r="B11" s="125"/>
      <c r="C11" s="125"/>
      <c r="D11" s="128"/>
      <c r="E11" s="127"/>
      <c r="F11" s="125"/>
      <c r="G11" s="125"/>
      <c r="H11" s="125"/>
      <c r="I11" s="125"/>
      <c r="J11" s="125"/>
      <c r="K11" s="125"/>
      <c r="L11" s="128"/>
      <c r="M11" s="127"/>
      <c r="N11" s="125"/>
      <c r="O11" s="76"/>
    </row>
    <row r="12" spans="2:21" ht="20.100000000000001" customHeight="1" x14ac:dyDescent="0.25">
      <c r="B12" s="125"/>
      <c r="C12" s="125"/>
      <c r="D12" s="128"/>
      <c r="E12" s="127"/>
      <c r="F12" s="125"/>
      <c r="G12" s="125"/>
      <c r="H12" s="125"/>
      <c r="I12" s="125"/>
      <c r="J12" s="125"/>
      <c r="K12" s="125"/>
      <c r="L12" s="128"/>
      <c r="M12" s="127"/>
      <c r="N12" s="125"/>
      <c r="O12" s="76"/>
    </row>
    <row r="13" spans="2:21" ht="20.100000000000001" customHeight="1" x14ac:dyDescent="0.25">
      <c r="B13" s="125"/>
      <c r="C13" s="125"/>
      <c r="D13" s="128"/>
      <c r="E13" s="127"/>
      <c r="F13" s="125"/>
      <c r="G13" s="125"/>
      <c r="H13" s="125"/>
      <c r="I13" s="125"/>
      <c r="J13" s="125"/>
      <c r="K13" s="125"/>
      <c r="L13" s="128"/>
      <c r="M13" s="127"/>
      <c r="N13" s="125"/>
      <c r="O13" s="76"/>
    </row>
    <row r="14" spans="2:21" ht="20.100000000000001" customHeight="1" x14ac:dyDescent="0.25">
      <c r="B14" s="125"/>
      <c r="C14" s="125"/>
      <c r="D14" s="128"/>
      <c r="E14" s="127"/>
      <c r="F14" s="125"/>
      <c r="G14" s="125"/>
      <c r="H14" s="125"/>
      <c r="I14" s="125"/>
      <c r="J14" s="125"/>
      <c r="K14" s="125"/>
      <c r="L14" s="128"/>
      <c r="M14" s="127"/>
      <c r="N14" s="125"/>
      <c r="O14" s="76"/>
    </row>
    <row r="15" spans="2:21" ht="20.100000000000001" customHeight="1" x14ac:dyDescent="0.25">
      <c r="B15" s="125"/>
      <c r="C15" s="120"/>
      <c r="D15" s="129"/>
      <c r="E15" s="130"/>
      <c r="F15" s="120"/>
      <c r="G15" s="125"/>
      <c r="H15" s="125"/>
      <c r="I15" s="125"/>
      <c r="J15" s="125"/>
      <c r="K15" s="120"/>
      <c r="L15" s="129"/>
      <c r="M15" s="130"/>
      <c r="N15" s="120"/>
      <c r="O15" s="76"/>
    </row>
    <row r="16" spans="2:21" s="63" customFormat="1" ht="20.100000000000001" customHeight="1" x14ac:dyDescent="0.25">
      <c r="B16" s="50"/>
      <c r="C16" s="51"/>
      <c r="D16" s="9"/>
      <c r="E16" s="9"/>
      <c r="F16" s="9"/>
      <c r="G16" s="10"/>
      <c r="H16" s="10"/>
      <c r="I16" s="10"/>
      <c r="J16" s="10"/>
      <c r="K16" s="9"/>
      <c r="M16" s="10"/>
      <c r="N16" s="10"/>
    </row>
    <row r="17" spans="2:15" ht="20.100000000000001" customHeight="1" x14ac:dyDescent="0.25">
      <c r="B17" s="125"/>
      <c r="C17" s="126"/>
      <c r="D17" s="125"/>
      <c r="E17" s="125"/>
      <c r="F17" s="125"/>
      <c r="G17" s="125"/>
      <c r="H17" s="125"/>
      <c r="I17" s="125"/>
      <c r="J17" s="125"/>
      <c r="K17" s="100"/>
      <c r="L17" s="125"/>
      <c r="M17" s="125"/>
      <c r="N17" s="125"/>
      <c r="O17" s="76"/>
    </row>
    <row r="18" spans="2:15" ht="20.100000000000001" customHeight="1" x14ac:dyDescent="0.25">
      <c r="B18" s="125"/>
      <c r="C18" s="125"/>
      <c r="D18" s="128"/>
      <c r="E18" s="127"/>
      <c r="F18" s="125"/>
      <c r="G18" s="125"/>
      <c r="H18" s="125"/>
      <c r="I18" s="125"/>
      <c r="J18" s="125"/>
      <c r="K18" s="125"/>
      <c r="L18" s="128"/>
      <c r="M18" s="127"/>
      <c r="N18" s="125"/>
      <c r="O18" s="76"/>
    </row>
    <row r="19" spans="2:15" ht="20.100000000000001" customHeight="1" x14ac:dyDescent="0.25">
      <c r="B19" s="125"/>
      <c r="C19" s="125"/>
      <c r="D19" s="128"/>
      <c r="E19" s="127"/>
      <c r="F19" s="125"/>
      <c r="G19" s="125"/>
      <c r="H19" s="125"/>
      <c r="I19" s="125"/>
      <c r="J19" s="125"/>
      <c r="K19" s="125"/>
      <c r="L19" s="128"/>
      <c r="M19" s="127"/>
      <c r="N19" s="125"/>
      <c r="O19" s="76"/>
    </row>
    <row r="20" spans="2:15" ht="20.100000000000001" customHeight="1" x14ac:dyDescent="0.25">
      <c r="B20" s="125"/>
      <c r="C20" s="125"/>
      <c r="D20" s="128"/>
      <c r="E20" s="127"/>
      <c r="F20" s="125"/>
      <c r="G20" s="125"/>
      <c r="H20" s="125"/>
      <c r="I20" s="125"/>
      <c r="J20" s="125"/>
      <c r="K20" s="125"/>
      <c r="L20" s="128"/>
      <c r="M20" s="127"/>
      <c r="N20" s="125"/>
      <c r="O20" s="76"/>
    </row>
    <row r="21" spans="2:15" ht="20.100000000000001" customHeight="1" x14ac:dyDescent="0.25">
      <c r="B21" s="125"/>
      <c r="C21" s="125"/>
      <c r="D21" s="128"/>
      <c r="E21" s="127"/>
      <c r="F21" s="125"/>
      <c r="G21" s="125"/>
      <c r="H21" s="125"/>
      <c r="I21" s="125"/>
      <c r="J21" s="125"/>
      <c r="K21" s="125"/>
      <c r="L21" s="128"/>
      <c r="M21" s="127"/>
      <c r="N21" s="125"/>
      <c r="O21" s="76"/>
    </row>
    <row r="22" spans="2:15" ht="20.100000000000001" customHeight="1" x14ac:dyDescent="0.25">
      <c r="B22" s="125"/>
      <c r="C22" s="125"/>
      <c r="D22" s="128"/>
      <c r="E22" s="127"/>
      <c r="F22" s="125"/>
      <c r="G22" s="125"/>
      <c r="H22" s="125"/>
      <c r="I22" s="125"/>
      <c r="J22" s="125"/>
      <c r="K22" s="125"/>
      <c r="L22" s="128"/>
      <c r="M22" s="127"/>
      <c r="N22" s="125"/>
      <c r="O22" s="76"/>
    </row>
    <row r="23" spans="2:15" ht="20.100000000000001" customHeight="1" x14ac:dyDescent="0.25">
      <c r="B23" s="125"/>
      <c r="C23" s="120"/>
      <c r="D23" s="129"/>
      <c r="E23" s="130"/>
      <c r="F23" s="120"/>
      <c r="G23" s="125"/>
      <c r="H23" s="125"/>
      <c r="I23" s="125"/>
      <c r="J23" s="125"/>
      <c r="K23" s="120"/>
      <c r="L23" s="129"/>
      <c r="M23" s="130"/>
      <c r="N23" s="120"/>
      <c r="O23" s="76"/>
    </row>
    <row r="24" spans="2:15" s="63" customFormat="1" ht="20.100000000000001" customHeight="1" x14ac:dyDescent="0.25">
      <c r="B24" s="50"/>
      <c r="C24" s="51"/>
      <c r="D24" s="9"/>
      <c r="E24" s="9"/>
      <c r="F24" s="9"/>
      <c r="G24" s="10"/>
      <c r="H24" s="10"/>
      <c r="I24" s="10"/>
      <c r="J24" s="10"/>
      <c r="K24" s="9"/>
      <c r="M24" s="10"/>
      <c r="N24" s="10"/>
    </row>
    <row r="25" spans="2:15" ht="20.100000000000001" customHeight="1" x14ac:dyDescent="0.25">
      <c r="B25" s="125"/>
      <c r="C25" s="126"/>
      <c r="D25" s="125"/>
      <c r="E25" s="125"/>
      <c r="F25" s="125"/>
      <c r="G25" s="125"/>
      <c r="H25" s="125"/>
      <c r="I25" s="125"/>
      <c r="J25" s="125"/>
      <c r="K25" s="100"/>
      <c r="L25" s="125"/>
      <c r="M25" s="125"/>
      <c r="N25" s="125"/>
      <c r="O25" s="76"/>
    </row>
    <row r="26" spans="2:15" ht="20.100000000000001" customHeight="1" x14ac:dyDescent="0.25">
      <c r="B26" s="125"/>
      <c r="C26" s="125"/>
      <c r="D26" s="128"/>
      <c r="E26" s="127"/>
      <c r="F26" s="125"/>
      <c r="G26" s="125"/>
      <c r="H26" s="125"/>
      <c r="I26" s="125"/>
      <c r="J26" s="125"/>
      <c r="K26" s="125"/>
      <c r="L26" s="128"/>
      <c r="M26" s="127"/>
      <c r="N26" s="125"/>
      <c r="O26" s="76"/>
    </row>
    <row r="27" spans="2:15" ht="20.100000000000001" customHeight="1" x14ac:dyDescent="0.25">
      <c r="B27" s="125"/>
      <c r="C27" s="120"/>
      <c r="D27" s="129"/>
      <c r="E27" s="130"/>
      <c r="F27" s="120"/>
      <c r="G27" s="125"/>
      <c r="H27" s="125"/>
      <c r="I27" s="125"/>
      <c r="J27" s="125"/>
      <c r="K27" s="120"/>
      <c r="L27" s="129"/>
      <c r="M27" s="130"/>
      <c r="N27" s="120"/>
      <c r="O27" s="76"/>
    </row>
  </sheetData>
  <mergeCells count="2">
    <mergeCell ref="B1:P2"/>
    <mergeCell ref="C9:N10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9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91FF-03B0-44E6-A472-74F731648366}">
  <dimension ref="B1:M79"/>
  <sheetViews>
    <sheetView showGridLines="0" showZeros="0" view="pageBreakPreview" topLeftCell="A57" zoomScale="85" zoomScaleNormal="100" zoomScaleSheetLayoutView="85" workbookViewId="0">
      <selection activeCell="T77" sqref="T77"/>
    </sheetView>
  </sheetViews>
  <sheetFormatPr defaultRowHeight="12.75" x14ac:dyDescent="0.25"/>
  <cols>
    <col min="1" max="1" width="1.7109375" style="65" customWidth="1"/>
    <col min="2" max="2" width="8.7109375" style="65" customWidth="1"/>
    <col min="3" max="3" width="13.7109375" style="65" customWidth="1"/>
    <col min="4" max="4" width="12.5703125" style="65" customWidth="1"/>
    <col min="5" max="5" width="68.5703125" style="65" bestFit="1" customWidth="1"/>
    <col min="6" max="6" width="9.140625" style="65"/>
    <col min="7" max="8" width="14.85546875" style="65" bestFit="1" customWidth="1"/>
    <col min="9" max="9" width="16.28515625" style="65" customWidth="1"/>
    <col min="10" max="10" width="11.140625" style="65" customWidth="1"/>
    <col min="11" max="11" width="15.85546875" style="65" customWidth="1"/>
    <col min="12" max="12" width="14.85546875" style="65" bestFit="1" customWidth="1"/>
    <col min="13" max="13" width="1.7109375" style="65" customWidth="1"/>
    <col min="14" max="16384" width="9.140625" style="65"/>
  </cols>
  <sheetData>
    <row r="1" spans="2:13" s="217" customFormat="1" ht="50.1" customHeight="1" x14ac:dyDescent="0.25">
      <c r="B1" s="466" t="s">
        <v>378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115"/>
    </row>
    <row r="2" spans="2:13" s="217" customFormat="1" ht="9.9499999999999993" customHeight="1" x14ac:dyDescent="0.25">
      <c r="C2" s="115"/>
      <c r="D2" s="115"/>
      <c r="E2" s="115"/>
      <c r="F2" s="66"/>
      <c r="G2" s="115"/>
      <c r="H2" s="115"/>
      <c r="I2" s="115"/>
      <c r="J2" s="115"/>
      <c r="K2" s="115"/>
      <c r="L2" s="115"/>
      <c r="M2" s="115"/>
    </row>
    <row r="3" spans="2:13" s="218" customFormat="1" ht="15" customHeight="1" x14ac:dyDescent="0.25">
      <c r="B3" s="219" t="s">
        <v>16</v>
      </c>
      <c r="C3" s="220" t="str">
        <f>'DADOS DA OBRA'!$B$13</f>
        <v>Demolição do Estádio Ulisses Jayme, em Pirenópolis-GO, e Destinação Final de Resíduos de Construção.</v>
      </c>
      <c r="G3" s="222" t="s">
        <v>62</v>
      </c>
      <c r="H3" s="223" t="str">
        <f>'DADOS DA OBRA'!$N$22</f>
        <v>18/11/2024</v>
      </c>
      <c r="I3" s="221"/>
      <c r="J3" s="221"/>
      <c r="K3" s="222" t="s">
        <v>366</v>
      </c>
      <c r="L3" s="224">
        <f>'ENCARGOS SOCIAIS'!$D$43</f>
        <v>0.81630000000000003</v>
      </c>
      <c r="M3" s="221"/>
    </row>
    <row r="4" spans="2:13" s="218" customFormat="1" ht="15" customHeight="1" x14ac:dyDescent="0.25">
      <c r="B4" s="219" t="s">
        <v>18</v>
      </c>
      <c r="C4" s="221" t="str">
        <f>+""&amp;'DADOS DA OBRA'!$B$16&amp;", "&amp;'DADOS DA OBRA'!$J$19&amp;", "&amp;'DADOS DA OBRA'!$P$19</f>
        <v xml:space="preserve"> R. 21 de Abril, 10 , Pirenópolis, GO</v>
      </c>
      <c r="G4" s="222" t="s">
        <v>17</v>
      </c>
      <c r="H4" s="223" t="str">
        <f>'DADOS DA OBRA'!$N$25</f>
        <v>02</v>
      </c>
      <c r="K4" s="222" t="s">
        <v>367</v>
      </c>
      <c r="L4" s="224">
        <f>'ENCARGOS SOCIAIS'!$E$43</f>
        <v>0.45279999999999998</v>
      </c>
    </row>
    <row r="5" spans="2:13" s="218" customFormat="1" ht="20.100000000000001" customHeight="1" x14ac:dyDescent="0.25">
      <c r="B5" s="219" t="s">
        <v>369</v>
      </c>
      <c r="C5" s="490" t="str">
        <f>'DADOS DA OBRA'!$B$28</f>
        <v>AGETOP CIVIL - 06/2024 - Goiás &gt; AGETOP RODOVIARIA - 06/2024 - Goiás &gt; SINAPI - 09/2024 - Goiás &gt; SICRO3 - 04/2024 - Goiás &gt; ORSE - 06/2024 - Sergipe &gt; SETOP - 07/2024 - Minas Gerais &gt; SIURB - 01/2024 - São Paulo &gt; CPOS - 06/2024 - São Paulo</v>
      </c>
      <c r="D5" s="490"/>
      <c r="E5" s="490"/>
      <c r="F5" s="490"/>
      <c r="G5" s="222" t="s">
        <v>691</v>
      </c>
      <c r="H5" s="223" t="str">
        <f>'DADOS DA OBRA'!$B$25</f>
        <v>04 Meses</v>
      </c>
      <c r="J5" s="394"/>
      <c r="K5" s="222" t="s">
        <v>368</v>
      </c>
      <c r="L5" s="224">
        <f>+'BDI NORMAL (CD)'!$F$21/100</f>
        <v>0.28139999999999998</v>
      </c>
    </row>
    <row r="6" spans="2:13" s="218" customFormat="1" ht="20.100000000000001" customHeight="1" x14ac:dyDescent="0.25">
      <c r="C6" s="490"/>
      <c r="D6" s="490"/>
      <c r="E6" s="490"/>
      <c r="F6" s="490"/>
      <c r="J6" s="395"/>
      <c r="K6" s="222" t="s">
        <v>370</v>
      </c>
      <c r="L6" s="224">
        <f>+'BDI DIFERENCIADO (CD)'!$F$21/100</f>
        <v>0.1978</v>
      </c>
    </row>
    <row r="7" spans="2:13" s="225" customFormat="1" ht="6.95" customHeight="1" x14ac:dyDescent="0.25">
      <c r="D7" s="79"/>
      <c r="L7" s="226"/>
      <c r="M7" s="227"/>
    </row>
    <row r="8" spans="2:13" s="97" customFormat="1" ht="30" customHeight="1" x14ac:dyDescent="0.25">
      <c r="B8" s="239" t="s">
        <v>66</v>
      </c>
      <c r="C8" s="239" t="s">
        <v>43</v>
      </c>
      <c r="D8" s="239" t="s">
        <v>213</v>
      </c>
      <c r="E8" s="239" t="s">
        <v>85</v>
      </c>
      <c r="F8" s="239" t="s">
        <v>68</v>
      </c>
      <c r="G8" s="239" t="s">
        <v>290</v>
      </c>
      <c r="H8" s="239" t="s">
        <v>1007</v>
      </c>
      <c r="I8" s="239" t="s">
        <v>1008</v>
      </c>
      <c r="J8" s="239" t="s">
        <v>929</v>
      </c>
      <c r="K8" s="239" t="s">
        <v>1009</v>
      </c>
      <c r="L8" s="239" t="s">
        <v>1010</v>
      </c>
    </row>
    <row r="9" spans="2:13" x14ac:dyDescent="0.25">
      <c r="B9" s="231" t="s">
        <v>293</v>
      </c>
      <c r="C9" s="231"/>
      <c r="D9" s="231"/>
      <c r="E9" s="230" t="s">
        <v>119</v>
      </c>
      <c r="F9" s="236"/>
      <c r="G9" s="232"/>
      <c r="H9" s="230"/>
      <c r="I9" s="232">
        <f>SUBTOTAL(9,I10:I14)</f>
        <v>102163.2</v>
      </c>
      <c r="J9" s="230"/>
      <c r="K9" s="232"/>
      <c r="L9" s="232">
        <f>SUBTOTAL(9,L10:L14)</f>
        <v>130881.28</v>
      </c>
    </row>
    <row r="10" spans="2:13" x14ac:dyDescent="0.25">
      <c r="B10" s="235" t="s">
        <v>294</v>
      </c>
      <c r="C10" s="235" t="s">
        <v>215</v>
      </c>
      <c r="D10" s="235" t="s">
        <v>295</v>
      </c>
      <c r="E10" s="233" t="s">
        <v>296</v>
      </c>
      <c r="F10" s="238" t="s">
        <v>48</v>
      </c>
      <c r="G10" s="234">
        <f>'ADMINISTRAÇÃO LOCAL'!$E$15</f>
        <v>240</v>
      </c>
      <c r="H10" s="234">
        <v>83.6</v>
      </c>
      <c r="I10" s="234">
        <f>TRUNC(G10 * H10, 2)</f>
        <v>20064</v>
      </c>
      <c r="J10" s="396">
        <f>+$L$5</f>
        <v>0.28139999999999998</v>
      </c>
      <c r="K10" s="234">
        <f>TRUNC(H10 * (1 + J10), 2)</f>
        <v>107.12</v>
      </c>
      <c r="L10" s="234">
        <f>TRUNC(G10 * K10, 2)</f>
        <v>25708.799999999999</v>
      </c>
    </row>
    <row r="11" spans="2:13" x14ac:dyDescent="0.25">
      <c r="B11" s="235" t="s">
        <v>297</v>
      </c>
      <c r="C11" s="235" t="s">
        <v>215</v>
      </c>
      <c r="D11" s="235" t="s">
        <v>924</v>
      </c>
      <c r="E11" s="233" t="s">
        <v>134</v>
      </c>
      <c r="F11" s="238" t="s">
        <v>47</v>
      </c>
      <c r="G11" s="234">
        <f>'ADMINISTRAÇÃO LOCAL'!$M$15</f>
        <v>240</v>
      </c>
      <c r="H11" s="234">
        <v>20.79</v>
      </c>
      <c r="I11" s="234">
        <f t="shared" ref="I11:I14" si="0">TRUNC(G11 * H11, 2)</f>
        <v>4989.6000000000004</v>
      </c>
      <c r="J11" s="396">
        <f t="shared" ref="J11:J14" si="1">+$L$5</f>
        <v>0.28139999999999998</v>
      </c>
      <c r="K11" s="234">
        <f t="shared" ref="K11:K14" si="2">TRUNC(H11 * (1 + J11), 2)</f>
        <v>26.64</v>
      </c>
      <c r="L11" s="234">
        <f t="shared" ref="L11:L14" si="3">TRUNC(G11 * K11, 2)</f>
        <v>6393.6</v>
      </c>
    </row>
    <row r="12" spans="2:13" x14ac:dyDescent="0.25">
      <c r="B12" s="235" t="s">
        <v>298</v>
      </c>
      <c r="C12" s="235" t="s">
        <v>215</v>
      </c>
      <c r="D12" s="235" t="s">
        <v>299</v>
      </c>
      <c r="E12" s="233" t="s">
        <v>132</v>
      </c>
      <c r="F12" s="238" t="s">
        <v>48</v>
      </c>
      <c r="G12" s="234">
        <f>'ADMINISTRAÇÃO LOCAL'!$E$23</f>
        <v>880</v>
      </c>
      <c r="H12" s="234">
        <v>22.56</v>
      </c>
      <c r="I12" s="234">
        <f t="shared" si="0"/>
        <v>19852.8</v>
      </c>
      <c r="J12" s="396">
        <f t="shared" si="1"/>
        <v>0.28139999999999998</v>
      </c>
      <c r="K12" s="234">
        <f t="shared" si="2"/>
        <v>28.9</v>
      </c>
      <c r="L12" s="234">
        <f t="shared" si="3"/>
        <v>25432</v>
      </c>
    </row>
    <row r="13" spans="2:13" x14ac:dyDescent="0.25">
      <c r="B13" s="235" t="s">
        <v>300</v>
      </c>
      <c r="C13" s="235" t="s">
        <v>215</v>
      </c>
      <c r="D13" s="235" t="s">
        <v>301</v>
      </c>
      <c r="E13" s="233" t="s">
        <v>302</v>
      </c>
      <c r="F13" s="238" t="s">
        <v>48</v>
      </c>
      <c r="G13" s="234">
        <f>'ADMINISTRAÇÃO LOCAL'!$E$31</f>
        <v>2688</v>
      </c>
      <c r="H13" s="234">
        <v>15.7</v>
      </c>
      <c r="I13" s="234">
        <f t="shared" si="0"/>
        <v>42201.599999999999</v>
      </c>
      <c r="J13" s="396">
        <f t="shared" si="1"/>
        <v>0.28139999999999998</v>
      </c>
      <c r="K13" s="234">
        <f t="shared" si="2"/>
        <v>20.11</v>
      </c>
      <c r="L13" s="234">
        <f t="shared" si="3"/>
        <v>54055.68</v>
      </c>
    </row>
    <row r="14" spans="2:13" x14ac:dyDescent="0.25">
      <c r="B14" s="235" t="s">
        <v>925</v>
      </c>
      <c r="C14" s="235" t="s">
        <v>853</v>
      </c>
      <c r="D14" s="235" t="s">
        <v>926</v>
      </c>
      <c r="E14" s="233" t="s">
        <v>927</v>
      </c>
      <c r="F14" s="238" t="s">
        <v>928</v>
      </c>
      <c r="G14" s="234">
        <f>'ADMINISTRAÇÃO LOCAL'!$M$23</f>
        <v>240</v>
      </c>
      <c r="H14" s="234">
        <v>62.73</v>
      </c>
      <c r="I14" s="234">
        <f t="shared" si="0"/>
        <v>15055.2</v>
      </c>
      <c r="J14" s="396">
        <f t="shared" si="1"/>
        <v>0.28139999999999998</v>
      </c>
      <c r="K14" s="234">
        <f t="shared" si="2"/>
        <v>80.38</v>
      </c>
      <c r="L14" s="234">
        <f t="shared" si="3"/>
        <v>19291.2</v>
      </c>
    </row>
    <row r="15" spans="2:13" x14ac:dyDescent="0.25">
      <c r="B15" s="231" t="s">
        <v>303</v>
      </c>
      <c r="C15" s="231"/>
      <c r="D15" s="231"/>
      <c r="E15" s="230" t="s">
        <v>103</v>
      </c>
      <c r="F15" s="236"/>
      <c r="G15" s="232"/>
      <c r="H15" s="230"/>
      <c r="I15" s="232">
        <f>SUBTOTAL(9,I16:I28)</f>
        <v>135838.79999999999</v>
      </c>
      <c r="J15" s="230"/>
      <c r="K15" s="232"/>
      <c r="L15" s="232">
        <f>SUBTOTAL(9,L16:L28)</f>
        <v>174035.29</v>
      </c>
    </row>
    <row r="16" spans="2:13" ht="25.5" x14ac:dyDescent="0.25">
      <c r="B16" s="235" t="s">
        <v>304</v>
      </c>
      <c r="C16" s="235" t="s">
        <v>215</v>
      </c>
      <c r="D16" s="235" t="s">
        <v>930</v>
      </c>
      <c r="E16" s="267" t="s">
        <v>868</v>
      </c>
      <c r="F16" s="229" t="s">
        <v>863</v>
      </c>
      <c r="G16" s="234">
        <f>CANTEIRO!$J$12</f>
        <v>4</v>
      </c>
      <c r="H16" s="234">
        <v>1287.5</v>
      </c>
      <c r="I16" s="234">
        <f t="shared" ref="I16:I28" si="4">TRUNC(G16 * H16, 2)</f>
        <v>5150</v>
      </c>
      <c r="J16" s="396">
        <f t="shared" ref="J16:J41" si="5">+$L$5</f>
        <v>0.28139999999999998</v>
      </c>
      <c r="K16" s="234">
        <f t="shared" ref="K16:K28" si="6">TRUNC(H16 * (1 + J16), 2)</f>
        <v>1649.8</v>
      </c>
      <c r="L16" s="234">
        <f t="shared" ref="L16:L28" si="7">TRUNC(G16 * K16, 2)</f>
        <v>6599.2</v>
      </c>
    </row>
    <row r="17" spans="2:12" ht="38.25" x14ac:dyDescent="0.25">
      <c r="B17" s="235" t="s">
        <v>305</v>
      </c>
      <c r="C17" s="235" t="s">
        <v>215</v>
      </c>
      <c r="D17" s="235" t="s">
        <v>932</v>
      </c>
      <c r="E17" s="267" t="s">
        <v>870</v>
      </c>
      <c r="F17" s="229" t="s">
        <v>863</v>
      </c>
      <c r="G17" s="234">
        <f>CANTEIRO!$J$17</f>
        <v>4</v>
      </c>
      <c r="H17" s="234">
        <v>2296.02</v>
      </c>
      <c r="I17" s="234">
        <f t="shared" si="4"/>
        <v>9184.08</v>
      </c>
      <c r="J17" s="396">
        <f t="shared" si="5"/>
        <v>0.28139999999999998</v>
      </c>
      <c r="K17" s="234">
        <f t="shared" si="6"/>
        <v>2942.12</v>
      </c>
      <c r="L17" s="234">
        <f t="shared" si="7"/>
        <v>11768.48</v>
      </c>
    </row>
    <row r="18" spans="2:12" ht="38.25" x14ac:dyDescent="0.25">
      <c r="B18" s="235" t="s">
        <v>306</v>
      </c>
      <c r="C18" s="235" t="s">
        <v>215</v>
      </c>
      <c r="D18" s="235" t="s">
        <v>933</v>
      </c>
      <c r="E18" s="267" t="s">
        <v>872</v>
      </c>
      <c r="F18" s="229" t="s">
        <v>863</v>
      </c>
      <c r="G18" s="234">
        <f>CANTEIRO!$J$22</f>
        <v>4</v>
      </c>
      <c r="H18" s="234">
        <v>1102.3399999999999</v>
      </c>
      <c r="I18" s="234">
        <f t="shared" si="4"/>
        <v>4409.3599999999997</v>
      </c>
      <c r="J18" s="396">
        <f t="shared" si="5"/>
        <v>0.28139999999999998</v>
      </c>
      <c r="K18" s="234">
        <f t="shared" si="6"/>
        <v>1412.53</v>
      </c>
      <c r="L18" s="234">
        <f t="shared" si="7"/>
        <v>5650.12</v>
      </c>
    </row>
    <row r="19" spans="2:12" ht="25.5" x14ac:dyDescent="0.25">
      <c r="B19" s="235" t="s">
        <v>309</v>
      </c>
      <c r="C19" s="235" t="s">
        <v>100</v>
      </c>
      <c r="D19" s="235" t="s">
        <v>934</v>
      </c>
      <c r="E19" s="267" t="s">
        <v>874</v>
      </c>
      <c r="F19" s="229" t="s">
        <v>863</v>
      </c>
      <c r="G19" s="234">
        <f>CANTEIRO!$J$27</f>
        <v>4</v>
      </c>
      <c r="H19" s="234">
        <v>1800</v>
      </c>
      <c r="I19" s="234">
        <f t="shared" si="4"/>
        <v>7200</v>
      </c>
      <c r="J19" s="396">
        <f t="shared" si="5"/>
        <v>0.28139999999999998</v>
      </c>
      <c r="K19" s="234">
        <f t="shared" si="6"/>
        <v>2306.52</v>
      </c>
      <c r="L19" s="234">
        <f t="shared" si="7"/>
        <v>9226.08</v>
      </c>
    </row>
    <row r="20" spans="2:12" x14ac:dyDescent="0.25">
      <c r="B20" s="235" t="s">
        <v>311</v>
      </c>
      <c r="C20" s="235" t="s">
        <v>215</v>
      </c>
      <c r="D20" s="235" t="s">
        <v>936</v>
      </c>
      <c r="E20" s="267" t="s">
        <v>875</v>
      </c>
      <c r="F20" s="229" t="s">
        <v>937</v>
      </c>
      <c r="G20" s="234">
        <f>CANTEIRO!$J$31</f>
        <v>515.20000000000005</v>
      </c>
      <c r="H20" s="234">
        <v>9.61</v>
      </c>
      <c r="I20" s="234">
        <f t="shared" si="4"/>
        <v>4951.07</v>
      </c>
      <c r="J20" s="396">
        <f t="shared" si="5"/>
        <v>0.28139999999999998</v>
      </c>
      <c r="K20" s="234">
        <f t="shared" si="6"/>
        <v>12.31</v>
      </c>
      <c r="L20" s="234">
        <f t="shared" si="7"/>
        <v>6342.11</v>
      </c>
    </row>
    <row r="21" spans="2:12" x14ac:dyDescent="0.25">
      <c r="B21" s="235" t="s">
        <v>313</v>
      </c>
      <c r="C21" s="235" t="s">
        <v>215</v>
      </c>
      <c r="D21" s="235" t="s">
        <v>938</v>
      </c>
      <c r="E21" s="267" t="s">
        <v>878</v>
      </c>
      <c r="F21" s="229" t="s">
        <v>937</v>
      </c>
      <c r="G21" s="234">
        <f>CANTEIRO!$J$36</f>
        <v>515.20000000000005</v>
      </c>
      <c r="H21" s="234">
        <v>9.61</v>
      </c>
      <c r="I21" s="234">
        <f t="shared" si="4"/>
        <v>4951.07</v>
      </c>
      <c r="J21" s="396">
        <f t="shared" si="5"/>
        <v>0.28139999999999998</v>
      </c>
      <c r="K21" s="234">
        <f t="shared" si="6"/>
        <v>12.31</v>
      </c>
      <c r="L21" s="234">
        <f t="shared" si="7"/>
        <v>6342.11</v>
      </c>
    </row>
    <row r="22" spans="2:12" ht="25.5" x14ac:dyDescent="0.25">
      <c r="B22" s="235" t="s">
        <v>315</v>
      </c>
      <c r="C22" s="235" t="s">
        <v>215</v>
      </c>
      <c r="D22" s="235" t="s">
        <v>307</v>
      </c>
      <c r="E22" s="267" t="s">
        <v>109</v>
      </c>
      <c r="F22" s="229" t="s">
        <v>96</v>
      </c>
      <c r="G22" s="234">
        <f>CANTEIRO!$J$41</f>
        <v>1</v>
      </c>
      <c r="H22" s="234">
        <v>3071.9</v>
      </c>
      <c r="I22" s="234">
        <f t="shared" si="4"/>
        <v>3071.9</v>
      </c>
      <c r="J22" s="396">
        <f t="shared" si="5"/>
        <v>0.28139999999999998</v>
      </c>
      <c r="K22" s="234">
        <f t="shared" si="6"/>
        <v>3936.33</v>
      </c>
      <c r="L22" s="234">
        <f t="shared" si="7"/>
        <v>3936.33</v>
      </c>
    </row>
    <row r="23" spans="2:12" x14ac:dyDescent="0.25">
      <c r="B23" s="235" t="s">
        <v>317</v>
      </c>
      <c r="C23" s="235" t="s">
        <v>215</v>
      </c>
      <c r="D23" s="235" t="s">
        <v>310</v>
      </c>
      <c r="E23" s="267" t="s">
        <v>111</v>
      </c>
      <c r="F23" s="229" t="s">
        <v>96</v>
      </c>
      <c r="G23" s="234">
        <f>CANTEIRO!$J$46</f>
        <v>1</v>
      </c>
      <c r="H23" s="234">
        <v>4728.04</v>
      </c>
      <c r="I23" s="234">
        <f t="shared" si="4"/>
        <v>4728.04</v>
      </c>
      <c r="J23" s="396">
        <f t="shared" si="5"/>
        <v>0.28139999999999998</v>
      </c>
      <c r="K23" s="234">
        <f t="shared" si="6"/>
        <v>6058.51</v>
      </c>
      <c r="L23" s="234">
        <f t="shared" si="7"/>
        <v>6058.51</v>
      </c>
    </row>
    <row r="24" spans="2:12" ht="25.5" x14ac:dyDescent="0.25">
      <c r="B24" s="235" t="s">
        <v>320</v>
      </c>
      <c r="C24" s="235" t="s">
        <v>215</v>
      </c>
      <c r="D24" s="235" t="s">
        <v>316</v>
      </c>
      <c r="E24" s="267" t="s">
        <v>117</v>
      </c>
      <c r="F24" s="229" t="s">
        <v>93</v>
      </c>
      <c r="G24" s="234">
        <f>CANTEIRO!$K$52</f>
        <v>7.5</v>
      </c>
      <c r="H24" s="234">
        <v>386.29</v>
      </c>
      <c r="I24" s="234">
        <f t="shared" si="4"/>
        <v>2897.17</v>
      </c>
      <c r="J24" s="396">
        <f t="shared" si="5"/>
        <v>0.28139999999999998</v>
      </c>
      <c r="K24" s="234">
        <f t="shared" si="6"/>
        <v>494.99</v>
      </c>
      <c r="L24" s="234">
        <f t="shared" si="7"/>
        <v>3712.42</v>
      </c>
    </row>
    <row r="25" spans="2:12" ht="25.5" x14ac:dyDescent="0.25">
      <c r="B25" s="235" t="s">
        <v>939</v>
      </c>
      <c r="C25" s="235" t="s">
        <v>215</v>
      </c>
      <c r="D25" s="235" t="s">
        <v>312</v>
      </c>
      <c r="E25" s="267" t="s">
        <v>113</v>
      </c>
      <c r="F25" s="229" t="s">
        <v>93</v>
      </c>
      <c r="G25" s="234">
        <f>CANTEIRO!$K$58</f>
        <v>1024.75</v>
      </c>
      <c r="H25" s="234">
        <v>47.75</v>
      </c>
      <c r="I25" s="234">
        <f t="shared" si="4"/>
        <v>48931.81</v>
      </c>
      <c r="J25" s="396">
        <f t="shared" si="5"/>
        <v>0.28139999999999998</v>
      </c>
      <c r="K25" s="234">
        <f t="shared" si="6"/>
        <v>61.18</v>
      </c>
      <c r="L25" s="234">
        <f t="shared" si="7"/>
        <v>62694.2</v>
      </c>
    </row>
    <row r="26" spans="2:12" ht="25.5" x14ac:dyDescent="0.25">
      <c r="B26" s="235" t="s">
        <v>940</v>
      </c>
      <c r="C26" s="235" t="s">
        <v>215</v>
      </c>
      <c r="D26" s="235" t="s">
        <v>314</v>
      </c>
      <c r="E26" s="267" t="s">
        <v>115</v>
      </c>
      <c r="F26" s="229" t="s">
        <v>93</v>
      </c>
      <c r="G26" s="234">
        <f>CANTEIRO!$K$64</f>
        <v>1024.75</v>
      </c>
      <c r="H26" s="234">
        <v>7.39</v>
      </c>
      <c r="I26" s="234">
        <f t="shared" si="4"/>
        <v>7572.9</v>
      </c>
      <c r="J26" s="396">
        <f t="shared" si="5"/>
        <v>0.28139999999999998</v>
      </c>
      <c r="K26" s="234">
        <f t="shared" si="6"/>
        <v>9.4600000000000009</v>
      </c>
      <c r="L26" s="234">
        <f t="shared" si="7"/>
        <v>9694.1299999999992</v>
      </c>
    </row>
    <row r="27" spans="2:12" x14ac:dyDescent="0.25">
      <c r="B27" s="235" t="s">
        <v>941</v>
      </c>
      <c r="C27" s="235" t="s">
        <v>215</v>
      </c>
      <c r="D27" s="235" t="s">
        <v>318</v>
      </c>
      <c r="E27" s="267" t="s">
        <v>212</v>
      </c>
      <c r="F27" s="229" t="s">
        <v>319</v>
      </c>
      <c r="G27" s="234">
        <f>CANTEIRO!$L$89</f>
        <v>1270</v>
      </c>
      <c r="H27" s="234">
        <v>22.5</v>
      </c>
      <c r="I27" s="234">
        <f t="shared" si="4"/>
        <v>28575</v>
      </c>
      <c r="J27" s="396">
        <f t="shared" si="5"/>
        <v>0.28139999999999998</v>
      </c>
      <c r="K27" s="234">
        <f t="shared" si="6"/>
        <v>28.83</v>
      </c>
      <c r="L27" s="234">
        <f t="shared" si="7"/>
        <v>36614.1</v>
      </c>
    </row>
    <row r="28" spans="2:12" x14ac:dyDescent="0.25">
      <c r="B28" s="235" t="s">
        <v>942</v>
      </c>
      <c r="C28" s="235" t="s">
        <v>215</v>
      </c>
      <c r="D28" s="235" t="s">
        <v>321</v>
      </c>
      <c r="E28" s="267" t="s">
        <v>247</v>
      </c>
      <c r="F28" s="229" t="s">
        <v>319</v>
      </c>
      <c r="G28" s="234">
        <f>CANTEIRO!$L$89</f>
        <v>1270</v>
      </c>
      <c r="H28" s="234">
        <v>3.32</v>
      </c>
      <c r="I28" s="234">
        <f t="shared" si="4"/>
        <v>4216.3999999999996</v>
      </c>
      <c r="J28" s="396">
        <f t="shared" si="5"/>
        <v>0.28139999999999998</v>
      </c>
      <c r="K28" s="234">
        <f t="shared" si="6"/>
        <v>4.25</v>
      </c>
      <c r="L28" s="234">
        <f t="shared" si="7"/>
        <v>5397.5</v>
      </c>
    </row>
    <row r="29" spans="2:12" x14ac:dyDescent="0.25">
      <c r="B29" s="231" t="s">
        <v>322</v>
      </c>
      <c r="C29" s="231"/>
      <c r="D29" s="231"/>
      <c r="E29" s="230" t="s">
        <v>866</v>
      </c>
      <c r="F29" s="236"/>
      <c r="G29" s="232"/>
      <c r="H29" s="230"/>
      <c r="I29" s="232">
        <f>SUBTOTAL(9,I30:I34)</f>
        <v>186044.58000000002</v>
      </c>
      <c r="J29" s="230"/>
      <c r="K29" s="232"/>
      <c r="L29" s="232">
        <f>SUBTOTAL(9,L30:L34)</f>
        <v>230367</v>
      </c>
    </row>
    <row r="30" spans="2:12" x14ac:dyDescent="0.25">
      <c r="B30" s="235" t="s">
        <v>323</v>
      </c>
      <c r="C30" s="235" t="s">
        <v>215</v>
      </c>
      <c r="D30" s="235" t="s">
        <v>943</v>
      </c>
      <c r="E30" s="267" t="s">
        <v>944</v>
      </c>
      <c r="F30" s="229" t="s">
        <v>764</v>
      </c>
      <c r="G30" s="234">
        <f>EQUIPAMENTOS!$K$12</f>
        <v>10</v>
      </c>
      <c r="H30" s="234">
        <v>28.31</v>
      </c>
      <c r="I30" s="234">
        <f t="shared" ref="I30:I34" si="8">TRUNC(G30 * H30, 2)</f>
        <v>283.10000000000002</v>
      </c>
      <c r="J30" s="396">
        <f t="shared" si="5"/>
        <v>0.28139999999999998</v>
      </c>
      <c r="K30" s="234">
        <f t="shared" ref="K30:K34" si="9">TRUNC(H30 * (1 + J30), 2)</f>
        <v>36.270000000000003</v>
      </c>
      <c r="L30" s="234">
        <f t="shared" ref="L30:L34" si="10">TRUNC(G30 * K30, 2)</f>
        <v>362.7</v>
      </c>
    </row>
    <row r="31" spans="2:12" x14ac:dyDescent="0.25">
      <c r="B31" s="235" t="s">
        <v>325</v>
      </c>
      <c r="C31" s="235" t="s">
        <v>215</v>
      </c>
      <c r="D31" s="235" t="s">
        <v>946</v>
      </c>
      <c r="E31" s="267" t="s">
        <v>750</v>
      </c>
      <c r="F31" s="229" t="s">
        <v>753</v>
      </c>
      <c r="G31" s="234">
        <f>EQUIPAMENTOS!$K$19</f>
        <v>423</v>
      </c>
      <c r="H31" s="234">
        <v>21.96</v>
      </c>
      <c r="I31" s="234">
        <f t="shared" si="8"/>
        <v>9289.08</v>
      </c>
      <c r="J31" s="396">
        <f t="shared" si="5"/>
        <v>0.28139999999999998</v>
      </c>
      <c r="K31" s="234">
        <f t="shared" si="9"/>
        <v>28.13</v>
      </c>
      <c r="L31" s="234">
        <f t="shared" si="10"/>
        <v>11898.99</v>
      </c>
    </row>
    <row r="32" spans="2:12" ht="25.5" x14ac:dyDescent="0.25">
      <c r="B32" s="235" t="s">
        <v>326</v>
      </c>
      <c r="C32" s="235" t="s">
        <v>252</v>
      </c>
      <c r="D32" s="235" t="s">
        <v>948</v>
      </c>
      <c r="E32" s="267" t="s">
        <v>949</v>
      </c>
      <c r="F32" s="229" t="s">
        <v>48</v>
      </c>
      <c r="G32" s="234">
        <f>EQUIPAMENTOS!$J$25</f>
        <v>200</v>
      </c>
      <c r="H32" s="234">
        <v>480</v>
      </c>
      <c r="I32" s="234">
        <f t="shared" si="8"/>
        <v>96000</v>
      </c>
      <c r="J32" s="397">
        <f>$L$6</f>
        <v>0.1978</v>
      </c>
      <c r="K32" s="234">
        <f t="shared" si="9"/>
        <v>574.94000000000005</v>
      </c>
      <c r="L32" s="234">
        <f t="shared" si="10"/>
        <v>114988</v>
      </c>
    </row>
    <row r="33" spans="2:12" ht="38.25" x14ac:dyDescent="0.25">
      <c r="B33" s="235" t="s">
        <v>327</v>
      </c>
      <c r="C33" s="235" t="s">
        <v>592</v>
      </c>
      <c r="D33" s="235" t="s">
        <v>950</v>
      </c>
      <c r="E33" s="267" t="s">
        <v>860</v>
      </c>
      <c r="F33" s="229" t="s">
        <v>951</v>
      </c>
      <c r="G33" s="234">
        <f>EQUIPAMENTOS!$J$30</f>
        <v>2</v>
      </c>
      <c r="H33" s="234">
        <v>23244.91</v>
      </c>
      <c r="I33" s="234">
        <f t="shared" si="8"/>
        <v>46489.82</v>
      </c>
      <c r="J33" s="396">
        <f t="shared" si="5"/>
        <v>0.28139999999999998</v>
      </c>
      <c r="K33" s="234">
        <f t="shared" si="9"/>
        <v>29786.02</v>
      </c>
      <c r="L33" s="234">
        <f t="shared" si="10"/>
        <v>59572.04</v>
      </c>
    </row>
    <row r="34" spans="2:12" ht="25.5" x14ac:dyDescent="0.25">
      <c r="B34" s="235" t="s">
        <v>328</v>
      </c>
      <c r="C34" s="235" t="s">
        <v>252</v>
      </c>
      <c r="D34" s="235" t="s">
        <v>330</v>
      </c>
      <c r="E34" s="267" t="s">
        <v>204</v>
      </c>
      <c r="F34" s="229" t="s">
        <v>96</v>
      </c>
      <c r="G34" s="234">
        <v>1</v>
      </c>
      <c r="H34" s="234">
        <v>33982.58</v>
      </c>
      <c r="I34" s="234">
        <f t="shared" si="8"/>
        <v>33982.58</v>
      </c>
      <c r="J34" s="396">
        <f t="shared" si="5"/>
        <v>0.28139999999999998</v>
      </c>
      <c r="K34" s="234">
        <f t="shared" si="9"/>
        <v>43545.27</v>
      </c>
      <c r="L34" s="234">
        <f t="shared" si="10"/>
        <v>43545.27</v>
      </c>
    </row>
    <row r="35" spans="2:12" x14ac:dyDescent="0.25">
      <c r="B35" s="231" t="s">
        <v>331</v>
      </c>
      <c r="C35" s="231"/>
      <c r="D35" s="231"/>
      <c r="E35" s="230" t="s">
        <v>952</v>
      </c>
      <c r="F35" s="236"/>
      <c r="G35" s="232"/>
      <c r="H35" s="230"/>
      <c r="I35" s="232">
        <f>SUBTOTAL(9,I36:I39)</f>
        <v>133028.93</v>
      </c>
      <c r="J35" s="230"/>
      <c r="K35" s="232"/>
      <c r="L35" s="232">
        <f>SUBTOTAL(9,L36:L39)</f>
        <v>170453.11000000002</v>
      </c>
    </row>
    <row r="36" spans="2:12" x14ac:dyDescent="0.25">
      <c r="B36" s="235" t="s">
        <v>332</v>
      </c>
      <c r="C36" s="235" t="s">
        <v>215</v>
      </c>
      <c r="D36" s="235" t="s">
        <v>953</v>
      </c>
      <c r="E36" s="233" t="s">
        <v>954</v>
      </c>
      <c r="F36" s="229" t="s">
        <v>93</v>
      </c>
      <c r="G36" s="234">
        <f>'SEGURANÇA DO TRABALHO'!$J$12</f>
        <v>2300</v>
      </c>
      <c r="H36" s="234">
        <v>37</v>
      </c>
      <c r="I36" s="234">
        <f t="shared" ref="I36:I39" si="11">TRUNC(G36 * H36, 2)</f>
        <v>85100</v>
      </c>
      <c r="J36" s="396">
        <f t="shared" si="5"/>
        <v>0.28139999999999998</v>
      </c>
      <c r="K36" s="234">
        <f t="shared" ref="K36:K39" si="12">TRUNC(H36 * (1 + J36), 2)</f>
        <v>47.41</v>
      </c>
      <c r="L36" s="234">
        <f t="shared" ref="L36:L39" si="13">TRUNC(G36 * K36, 2)</f>
        <v>109043</v>
      </c>
    </row>
    <row r="37" spans="2:12" x14ac:dyDescent="0.25">
      <c r="B37" s="235" t="s">
        <v>333</v>
      </c>
      <c r="C37" s="235" t="s">
        <v>215</v>
      </c>
      <c r="D37" s="235" t="s">
        <v>955</v>
      </c>
      <c r="E37" s="233" t="s">
        <v>850</v>
      </c>
      <c r="F37" s="229" t="s">
        <v>73</v>
      </c>
      <c r="G37" s="234">
        <f>'SEGURANÇA DO TRABALHO'!$J$18</f>
        <v>80</v>
      </c>
      <c r="H37" s="234">
        <v>349.11</v>
      </c>
      <c r="I37" s="234">
        <f t="shared" si="11"/>
        <v>27928.799999999999</v>
      </c>
      <c r="J37" s="396">
        <f t="shared" si="5"/>
        <v>0.28139999999999998</v>
      </c>
      <c r="K37" s="234">
        <f t="shared" si="12"/>
        <v>447.34</v>
      </c>
      <c r="L37" s="234">
        <f t="shared" si="13"/>
        <v>35787.199999999997</v>
      </c>
    </row>
    <row r="38" spans="2:12" ht="38.25" x14ac:dyDescent="0.25">
      <c r="B38" s="235" t="s">
        <v>334</v>
      </c>
      <c r="C38" s="235" t="s">
        <v>289</v>
      </c>
      <c r="D38" s="235" t="s">
        <v>956</v>
      </c>
      <c r="E38" s="267" t="s">
        <v>852</v>
      </c>
      <c r="F38" s="229" t="s">
        <v>73</v>
      </c>
      <c r="G38" s="234">
        <f>'SEGURANÇA DO TRABALHO'!$J$24</f>
        <v>450</v>
      </c>
      <c r="H38" s="234">
        <v>34.47</v>
      </c>
      <c r="I38" s="234">
        <f t="shared" si="11"/>
        <v>15511.5</v>
      </c>
      <c r="J38" s="396">
        <f t="shared" si="5"/>
        <v>0.28139999999999998</v>
      </c>
      <c r="K38" s="234">
        <f t="shared" si="12"/>
        <v>44.16</v>
      </c>
      <c r="L38" s="234">
        <f t="shared" si="13"/>
        <v>19872</v>
      </c>
    </row>
    <row r="39" spans="2:12" ht="38.25" x14ac:dyDescent="0.25">
      <c r="B39" s="235" t="s">
        <v>335</v>
      </c>
      <c r="C39" s="235" t="s">
        <v>853</v>
      </c>
      <c r="D39" s="235" t="s">
        <v>957</v>
      </c>
      <c r="E39" s="267" t="s">
        <v>855</v>
      </c>
      <c r="F39" s="229" t="s">
        <v>73</v>
      </c>
      <c r="G39" s="234">
        <f>'SEGURANÇA DO TRABALHO'!$J$29</f>
        <v>157</v>
      </c>
      <c r="H39" s="234">
        <v>28.59</v>
      </c>
      <c r="I39" s="234">
        <f t="shared" si="11"/>
        <v>4488.63</v>
      </c>
      <c r="J39" s="396">
        <f t="shared" si="5"/>
        <v>0.28139999999999998</v>
      </c>
      <c r="K39" s="234">
        <f t="shared" si="12"/>
        <v>36.630000000000003</v>
      </c>
      <c r="L39" s="234">
        <f t="shared" si="13"/>
        <v>5750.91</v>
      </c>
    </row>
    <row r="40" spans="2:12" x14ac:dyDescent="0.25">
      <c r="B40" s="231" t="s">
        <v>336</v>
      </c>
      <c r="C40" s="231"/>
      <c r="D40" s="231"/>
      <c r="E40" s="230" t="s">
        <v>35</v>
      </c>
      <c r="F40" s="236"/>
      <c r="G40" s="232"/>
      <c r="H40" s="230"/>
      <c r="I40" s="232">
        <f>SUBTOTAL(9,I41)</f>
        <v>2300</v>
      </c>
      <c r="J40" s="230"/>
      <c r="K40" s="232"/>
      <c r="L40" s="232">
        <f>SUBTOTAL(9,L41)</f>
        <v>2900</v>
      </c>
    </row>
    <row r="41" spans="2:12" x14ac:dyDescent="0.25">
      <c r="B41" s="235" t="s">
        <v>337</v>
      </c>
      <c r="C41" s="235" t="s">
        <v>215</v>
      </c>
      <c r="D41" s="235" t="s">
        <v>324</v>
      </c>
      <c r="E41" s="233" t="s">
        <v>107</v>
      </c>
      <c r="F41" s="229" t="s">
        <v>93</v>
      </c>
      <c r="G41" s="234">
        <f>'SERVIÇOS PRELIMINARES'!$J$12</f>
        <v>10000</v>
      </c>
      <c r="H41" s="234">
        <v>0.23</v>
      </c>
      <c r="I41" s="234">
        <f t="shared" ref="I41" si="14">TRUNC(G41 * H41, 2)</f>
        <v>2300</v>
      </c>
      <c r="J41" s="396">
        <f t="shared" si="5"/>
        <v>0.28139999999999998</v>
      </c>
      <c r="K41" s="234">
        <f t="shared" ref="K41" si="15">TRUNC(H41 * (1 + J41), 2)</f>
        <v>0.28999999999999998</v>
      </c>
      <c r="L41" s="234">
        <f t="shared" ref="L41" si="16">TRUNC(G41 * K41, 2)</f>
        <v>2900</v>
      </c>
    </row>
    <row r="42" spans="2:12" x14ac:dyDescent="0.25">
      <c r="B42" s="231" t="s">
        <v>341</v>
      </c>
      <c r="C42" s="231"/>
      <c r="D42" s="231"/>
      <c r="E42" s="266" t="s">
        <v>958</v>
      </c>
      <c r="F42" s="236"/>
      <c r="G42" s="232"/>
      <c r="H42" s="230"/>
      <c r="I42" s="232">
        <f>SUBTOTAL(9,I43:I57)</f>
        <v>260820.39</v>
      </c>
      <c r="J42" s="230"/>
      <c r="K42" s="232"/>
      <c r="L42" s="232">
        <f>SUBTOTAL(9,L43:L57)</f>
        <v>325029.32999999996</v>
      </c>
    </row>
    <row r="43" spans="2:12" x14ac:dyDescent="0.25">
      <c r="B43" s="231" t="s">
        <v>342</v>
      </c>
      <c r="C43" s="231"/>
      <c r="D43" s="231"/>
      <c r="E43" s="266" t="s">
        <v>959</v>
      </c>
      <c r="F43" s="236"/>
      <c r="G43" s="232"/>
      <c r="H43" s="230"/>
      <c r="I43" s="232">
        <f>SUBTOTAL(9,I44:I46)</f>
        <v>10181.93</v>
      </c>
      <c r="J43" s="230"/>
      <c r="K43" s="232"/>
      <c r="L43" s="232">
        <f>SUBTOTAL(9,L44:L46)</f>
        <v>13040.35</v>
      </c>
    </row>
    <row r="44" spans="2:12" x14ac:dyDescent="0.25">
      <c r="B44" s="235" t="s">
        <v>343</v>
      </c>
      <c r="C44" s="235" t="s">
        <v>100</v>
      </c>
      <c r="D44" s="235" t="s">
        <v>960</v>
      </c>
      <c r="E44" s="267" t="s">
        <v>759</v>
      </c>
      <c r="F44" s="229" t="s">
        <v>93</v>
      </c>
      <c r="G44" s="234">
        <f>'DEMOLIÇÕES - ESQUADRIAS '!$L$62</f>
        <v>375.05</v>
      </c>
      <c r="H44" s="234">
        <v>2.52</v>
      </c>
      <c r="I44" s="234">
        <f t="shared" ref="I44:I46" si="17">TRUNC(G44 * H44, 2)</f>
        <v>945.12</v>
      </c>
      <c r="J44" s="396">
        <f t="shared" ref="J44:J46" si="18">+$L$5</f>
        <v>0.28139999999999998</v>
      </c>
      <c r="K44" s="234">
        <f t="shared" ref="K44:K46" si="19">TRUNC(H44 * (1 + J44), 2)</f>
        <v>3.22</v>
      </c>
      <c r="L44" s="234">
        <f t="shared" ref="L44:L46" si="20">TRUNC(G44 * K44, 2)</f>
        <v>1207.6600000000001</v>
      </c>
    </row>
    <row r="45" spans="2:12" ht="25.5" x14ac:dyDescent="0.25">
      <c r="B45" s="235" t="s">
        <v>344</v>
      </c>
      <c r="C45" s="235" t="s">
        <v>215</v>
      </c>
      <c r="D45" s="235" t="s">
        <v>961</v>
      </c>
      <c r="E45" s="267" t="s">
        <v>962</v>
      </c>
      <c r="F45" s="229" t="s">
        <v>93</v>
      </c>
      <c r="G45" s="234">
        <f>'DEMOLIÇÕES - ESQUADRIAS '!$K$62</f>
        <v>457.98000000000008</v>
      </c>
      <c r="H45" s="234">
        <v>5.85</v>
      </c>
      <c r="I45" s="234">
        <f t="shared" si="17"/>
        <v>2679.18</v>
      </c>
      <c r="J45" s="396">
        <f t="shared" si="18"/>
        <v>0.28139999999999998</v>
      </c>
      <c r="K45" s="234">
        <f t="shared" si="19"/>
        <v>7.49</v>
      </c>
      <c r="L45" s="234">
        <f t="shared" si="20"/>
        <v>3430.27</v>
      </c>
    </row>
    <row r="46" spans="2:12" ht="25.5" x14ac:dyDescent="0.25">
      <c r="B46" s="235" t="s">
        <v>345</v>
      </c>
      <c r="C46" s="235" t="s">
        <v>594</v>
      </c>
      <c r="D46" s="235" t="s">
        <v>963</v>
      </c>
      <c r="E46" s="267" t="s">
        <v>760</v>
      </c>
      <c r="F46" s="229" t="s">
        <v>93</v>
      </c>
      <c r="G46" s="234">
        <f>'DEMOLIÇÕES - GUARDA-CORPO'!$L$20</f>
        <v>292.35999999999996</v>
      </c>
      <c r="H46" s="234">
        <v>22.43</v>
      </c>
      <c r="I46" s="234">
        <f t="shared" si="17"/>
        <v>6557.63</v>
      </c>
      <c r="J46" s="396">
        <f t="shared" si="18"/>
        <v>0.28139999999999998</v>
      </c>
      <c r="K46" s="234">
        <f t="shared" si="19"/>
        <v>28.74</v>
      </c>
      <c r="L46" s="234">
        <f t="shared" si="20"/>
        <v>8402.42</v>
      </c>
    </row>
    <row r="47" spans="2:12" x14ac:dyDescent="0.25">
      <c r="B47" s="231" t="s">
        <v>347</v>
      </c>
      <c r="C47" s="231"/>
      <c r="D47" s="231"/>
      <c r="E47" s="266" t="s">
        <v>964</v>
      </c>
      <c r="F47" s="232"/>
      <c r="G47" s="232"/>
      <c r="H47" s="230"/>
      <c r="I47" s="232">
        <f>SUBTOTAL(9,I48)</f>
        <v>25963.95</v>
      </c>
      <c r="J47" s="230"/>
      <c r="K47" s="232"/>
      <c r="L47" s="232">
        <f>SUBTOTAL(9,L48)</f>
        <v>33267.870000000003</v>
      </c>
    </row>
    <row r="48" spans="2:12" ht="25.5" x14ac:dyDescent="0.25">
      <c r="B48" s="235" t="s">
        <v>348</v>
      </c>
      <c r="C48" s="235" t="s">
        <v>215</v>
      </c>
      <c r="D48" s="235" t="s">
        <v>965</v>
      </c>
      <c r="E48" s="267" t="s">
        <v>966</v>
      </c>
      <c r="F48" s="229" t="s">
        <v>92</v>
      </c>
      <c r="G48" s="234">
        <f>SUM('DEMOLIÇÕES - ALVENARIAS'!M11:$M$74)</f>
        <v>708.43000000000018</v>
      </c>
      <c r="H48" s="234">
        <v>36.65</v>
      </c>
      <c r="I48" s="234">
        <f t="shared" ref="I48" si="21">TRUNC(G48 * H48, 2)</f>
        <v>25963.95</v>
      </c>
      <c r="J48" s="396">
        <f t="shared" ref="J48" si="22">+$L$5</f>
        <v>0.28139999999999998</v>
      </c>
      <c r="K48" s="234">
        <f t="shared" ref="K48" si="23">TRUNC(H48 * (1 + J48), 2)</f>
        <v>46.96</v>
      </c>
      <c r="L48" s="234">
        <f t="shared" ref="L48" si="24">TRUNC(G48 * K48, 2)</f>
        <v>33267.870000000003</v>
      </c>
    </row>
    <row r="49" spans="2:12" x14ac:dyDescent="0.25">
      <c r="B49" s="231" t="s">
        <v>349</v>
      </c>
      <c r="C49" s="231"/>
      <c r="D49" s="231"/>
      <c r="E49" s="266" t="s">
        <v>967</v>
      </c>
      <c r="F49" s="232"/>
      <c r="G49" s="232"/>
      <c r="H49" s="230"/>
      <c r="I49" s="232">
        <f>SUBTOTAL(9,I50:I51)</f>
        <v>5416.4</v>
      </c>
      <c r="J49" s="230"/>
      <c r="K49" s="232"/>
      <c r="L49" s="232">
        <f>SUBTOTAL(9,L50:L51)</f>
        <v>6936.4000000000005</v>
      </c>
    </row>
    <row r="50" spans="2:12" ht="25.5" x14ac:dyDescent="0.25">
      <c r="B50" s="235" t="s">
        <v>350</v>
      </c>
      <c r="C50" s="235" t="s">
        <v>215</v>
      </c>
      <c r="D50" s="235" t="s">
        <v>968</v>
      </c>
      <c r="E50" s="267" t="s">
        <v>969</v>
      </c>
      <c r="F50" s="229" t="s">
        <v>93</v>
      </c>
      <c r="G50" s="234">
        <f>'DEMOLIÇÕES - COBERTURA'!$K$13</f>
        <v>604</v>
      </c>
      <c r="H50" s="234">
        <v>3.29</v>
      </c>
      <c r="I50" s="234">
        <f t="shared" ref="I50:I51" si="25">TRUNC(G50 * H50, 2)</f>
        <v>1987.16</v>
      </c>
      <c r="J50" s="396">
        <f t="shared" ref="J50:J51" si="26">+$L$5</f>
        <v>0.28139999999999998</v>
      </c>
      <c r="K50" s="234">
        <f t="shared" ref="K50:K51" si="27">TRUNC(H50 * (1 + J50), 2)</f>
        <v>4.21</v>
      </c>
      <c r="L50" s="234">
        <f t="shared" ref="L50:L51" si="28">TRUNC(G50 * K50, 2)</f>
        <v>2542.84</v>
      </c>
    </row>
    <row r="51" spans="2:12" ht="25.5" x14ac:dyDescent="0.25">
      <c r="B51" s="235" t="s">
        <v>351</v>
      </c>
      <c r="C51" s="235" t="s">
        <v>100</v>
      </c>
      <c r="D51" s="235" t="s">
        <v>970</v>
      </c>
      <c r="E51" s="267" t="s">
        <v>761</v>
      </c>
      <c r="F51" s="229" t="s">
        <v>93</v>
      </c>
      <c r="G51" s="234">
        <f>'DEMOLIÇÕES - COBERTURA'!$K$31</f>
        <v>492</v>
      </c>
      <c r="H51" s="234">
        <v>6.97</v>
      </c>
      <c r="I51" s="234">
        <f t="shared" si="25"/>
        <v>3429.24</v>
      </c>
      <c r="J51" s="396">
        <f t="shared" si="26"/>
        <v>0.28139999999999998</v>
      </c>
      <c r="K51" s="234">
        <f t="shared" si="27"/>
        <v>8.93</v>
      </c>
      <c r="L51" s="234">
        <f t="shared" si="28"/>
        <v>4393.5600000000004</v>
      </c>
    </row>
    <row r="52" spans="2:12" x14ac:dyDescent="0.25">
      <c r="B52" s="231" t="s">
        <v>971</v>
      </c>
      <c r="C52" s="231"/>
      <c r="D52" s="231"/>
      <c r="E52" s="266" t="s">
        <v>972</v>
      </c>
      <c r="F52" s="232"/>
      <c r="G52" s="232"/>
      <c r="H52" s="230"/>
      <c r="I52" s="232">
        <f>SUBTOTAL(9,I53:I57)</f>
        <v>219258.11</v>
      </c>
      <c r="J52" s="230"/>
      <c r="K52" s="232"/>
      <c r="L52" s="232">
        <f>SUBTOTAL(9,L53:L57)</f>
        <v>271784.70999999996</v>
      </c>
    </row>
    <row r="53" spans="2:12" ht="38.25" x14ac:dyDescent="0.25">
      <c r="B53" s="235" t="s">
        <v>973</v>
      </c>
      <c r="C53" s="235" t="s">
        <v>289</v>
      </c>
      <c r="D53" s="235" t="s">
        <v>974</v>
      </c>
      <c r="E53" s="267" t="s">
        <v>775</v>
      </c>
      <c r="F53" s="229" t="s">
        <v>92</v>
      </c>
      <c r="G53" s="234">
        <f>SUM('DEMOLIÇÕES - CONCRETO'!M11:$M$18)</f>
        <v>777.62600000000009</v>
      </c>
      <c r="H53" s="234">
        <v>69.86</v>
      </c>
      <c r="I53" s="234">
        <f t="shared" ref="I53:I57" si="29">TRUNC(G53 * H53, 2)</f>
        <v>54324.95</v>
      </c>
      <c r="J53" s="396">
        <f t="shared" ref="J53:J56" si="30">+$L$5</f>
        <v>0.28139999999999998</v>
      </c>
      <c r="K53" s="234">
        <f t="shared" ref="K53:K57" si="31">TRUNC(H53 * (1 + J53), 2)</f>
        <v>89.51</v>
      </c>
      <c r="L53" s="234">
        <f t="shared" ref="L53:L57" si="32">TRUNC(G53 * K53, 2)</f>
        <v>69605.3</v>
      </c>
    </row>
    <row r="54" spans="2:12" ht="38.25" x14ac:dyDescent="0.25">
      <c r="B54" s="235" t="s">
        <v>975</v>
      </c>
      <c r="C54" s="235" t="s">
        <v>289</v>
      </c>
      <c r="D54" s="235" t="s">
        <v>976</v>
      </c>
      <c r="E54" s="267" t="s">
        <v>776</v>
      </c>
      <c r="F54" s="229" t="s">
        <v>92</v>
      </c>
      <c r="G54" s="234">
        <f>SUM('DEMOLIÇÕES - CONCRETO'!M27:$M$29)</f>
        <v>120.918966</v>
      </c>
      <c r="H54" s="234">
        <v>150.02000000000001</v>
      </c>
      <c r="I54" s="234">
        <f t="shared" si="29"/>
        <v>18140.259999999998</v>
      </c>
      <c r="J54" s="396">
        <f t="shared" si="30"/>
        <v>0.28139999999999998</v>
      </c>
      <c r="K54" s="234">
        <f t="shared" si="31"/>
        <v>192.23</v>
      </c>
      <c r="L54" s="234">
        <f t="shared" si="32"/>
        <v>23244.25</v>
      </c>
    </row>
    <row r="55" spans="2:12" ht="25.5" x14ac:dyDescent="0.25">
      <c r="B55" s="235" t="s">
        <v>977</v>
      </c>
      <c r="C55" s="235" t="s">
        <v>329</v>
      </c>
      <c r="D55" s="235" t="s">
        <v>978</v>
      </c>
      <c r="E55" s="267" t="s">
        <v>781</v>
      </c>
      <c r="F55" s="229" t="s">
        <v>96</v>
      </c>
      <c r="G55" s="234">
        <f>'DEMOLIÇÕES - CONCRETO'!$K$38</f>
        <v>20</v>
      </c>
      <c r="H55" s="234">
        <v>491.44</v>
      </c>
      <c r="I55" s="234">
        <f t="shared" si="29"/>
        <v>9828.7999999999993</v>
      </c>
      <c r="J55" s="396">
        <f t="shared" si="30"/>
        <v>0.28139999999999998</v>
      </c>
      <c r="K55" s="234">
        <f t="shared" si="31"/>
        <v>629.73</v>
      </c>
      <c r="L55" s="234">
        <f t="shared" si="32"/>
        <v>12594.6</v>
      </c>
    </row>
    <row r="56" spans="2:12" ht="25.5" x14ac:dyDescent="0.25">
      <c r="B56" s="235" t="s">
        <v>979</v>
      </c>
      <c r="C56" s="235" t="s">
        <v>980</v>
      </c>
      <c r="D56" s="235" t="s">
        <v>981</v>
      </c>
      <c r="E56" s="267" t="s">
        <v>784</v>
      </c>
      <c r="F56" s="229" t="s">
        <v>92</v>
      </c>
      <c r="G56" s="234">
        <f>SUM('DEMOLIÇÕES - CONCRETO'!M42:$M$51)</f>
        <v>418.99010399999997</v>
      </c>
      <c r="H56" s="234">
        <v>65.25</v>
      </c>
      <c r="I56" s="234">
        <f t="shared" si="29"/>
        <v>27339.1</v>
      </c>
      <c r="J56" s="396">
        <f t="shared" si="30"/>
        <v>0.28139999999999998</v>
      </c>
      <c r="K56" s="234">
        <f t="shared" si="31"/>
        <v>83.61</v>
      </c>
      <c r="L56" s="234">
        <f t="shared" si="32"/>
        <v>35031.760000000002</v>
      </c>
    </row>
    <row r="57" spans="2:12" ht="25.5" x14ac:dyDescent="0.25">
      <c r="B57" s="235" t="s">
        <v>982</v>
      </c>
      <c r="C57" s="235" t="s">
        <v>329</v>
      </c>
      <c r="D57" s="235" t="s">
        <v>983</v>
      </c>
      <c r="E57" s="267" t="s">
        <v>796</v>
      </c>
      <c r="F57" s="229" t="s">
        <v>33</v>
      </c>
      <c r="G57" s="234">
        <f>'DEMOLIÇÕES - CONCRETO'!$K$61</f>
        <v>20</v>
      </c>
      <c r="H57" s="432">
        <v>5481.25</v>
      </c>
      <c r="I57" s="234">
        <f t="shared" si="29"/>
        <v>109625</v>
      </c>
      <c r="J57" s="397">
        <f>$L$6</f>
        <v>0.1978</v>
      </c>
      <c r="K57" s="234">
        <f t="shared" si="31"/>
        <v>6565.44</v>
      </c>
      <c r="L57" s="234">
        <f t="shared" si="32"/>
        <v>131308.79999999999</v>
      </c>
    </row>
    <row r="58" spans="2:12" x14ac:dyDescent="0.25">
      <c r="B58" s="231" t="s">
        <v>352</v>
      </c>
      <c r="C58" s="231"/>
      <c r="D58" s="231"/>
      <c r="E58" s="230" t="s">
        <v>984</v>
      </c>
      <c r="F58" s="232"/>
      <c r="G58" s="232"/>
      <c r="H58" s="230"/>
      <c r="I58" s="232">
        <f>SUBTOTAL(9,I59:I62)</f>
        <v>12769.509999999998</v>
      </c>
      <c r="J58" s="230"/>
      <c r="K58" s="232"/>
      <c r="L58" s="232">
        <f>SUBTOTAL(9,L59:L62)</f>
        <v>16361.68</v>
      </c>
    </row>
    <row r="59" spans="2:12" ht="25.5" x14ac:dyDescent="0.25">
      <c r="B59" s="235" t="s">
        <v>985</v>
      </c>
      <c r="C59" s="235" t="s">
        <v>215</v>
      </c>
      <c r="D59" s="235" t="s">
        <v>965</v>
      </c>
      <c r="E59" s="267" t="s">
        <v>966</v>
      </c>
      <c r="F59" s="229" t="s">
        <v>92</v>
      </c>
      <c r="G59" s="234">
        <f>SUM('DEMOLIÇÕES - ALVENARIAS'!M75:$M$82)</f>
        <v>107.27999999999999</v>
      </c>
      <c r="H59" s="234">
        <v>36.65</v>
      </c>
      <c r="I59" s="234">
        <f t="shared" ref="I59:I62" si="33">TRUNC(G59 * H59, 2)</f>
        <v>3931.81</v>
      </c>
      <c r="J59" s="396">
        <f t="shared" ref="J59:J73" si="34">+$L$5</f>
        <v>0.28139999999999998</v>
      </c>
      <c r="K59" s="234">
        <f t="shared" ref="K59:K62" si="35">TRUNC(H59 * (1 + J59), 2)</f>
        <v>46.96</v>
      </c>
      <c r="L59" s="234">
        <f t="shared" ref="L59:L62" si="36">TRUNC(G59 * K59, 2)</f>
        <v>5037.8599999999997</v>
      </c>
    </row>
    <row r="60" spans="2:12" ht="38.25" x14ac:dyDescent="0.25">
      <c r="B60" s="235" t="s">
        <v>986</v>
      </c>
      <c r="C60" s="235" t="s">
        <v>289</v>
      </c>
      <c r="D60" s="235" t="s">
        <v>974</v>
      </c>
      <c r="E60" s="267" t="s">
        <v>775</v>
      </c>
      <c r="F60" s="229" t="s">
        <v>92</v>
      </c>
      <c r="G60" s="234">
        <f>SUM('DEMOLIÇÕES - CONCRETO'!M19:$M$22)</f>
        <v>53.73</v>
      </c>
      <c r="H60" s="234">
        <v>69.86</v>
      </c>
      <c r="I60" s="234">
        <f t="shared" si="33"/>
        <v>3753.57</v>
      </c>
      <c r="J60" s="396">
        <f t="shared" si="34"/>
        <v>0.28139999999999998</v>
      </c>
      <c r="K60" s="234">
        <f t="shared" si="35"/>
        <v>89.51</v>
      </c>
      <c r="L60" s="234">
        <f t="shared" si="36"/>
        <v>4809.37</v>
      </c>
    </row>
    <row r="61" spans="2:12" ht="38.25" x14ac:dyDescent="0.25">
      <c r="B61" s="235" t="s">
        <v>987</v>
      </c>
      <c r="C61" s="235" t="s">
        <v>289</v>
      </c>
      <c r="D61" s="235" t="s">
        <v>976</v>
      </c>
      <c r="E61" s="267" t="s">
        <v>776</v>
      </c>
      <c r="F61" s="229" t="s">
        <v>92</v>
      </c>
      <c r="G61" s="234">
        <f>SUM('DEMOLIÇÕES - CONCRETO'!M30:$M$33)</f>
        <v>31.887360000000001</v>
      </c>
      <c r="H61" s="234">
        <v>150.02000000000001</v>
      </c>
      <c r="I61" s="234">
        <f t="shared" si="33"/>
        <v>4783.74</v>
      </c>
      <c r="J61" s="396">
        <f t="shared" si="34"/>
        <v>0.28139999999999998</v>
      </c>
      <c r="K61" s="234">
        <f t="shared" si="35"/>
        <v>192.23</v>
      </c>
      <c r="L61" s="234">
        <f t="shared" si="36"/>
        <v>6129.7</v>
      </c>
    </row>
    <row r="62" spans="2:12" ht="25.5" x14ac:dyDescent="0.25">
      <c r="B62" s="235" t="s">
        <v>988</v>
      </c>
      <c r="C62" s="235" t="s">
        <v>215</v>
      </c>
      <c r="D62" s="235" t="s">
        <v>989</v>
      </c>
      <c r="E62" s="267" t="s">
        <v>809</v>
      </c>
      <c r="F62" s="229" t="s">
        <v>93</v>
      </c>
      <c r="G62" s="234">
        <f>'DEMOLIÇÕES - COBERTURA'!$K$37</f>
        <v>57</v>
      </c>
      <c r="H62" s="234">
        <v>5.27</v>
      </c>
      <c r="I62" s="234">
        <f t="shared" si="33"/>
        <v>300.39</v>
      </c>
      <c r="J62" s="396">
        <f t="shared" si="34"/>
        <v>0.28139999999999998</v>
      </c>
      <c r="K62" s="234">
        <f t="shared" si="35"/>
        <v>6.75</v>
      </c>
      <c r="L62" s="234">
        <f t="shared" si="36"/>
        <v>384.75</v>
      </c>
    </row>
    <row r="63" spans="2:12" x14ac:dyDescent="0.25">
      <c r="B63" s="231" t="s">
        <v>353</v>
      </c>
      <c r="C63" s="231"/>
      <c r="D63" s="231"/>
      <c r="E63" s="230" t="s">
        <v>990</v>
      </c>
      <c r="F63" s="232"/>
      <c r="G63" s="232"/>
      <c r="H63" s="230"/>
      <c r="I63" s="232">
        <f>SUBTOTAL(9,I64:I66)</f>
        <v>30284.82</v>
      </c>
      <c r="J63" s="230"/>
      <c r="K63" s="232"/>
      <c r="L63" s="232">
        <f>SUBTOTAL(9,L64:L66)</f>
        <v>38806.17</v>
      </c>
    </row>
    <row r="64" spans="2:12" ht="25.5" x14ac:dyDescent="0.25">
      <c r="B64" s="235" t="s">
        <v>354</v>
      </c>
      <c r="C64" s="235" t="s">
        <v>594</v>
      </c>
      <c r="D64" s="235" t="s">
        <v>963</v>
      </c>
      <c r="E64" s="267" t="s">
        <v>760</v>
      </c>
      <c r="F64" s="229" t="s">
        <v>19</v>
      </c>
      <c r="G64" s="234">
        <f>'DEMOLIÇÕES - GUARDA-CORPO'!$L$21</f>
        <v>132.19</v>
      </c>
      <c r="H64" s="234">
        <v>22.43</v>
      </c>
      <c r="I64" s="234">
        <f t="shared" ref="I64:I66" si="37">TRUNC(G64 * H64, 2)</f>
        <v>2965.02</v>
      </c>
      <c r="J64" s="396">
        <f t="shared" si="34"/>
        <v>0.28139999999999998</v>
      </c>
      <c r="K64" s="234">
        <f t="shared" ref="K64:K66" si="38">TRUNC(H64 * (1 + J64), 2)</f>
        <v>28.74</v>
      </c>
      <c r="L64" s="234">
        <f t="shared" ref="L64:L66" si="39">TRUNC(G64 * K64, 2)</f>
        <v>3799.14</v>
      </c>
    </row>
    <row r="65" spans="2:13" ht="25.5" x14ac:dyDescent="0.25">
      <c r="B65" s="235" t="s">
        <v>355</v>
      </c>
      <c r="C65" s="235" t="s">
        <v>980</v>
      </c>
      <c r="D65" s="235" t="s">
        <v>981</v>
      </c>
      <c r="E65" s="267" t="s">
        <v>784</v>
      </c>
      <c r="F65" s="229" t="s">
        <v>39</v>
      </c>
      <c r="G65" s="234">
        <f>SUM('DEMOLIÇÕES - CONCRETO'!M52:$M$54)</f>
        <v>409.6875</v>
      </c>
      <c r="H65" s="234">
        <v>65.25</v>
      </c>
      <c r="I65" s="234">
        <f t="shared" si="37"/>
        <v>26732.1</v>
      </c>
      <c r="J65" s="396">
        <f t="shared" si="34"/>
        <v>0.28139999999999998</v>
      </c>
      <c r="K65" s="234">
        <f t="shared" si="38"/>
        <v>83.61</v>
      </c>
      <c r="L65" s="234">
        <f t="shared" si="39"/>
        <v>34253.97</v>
      </c>
    </row>
    <row r="66" spans="2:13" x14ac:dyDescent="0.25">
      <c r="B66" s="235" t="s">
        <v>356</v>
      </c>
      <c r="C66" s="235" t="s">
        <v>592</v>
      </c>
      <c r="D66" s="235" t="s">
        <v>991</v>
      </c>
      <c r="E66" s="267" t="s">
        <v>815</v>
      </c>
      <c r="F66" s="229" t="s">
        <v>33</v>
      </c>
      <c r="G66" s="234">
        <f>'DEMOLIÇÕES - CONCRETO'!$K$65</f>
        <v>3</v>
      </c>
      <c r="H66" s="234">
        <v>195.9</v>
      </c>
      <c r="I66" s="234">
        <f t="shared" si="37"/>
        <v>587.70000000000005</v>
      </c>
      <c r="J66" s="396">
        <f t="shared" si="34"/>
        <v>0.28139999999999998</v>
      </c>
      <c r="K66" s="234">
        <f t="shared" si="38"/>
        <v>251.02</v>
      </c>
      <c r="L66" s="234">
        <f t="shared" si="39"/>
        <v>753.06</v>
      </c>
    </row>
    <row r="67" spans="2:13" x14ac:dyDescent="0.25">
      <c r="B67" s="231" t="s">
        <v>357</v>
      </c>
      <c r="C67" s="231"/>
      <c r="D67" s="231"/>
      <c r="E67" s="230" t="s">
        <v>992</v>
      </c>
      <c r="F67" s="232"/>
      <c r="G67" s="232"/>
      <c r="H67" s="230"/>
      <c r="I67" s="232">
        <f>SUBTOTAL(9,I68:I69)</f>
        <v>8140.23</v>
      </c>
      <c r="J67" s="230"/>
      <c r="K67" s="232"/>
      <c r="L67" s="232">
        <f>SUBTOTAL(9,L68:L69)</f>
        <v>10424.94</v>
      </c>
    </row>
    <row r="68" spans="2:13" ht="25.5" x14ac:dyDescent="0.25">
      <c r="B68" s="235" t="s">
        <v>993</v>
      </c>
      <c r="C68" s="235" t="s">
        <v>980</v>
      </c>
      <c r="D68" s="235" t="s">
        <v>981</v>
      </c>
      <c r="E68" s="267" t="s">
        <v>784</v>
      </c>
      <c r="F68" s="229" t="s">
        <v>39</v>
      </c>
      <c r="G68" s="234">
        <f>'DEMOLIÇÕES - CONCRETO'!$M$55</f>
        <v>82.600000000000009</v>
      </c>
      <c r="H68" s="234">
        <v>65.25</v>
      </c>
      <c r="I68" s="234">
        <f t="shared" ref="I68:I69" si="40">TRUNC(G68 * H68, 2)</f>
        <v>5389.65</v>
      </c>
      <c r="J68" s="396">
        <f t="shared" si="34"/>
        <v>0.28139999999999998</v>
      </c>
      <c r="K68" s="234">
        <f t="shared" ref="K68:K69" si="41">TRUNC(H68 * (1 + J68), 2)</f>
        <v>83.61</v>
      </c>
      <c r="L68" s="234">
        <f t="shared" ref="L68:L69" si="42">TRUNC(G68 * K68, 2)</f>
        <v>6906.18</v>
      </c>
    </row>
    <row r="69" spans="2:13" x14ac:dyDescent="0.25">
      <c r="B69" s="235" t="s">
        <v>994</v>
      </c>
      <c r="C69" s="235" t="s">
        <v>215</v>
      </c>
      <c r="D69" s="235" t="s">
        <v>338</v>
      </c>
      <c r="E69" s="267" t="s">
        <v>339</v>
      </c>
      <c r="F69" s="229" t="s">
        <v>39</v>
      </c>
      <c r="G69" s="234">
        <f>'DEMOLIÇÕES - MOVIMENTO DE TERRA'!$J$12</f>
        <v>1239</v>
      </c>
      <c r="H69" s="234">
        <v>2.2200000000000002</v>
      </c>
      <c r="I69" s="234">
        <f t="shared" si="40"/>
        <v>2750.58</v>
      </c>
      <c r="J69" s="396">
        <f t="shared" si="34"/>
        <v>0.28139999999999998</v>
      </c>
      <c r="K69" s="234">
        <f t="shared" si="41"/>
        <v>2.84</v>
      </c>
      <c r="L69" s="234">
        <f t="shared" si="42"/>
        <v>3518.76</v>
      </c>
    </row>
    <row r="70" spans="2:13" x14ac:dyDescent="0.25">
      <c r="B70" s="231" t="s">
        <v>358</v>
      </c>
      <c r="C70" s="231"/>
      <c r="D70" s="231"/>
      <c r="E70" s="230" t="s">
        <v>995</v>
      </c>
      <c r="F70" s="232"/>
      <c r="G70" s="232"/>
      <c r="H70" s="230"/>
      <c r="I70" s="232">
        <f>SUBTOTAL(9,I71:I73)</f>
        <v>1270208.5899999999</v>
      </c>
      <c r="J70" s="230"/>
      <c r="K70" s="232"/>
      <c r="L70" s="232">
        <f>SUBTOTAL(9,L71:L73)</f>
        <v>1627240.2200000002</v>
      </c>
    </row>
    <row r="71" spans="2:13" x14ac:dyDescent="0.25">
      <c r="B71" s="235" t="s">
        <v>996</v>
      </c>
      <c r="C71" s="235" t="s">
        <v>215</v>
      </c>
      <c r="D71" s="235" t="s">
        <v>997</v>
      </c>
      <c r="E71" s="233" t="s">
        <v>831</v>
      </c>
      <c r="F71" s="229" t="s">
        <v>39</v>
      </c>
      <c r="G71" s="234">
        <f>'DEMOLIÇÕES - TRANSPORTES'!$M$19</f>
        <v>2379.0564000000004</v>
      </c>
      <c r="H71" s="234">
        <v>84.55</v>
      </c>
      <c r="I71" s="234">
        <f t="shared" ref="I71:I73" si="43">TRUNC(G71 * H71, 2)</f>
        <v>201149.21</v>
      </c>
      <c r="J71" s="396">
        <f t="shared" si="34"/>
        <v>0.28139999999999998</v>
      </c>
      <c r="K71" s="234">
        <f t="shared" ref="K71:K73" si="44">TRUNC(H71 * (1 + J71), 2)</f>
        <v>108.34</v>
      </c>
      <c r="L71" s="234">
        <f t="shared" ref="L71:L73" si="45">TRUNC(G71 * K71, 2)</f>
        <v>257746.97</v>
      </c>
    </row>
    <row r="72" spans="2:13" x14ac:dyDescent="0.25">
      <c r="B72" s="235" t="s">
        <v>998</v>
      </c>
      <c r="C72" s="235" t="s">
        <v>215</v>
      </c>
      <c r="D72" s="235" t="s">
        <v>999</v>
      </c>
      <c r="E72" s="233" t="s">
        <v>1000</v>
      </c>
      <c r="F72" s="229" t="s">
        <v>39</v>
      </c>
      <c r="G72" s="234">
        <f>'DEMOLIÇÕES - TRANSPORTES'!$M$26</f>
        <v>2558.8439055000008</v>
      </c>
      <c r="H72" s="234">
        <v>1.63</v>
      </c>
      <c r="I72" s="234">
        <f t="shared" si="43"/>
        <v>4170.91</v>
      </c>
      <c r="J72" s="396">
        <f t="shared" si="34"/>
        <v>0.28139999999999998</v>
      </c>
      <c r="K72" s="234">
        <f t="shared" si="44"/>
        <v>2.08</v>
      </c>
      <c r="L72" s="234">
        <f t="shared" si="45"/>
        <v>5322.39</v>
      </c>
    </row>
    <row r="73" spans="2:13" ht="25.5" x14ac:dyDescent="0.25">
      <c r="B73" s="235" t="s">
        <v>1001</v>
      </c>
      <c r="C73" s="235" t="s">
        <v>252</v>
      </c>
      <c r="D73" s="235" t="s">
        <v>1002</v>
      </c>
      <c r="E73" s="233" t="s">
        <v>837</v>
      </c>
      <c r="F73" s="229" t="s">
        <v>340</v>
      </c>
      <c r="G73" s="234">
        <f>'DEMOLIÇÕES - TRANSPORTES'!$M$31</f>
        <v>348002.77114800009</v>
      </c>
      <c r="H73" s="234">
        <v>3.06</v>
      </c>
      <c r="I73" s="234">
        <f t="shared" si="43"/>
        <v>1064888.47</v>
      </c>
      <c r="J73" s="396">
        <f t="shared" si="34"/>
        <v>0.28139999999999998</v>
      </c>
      <c r="K73" s="234">
        <f t="shared" si="44"/>
        <v>3.92</v>
      </c>
      <c r="L73" s="234">
        <f t="shared" si="45"/>
        <v>1364170.86</v>
      </c>
    </row>
    <row r="74" spans="2:13" x14ac:dyDescent="0.25">
      <c r="B74" s="231" t="s">
        <v>359</v>
      </c>
      <c r="C74" s="231"/>
      <c r="D74" s="231"/>
      <c r="E74" s="230" t="s">
        <v>1003</v>
      </c>
      <c r="F74" s="232"/>
      <c r="G74" s="232"/>
      <c r="H74" s="230"/>
      <c r="I74" s="232">
        <f>SUBTOTAL(9,I75)</f>
        <v>142157.99</v>
      </c>
      <c r="J74" s="230"/>
      <c r="K74" s="232"/>
      <c r="L74" s="232">
        <f>SUBTOTAL(9,L75)</f>
        <v>170257.89</v>
      </c>
    </row>
    <row r="75" spans="2:13" ht="25.5" x14ac:dyDescent="0.25">
      <c r="B75" s="235" t="s">
        <v>1004</v>
      </c>
      <c r="C75" s="235" t="s">
        <v>100</v>
      </c>
      <c r="D75" s="235" t="s">
        <v>1005</v>
      </c>
      <c r="E75" s="267" t="s">
        <v>844</v>
      </c>
      <c r="F75" s="229" t="s">
        <v>1006</v>
      </c>
      <c r="G75" s="234">
        <f>'DEMOLIÇÕES - RESÍDUOS'!$M$14</f>
        <v>4738.5998250000002</v>
      </c>
      <c r="H75" s="234">
        <v>30</v>
      </c>
      <c r="I75" s="234">
        <f t="shared" ref="I75" si="46">TRUNC(G75 * H75, 2)</f>
        <v>142157.99</v>
      </c>
      <c r="J75" s="397">
        <f>$L$6</f>
        <v>0.1978</v>
      </c>
      <c r="K75" s="234">
        <f t="shared" ref="K75" si="47">TRUNC(H75 * (1 + J75), 2)</f>
        <v>35.93</v>
      </c>
      <c r="L75" s="234">
        <f t="shared" ref="L75" si="48">TRUNC(G75 * K75, 2)</f>
        <v>170257.89</v>
      </c>
    </row>
    <row r="76" spans="2:13" ht="13.5" thickBot="1" x14ac:dyDescent="0.3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</row>
    <row r="77" spans="2:13" ht="24.95" customHeight="1" x14ac:dyDescent="0.25">
      <c r="B77" s="477"/>
      <c r="C77" s="477"/>
      <c r="D77" s="477"/>
      <c r="E77" s="216"/>
      <c r="F77" s="237"/>
      <c r="G77" s="215"/>
      <c r="H77" s="482" t="s">
        <v>363</v>
      </c>
      <c r="I77" s="468"/>
      <c r="J77" s="468"/>
      <c r="K77" s="483"/>
      <c r="L77" s="484">
        <f>+SUBTOTAL(9,I9:I75)</f>
        <v>2283757.04</v>
      </c>
      <c r="M77" s="485"/>
    </row>
    <row r="78" spans="2:13" ht="24.95" customHeight="1" x14ac:dyDescent="0.25">
      <c r="B78" s="477"/>
      <c r="C78" s="477"/>
      <c r="D78" s="477"/>
      <c r="E78" s="216"/>
      <c r="F78" s="237"/>
      <c r="G78" s="215"/>
      <c r="H78" s="486" t="s">
        <v>364</v>
      </c>
      <c r="I78" s="472"/>
      <c r="J78" s="472"/>
      <c r="K78" s="487"/>
      <c r="L78" s="488">
        <f>+L79-L77</f>
        <v>612999.86999999965</v>
      </c>
      <c r="M78" s="489"/>
    </row>
    <row r="79" spans="2:13" ht="24.95" customHeight="1" thickBot="1" x14ac:dyDescent="0.3">
      <c r="B79" s="477"/>
      <c r="C79" s="477"/>
      <c r="D79" s="477"/>
      <c r="E79" s="216"/>
      <c r="F79" s="237"/>
      <c r="G79" s="215"/>
      <c r="H79" s="478" t="s">
        <v>365</v>
      </c>
      <c r="I79" s="476"/>
      <c r="J79" s="476"/>
      <c r="K79" s="479"/>
      <c r="L79" s="480">
        <f>+SUBTOTAL(9,L9:L75)</f>
        <v>2896756.9099999997</v>
      </c>
      <c r="M79" s="481"/>
    </row>
  </sheetData>
  <mergeCells count="11">
    <mergeCell ref="B79:D79"/>
    <mergeCell ref="H79:K79"/>
    <mergeCell ref="L79:M79"/>
    <mergeCell ref="B1:L1"/>
    <mergeCell ref="C5:F6"/>
    <mergeCell ref="B77:D77"/>
    <mergeCell ref="H77:K77"/>
    <mergeCell ref="L77:M77"/>
    <mergeCell ref="B78:D78"/>
    <mergeCell ref="H78:K78"/>
    <mergeCell ref="L78:M7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landscape" r:id="rId1"/>
  <headerFooter>
    <oddHeader>&amp;L&amp;G</oddHeader>
    <oddFooter>&amp;L&amp;"Arial Narrow,Normal"&amp;10&amp;A
&amp;F&amp;R&amp;"Arial Narrow,Normal"&amp;10Página &amp;P de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25E2-FB74-48D0-8101-4A94DE119053}">
  <dimension ref="B1:Y30"/>
  <sheetViews>
    <sheetView showGridLines="0" showZeros="0" view="pageBreakPreview" zoomScaleNormal="100" zoomScaleSheetLayoutView="100" workbookViewId="0">
      <selection activeCell="R17" sqref="R17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5" s="65" customFormat="1" ht="20.100000000000001" customHeight="1" x14ac:dyDescent="0.25">
      <c r="B1" s="466" t="s">
        <v>283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5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5" s="65" customFormat="1" ht="20.100000000000001" customHeight="1" x14ac:dyDescent="0.25"/>
    <row r="4" spans="2:25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L4" s="2"/>
      <c r="N4" s="3" t="s">
        <v>62</v>
      </c>
      <c r="O4" s="4" t="str">
        <f>+'DADOS DA OBRA'!$N$22</f>
        <v>18/11/2024</v>
      </c>
      <c r="R4" s="31"/>
      <c r="S4" s="31"/>
      <c r="T4" s="32"/>
      <c r="U4" s="32"/>
    </row>
    <row r="5" spans="2:25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N5" s="3" t="s">
        <v>17</v>
      </c>
      <c r="O5" s="4" t="str">
        <f>'DADOS DA OBRA'!$N$25</f>
        <v>02</v>
      </c>
    </row>
    <row r="6" spans="2:25" s="5" customFormat="1" ht="20.100000000000001" customHeight="1" x14ac:dyDescent="0.25"/>
    <row r="7" spans="2:25" s="5" customFormat="1" ht="20.100000000000001" customHeight="1" x14ac:dyDescent="0.25">
      <c r="B7" s="5" t="s">
        <v>255</v>
      </c>
      <c r="E7" s="192" t="s">
        <v>885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2:25" ht="20.100000000000001" customHeight="1" x14ac:dyDescent="0.25">
      <c r="B8" s="5" t="s">
        <v>256</v>
      </c>
      <c r="C8" s="5"/>
      <c r="D8" s="5"/>
      <c r="E8" s="191">
        <v>1</v>
      </c>
      <c r="F8" s="180" t="s">
        <v>257</v>
      </c>
      <c r="G8" s="181">
        <v>0.03</v>
      </c>
      <c r="H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2:25" ht="20.100000000000001" customHeight="1" thickBot="1" x14ac:dyDescent="0.3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O9" s="75"/>
    </row>
    <row r="10" spans="2:25" s="167" customFormat="1" ht="24" customHeight="1" thickBot="1" x14ac:dyDescent="0.3">
      <c r="B10" s="63"/>
      <c r="C10" s="575" t="s">
        <v>85</v>
      </c>
      <c r="D10" s="576"/>
      <c r="E10" s="577"/>
      <c r="F10" s="581" t="s">
        <v>258</v>
      </c>
      <c r="G10" s="63"/>
      <c r="H10" s="63"/>
      <c r="I10" s="583" t="s">
        <v>259</v>
      </c>
      <c r="J10" s="584"/>
      <c r="K10" s="585"/>
      <c r="L10" s="197"/>
      <c r="M10" s="583" t="s">
        <v>273</v>
      </c>
      <c r="N10" s="584"/>
      <c r="O10" s="585"/>
    </row>
    <row r="11" spans="2:25" s="167" customFormat="1" ht="20.100000000000001" customHeight="1" thickBot="1" x14ac:dyDescent="0.3">
      <c r="B11" s="63"/>
      <c r="C11" s="578"/>
      <c r="D11" s="579"/>
      <c r="E11" s="580"/>
      <c r="F11" s="582"/>
      <c r="G11" s="170"/>
      <c r="H11" s="170"/>
      <c r="I11" s="198" t="s">
        <v>260</v>
      </c>
      <c r="J11" s="199" t="s">
        <v>261</v>
      </c>
      <c r="K11" s="200" t="s">
        <v>262</v>
      </c>
      <c r="M11" s="207">
        <v>20.34</v>
      </c>
      <c r="N11" s="208">
        <v>22.12</v>
      </c>
      <c r="O11" s="209">
        <v>25</v>
      </c>
    </row>
    <row r="12" spans="2:25" s="167" customFormat="1" ht="20.100000000000001" customHeight="1" x14ac:dyDescent="0.25">
      <c r="B12" s="168"/>
      <c r="C12" s="193" t="s">
        <v>263</v>
      </c>
      <c r="D12" s="194"/>
      <c r="E12" s="194"/>
      <c r="F12" s="195">
        <v>4</v>
      </c>
      <c r="G12" s="169"/>
      <c r="H12" s="64"/>
      <c r="I12" s="201">
        <v>3</v>
      </c>
      <c r="J12" s="202">
        <v>4</v>
      </c>
      <c r="K12" s="203">
        <v>5.5</v>
      </c>
    </row>
    <row r="13" spans="2:25" s="167" customFormat="1" ht="20.100000000000001" customHeight="1" x14ac:dyDescent="0.25">
      <c r="B13" s="168"/>
      <c r="C13" s="193" t="s">
        <v>264</v>
      </c>
      <c r="D13" s="194"/>
      <c r="E13" s="194"/>
      <c r="F13" s="195">
        <v>0.12</v>
      </c>
      <c r="G13" s="169"/>
      <c r="H13" s="64"/>
      <c r="I13" s="201">
        <v>0.8</v>
      </c>
      <c r="J13" s="202">
        <v>0.8</v>
      </c>
      <c r="K13" s="203">
        <v>1</v>
      </c>
    </row>
    <row r="14" spans="2:25" s="167" customFormat="1" ht="20.100000000000001" customHeight="1" x14ac:dyDescent="0.25">
      <c r="B14" s="168"/>
      <c r="C14" s="193" t="s">
        <v>265</v>
      </c>
      <c r="D14" s="194"/>
      <c r="E14" s="194"/>
      <c r="F14" s="195">
        <f t="shared" ref="F14:F18" si="0">I14</f>
        <v>0.97</v>
      </c>
      <c r="G14" s="169"/>
      <c r="H14" s="64"/>
      <c r="I14" s="201">
        <v>0.97</v>
      </c>
      <c r="J14" s="202">
        <v>1.27</v>
      </c>
      <c r="K14" s="203">
        <v>1.27</v>
      </c>
    </row>
    <row r="15" spans="2:25" s="167" customFormat="1" ht="20.100000000000001" customHeight="1" x14ac:dyDescent="0.25">
      <c r="B15" s="168"/>
      <c r="C15" s="193" t="s">
        <v>266</v>
      </c>
      <c r="D15" s="194"/>
      <c r="E15" s="194"/>
      <c r="F15" s="195">
        <v>0.88</v>
      </c>
      <c r="G15" s="169"/>
      <c r="H15" s="64"/>
      <c r="I15" s="201">
        <v>0.59</v>
      </c>
      <c r="J15" s="202">
        <v>1.23</v>
      </c>
      <c r="K15" s="203">
        <v>1.39</v>
      </c>
    </row>
    <row r="16" spans="2:25" s="167" customFormat="1" ht="20.100000000000001" customHeight="1" x14ac:dyDescent="0.25">
      <c r="B16" s="168"/>
      <c r="C16" s="193" t="s">
        <v>267</v>
      </c>
      <c r="D16" s="194"/>
      <c r="E16" s="194"/>
      <c r="F16" s="195">
        <v>7.4</v>
      </c>
      <c r="G16" s="169"/>
      <c r="H16" s="64"/>
      <c r="I16" s="201">
        <v>6.16</v>
      </c>
      <c r="J16" s="202">
        <v>7.4</v>
      </c>
      <c r="K16" s="203">
        <v>8.9600000000000009</v>
      </c>
    </row>
    <row r="17" spans="2:25" s="167" customFormat="1" ht="20.100000000000001" customHeight="1" x14ac:dyDescent="0.25">
      <c r="B17" s="168"/>
      <c r="C17" s="193" t="s">
        <v>268</v>
      </c>
      <c r="D17" s="194"/>
      <c r="E17" s="194"/>
      <c r="F17" s="195">
        <f t="shared" si="0"/>
        <v>0.65</v>
      </c>
      <c r="G17" s="169"/>
      <c r="H17" s="64"/>
      <c r="I17" s="201">
        <v>0.65</v>
      </c>
      <c r="J17" s="202">
        <v>0.65</v>
      </c>
      <c r="K17" s="203">
        <v>0.65</v>
      </c>
    </row>
    <row r="18" spans="2:25" s="167" customFormat="1" ht="20.100000000000001" customHeight="1" x14ac:dyDescent="0.25">
      <c r="B18" s="168"/>
      <c r="C18" s="193" t="s">
        <v>269</v>
      </c>
      <c r="D18" s="194"/>
      <c r="E18" s="194"/>
      <c r="F18" s="195">
        <f t="shared" si="0"/>
        <v>3</v>
      </c>
      <c r="G18" s="169"/>
      <c r="H18" s="64"/>
      <c r="I18" s="201">
        <v>3</v>
      </c>
      <c r="J18" s="202">
        <v>3</v>
      </c>
      <c r="K18" s="203">
        <v>3</v>
      </c>
    </row>
    <row r="19" spans="2:25" s="167" customFormat="1" ht="20.100000000000001" customHeight="1" thickBot="1" x14ac:dyDescent="0.3">
      <c r="B19" s="168"/>
      <c r="C19" s="193" t="s">
        <v>270</v>
      </c>
      <c r="D19" s="194"/>
      <c r="E19" s="194"/>
      <c r="F19" s="195">
        <f>G8*100</f>
        <v>3</v>
      </c>
      <c r="G19" s="169"/>
      <c r="H19" s="64"/>
      <c r="I19" s="204">
        <v>2</v>
      </c>
      <c r="J19" s="205">
        <v>2</v>
      </c>
      <c r="K19" s="206">
        <v>5</v>
      </c>
    </row>
    <row r="20" spans="2:25" s="167" customFormat="1" ht="20.100000000000001" customHeight="1" x14ac:dyDescent="0.25">
      <c r="B20" s="168"/>
      <c r="C20" s="193" t="s">
        <v>271</v>
      </c>
      <c r="D20" s="194"/>
      <c r="E20" s="194"/>
      <c r="F20" s="195">
        <v>4.5</v>
      </c>
      <c r="G20" s="169"/>
      <c r="H20" s="64"/>
      <c r="I20" s="172"/>
      <c r="J20" s="99"/>
      <c r="K20" s="64"/>
    </row>
    <row r="21" spans="2:25" s="167" customFormat="1" ht="20.100000000000001" customHeight="1" thickBot="1" x14ac:dyDescent="0.3">
      <c r="B21" s="168"/>
      <c r="C21" s="586" t="s">
        <v>272</v>
      </c>
      <c r="D21" s="587"/>
      <c r="E21" s="588"/>
      <c r="F21" s="196">
        <f>TRUNC((((((1+F12/100+F13/100+F14/100)*(1+F15/100)*(1+F16/100))/(1-(F17/100+F18/100+F19/100+F20/100)))-1)*100),2)</f>
        <v>28.14</v>
      </c>
      <c r="G21" s="173"/>
      <c r="H21" s="64"/>
      <c r="I21" s="210" t="s">
        <v>281</v>
      </c>
      <c r="J21" s="5"/>
      <c r="K21" s="5"/>
      <c r="L21" s="5"/>
      <c r="M21" s="5"/>
    </row>
    <row r="22" spans="2:25" s="167" customFormat="1" ht="20.100000000000001" customHeight="1" x14ac:dyDescent="0.25">
      <c r="B22" s="63"/>
      <c r="C22" s="7"/>
      <c r="D22" s="171"/>
      <c r="E22" s="174"/>
      <c r="F22" s="174"/>
      <c r="G22" s="174"/>
      <c r="H22" s="175"/>
      <c r="I22" s="182"/>
      <c r="J22" s="182"/>
      <c r="K22" s="182"/>
    </row>
    <row r="23" spans="2:25" s="167" customFormat="1" ht="20.100000000000001" customHeight="1" x14ac:dyDescent="0.25">
      <c r="B23" s="574" t="s">
        <v>274</v>
      </c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</row>
    <row r="24" spans="2:25" s="167" customFormat="1" ht="20.100000000000001" customHeight="1" x14ac:dyDescent="0.25"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</row>
    <row r="25" spans="2:25" s="167" customFormat="1" ht="20.100000000000001" customHeight="1" x14ac:dyDescent="0.25">
      <c r="B25" s="183" t="s">
        <v>275</v>
      </c>
      <c r="C25" s="188"/>
      <c r="D25" s="188"/>
      <c r="E25" s="188"/>
      <c r="F25" s="188"/>
      <c r="G25" s="188"/>
      <c r="H25" s="188"/>
      <c r="I25" s="188"/>
      <c r="J25" s="184"/>
      <c r="K25" s="184"/>
      <c r="L25" s="184"/>
      <c r="M25" s="189"/>
      <c r="N25" s="189"/>
      <c r="O25" s="189"/>
      <c r="P25" s="190"/>
      <c r="Q25" s="190"/>
      <c r="R25" s="190"/>
      <c r="S25" s="190"/>
      <c r="T25" s="190"/>
      <c r="U25" s="190"/>
      <c r="V25" s="190"/>
      <c r="W25" s="190"/>
      <c r="X25" s="190"/>
      <c r="Y25" s="190"/>
    </row>
    <row r="26" spans="2:25" s="167" customFormat="1" ht="20.100000000000001" customHeight="1" x14ac:dyDescent="0.25">
      <c r="B26" s="183" t="s">
        <v>276</v>
      </c>
      <c r="C26" s="184"/>
      <c r="D26" s="185"/>
      <c r="E26" s="185"/>
      <c r="F26" s="185"/>
      <c r="G26" s="185"/>
      <c r="H26" s="185"/>
      <c r="I26" s="185"/>
      <c r="J26" s="185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5"/>
    </row>
    <row r="27" spans="2:25" s="167" customFormat="1" ht="20.100000000000001" customHeight="1" x14ac:dyDescent="0.25">
      <c r="B27" s="183" t="s">
        <v>277</v>
      </c>
      <c r="C27" s="184"/>
      <c r="D27" s="185"/>
      <c r="E27" s="185"/>
      <c r="F27" s="185"/>
      <c r="G27" s="185"/>
      <c r="H27" s="185"/>
      <c r="I27" s="185"/>
      <c r="J27" s="185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5"/>
    </row>
    <row r="28" spans="2:25" s="167" customFormat="1" ht="20.100000000000001" customHeight="1" x14ac:dyDescent="0.25">
      <c r="B28" s="183" t="s">
        <v>278</v>
      </c>
      <c r="C28" s="188"/>
      <c r="D28" s="188"/>
      <c r="E28" s="188"/>
      <c r="F28" s="188"/>
      <c r="G28" s="188"/>
      <c r="H28" s="188"/>
      <c r="I28" s="188"/>
      <c r="J28" s="184"/>
      <c r="K28" s="184"/>
      <c r="L28" s="184"/>
      <c r="M28" s="189"/>
      <c r="N28" s="189"/>
      <c r="O28" s="189"/>
      <c r="P28" s="190"/>
      <c r="Q28" s="190"/>
      <c r="R28" s="190"/>
      <c r="S28" s="190"/>
      <c r="T28" s="190"/>
      <c r="U28" s="190"/>
      <c r="V28" s="190"/>
      <c r="W28" s="190"/>
      <c r="X28" s="190"/>
      <c r="Y28" s="190"/>
    </row>
    <row r="29" spans="2:25" s="167" customFormat="1" ht="20.100000000000001" customHeight="1" x14ac:dyDescent="0.25">
      <c r="B29" s="183" t="s">
        <v>279</v>
      </c>
      <c r="C29" s="184"/>
      <c r="D29" s="185"/>
      <c r="E29" s="185"/>
      <c r="F29" s="185"/>
      <c r="G29" s="185"/>
      <c r="H29" s="185"/>
      <c r="I29" s="185"/>
      <c r="J29" s="185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5"/>
    </row>
    <row r="30" spans="2:25" s="167" customFormat="1" ht="20.100000000000001" customHeight="1" x14ac:dyDescent="0.25">
      <c r="B30" s="183" t="s">
        <v>280</v>
      </c>
      <c r="C30" s="184"/>
      <c r="D30" s="185"/>
      <c r="E30" s="185"/>
      <c r="F30" s="185"/>
      <c r="G30" s="185"/>
      <c r="H30" s="185"/>
      <c r="I30" s="185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5"/>
    </row>
  </sheetData>
  <mergeCells count="7">
    <mergeCell ref="B23:Y23"/>
    <mergeCell ref="B1:P2"/>
    <mergeCell ref="C10:E11"/>
    <mergeCell ref="F10:F11"/>
    <mergeCell ref="I10:K10"/>
    <mergeCell ref="M10:O10"/>
    <mergeCell ref="C21:E21"/>
  </mergeCells>
  <conditionalFormatting sqref="E7">
    <cfRule type="cellIs" dxfId="4" priority="1" stopIfTrue="1" operator="equal">
      <formula>0</formula>
    </cfRule>
  </conditionalFormatting>
  <conditionalFormatting sqref="F12:F18">
    <cfRule type="cellIs" dxfId="3" priority="2" stopIfTrue="1" operator="equal">
      <formula>0</formula>
    </cfRule>
  </conditionalFormatting>
  <conditionalFormatting sqref="Q7:Y7">
    <cfRule type="cellIs" dxfId="2" priority="3" stopIfTrue="1" operator="equal">
      <formula>0</formula>
    </cfRule>
  </conditionalFormatting>
  <printOptions horizontalCentered="1"/>
  <pageMargins left="0.51181102362204722" right="0.51181102362204722" top="0.78740157480314965" bottom="0.78740157480314965" header="0.31496062992125984" footer="0.39370078740157483"/>
  <pageSetup paperSize="9" scale="66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0F2B-83C9-4F17-AA2A-773068A226C2}">
  <dimension ref="B1:Y30"/>
  <sheetViews>
    <sheetView showGridLines="0" showZeros="0" view="pageBreakPreview" zoomScaleNormal="100" zoomScaleSheetLayoutView="100" workbookViewId="0">
      <selection activeCell="B10" sqref="B9:P11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5" s="65" customFormat="1" ht="20.100000000000001" customHeight="1" x14ac:dyDescent="0.25">
      <c r="B1" s="466" t="s">
        <v>282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5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5" s="65" customFormat="1" ht="20.100000000000001" customHeight="1" x14ac:dyDescent="0.25"/>
    <row r="4" spans="2:25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L4" s="2"/>
      <c r="N4" s="3" t="s">
        <v>62</v>
      </c>
      <c r="O4" s="4" t="str">
        <f>+'DADOS DA OBRA'!$N$22</f>
        <v>18/11/2024</v>
      </c>
      <c r="R4" s="31"/>
      <c r="S4" s="31"/>
      <c r="T4" s="32"/>
      <c r="U4" s="32"/>
    </row>
    <row r="5" spans="2:25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N5" s="3" t="s">
        <v>17</v>
      </c>
      <c r="O5" s="4" t="str">
        <f>'DADOS DA OBRA'!$N$25</f>
        <v>02</v>
      </c>
    </row>
    <row r="6" spans="2:25" s="5" customFormat="1" ht="20.100000000000001" customHeight="1" x14ac:dyDescent="0.25"/>
    <row r="7" spans="2:25" s="5" customFormat="1" ht="20.100000000000001" customHeight="1" x14ac:dyDescent="0.25">
      <c r="B7" s="5" t="s">
        <v>255</v>
      </c>
      <c r="E7" s="192" t="s">
        <v>885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2:25" ht="20.100000000000001" customHeight="1" x14ac:dyDescent="0.25">
      <c r="B8" s="5" t="s">
        <v>256</v>
      </c>
      <c r="C8" s="5"/>
      <c r="D8" s="5"/>
      <c r="E8" s="191">
        <v>1</v>
      </c>
      <c r="F8" s="180" t="s">
        <v>257</v>
      </c>
      <c r="G8" s="181">
        <v>0.03</v>
      </c>
      <c r="H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2:25" ht="20.100000000000001" customHeight="1" thickBot="1" x14ac:dyDescent="0.3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O9" s="75"/>
    </row>
    <row r="10" spans="2:25" s="167" customFormat="1" ht="24" customHeight="1" thickBot="1" x14ac:dyDescent="0.3">
      <c r="B10" s="63"/>
      <c r="C10" s="575" t="s">
        <v>85</v>
      </c>
      <c r="D10" s="576"/>
      <c r="E10" s="577"/>
      <c r="F10" s="581" t="s">
        <v>258</v>
      </c>
      <c r="G10" s="63"/>
      <c r="H10" s="63"/>
      <c r="I10" s="583" t="s">
        <v>259</v>
      </c>
      <c r="J10" s="584"/>
      <c r="K10" s="585"/>
      <c r="L10" s="197"/>
      <c r="M10" s="583" t="s">
        <v>273</v>
      </c>
      <c r="N10" s="584"/>
      <c r="O10" s="585"/>
    </row>
    <row r="11" spans="2:25" s="167" customFormat="1" ht="20.100000000000001" customHeight="1" thickBot="1" x14ac:dyDescent="0.3">
      <c r="B11" s="63"/>
      <c r="C11" s="578"/>
      <c r="D11" s="579"/>
      <c r="E11" s="580"/>
      <c r="F11" s="582"/>
      <c r="G11" s="170"/>
      <c r="H11" s="170"/>
      <c r="I11" s="198" t="s">
        <v>260</v>
      </c>
      <c r="J11" s="199" t="s">
        <v>261</v>
      </c>
      <c r="K11" s="200" t="s">
        <v>262</v>
      </c>
      <c r="M11" s="207">
        <v>11.1</v>
      </c>
      <c r="N11" s="208">
        <v>14.02</v>
      </c>
      <c r="O11" s="209">
        <v>16.8</v>
      </c>
    </row>
    <row r="12" spans="2:25" s="167" customFormat="1" ht="20.100000000000001" customHeight="1" x14ac:dyDescent="0.25">
      <c r="B12" s="168"/>
      <c r="C12" s="193" t="s">
        <v>263</v>
      </c>
      <c r="D12" s="194"/>
      <c r="E12" s="194"/>
      <c r="F12" s="195">
        <v>3.45</v>
      </c>
      <c r="G12" s="169"/>
      <c r="H12" s="64"/>
      <c r="I12" s="201">
        <v>1.5</v>
      </c>
      <c r="J12" s="202">
        <v>3.45</v>
      </c>
      <c r="K12" s="203">
        <v>4.49</v>
      </c>
    </row>
    <row r="13" spans="2:25" s="167" customFormat="1" ht="20.100000000000001" customHeight="1" x14ac:dyDescent="0.25">
      <c r="B13" s="168"/>
      <c r="C13" s="193" t="s">
        <v>264</v>
      </c>
      <c r="D13" s="194"/>
      <c r="E13" s="194"/>
      <c r="F13" s="195">
        <v>0.06</v>
      </c>
      <c r="G13" s="169"/>
      <c r="H13" s="64"/>
      <c r="I13" s="201">
        <v>0.3</v>
      </c>
      <c r="J13" s="202">
        <v>0.48</v>
      </c>
      <c r="K13" s="203">
        <v>0.82</v>
      </c>
    </row>
    <row r="14" spans="2:25" s="167" customFormat="1" ht="20.100000000000001" customHeight="1" x14ac:dyDescent="0.25">
      <c r="B14" s="168"/>
      <c r="C14" s="193" t="s">
        <v>265</v>
      </c>
      <c r="D14" s="194"/>
      <c r="E14" s="194"/>
      <c r="F14" s="195">
        <f t="shared" ref="F14:F18" si="0">I14</f>
        <v>0.56000000000000005</v>
      </c>
      <c r="G14" s="169"/>
      <c r="H14" s="64"/>
      <c r="I14" s="201">
        <v>0.56000000000000005</v>
      </c>
      <c r="J14" s="202">
        <v>0.85</v>
      </c>
      <c r="K14" s="203">
        <v>0.89</v>
      </c>
    </row>
    <row r="15" spans="2:25" s="167" customFormat="1" ht="20.100000000000001" customHeight="1" x14ac:dyDescent="0.25">
      <c r="B15" s="168"/>
      <c r="C15" s="193" t="s">
        <v>266</v>
      </c>
      <c r="D15" s="194"/>
      <c r="E15" s="194"/>
      <c r="F15" s="195">
        <v>0.88</v>
      </c>
      <c r="G15" s="169"/>
      <c r="H15" s="64"/>
      <c r="I15" s="201">
        <v>0.85</v>
      </c>
      <c r="J15" s="202">
        <v>0.85</v>
      </c>
      <c r="K15" s="203">
        <v>1.1100000000000001</v>
      </c>
    </row>
    <row r="16" spans="2:25" s="167" customFormat="1" ht="20.100000000000001" customHeight="1" x14ac:dyDescent="0.25">
      <c r="B16" s="168"/>
      <c r="C16" s="193" t="s">
        <v>267</v>
      </c>
      <c r="D16" s="194"/>
      <c r="E16" s="194"/>
      <c r="F16" s="195">
        <v>4.8</v>
      </c>
      <c r="G16" s="169"/>
      <c r="H16" s="64"/>
      <c r="I16" s="201">
        <v>3.5</v>
      </c>
      <c r="J16" s="202">
        <v>5.1100000000000003</v>
      </c>
      <c r="K16" s="203">
        <v>6.22</v>
      </c>
    </row>
    <row r="17" spans="2:25" s="167" customFormat="1" ht="20.100000000000001" customHeight="1" x14ac:dyDescent="0.25">
      <c r="B17" s="168"/>
      <c r="C17" s="193" t="s">
        <v>268</v>
      </c>
      <c r="D17" s="194"/>
      <c r="E17" s="194"/>
      <c r="F17" s="195">
        <f t="shared" si="0"/>
        <v>0.65</v>
      </c>
      <c r="G17" s="169"/>
      <c r="H17" s="64"/>
      <c r="I17" s="201">
        <v>0.65</v>
      </c>
      <c r="J17" s="202">
        <v>0.65</v>
      </c>
      <c r="K17" s="203">
        <v>0.65</v>
      </c>
    </row>
    <row r="18" spans="2:25" s="167" customFormat="1" ht="20.100000000000001" customHeight="1" x14ac:dyDescent="0.25">
      <c r="B18" s="168"/>
      <c r="C18" s="193" t="s">
        <v>269</v>
      </c>
      <c r="D18" s="194"/>
      <c r="E18" s="194"/>
      <c r="F18" s="195">
        <f t="shared" si="0"/>
        <v>3</v>
      </c>
      <c r="G18" s="169"/>
      <c r="H18" s="64"/>
      <c r="I18" s="201">
        <v>3</v>
      </c>
      <c r="J18" s="202">
        <v>3</v>
      </c>
      <c r="K18" s="203">
        <v>3</v>
      </c>
    </row>
    <row r="19" spans="2:25" s="167" customFormat="1" ht="20.100000000000001" customHeight="1" thickBot="1" x14ac:dyDescent="0.3">
      <c r="B19" s="168"/>
      <c r="C19" s="193" t="s">
        <v>270</v>
      </c>
      <c r="D19" s="194"/>
      <c r="E19" s="194"/>
      <c r="F19" s="195"/>
      <c r="G19" s="169"/>
      <c r="H19" s="64"/>
      <c r="I19" s="204">
        <v>2</v>
      </c>
      <c r="J19" s="205">
        <v>2</v>
      </c>
      <c r="K19" s="206">
        <v>5</v>
      </c>
    </row>
    <row r="20" spans="2:25" s="167" customFormat="1" ht="20.100000000000001" customHeight="1" x14ac:dyDescent="0.25">
      <c r="B20" s="168"/>
      <c r="C20" s="193" t="s">
        <v>271</v>
      </c>
      <c r="D20" s="194"/>
      <c r="E20" s="194"/>
      <c r="F20" s="195">
        <v>4.5</v>
      </c>
      <c r="G20" s="169"/>
      <c r="H20" s="64"/>
      <c r="I20" s="210" t="s">
        <v>281</v>
      </c>
      <c r="J20" s="99"/>
      <c r="K20" s="64"/>
    </row>
    <row r="21" spans="2:25" s="167" customFormat="1" ht="20.100000000000001" customHeight="1" thickBot="1" x14ac:dyDescent="0.3">
      <c r="B21" s="168"/>
      <c r="C21" s="586" t="s">
        <v>272</v>
      </c>
      <c r="D21" s="587"/>
      <c r="E21" s="588"/>
      <c r="F21" s="196">
        <f>TRUNC((((((1+F12/100+F13/100+F14/100)*(1+F15/100)*(1+F16/100))/(1-(F17/100+F18/100+F19/100+F20/100)))-1)*100),2)</f>
        <v>19.78</v>
      </c>
      <c r="G21" s="173"/>
      <c r="H21" s="64"/>
      <c r="J21" s="5"/>
      <c r="K21" s="5"/>
      <c r="L21" s="5"/>
      <c r="M21" s="5"/>
    </row>
    <row r="22" spans="2:25" s="167" customFormat="1" ht="20.100000000000001" customHeight="1" x14ac:dyDescent="0.25">
      <c r="B22" s="63"/>
      <c r="C22" s="7"/>
      <c r="D22" s="171"/>
      <c r="E22" s="174"/>
      <c r="F22" s="174"/>
      <c r="G22" s="174"/>
      <c r="H22" s="175"/>
      <c r="I22" s="182"/>
      <c r="J22" s="182"/>
      <c r="K22" s="182"/>
    </row>
    <row r="23" spans="2:25" s="167" customFormat="1" ht="20.100000000000001" customHeight="1" x14ac:dyDescent="0.25">
      <c r="B23" s="574" t="s">
        <v>274</v>
      </c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</row>
    <row r="24" spans="2:25" s="167" customFormat="1" ht="20.100000000000001" customHeight="1" x14ac:dyDescent="0.25"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</row>
    <row r="25" spans="2:25" s="167" customFormat="1" ht="20.100000000000001" customHeight="1" x14ac:dyDescent="0.25">
      <c r="B25" s="183" t="s">
        <v>275</v>
      </c>
      <c r="C25" s="188"/>
      <c r="D25" s="188"/>
      <c r="E25" s="188"/>
      <c r="F25" s="188"/>
      <c r="G25" s="188"/>
      <c r="H25" s="188"/>
      <c r="I25" s="188"/>
      <c r="J25" s="184"/>
      <c r="K25" s="184"/>
      <c r="L25" s="184"/>
      <c r="M25" s="189"/>
      <c r="N25" s="189"/>
      <c r="O25" s="189"/>
      <c r="P25" s="190"/>
      <c r="Q25" s="190"/>
      <c r="R25" s="190"/>
      <c r="S25" s="190"/>
      <c r="T25" s="190"/>
      <c r="U25" s="190"/>
      <c r="V25" s="190"/>
      <c r="W25" s="190"/>
      <c r="X25" s="190"/>
      <c r="Y25" s="190"/>
    </row>
    <row r="26" spans="2:25" s="167" customFormat="1" ht="20.100000000000001" customHeight="1" x14ac:dyDescent="0.25">
      <c r="B26" s="183" t="s">
        <v>276</v>
      </c>
      <c r="C26" s="184"/>
      <c r="D26" s="185"/>
      <c r="E26" s="185"/>
      <c r="F26" s="185"/>
      <c r="G26" s="185"/>
      <c r="H26" s="185"/>
      <c r="I26" s="185"/>
      <c r="J26" s="185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5"/>
    </row>
    <row r="27" spans="2:25" s="167" customFormat="1" ht="20.100000000000001" customHeight="1" x14ac:dyDescent="0.25">
      <c r="B27" s="183" t="s">
        <v>277</v>
      </c>
      <c r="C27" s="184"/>
      <c r="D27" s="185"/>
      <c r="E27" s="185"/>
      <c r="F27" s="185"/>
      <c r="G27" s="185"/>
      <c r="H27" s="185"/>
      <c r="I27" s="185"/>
      <c r="J27" s="185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5"/>
    </row>
    <row r="28" spans="2:25" s="167" customFormat="1" ht="20.100000000000001" customHeight="1" x14ac:dyDescent="0.25">
      <c r="B28" s="183" t="s">
        <v>278</v>
      </c>
      <c r="C28" s="188"/>
      <c r="D28" s="188"/>
      <c r="E28" s="188"/>
      <c r="F28" s="188"/>
      <c r="G28" s="188"/>
      <c r="H28" s="188"/>
      <c r="I28" s="188"/>
      <c r="J28" s="184"/>
      <c r="K28" s="184"/>
      <c r="L28" s="184"/>
      <c r="M28" s="189"/>
      <c r="N28" s="189"/>
      <c r="O28" s="189"/>
      <c r="P28" s="190"/>
      <c r="Q28" s="190"/>
      <c r="R28" s="190"/>
      <c r="S28" s="190"/>
      <c r="T28" s="190"/>
      <c r="U28" s="190"/>
      <c r="V28" s="190"/>
      <c r="W28" s="190"/>
      <c r="X28" s="190"/>
      <c r="Y28" s="190"/>
    </row>
    <row r="29" spans="2:25" s="167" customFormat="1" ht="20.100000000000001" customHeight="1" x14ac:dyDescent="0.25">
      <c r="B29" s="183" t="s">
        <v>279</v>
      </c>
      <c r="C29" s="184"/>
      <c r="D29" s="185"/>
      <c r="E29" s="185"/>
      <c r="F29" s="185"/>
      <c r="G29" s="185"/>
      <c r="H29" s="185"/>
      <c r="I29" s="185"/>
      <c r="J29" s="185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5"/>
    </row>
    <row r="30" spans="2:25" s="167" customFormat="1" ht="20.100000000000001" customHeight="1" x14ac:dyDescent="0.25">
      <c r="B30" s="183" t="s">
        <v>280</v>
      </c>
      <c r="C30" s="184"/>
      <c r="D30" s="185"/>
      <c r="E30" s="185"/>
      <c r="F30" s="185"/>
      <c r="G30" s="185"/>
      <c r="H30" s="185"/>
      <c r="I30" s="185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5"/>
    </row>
  </sheetData>
  <mergeCells count="7">
    <mergeCell ref="B1:P2"/>
    <mergeCell ref="B23:Y23"/>
    <mergeCell ref="F10:F11"/>
    <mergeCell ref="C10:E11"/>
    <mergeCell ref="C21:E21"/>
    <mergeCell ref="I10:K10"/>
    <mergeCell ref="M10:O10"/>
  </mergeCells>
  <conditionalFormatting sqref="E7 Q7:Y7">
    <cfRule type="cellIs" dxfId="1" priority="2" stopIfTrue="1" operator="equal">
      <formula>0</formula>
    </cfRule>
  </conditionalFormatting>
  <conditionalFormatting sqref="F12:F18">
    <cfRule type="cellIs" dxfId="0" priority="1" stopIfTrue="1" operator="equal">
      <formula>0</formula>
    </cfRule>
  </conditionalFormatting>
  <printOptions horizontalCentered="1"/>
  <pageMargins left="0.51181102362204722" right="0.51181102362204722" top="0.78740157480314965" bottom="0.78740157480314965" header="0.31496062992125984" footer="0.39370078740157483"/>
  <pageSetup paperSize="9" scale="66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BCCE-482C-42C5-B43E-D8A4D09FE771}">
  <dimension ref="B1:U27"/>
  <sheetViews>
    <sheetView showGridLines="0" showZeros="0" view="pageBreakPreview" zoomScaleNormal="100" zoomScaleSheetLayoutView="100" workbookViewId="0">
      <selection activeCell="B10" sqref="B9:P10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/>
      <c r="C4" s="2"/>
      <c r="E4" s="2"/>
      <c r="F4" s="2"/>
      <c r="G4" s="2"/>
      <c r="H4" s="2"/>
      <c r="I4" s="2"/>
      <c r="J4" s="2"/>
      <c r="K4" s="2"/>
      <c r="L4" s="2"/>
      <c r="N4" s="3"/>
      <c r="O4" s="4"/>
      <c r="R4" s="31"/>
      <c r="S4" s="31"/>
      <c r="T4" s="32"/>
      <c r="U4" s="32"/>
    </row>
    <row r="5" spans="2:21" s="5" customFormat="1" ht="20.100000000000001" customHeight="1" x14ac:dyDescent="0.25">
      <c r="B5" s="1"/>
      <c r="C5" s="2"/>
      <c r="N5" s="3"/>
      <c r="O5" s="4"/>
    </row>
    <row r="6" spans="2:21" s="5" customFormat="1" ht="20.100000000000001" customHeight="1" x14ac:dyDescent="0.25"/>
    <row r="7" spans="2:21" s="5" customFormat="1" ht="20.100000000000001" customHeight="1" x14ac:dyDescent="0.25">
      <c r="B7" s="1"/>
      <c r="C7" s="38"/>
      <c r="N7" s="3"/>
      <c r="O7" s="62"/>
    </row>
    <row r="8" spans="2:21" s="63" customFormat="1" ht="20.100000000000001" customHeight="1" x14ac:dyDescent="0.25">
      <c r="B8" s="50"/>
      <c r="C8" s="51"/>
      <c r="D8" s="9"/>
      <c r="E8" s="9"/>
      <c r="F8" s="9"/>
      <c r="G8" s="10"/>
      <c r="H8" s="10"/>
      <c r="I8" s="10"/>
      <c r="J8" s="10"/>
      <c r="K8" s="9"/>
      <c r="M8" s="10"/>
      <c r="N8" s="10"/>
    </row>
    <row r="9" spans="2:21" ht="20.100000000000001" customHeight="1" x14ac:dyDescent="0.25">
      <c r="B9" s="125"/>
      <c r="C9" s="452" t="s">
        <v>254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76"/>
    </row>
    <row r="10" spans="2:21" ht="20.100000000000001" customHeight="1" x14ac:dyDescent="0.25">
      <c r="B10" s="12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76"/>
    </row>
    <row r="11" spans="2:21" ht="20.100000000000001" customHeight="1" x14ac:dyDescent="0.25">
      <c r="B11" s="125"/>
      <c r="C11" s="125"/>
      <c r="D11" s="128"/>
      <c r="E11" s="127"/>
      <c r="F11" s="125"/>
      <c r="G11" s="125"/>
      <c r="H11" s="125"/>
      <c r="I11" s="125"/>
      <c r="J11" s="125"/>
      <c r="K11" s="125"/>
      <c r="L11" s="128"/>
      <c r="M11" s="127"/>
      <c r="N11" s="125"/>
      <c r="O11" s="76"/>
    </row>
    <row r="12" spans="2:21" ht="20.100000000000001" customHeight="1" x14ac:dyDescent="0.25">
      <c r="B12" s="125"/>
      <c r="C12" s="125"/>
      <c r="D12" s="128"/>
      <c r="E12" s="127"/>
      <c r="F12" s="125"/>
      <c r="G12" s="125"/>
      <c r="H12" s="125"/>
      <c r="I12" s="125"/>
      <c r="J12" s="125"/>
      <c r="K12" s="125"/>
      <c r="L12" s="128"/>
      <c r="M12" s="127"/>
      <c r="N12" s="125"/>
      <c r="O12" s="76"/>
    </row>
    <row r="13" spans="2:21" ht="20.100000000000001" customHeight="1" x14ac:dyDescent="0.25">
      <c r="B13" s="125"/>
      <c r="C13" s="125"/>
      <c r="D13" s="128"/>
      <c r="E13" s="127"/>
      <c r="F13" s="125"/>
      <c r="G13" s="125"/>
      <c r="H13" s="125"/>
      <c r="I13" s="125"/>
      <c r="J13" s="125"/>
      <c r="K13" s="125"/>
      <c r="L13" s="128"/>
      <c r="M13" s="127"/>
      <c r="N13" s="125"/>
      <c r="O13" s="76"/>
    </row>
    <row r="14" spans="2:21" ht="20.100000000000001" customHeight="1" x14ac:dyDescent="0.25">
      <c r="B14" s="125"/>
      <c r="C14" s="125"/>
      <c r="D14" s="128"/>
      <c r="E14" s="127"/>
      <c r="F14" s="125"/>
      <c r="G14" s="125"/>
      <c r="H14" s="125"/>
      <c r="I14" s="125"/>
      <c r="J14" s="125"/>
      <c r="K14" s="125"/>
      <c r="L14" s="128"/>
      <c r="M14" s="127"/>
      <c r="N14" s="125"/>
      <c r="O14" s="76"/>
    </row>
    <row r="15" spans="2:21" ht="20.100000000000001" customHeight="1" x14ac:dyDescent="0.25">
      <c r="B15" s="125"/>
      <c r="C15" s="120"/>
      <c r="D15" s="129"/>
      <c r="E15" s="130"/>
      <c r="F15" s="120"/>
      <c r="G15" s="125"/>
      <c r="H15" s="125"/>
      <c r="I15" s="125"/>
      <c r="J15" s="125"/>
      <c r="K15" s="120"/>
      <c r="L15" s="129"/>
      <c r="M15" s="130"/>
      <c r="N15" s="120"/>
      <c r="O15" s="76"/>
    </row>
    <row r="16" spans="2:21" s="63" customFormat="1" ht="20.100000000000001" customHeight="1" x14ac:dyDescent="0.25">
      <c r="B16" s="50"/>
      <c r="C16" s="51"/>
      <c r="D16" s="9"/>
      <c r="E16" s="9"/>
      <c r="F16" s="9"/>
      <c r="G16" s="10"/>
      <c r="H16" s="10"/>
      <c r="I16" s="10"/>
      <c r="J16" s="10"/>
      <c r="K16" s="9"/>
      <c r="M16" s="10"/>
      <c r="N16" s="10"/>
    </row>
    <row r="17" spans="2:15" ht="20.100000000000001" customHeight="1" x14ac:dyDescent="0.25">
      <c r="B17" s="125"/>
      <c r="C17" s="126"/>
      <c r="D17" s="125"/>
      <c r="E17" s="125"/>
      <c r="F17" s="125"/>
      <c r="G17" s="125"/>
      <c r="H17" s="125"/>
      <c r="I17" s="125"/>
      <c r="J17" s="125"/>
      <c r="K17" s="100"/>
      <c r="L17" s="125"/>
      <c r="M17" s="125"/>
      <c r="N17" s="125"/>
      <c r="O17" s="76"/>
    </row>
    <row r="18" spans="2:15" ht="20.100000000000001" customHeight="1" x14ac:dyDescent="0.25">
      <c r="B18" s="125"/>
      <c r="C18" s="125"/>
      <c r="D18" s="128"/>
      <c r="E18" s="127"/>
      <c r="F18" s="125"/>
      <c r="G18" s="125"/>
      <c r="H18" s="125"/>
      <c r="I18" s="125"/>
      <c r="J18" s="125"/>
      <c r="K18" s="125"/>
      <c r="L18" s="128"/>
      <c r="M18" s="127"/>
      <c r="N18" s="125"/>
      <c r="O18" s="76"/>
    </row>
    <row r="19" spans="2:15" ht="20.100000000000001" customHeight="1" x14ac:dyDescent="0.25">
      <c r="B19" s="125"/>
      <c r="C19" s="125"/>
      <c r="D19" s="128"/>
      <c r="E19" s="127"/>
      <c r="F19" s="125"/>
      <c r="G19" s="125"/>
      <c r="H19" s="125"/>
      <c r="I19" s="125"/>
      <c r="J19" s="125"/>
      <c r="K19" s="125"/>
      <c r="L19" s="128"/>
      <c r="M19" s="127"/>
      <c r="N19" s="125"/>
      <c r="O19" s="76"/>
    </row>
    <row r="20" spans="2:15" ht="20.100000000000001" customHeight="1" x14ac:dyDescent="0.25">
      <c r="B20" s="125"/>
      <c r="C20" s="125"/>
      <c r="D20" s="128"/>
      <c r="E20" s="127"/>
      <c r="F20" s="125"/>
      <c r="G20" s="125"/>
      <c r="H20" s="125"/>
      <c r="I20" s="125"/>
      <c r="J20" s="125"/>
      <c r="K20" s="125"/>
      <c r="L20" s="128"/>
      <c r="M20" s="127"/>
      <c r="N20" s="125"/>
      <c r="O20" s="76"/>
    </row>
    <row r="21" spans="2:15" ht="20.100000000000001" customHeight="1" x14ac:dyDescent="0.25">
      <c r="B21" s="125"/>
      <c r="C21" s="125"/>
      <c r="D21" s="128"/>
      <c r="E21" s="127"/>
      <c r="F21" s="125"/>
      <c r="G21" s="125"/>
      <c r="H21" s="125"/>
      <c r="I21" s="125"/>
      <c r="J21" s="125"/>
      <c r="K21" s="125"/>
      <c r="L21" s="128"/>
      <c r="M21" s="127"/>
      <c r="N21" s="125"/>
      <c r="O21" s="76"/>
    </row>
    <row r="22" spans="2:15" ht="20.100000000000001" customHeight="1" x14ac:dyDescent="0.25">
      <c r="B22" s="125"/>
      <c r="C22" s="125"/>
      <c r="D22" s="128"/>
      <c r="E22" s="127"/>
      <c r="F22" s="125"/>
      <c r="G22" s="125"/>
      <c r="H22" s="125"/>
      <c r="I22" s="125"/>
      <c r="J22" s="125"/>
      <c r="K22" s="125"/>
      <c r="L22" s="128"/>
      <c r="M22" s="127"/>
      <c r="N22" s="125"/>
      <c r="O22" s="76"/>
    </row>
    <row r="23" spans="2:15" ht="20.100000000000001" customHeight="1" x14ac:dyDescent="0.25">
      <c r="B23" s="125"/>
      <c r="C23" s="120"/>
      <c r="D23" s="129"/>
      <c r="E23" s="130"/>
      <c r="F23" s="120"/>
      <c r="G23" s="125"/>
      <c r="H23" s="125"/>
      <c r="I23" s="125"/>
      <c r="J23" s="125"/>
      <c r="K23" s="120"/>
      <c r="L23" s="129"/>
      <c r="M23" s="130"/>
      <c r="N23" s="120"/>
      <c r="O23" s="76"/>
    </row>
    <row r="24" spans="2:15" s="63" customFormat="1" ht="20.100000000000001" customHeight="1" x14ac:dyDescent="0.25">
      <c r="B24" s="50"/>
      <c r="C24" s="51"/>
      <c r="D24" s="9"/>
      <c r="E24" s="9"/>
      <c r="F24" s="9"/>
      <c r="G24" s="10"/>
      <c r="H24" s="10"/>
      <c r="I24" s="10"/>
      <c r="J24" s="10"/>
      <c r="K24" s="9"/>
      <c r="M24" s="10"/>
      <c r="N24" s="10"/>
    </row>
    <row r="25" spans="2:15" ht="20.100000000000001" customHeight="1" x14ac:dyDescent="0.25">
      <c r="B25" s="125"/>
      <c r="C25" s="126"/>
      <c r="D25" s="125"/>
      <c r="E25" s="125"/>
      <c r="F25" s="125"/>
      <c r="G25" s="125"/>
      <c r="H25" s="125"/>
      <c r="I25" s="125"/>
      <c r="J25" s="125"/>
      <c r="K25" s="100"/>
      <c r="L25" s="125"/>
      <c r="M25" s="125"/>
      <c r="N25" s="125"/>
      <c r="O25" s="76"/>
    </row>
    <row r="26" spans="2:15" ht="20.100000000000001" customHeight="1" x14ac:dyDescent="0.25">
      <c r="B26" s="125"/>
      <c r="C26" s="125"/>
      <c r="D26" s="128"/>
      <c r="E26" s="127"/>
      <c r="F26" s="125"/>
      <c r="G26" s="125"/>
      <c r="H26" s="125"/>
      <c r="I26" s="125"/>
      <c r="J26" s="125"/>
      <c r="K26" s="125"/>
      <c r="L26" s="128"/>
      <c r="M26" s="127"/>
      <c r="N26" s="125"/>
      <c r="O26" s="76"/>
    </row>
    <row r="27" spans="2:15" ht="20.100000000000001" customHeight="1" x14ac:dyDescent="0.25">
      <c r="B27" s="125"/>
      <c r="C27" s="120"/>
      <c r="D27" s="129"/>
      <c r="E27" s="130"/>
      <c r="F27" s="120"/>
      <c r="G27" s="125"/>
      <c r="H27" s="125"/>
      <c r="I27" s="125"/>
      <c r="J27" s="125"/>
      <c r="K27" s="120"/>
      <c r="L27" s="129"/>
      <c r="M27" s="130"/>
      <c r="N27" s="120"/>
      <c r="O27" s="76"/>
    </row>
  </sheetData>
  <mergeCells count="2">
    <mergeCell ref="B1:P2"/>
    <mergeCell ref="C9:N10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9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2"/>
  <sheetViews>
    <sheetView showGridLines="0" showZeros="0" view="pageBreakPreview" topLeftCell="A13" zoomScale="85" zoomScaleNormal="70" zoomScaleSheetLayoutView="85" workbookViewId="0">
      <pane ySplit="2" topLeftCell="A15" activePane="bottomLeft" state="frozen"/>
      <selection activeCell="A13" sqref="A13"/>
      <selection pane="bottomLeft" activeCell="AA89" sqref="AA89"/>
    </sheetView>
  </sheetViews>
  <sheetFormatPr defaultRowHeight="12.75" x14ac:dyDescent="0.25"/>
  <cols>
    <col min="1" max="1" width="1.7109375" style="11" customWidth="1"/>
    <col min="2" max="2" width="9.140625" style="11" customWidth="1"/>
    <col min="3" max="3" width="10.85546875" style="11" customWidth="1"/>
    <col min="4" max="4" width="11.7109375" style="11" bestFit="1" customWidth="1"/>
    <col min="5" max="8" width="1.7109375" style="11" customWidth="1"/>
    <col min="9" max="12" width="16.7109375" style="11" customWidth="1"/>
    <col min="13" max="13" width="12.85546875" style="11" customWidth="1"/>
    <col min="14" max="14" width="8.5703125" style="11" customWidth="1"/>
    <col min="15" max="15" width="10.7109375" style="44" customWidth="1"/>
    <col min="16" max="16" width="11.7109375" style="44" customWidth="1"/>
    <col min="17" max="17" width="12.140625" style="44" bestFit="1" customWidth="1"/>
    <col min="18" max="18" width="10.7109375" style="44" customWidth="1"/>
    <col min="19" max="19" width="12.140625" style="44" bestFit="1" customWidth="1"/>
    <col min="20" max="20" width="11.42578125" style="44" customWidth="1"/>
    <col min="21" max="21" width="12.140625" style="44" bestFit="1" customWidth="1"/>
    <col min="22" max="22" width="10.7109375" style="44" customWidth="1"/>
    <col min="23" max="23" width="10.7109375" style="43" customWidth="1"/>
    <col min="24" max="24" width="12.7109375" style="44" customWidth="1"/>
    <col min="25" max="25" width="1.7109375" style="11" customWidth="1"/>
    <col min="26" max="26" width="13" style="11" customWidth="1"/>
    <col min="27" max="27" width="11.7109375" style="11" bestFit="1" customWidth="1"/>
    <col min="28" max="28" width="47.28515625" style="11" bestFit="1" customWidth="1"/>
    <col min="29" max="29" width="11.42578125" style="11" bestFit="1" customWidth="1"/>
    <col min="30" max="16384" width="9.140625" style="11"/>
  </cols>
  <sheetData>
    <row r="1" spans="1:26" ht="9.9499999999999993" customHeight="1" x14ac:dyDescent="0.25">
      <c r="A1" s="65"/>
      <c r="B1" s="437" t="s">
        <v>61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65"/>
      <c r="Z1" s="65"/>
    </row>
    <row r="2" spans="1:26" ht="9.9499999999999993" customHeight="1" x14ac:dyDescent="0.25">
      <c r="A2" s="65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65"/>
      <c r="Z2" s="65"/>
    </row>
    <row r="3" spans="1:26" ht="9.9499999999999993" customHeight="1" x14ac:dyDescent="0.25">
      <c r="A3" s="65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65"/>
      <c r="Z3" s="65"/>
    </row>
    <row r="4" spans="1:26" ht="9.9499999999999993" customHeight="1" x14ac:dyDescent="0.25">
      <c r="A4" s="65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65"/>
      <c r="Z4" s="65"/>
    </row>
    <row r="5" spans="1:26" ht="9.9499999999999993" customHeight="1" x14ac:dyDescent="0.25">
      <c r="A5" s="65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65"/>
      <c r="Z5" s="65"/>
    </row>
    <row r="6" spans="1:26" ht="9.9499999999999993" customHeight="1" x14ac:dyDescent="0.25">
      <c r="A6" s="65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65"/>
      <c r="Z6" s="65"/>
    </row>
    <row r="7" spans="1:26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s="5" customFormat="1" ht="15" customHeight="1" x14ac:dyDescent="0.25">
      <c r="B8" s="1" t="s">
        <v>16</v>
      </c>
      <c r="C8" s="2" t="str">
        <f>'ORÇAMENTO SINTÉTICO (SD)'!C3</f>
        <v>Demolição do Estádio Ulisses Jayme, em Pirenópolis-GO, e Destinação Final de Resíduos de Construção.</v>
      </c>
      <c r="I8" s="2"/>
      <c r="J8" s="2"/>
      <c r="K8" s="2"/>
      <c r="O8" s="31"/>
      <c r="P8" s="31"/>
      <c r="Q8" s="31"/>
      <c r="R8" s="31"/>
      <c r="S8" s="31"/>
      <c r="T8" s="31"/>
      <c r="U8" s="31"/>
      <c r="V8" s="31"/>
      <c r="W8" s="3" t="s">
        <v>62</v>
      </c>
      <c r="X8" s="4" t="str">
        <f>'ORÇAMENTO SINTÉTICO (SD)'!H3</f>
        <v>18/11/2024</v>
      </c>
    </row>
    <row r="9" spans="1:26" s="5" customFormat="1" ht="15" customHeight="1" x14ac:dyDescent="0.25">
      <c r="B9" s="1" t="s">
        <v>18</v>
      </c>
      <c r="C9" s="2" t="str">
        <f>'ORÇAMENTO SINTÉTICO (SD)'!C4</f>
        <v xml:space="preserve"> R. 21 de Abril, 10 , Pirenópolis, GO</v>
      </c>
      <c r="W9" s="3" t="s">
        <v>17</v>
      </c>
      <c r="X9" s="4" t="str">
        <f>'ORÇAMENTO SINTÉTICO (SD)'!H4</f>
        <v>02</v>
      </c>
    </row>
    <row r="10" spans="1:26" s="5" customFormat="1" ht="20.100000000000001" customHeight="1" x14ac:dyDescent="0.25"/>
    <row r="11" spans="1:26" s="5" customFormat="1" ht="12.75" customHeight="1" x14ac:dyDescent="0.25">
      <c r="B11" s="1" t="s">
        <v>63</v>
      </c>
      <c r="C11" s="2" t="s">
        <v>64</v>
      </c>
      <c r="W11" s="3" t="s">
        <v>371</v>
      </c>
      <c r="X11" s="6" t="s">
        <v>65</v>
      </c>
    </row>
    <row r="12" spans="1:26" s="8" customFormat="1" ht="6.95" customHeight="1" thickBot="1" x14ac:dyDescent="0.3">
      <c r="A12" s="63"/>
      <c r="B12" s="63"/>
      <c r="C12" s="63"/>
      <c r="D12" s="63"/>
      <c r="E12" s="63"/>
      <c r="F12" s="63"/>
      <c r="G12" s="63"/>
      <c r="H12" s="63"/>
      <c r="I12" s="33"/>
      <c r="J12" s="34"/>
      <c r="K12" s="34"/>
      <c r="L12" s="35"/>
      <c r="M12" s="36"/>
      <c r="N12" s="37"/>
      <c r="O12" s="64"/>
      <c r="P12" s="64"/>
      <c r="Q12" s="64"/>
      <c r="R12" s="64"/>
      <c r="S12" s="64"/>
      <c r="T12" s="64"/>
      <c r="U12" s="64"/>
      <c r="V12" s="64"/>
      <c r="W12" s="63"/>
      <c r="X12" s="63"/>
      <c r="Y12" s="63"/>
      <c r="Z12" s="63"/>
    </row>
    <row r="13" spans="1:26" ht="27.95" customHeight="1" x14ac:dyDescent="0.25">
      <c r="A13" s="40"/>
      <c r="B13" s="607" t="s">
        <v>66</v>
      </c>
      <c r="C13" s="615" t="s">
        <v>97</v>
      </c>
      <c r="D13" s="615" t="s">
        <v>43</v>
      </c>
      <c r="E13" s="609" t="s">
        <v>67</v>
      </c>
      <c r="F13" s="609"/>
      <c r="G13" s="609"/>
      <c r="H13" s="609"/>
      <c r="I13" s="609"/>
      <c r="J13" s="609"/>
      <c r="K13" s="609"/>
      <c r="L13" s="609"/>
      <c r="M13" s="609"/>
      <c r="N13" s="609" t="s">
        <v>68</v>
      </c>
      <c r="O13" s="616" t="s">
        <v>734</v>
      </c>
      <c r="P13" s="617"/>
      <c r="Q13" s="617"/>
      <c r="R13" s="618"/>
      <c r="S13" s="615" t="s">
        <v>731</v>
      </c>
      <c r="T13" s="615" t="s">
        <v>732</v>
      </c>
      <c r="U13" s="615" t="s">
        <v>733</v>
      </c>
      <c r="V13" s="615" t="s">
        <v>846</v>
      </c>
      <c r="W13" s="611"/>
      <c r="X13" s="613" t="s">
        <v>69</v>
      </c>
      <c r="Y13" s="65"/>
      <c r="Z13" s="65"/>
    </row>
    <row r="14" spans="1:26" ht="27.95" customHeight="1" thickBot="1" x14ac:dyDescent="0.3">
      <c r="A14" s="40"/>
      <c r="B14" s="608"/>
      <c r="C14" s="612"/>
      <c r="D14" s="612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323" t="s">
        <v>712</v>
      </c>
      <c r="P14" s="323" t="s">
        <v>713</v>
      </c>
      <c r="Q14" s="323" t="s">
        <v>714</v>
      </c>
      <c r="R14" s="323" t="s">
        <v>715</v>
      </c>
      <c r="S14" s="612"/>
      <c r="T14" s="612"/>
      <c r="U14" s="612"/>
      <c r="V14" s="612"/>
      <c r="W14" s="612"/>
      <c r="X14" s="614"/>
      <c r="Y14" s="65"/>
      <c r="Z14" s="65"/>
    </row>
    <row r="15" spans="1:26" s="8" customFormat="1" ht="24.95" customHeight="1" x14ac:dyDescent="0.25">
      <c r="A15" s="41"/>
      <c r="B15" s="12">
        <v>1</v>
      </c>
      <c r="C15" s="109"/>
      <c r="D15" s="104"/>
      <c r="E15" s="13"/>
      <c r="F15" s="14" t="s">
        <v>37</v>
      </c>
      <c r="G15" s="14"/>
      <c r="H15" s="14"/>
      <c r="I15" s="14"/>
      <c r="J15" s="14"/>
      <c r="K15" s="14"/>
      <c r="L15" s="14"/>
      <c r="M15" s="15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8">
        <f t="shared" ref="X15:X74" si="0">SUM(O15:W15)</f>
        <v>0</v>
      </c>
      <c r="Y15" s="63"/>
      <c r="Z15" s="63"/>
    </row>
    <row r="16" spans="1:26" s="8" customFormat="1" ht="24.95" customHeight="1" x14ac:dyDescent="0.25">
      <c r="A16" s="42"/>
      <c r="B16" s="23" t="s">
        <v>21</v>
      </c>
      <c r="C16" s="111" t="str">
        <f>'ADMINISTRAÇÃO LOCAL'!B9</f>
        <v>GOINFRA</v>
      </c>
      <c r="D16" s="106">
        <f>'ADMINISTRAÇÃO LOCAL'!C9</f>
        <v>250101</v>
      </c>
      <c r="E16" s="20"/>
      <c r="F16" s="21"/>
      <c r="G16" s="21"/>
      <c r="H16" s="603" t="str">
        <f>'ADMINISTRAÇÃO LOCAL'!D9</f>
        <v xml:space="preserve">ENGENHEIRO - (OBRAS CIVIS) </v>
      </c>
      <c r="I16" s="603"/>
      <c r="J16" s="603"/>
      <c r="K16" s="603"/>
      <c r="L16" s="603"/>
      <c r="M16" s="604"/>
      <c r="N16" s="22" t="str">
        <f>'ADMINISTRAÇÃO LOCAL'!F15</f>
        <v>H</v>
      </c>
      <c r="O16" s="17"/>
      <c r="P16" s="17"/>
      <c r="Q16" s="17"/>
      <c r="R16" s="17"/>
      <c r="S16" s="17"/>
      <c r="T16" s="17"/>
      <c r="U16" s="17"/>
      <c r="V16" s="17">
        <f>'ADMINISTRAÇÃO LOCAL'!E15</f>
        <v>240</v>
      </c>
      <c r="W16" s="17"/>
      <c r="X16" s="18">
        <f t="shared" si="0"/>
        <v>240</v>
      </c>
      <c r="Y16" s="63"/>
      <c r="Z16" s="63"/>
    </row>
    <row r="17" spans="1:26" s="8" customFormat="1" ht="24.95" customHeight="1" x14ac:dyDescent="0.25">
      <c r="A17" s="42"/>
      <c r="B17" s="23" t="s">
        <v>22</v>
      </c>
      <c r="C17" s="111" t="str">
        <f>'ADMINISTRAÇÃO LOCAL'!J9</f>
        <v>GOINFRA</v>
      </c>
      <c r="D17" s="106">
        <f>'ADMINISTRAÇÃO LOCAL'!K9</f>
        <v>250113</v>
      </c>
      <c r="E17" s="20"/>
      <c r="F17" s="21"/>
      <c r="G17" s="21"/>
      <c r="H17" s="603" t="str">
        <f>'ADMINISTRAÇÃO LOCAL'!L9</f>
        <v>TÉCNICO EM SEGURANÇA DO TRABALHO (O. CIVIS)</v>
      </c>
      <c r="I17" s="603"/>
      <c r="J17" s="603"/>
      <c r="K17" s="603"/>
      <c r="L17" s="603"/>
      <c r="M17" s="604"/>
      <c r="N17" s="22" t="str">
        <f>'ADMINISTRAÇÃO LOCAL'!N15</f>
        <v>H</v>
      </c>
      <c r="O17" s="17"/>
      <c r="P17" s="17"/>
      <c r="Q17" s="17"/>
      <c r="R17" s="17"/>
      <c r="S17" s="17"/>
      <c r="T17" s="17"/>
      <c r="U17" s="17"/>
      <c r="V17" s="17">
        <f>'ADMINISTRAÇÃO LOCAL'!M15</f>
        <v>240</v>
      </c>
      <c r="W17" s="17"/>
      <c r="X17" s="18">
        <f t="shared" ref="X17:X18" si="1">SUM(O17:W17)</f>
        <v>240</v>
      </c>
      <c r="Y17" s="63"/>
      <c r="Z17" s="63"/>
    </row>
    <row r="18" spans="1:26" s="8" customFormat="1" ht="24.95" customHeight="1" x14ac:dyDescent="0.25">
      <c r="A18" s="42"/>
      <c r="B18" s="23" t="s">
        <v>23</v>
      </c>
      <c r="C18" s="111" t="str">
        <f>'ADMINISTRAÇÃO LOCAL'!B17</f>
        <v>GOINFRA</v>
      </c>
      <c r="D18" s="106" t="str">
        <f>'ADMINISTRAÇÃO LOCAL'!C17</f>
        <v>250103</v>
      </c>
      <c r="E18" s="20"/>
      <c r="F18" s="21"/>
      <c r="G18" s="21"/>
      <c r="H18" s="603" t="str">
        <f>'ADMINISTRAÇÃO LOCAL'!D17</f>
        <v>ENCARREGADO - (OBRAS CIVIS)</v>
      </c>
      <c r="I18" s="603"/>
      <c r="J18" s="603"/>
      <c r="K18" s="603"/>
      <c r="L18" s="603"/>
      <c r="M18" s="604"/>
      <c r="N18" s="22" t="str">
        <f>'ADMINISTRAÇÃO LOCAL'!F23</f>
        <v>H</v>
      </c>
      <c r="O18" s="17"/>
      <c r="P18" s="17"/>
      <c r="Q18" s="17"/>
      <c r="R18" s="17"/>
      <c r="S18" s="17"/>
      <c r="T18" s="17"/>
      <c r="U18" s="17"/>
      <c r="V18" s="17">
        <f>'ADMINISTRAÇÃO LOCAL'!E23</f>
        <v>880</v>
      </c>
      <c r="W18" s="17"/>
      <c r="X18" s="18">
        <f t="shared" si="1"/>
        <v>880</v>
      </c>
      <c r="Y18" s="63"/>
      <c r="Z18" s="63"/>
    </row>
    <row r="19" spans="1:26" s="8" customFormat="1" ht="24.95" customHeight="1" x14ac:dyDescent="0.25">
      <c r="A19" s="42"/>
      <c r="B19" s="23" t="s">
        <v>24</v>
      </c>
      <c r="C19" s="111" t="str">
        <f>'ADMINISTRAÇÃO LOCAL'!J17</f>
        <v>SETOP</v>
      </c>
      <c r="D19" s="106" t="str">
        <f>'ADMINISTRAÇÃO LOCAL'!K17</f>
        <v>CO-33095</v>
      </c>
      <c r="E19" s="20"/>
      <c r="F19" s="21"/>
      <c r="G19" s="21"/>
      <c r="H19" s="603" t="str">
        <f>'ADMINISTRAÇÃO LOCAL'!L17</f>
        <v>ARQUEÓLOGO, NÍVEL SÊNIOR (adaptado conforme Decreto Estadual 9900/2021)</v>
      </c>
      <c r="I19" s="603"/>
      <c r="J19" s="603"/>
      <c r="K19" s="603"/>
      <c r="L19" s="603"/>
      <c r="M19" s="604"/>
      <c r="N19" s="22" t="str">
        <f>'ADMINISTRAÇÃO LOCAL'!N23</f>
        <v>H</v>
      </c>
      <c r="O19" s="17"/>
      <c r="P19" s="17"/>
      <c r="Q19" s="17"/>
      <c r="R19" s="17"/>
      <c r="S19" s="17"/>
      <c r="T19" s="17"/>
      <c r="U19" s="17"/>
      <c r="V19" s="17">
        <f>'ADMINISTRAÇÃO LOCAL'!M23</f>
        <v>240</v>
      </c>
      <c r="W19" s="17"/>
      <c r="X19" s="18">
        <f t="shared" si="0"/>
        <v>240</v>
      </c>
      <c r="Y19" s="63"/>
      <c r="Z19" s="63"/>
    </row>
    <row r="20" spans="1:26" s="8" customFormat="1" ht="24.95" customHeight="1" x14ac:dyDescent="0.25">
      <c r="A20" s="42"/>
      <c r="B20" s="23" t="s">
        <v>895</v>
      </c>
      <c r="C20" s="111" t="str">
        <f>'ADMINISTRAÇÃO LOCAL'!B25</f>
        <v>GOINFRA</v>
      </c>
      <c r="D20" s="106">
        <f>'ADMINISTRAÇÃO LOCAL'!C25</f>
        <v>250110</v>
      </c>
      <c r="E20" s="20"/>
      <c r="F20" s="21"/>
      <c r="G20" s="21"/>
      <c r="H20" s="603" t="str">
        <f>'ADMINISTRAÇÃO LOCAL'!D25</f>
        <v xml:space="preserve">VIGIA DE OBRAS - (NOTURNO E NO SÁBADO/DOMINGO DIURNO) - O.C.	</v>
      </c>
      <c r="I20" s="603"/>
      <c r="J20" s="603"/>
      <c r="K20" s="603"/>
      <c r="L20" s="603"/>
      <c r="M20" s="604"/>
      <c r="N20" s="22" t="str">
        <f>'ADMINISTRAÇÃO LOCAL'!F31</f>
        <v>H</v>
      </c>
      <c r="O20" s="17"/>
      <c r="P20" s="17"/>
      <c r="Q20" s="17"/>
      <c r="R20" s="17"/>
      <c r="S20" s="17"/>
      <c r="T20" s="17"/>
      <c r="U20" s="17"/>
      <c r="V20" s="17">
        <f>'ADMINISTRAÇÃO LOCAL'!E31</f>
        <v>2688</v>
      </c>
      <c r="W20" s="17"/>
      <c r="X20" s="18">
        <f t="shared" ref="X20" si="2">SUM(O20:W20)</f>
        <v>2688</v>
      </c>
      <c r="Y20" s="63"/>
      <c r="Z20" s="63"/>
    </row>
    <row r="21" spans="1:26" s="8" customFormat="1" ht="24.95" customHeight="1" x14ac:dyDescent="0.25">
      <c r="A21" s="41"/>
      <c r="B21" s="19"/>
      <c r="C21" s="110"/>
      <c r="D21" s="105"/>
      <c r="E21" s="13"/>
      <c r="F21" s="14"/>
      <c r="G21" s="24"/>
      <c r="H21" s="14"/>
      <c r="I21" s="14"/>
      <c r="J21" s="14"/>
      <c r="K21" s="14"/>
      <c r="L21" s="24"/>
      <c r="M21" s="15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8">
        <f t="shared" si="0"/>
        <v>0</v>
      </c>
      <c r="Y21" s="63"/>
      <c r="Z21" s="63"/>
    </row>
    <row r="22" spans="1:26" s="8" customFormat="1" ht="24.95" customHeight="1" x14ac:dyDescent="0.25">
      <c r="A22" s="41"/>
      <c r="B22" s="12">
        <v>2</v>
      </c>
      <c r="C22" s="109"/>
      <c r="D22" s="104"/>
      <c r="E22" s="13"/>
      <c r="F22" s="14" t="s">
        <v>103</v>
      </c>
      <c r="G22" s="14"/>
      <c r="H22" s="14"/>
      <c r="I22" s="14"/>
      <c r="J22" s="14"/>
      <c r="K22" s="14"/>
      <c r="L22" s="14"/>
      <c r="M22" s="15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18">
        <f t="shared" si="0"/>
        <v>0</v>
      </c>
      <c r="Y22" s="63"/>
      <c r="Z22" s="63"/>
    </row>
    <row r="23" spans="1:26" s="8" customFormat="1" ht="24.95" customHeight="1" x14ac:dyDescent="0.25">
      <c r="A23" s="42"/>
      <c r="B23" s="23" t="s">
        <v>25</v>
      </c>
      <c r="C23" s="111" t="str">
        <f>CANTEIRO!B9</f>
        <v>GOINFRA</v>
      </c>
      <c r="D23" s="106" t="str">
        <f>CANTEIRO!C9</f>
        <v>020232</v>
      </c>
      <c r="E23" s="20"/>
      <c r="F23" s="21"/>
      <c r="G23" s="21"/>
      <c r="H23" s="603" t="str">
        <f>CANTEIRO!D9</f>
        <v>LOCAÇÃO DE CONTAINER SANITÁRIO MISTO 6,00 X 2,40 M, COM 3 VASOS, 6 CHUVEIROS, LAVATÓRIO E MICTÓRIO (EXCLUSO MOBILIZAÇÃO / DESMOBILIZAÇÃO)</v>
      </c>
      <c r="I23" s="603"/>
      <c r="J23" s="603"/>
      <c r="K23" s="603"/>
      <c r="L23" s="603"/>
      <c r="M23" s="604"/>
      <c r="N23" s="390" t="str">
        <f>CANTEIRO!K12</f>
        <v>MÊS</v>
      </c>
      <c r="O23" s="17"/>
      <c r="P23" s="17"/>
      <c r="Q23" s="17"/>
      <c r="R23" s="17"/>
      <c r="S23" s="17"/>
      <c r="T23" s="17"/>
      <c r="U23" s="17"/>
      <c r="V23" s="17">
        <f>CANTEIRO!J12</f>
        <v>4</v>
      </c>
      <c r="W23" s="17"/>
      <c r="X23" s="18">
        <f t="shared" si="0"/>
        <v>4</v>
      </c>
      <c r="Y23" s="63"/>
      <c r="Z23" s="63"/>
    </row>
    <row r="24" spans="1:26" s="8" customFormat="1" ht="39.950000000000003" customHeight="1" x14ac:dyDescent="0.25">
      <c r="A24" s="42"/>
      <c r="B24" s="23" t="s">
        <v>26</v>
      </c>
      <c r="C24" s="111" t="str">
        <f>CANTEIRO!B14</f>
        <v>GOINFRA</v>
      </c>
      <c r="D24" s="106" t="str">
        <f>CANTEIRO!C14</f>
        <v>020231</v>
      </c>
      <c r="E24" s="20"/>
      <c r="F24" s="21"/>
      <c r="G24" s="21"/>
      <c r="H24" s="603" t="str">
        <f>CANTEIRO!D14</f>
        <v>LOCAÇÃO DE CONTAINER COM REVESTIMENTO INTERNO, PARA ESCRITÓRIO SEM SANITÁRIOS 6,00 X 2,40 M, INCLUSIVE APARELHO DE AR CONDICIONADO E MOBILIÁRIO (EXCLUSO MOBILIZAÇÃO / DESMOBILIZAÇÃO)</v>
      </c>
      <c r="I24" s="603"/>
      <c r="J24" s="603"/>
      <c r="K24" s="603"/>
      <c r="L24" s="603"/>
      <c r="M24" s="604"/>
      <c r="N24" s="124" t="str">
        <f>CANTEIRO!K17</f>
        <v>MÊS</v>
      </c>
      <c r="O24" s="17"/>
      <c r="P24" s="17"/>
      <c r="Q24" s="17"/>
      <c r="R24" s="17"/>
      <c r="S24" s="17"/>
      <c r="T24" s="17"/>
      <c r="U24" s="17"/>
      <c r="V24" s="17">
        <f>CANTEIRO!J17</f>
        <v>4</v>
      </c>
      <c r="W24" s="17"/>
      <c r="X24" s="18">
        <f t="shared" si="0"/>
        <v>4</v>
      </c>
      <c r="Y24" s="63"/>
      <c r="Z24" s="63"/>
    </row>
    <row r="25" spans="1:26" s="8" customFormat="1" ht="24.95" customHeight="1" x14ac:dyDescent="0.25">
      <c r="A25" s="42"/>
      <c r="B25" s="23" t="s">
        <v>27</v>
      </c>
      <c r="C25" s="111" t="str">
        <f>CANTEIRO!B19</f>
        <v>GOINFRA</v>
      </c>
      <c r="D25" s="106" t="str">
        <f>CANTEIRO!C19</f>
        <v>020230</v>
      </c>
      <c r="E25" s="20"/>
      <c r="F25" s="21"/>
      <c r="G25" s="21"/>
      <c r="H25" s="603" t="str">
        <f>CANTEIRO!D19</f>
        <v>LOCAÇÃO DE CONTAINER SEM REVESTIMENTO INTERNO PARA ALMOXARIFADO / DEPÓSITO 6,00 X 2,40 M, INCLUSIVE MOBILIÁRIO (EXCLUSO MOBILIZAÇÃO / DESMOBILIZAÇÃO)</v>
      </c>
      <c r="I25" s="603"/>
      <c r="J25" s="603"/>
      <c r="K25" s="603"/>
      <c r="L25" s="603"/>
      <c r="M25" s="604"/>
      <c r="N25" s="124" t="str">
        <f>CANTEIRO!K22</f>
        <v>MÊS</v>
      </c>
      <c r="O25" s="17"/>
      <c r="P25" s="17"/>
      <c r="Q25" s="17"/>
      <c r="R25" s="17"/>
      <c r="S25" s="17"/>
      <c r="T25" s="17"/>
      <c r="U25" s="17"/>
      <c r="V25" s="17">
        <f>CANTEIRO!J22</f>
        <v>4</v>
      </c>
      <c r="W25" s="17"/>
      <c r="X25" s="18">
        <f t="shared" ref="X25:X31" si="3">SUM(O25:W25)</f>
        <v>4</v>
      </c>
      <c r="Y25" s="63"/>
      <c r="Z25" s="63"/>
    </row>
    <row r="26" spans="1:26" s="8" customFormat="1" ht="24.95" customHeight="1" x14ac:dyDescent="0.25">
      <c r="A26" s="42"/>
      <c r="B26" s="23" t="s">
        <v>28</v>
      </c>
      <c r="C26" s="111" t="str">
        <f>CANTEIRO!B24</f>
        <v>ORSE</v>
      </c>
      <c r="D26" s="106">
        <f>CANTEIRO!C24</f>
        <v>4659</v>
      </c>
      <c r="E26" s="20"/>
      <c r="F26" s="21"/>
      <c r="G26" s="21"/>
      <c r="H26" s="603" t="str">
        <f>CANTEIRO!D24</f>
        <v>LOCAÇÃO DE CONTAINER - REFEITÓRIO SEM BANHEIRO (adaptado conforme Decreto Estadual 9900/2021)</v>
      </c>
      <c r="I26" s="603"/>
      <c r="J26" s="603"/>
      <c r="K26" s="603"/>
      <c r="L26" s="603"/>
      <c r="M26" s="604"/>
      <c r="N26" s="124" t="str">
        <f>CANTEIRO!K27</f>
        <v>MÊS</v>
      </c>
      <c r="O26" s="17"/>
      <c r="P26" s="17"/>
      <c r="Q26" s="17"/>
      <c r="R26" s="17"/>
      <c r="S26" s="17"/>
      <c r="T26" s="17"/>
      <c r="U26" s="17"/>
      <c r="V26" s="17">
        <f>CANTEIRO!J27</f>
        <v>4</v>
      </c>
      <c r="W26" s="17"/>
      <c r="X26" s="18">
        <f t="shared" si="3"/>
        <v>4</v>
      </c>
      <c r="Y26" s="63"/>
      <c r="Z26" s="63"/>
    </row>
    <row r="27" spans="1:26" s="8" customFormat="1" ht="24.95" customHeight="1" x14ac:dyDescent="0.25">
      <c r="A27" s="42"/>
      <c r="B27" s="23" t="s">
        <v>29</v>
      </c>
      <c r="C27" s="111" t="str">
        <f>CANTEIRO!B28</f>
        <v>GOINFRA</v>
      </c>
      <c r="D27" s="106" t="str">
        <f>CANTEIRO!C28</f>
        <v>030117</v>
      </c>
      <c r="E27" s="20"/>
      <c r="F27" s="21"/>
      <c r="G27" s="21"/>
      <c r="H27" s="603" t="str">
        <f>CANTEIRO!D28</f>
        <v>MOBILIZAÇÃO DE CONTAINER</v>
      </c>
      <c r="I27" s="603"/>
      <c r="J27" s="603"/>
      <c r="K27" s="603"/>
      <c r="L27" s="603"/>
      <c r="M27" s="604"/>
      <c r="N27" s="390" t="str">
        <f>CANTEIRO!K31</f>
        <v>UNxKM</v>
      </c>
      <c r="O27" s="17"/>
      <c r="P27" s="17"/>
      <c r="Q27" s="17"/>
      <c r="R27" s="17"/>
      <c r="S27" s="17"/>
      <c r="T27" s="17"/>
      <c r="U27" s="17"/>
      <c r="V27" s="17">
        <f>CANTEIRO!J31</f>
        <v>515.20000000000005</v>
      </c>
      <c r="W27" s="17"/>
      <c r="X27" s="18">
        <f t="shared" si="3"/>
        <v>515.20000000000005</v>
      </c>
      <c r="Y27" s="63"/>
      <c r="Z27" s="63"/>
    </row>
    <row r="28" spans="1:26" s="8" customFormat="1" ht="24.95" customHeight="1" x14ac:dyDescent="0.25">
      <c r="A28" s="42"/>
      <c r="B28" s="23" t="s">
        <v>30</v>
      </c>
      <c r="C28" s="111" t="str">
        <f>CANTEIRO!B33</f>
        <v>GOINFRA</v>
      </c>
      <c r="D28" s="106" t="str">
        <f>CANTEIRO!C33</f>
        <v>030118</v>
      </c>
      <c r="E28" s="20"/>
      <c r="F28" s="21"/>
      <c r="G28" s="21"/>
      <c r="H28" s="603" t="str">
        <f>CANTEIRO!D33</f>
        <v>DESMOBILIZAÇÃO DE CONTAINER</v>
      </c>
      <c r="I28" s="603"/>
      <c r="J28" s="603"/>
      <c r="K28" s="603"/>
      <c r="L28" s="603"/>
      <c r="M28" s="604"/>
      <c r="N28" s="390" t="str">
        <f>CANTEIRO!K36</f>
        <v>UNxKM</v>
      </c>
      <c r="O28" s="17"/>
      <c r="P28" s="17"/>
      <c r="Q28" s="17"/>
      <c r="R28" s="17"/>
      <c r="S28" s="17"/>
      <c r="T28" s="17"/>
      <c r="U28" s="17"/>
      <c r="V28" s="17">
        <f>CANTEIRO!J36</f>
        <v>515.20000000000005</v>
      </c>
      <c r="W28" s="17"/>
      <c r="X28" s="18">
        <f t="shared" si="3"/>
        <v>515.20000000000005</v>
      </c>
      <c r="Y28" s="63"/>
      <c r="Z28" s="63"/>
    </row>
    <row r="29" spans="1:26" s="8" customFormat="1" ht="24.95" customHeight="1" x14ac:dyDescent="0.25">
      <c r="A29" s="42"/>
      <c r="B29" s="23" t="s">
        <v>31</v>
      </c>
      <c r="C29" s="111" t="str">
        <f>CANTEIRO!B38</f>
        <v>GOINFRA</v>
      </c>
      <c r="D29" s="106" t="str">
        <f>CANTEIRO!C38</f>
        <v>020400</v>
      </c>
      <c r="E29" s="20"/>
      <c r="F29" s="21"/>
      <c r="G29" s="21"/>
      <c r="H29" s="603" t="str">
        <f>CANTEIRO!D38</f>
        <v>LIGAÇÃO PROVISÓRIA DE ÁGUA (INCLUSO RETIRADA DO ESGOTO SANITÁRIO) - PD. GOINFRA</v>
      </c>
      <c r="I29" s="603"/>
      <c r="J29" s="603"/>
      <c r="K29" s="603"/>
      <c r="L29" s="603"/>
      <c r="M29" s="604"/>
      <c r="N29" s="391" t="str">
        <f>CANTEIRO!K41</f>
        <v xml:space="preserve">UN </v>
      </c>
      <c r="O29" s="17"/>
      <c r="P29" s="17"/>
      <c r="Q29" s="17"/>
      <c r="R29" s="17"/>
      <c r="S29" s="17"/>
      <c r="T29" s="17"/>
      <c r="U29" s="17"/>
      <c r="V29" s="17">
        <f>CANTEIRO!J41</f>
        <v>1</v>
      </c>
      <c r="W29" s="17"/>
      <c r="X29" s="18">
        <f t="shared" si="3"/>
        <v>1</v>
      </c>
      <c r="Y29" s="63"/>
      <c r="Z29" s="63"/>
    </row>
    <row r="30" spans="1:26" s="8" customFormat="1" ht="24.95" customHeight="1" x14ac:dyDescent="0.25">
      <c r="A30" s="42"/>
      <c r="B30" s="23" t="s">
        <v>32</v>
      </c>
      <c r="C30" s="111" t="str">
        <f>CANTEIRO!B43</f>
        <v>GOINFRA</v>
      </c>
      <c r="D30" s="106" t="str">
        <f>CANTEIRO!C43</f>
        <v>020501</v>
      </c>
      <c r="E30" s="20"/>
      <c r="F30" s="21"/>
      <c r="G30" s="21"/>
      <c r="H30" s="603" t="str">
        <f>CANTEIRO!D43</f>
        <v>LIGAÇÃO PROVISÓRIA LUZ E FORÇA - PD. GOINFRA</v>
      </c>
      <c r="I30" s="603"/>
      <c r="J30" s="603"/>
      <c r="K30" s="603"/>
      <c r="L30" s="603"/>
      <c r="M30" s="604"/>
      <c r="N30" s="124" t="str">
        <f>CANTEIRO!K46</f>
        <v xml:space="preserve">UN </v>
      </c>
      <c r="O30" s="17"/>
      <c r="P30" s="17"/>
      <c r="Q30" s="17"/>
      <c r="R30" s="17"/>
      <c r="S30" s="17"/>
      <c r="T30" s="17"/>
      <c r="U30" s="17"/>
      <c r="V30" s="17">
        <f>CANTEIRO!J46</f>
        <v>1</v>
      </c>
      <c r="W30" s="17"/>
      <c r="X30" s="18">
        <f t="shared" si="3"/>
        <v>1</v>
      </c>
      <c r="Y30" s="63"/>
      <c r="Z30" s="63"/>
    </row>
    <row r="31" spans="1:26" s="8" customFormat="1" ht="24.95" customHeight="1" x14ac:dyDescent="0.25">
      <c r="A31" s="42"/>
      <c r="B31" s="23" t="s">
        <v>896</v>
      </c>
      <c r="C31" s="111" t="str">
        <f>CANTEIRO!B48</f>
        <v>GOINFRA</v>
      </c>
      <c r="D31" s="106" t="str">
        <f>CANTEIRO!C48</f>
        <v>021301</v>
      </c>
      <c r="E31" s="20"/>
      <c r="F31" s="21"/>
      <c r="G31" s="21"/>
      <c r="H31" s="603" t="str">
        <f>CANTEIRO!D48</f>
        <v>PLACA DE OBRA PLOTADA EM CHAPA METÁLICA 26 , AFIXADA EM CAVALETES DE MADEIRA DE LEI (VIGOTAS 6X12CM) - PADRÃO GOINFRA</v>
      </c>
      <c r="I31" s="603"/>
      <c r="J31" s="603"/>
      <c r="K31" s="603"/>
      <c r="L31" s="603"/>
      <c r="M31" s="604"/>
      <c r="N31" s="124" t="str">
        <f>CANTEIRO!L52</f>
        <v>M2</v>
      </c>
      <c r="O31" s="17"/>
      <c r="P31" s="17"/>
      <c r="Q31" s="17"/>
      <c r="R31" s="17"/>
      <c r="S31" s="17"/>
      <c r="T31" s="17"/>
      <c r="U31" s="17"/>
      <c r="V31" s="17">
        <f>CANTEIRO!K52</f>
        <v>7.5</v>
      </c>
      <c r="W31" s="17"/>
      <c r="X31" s="18">
        <f t="shared" si="3"/>
        <v>7.5</v>
      </c>
      <c r="Y31" s="63"/>
      <c r="Z31" s="63"/>
    </row>
    <row r="32" spans="1:26" s="8" customFormat="1" ht="24.95" customHeight="1" x14ac:dyDescent="0.25">
      <c r="A32" s="42"/>
      <c r="B32" s="23" t="s">
        <v>897</v>
      </c>
      <c r="C32" s="111" t="str">
        <f>CANTEIRO!B55</f>
        <v>GOINFRA</v>
      </c>
      <c r="D32" s="106" t="str">
        <f>CANTEIRO!C55</f>
        <v>021602</v>
      </c>
      <c r="E32" s="20"/>
      <c r="F32" s="21"/>
      <c r="G32" s="21"/>
      <c r="H32" s="603" t="str">
        <f>CANTEIRO!D55</f>
        <v>EPI/PGR/PCMSO/EXAMES/TREINAMENTOS/VISITAS - ÁREAS EDIFICADAS/COBERTAS/FECHADAS</v>
      </c>
      <c r="I32" s="603"/>
      <c r="J32" s="603"/>
      <c r="K32" s="603"/>
      <c r="L32" s="603"/>
      <c r="M32" s="604"/>
      <c r="N32" s="124" t="str">
        <f>N31</f>
        <v>M2</v>
      </c>
      <c r="O32" s="17"/>
      <c r="P32" s="17"/>
      <c r="Q32" s="17"/>
      <c r="R32" s="17"/>
      <c r="S32" s="17"/>
      <c r="T32" s="17"/>
      <c r="U32" s="17"/>
      <c r="V32" s="17">
        <f>CANTEIRO!K58</f>
        <v>1024.75</v>
      </c>
      <c r="W32" s="17"/>
      <c r="X32" s="18">
        <f t="shared" si="0"/>
        <v>1024.75</v>
      </c>
      <c r="Y32" s="63"/>
      <c r="Z32" s="63"/>
    </row>
    <row r="33" spans="1:26" s="8" customFormat="1" ht="24.95" customHeight="1" x14ac:dyDescent="0.25">
      <c r="A33" s="42"/>
      <c r="B33" s="23" t="s">
        <v>898</v>
      </c>
      <c r="C33" s="111" t="str">
        <f>CANTEIRO!B61</f>
        <v>GOINFRA</v>
      </c>
      <c r="D33" s="106" t="str">
        <f>CANTEIRO!C61</f>
        <v>020200</v>
      </c>
      <c r="E33" s="20"/>
      <c r="F33" s="21"/>
      <c r="G33" s="21"/>
      <c r="H33" s="603" t="str">
        <f>CANTEIRO!D61</f>
        <v>FERRAMENTAS (MANUAIS/ELÉTRICAS) E MATERIAL DE LIMPEZA PERMANENTE DA OBRA - ÁREAS EDIFICADAS/COBERTAS/FECHADAS</v>
      </c>
      <c r="I33" s="603"/>
      <c r="J33" s="603"/>
      <c r="K33" s="603"/>
      <c r="L33" s="603"/>
      <c r="M33" s="604"/>
      <c r="N33" s="124" t="str">
        <f>N32</f>
        <v>M2</v>
      </c>
      <c r="O33" s="17"/>
      <c r="P33" s="17"/>
      <c r="Q33" s="17"/>
      <c r="R33" s="17"/>
      <c r="S33" s="17"/>
      <c r="T33" s="17"/>
      <c r="U33" s="17"/>
      <c r="V33" s="17">
        <f>CANTEIRO!K64</f>
        <v>1024.75</v>
      </c>
      <c r="W33" s="17"/>
      <c r="X33" s="18">
        <f t="shared" si="0"/>
        <v>1024.75</v>
      </c>
      <c r="Y33" s="63"/>
      <c r="Z33" s="63"/>
    </row>
    <row r="34" spans="1:26" s="8" customFormat="1" ht="24.95" customHeight="1" x14ac:dyDescent="0.25">
      <c r="A34" s="42"/>
      <c r="B34" s="23" t="s">
        <v>899</v>
      </c>
      <c r="C34" s="111" t="str">
        <f>CANTEIRO!B69</f>
        <v>GOINFRA</v>
      </c>
      <c r="D34" s="106">
        <f>CANTEIRO!C69</f>
        <v>271502</v>
      </c>
      <c r="E34" s="20"/>
      <c r="F34" s="21"/>
      <c r="G34" s="21"/>
      <c r="H34" s="603" t="str">
        <f>CANTEIRO!D69</f>
        <v>CANTINA - (OBRAS CIVIS)</v>
      </c>
      <c r="I34" s="603"/>
      <c r="J34" s="603"/>
      <c r="K34" s="603"/>
      <c r="L34" s="603"/>
      <c r="M34" s="604"/>
      <c r="N34" s="124" t="s">
        <v>319</v>
      </c>
      <c r="O34" s="17"/>
      <c r="P34" s="17"/>
      <c r="Q34" s="17"/>
      <c r="R34" s="17"/>
      <c r="S34" s="17"/>
      <c r="T34" s="17"/>
      <c r="U34" s="17"/>
      <c r="V34" s="17">
        <f>CANTEIRO!L89</f>
        <v>1270</v>
      </c>
      <c r="W34" s="17"/>
      <c r="X34" s="18">
        <f t="shared" si="0"/>
        <v>1270</v>
      </c>
      <c r="Y34" s="63"/>
      <c r="Z34" s="63"/>
    </row>
    <row r="35" spans="1:26" s="8" customFormat="1" ht="24.95" customHeight="1" x14ac:dyDescent="0.25">
      <c r="A35" s="42"/>
      <c r="B35" s="23" t="s">
        <v>900</v>
      </c>
      <c r="C35" s="111" t="str">
        <f>CANTEIRO!G69</f>
        <v>GOINFRA</v>
      </c>
      <c r="D35" s="106">
        <f>CANTEIRO!H69</f>
        <v>271500</v>
      </c>
      <c r="E35" s="20"/>
      <c r="F35" s="21"/>
      <c r="G35" s="21"/>
      <c r="H35" s="603" t="str">
        <f>CANTEIRO!I69</f>
        <v>CAFE DA MANHA</v>
      </c>
      <c r="I35" s="603"/>
      <c r="J35" s="603"/>
      <c r="K35" s="603"/>
      <c r="L35" s="603"/>
      <c r="M35" s="604"/>
      <c r="N35" s="124" t="str">
        <f>N34</f>
        <v>RE</v>
      </c>
      <c r="O35" s="17"/>
      <c r="P35" s="17"/>
      <c r="Q35" s="17"/>
      <c r="R35" s="17"/>
      <c r="S35" s="17"/>
      <c r="T35" s="17"/>
      <c r="U35" s="17"/>
      <c r="V35" s="17">
        <f>CANTEIRO!L89</f>
        <v>1270</v>
      </c>
      <c r="W35" s="17"/>
      <c r="X35" s="18">
        <f t="shared" ref="X35:X41" si="4">SUM(O35:W35)</f>
        <v>1270</v>
      </c>
      <c r="Y35" s="63"/>
      <c r="Z35" s="63"/>
    </row>
    <row r="36" spans="1:26" s="8" customFormat="1" ht="24.95" customHeight="1" x14ac:dyDescent="0.25">
      <c r="A36" s="41"/>
      <c r="B36" s="19"/>
      <c r="C36" s="110"/>
      <c r="D36" s="105"/>
      <c r="E36" s="13"/>
      <c r="F36" s="14"/>
      <c r="G36" s="24"/>
      <c r="H36" s="14"/>
      <c r="I36" s="14"/>
      <c r="J36" s="14"/>
      <c r="K36" s="14"/>
      <c r="L36" s="24"/>
      <c r="M36" s="15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8">
        <f t="shared" si="4"/>
        <v>0</v>
      </c>
      <c r="Y36" s="63"/>
      <c r="Z36" s="63"/>
    </row>
    <row r="37" spans="1:26" s="8" customFormat="1" ht="24.95" customHeight="1" x14ac:dyDescent="0.25">
      <c r="A37" s="41"/>
      <c r="B37" s="12">
        <v>3</v>
      </c>
      <c r="C37" s="109"/>
      <c r="D37" s="104"/>
      <c r="E37" s="13"/>
      <c r="F37" s="14" t="s">
        <v>866</v>
      </c>
      <c r="G37" s="14"/>
      <c r="H37" s="14"/>
      <c r="I37" s="14"/>
      <c r="J37" s="14"/>
      <c r="K37" s="14"/>
      <c r="L37" s="14"/>
      <c r="M37" s="15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18">
        <f t="shared" si="4"/>
        <v>0</v>
      </c>
      <c r="Y37" s="63"/>
      <c r="Z37" s="63"/>
    </row>
    <row r="38" spans="1:26" s="8" customFormat="1" ht="24.95" customHeight="1" x14ac:dyDescent="0.25">
      <c r="A38" s="42"/>
      <c r="B38" s="23" t="s">
        <v>135</v>
      </c>
      <c r="C38" s="111" t="str">
        <f>EQUIPAMENTOS!B9</f>
        <v>GOINFRA</v>
      </c>
      <c r="D38" s="106" t="str">
        <f>EQUIPAMENTOS!C9</f>
        <v>060104</v>
      </c>
      <c r="E38" s="20"/>
      <c r="F38" s="21"/>
      <c r="G38" s="21"/>
      <c r="H38" s="603" t="str">
        <f>EQUIPAMENTOS!D9</f>
        <v xml:space="preserve">ANDAIME METALICO TORRE (ALUGUEL/MES)	</v>
      </c>
      <c r="I38" s="603"/>
      <c r="J38" s="603"/>
      <c r="K38" s="603"/>
      <c r="L38" s="603"/>
      <c r="M38" s="604"/>
      <c r="N38" s="124" t="str">
        <f>EQUIPAMENTOS!L12</f>
        <v>MxMÊS</v>
      </c>
      <c r="O38" s="17"/>
      <c r="P38" s="17"/>
      <c r="Q38" s="17"/>
      <c r="R38" s="17"/>
      <c r="S38" s="17"/>
      <c r="T38" s="17"/>
      <c r="U38" s="17"/>
      <c r="V38" s="17">
        <f>EQUIPAMENTOS!K12</f>
        <v>10</v>
      </c>
      <c r="W38" s="17"/>
      <c r="X38" s="18">
        <f t="shared" si="4"/>
        <v>10</v>
      </c>
      <c r="Y38" s="63"/>
      <c r="Z38" s="63"/>
    </row>
    <row r="39" spans="1:26" s="8" customFormat="1" ht="24.95" customHeight="1" x14ac:dyDescent="0.25">
      <c r="A39" s="42"/>
      <c r="B39" s="23" t="s">
        <v>901</v>
      </c>
      <c r="C39" s="111" t="str">
        <f>EQUIPAMENTOS!B15</f>
        <v>GOINFRA</v>
      </c>
      <c r="D39" s="106" t="str">
        <f>EQUIPAMENTOS!C15</f>
        <v>060105</v>
      </c>
      <c r="E39" s="20"/>
      <c r="F39" s="21"/>
      <c r="G39" s="21"/>
      <c r="H39" s="603" t="str">
        <f>EQUIPAMENTOS!D15</f>
        <v>ANDAIME METALICO FACHADEIRO (ALUGUEL/MES)</v>
      </c>
      <c r="I39" s="603"/>
      <c r="J39" s="603"/>
      <c r="K39" s="603"/>
      <c r="L39" s="603"/>
      <c r="M39" s="604"/>
      <c r="N39" s="124" t="str">
        <f>EQUIPAMENTOS!L19</f>
        <v>M2xMÊS</v>
      </c>
      <c r="O39" s="17"/>
      <c r="P39" s="17"/>
      <c r="Q39" s="17"/>
      <c r="R39" s="17"/>
      <c r="S39" s="17"/>
      <c r="T39" s="17"/>
      <c r="U39" s="17"/>
      <c r="V39" s="17">
        <f>EQUIPAMENTOS!K19</f>
        <v>423</v>
      </c>
      <c r="W39" s="17"/>
      <c r="X39" s="18">
        <f t="shared" si="4"/>
        <v>423</v>
      </c>
      <c r="Y39" s="63"/>
      <c r="Z39" s="63"/>
    </row>
    <row r="40" spans="1:26" s="8" customFormat="1" ht="24.95" customHeight="1" x14ac:dyDescent="0.25">
      <c r="A40" s="42"/>
      <c r="B40" s="23" t="s">
        <v>902</v>
      </c>
      <c r="C40" s="161" t="str">
        <f>EQUIPAMENTOS!B22</f>
        <v>GOINFRA
RODOVIÁRIA</v>
      </c>
      <c r="D40" s="106">
        <f>EQUIPAMENTOS!C22</f>
        <v>40194</v>
      </c>
      <c r="E40" s="20"/>
      <c r="F40" s="21"/>
      <c r="G40" s="21"/>
      <c r="H40" s="603" t="str">
        <f>EQUIPAMENTOS!D22</f>
        <v xml:space="preserve">GUINDASTE 60 T - MÍNIMO 10H/DIA	</v>
      </c>
      <c r="I40" s="603"/>
      <c r="J40" s="603"/>
      <c r="K40" s="603"/>
      <c r="L40" s="603"/>
      <c r="M40" s="604"/>
      <c r="N40" s="124" t="str">
        <f>EQUIPAMENTOS!K25</f>
        <v>H</v>
      </c>
      <c r="O40" s="17"/>
      <c r="P40" s="17"/>
      <c r="Q40" s="17"/>
      <c r="R40" s="17"/>
      <c r="S40" s="17"/>
      <c r="T40" s="17"/>
      <c r="U40" s="17"/>
      <c r="V40" s="17">
        <f>EQUIPAMENTOS!J25</f>
        <v>200</v>
      </c>
      <c r="W40" s="17"/>
      <c r="X40" s="18">
        <f t="shared" si="4"/>
        <v>200</v>
      </c>
      <c r="Y40" s="63"/>
      <c r="Z40" s="63"/>
    </row>
    <row r="41" spans="1:26" s="8" customFormat="1" ht="30" customHeight="1" x14ac:dyDescent="0.25">
      <c r="A41" s="42"/>
      <c r="B41" s="23" t="s">
        <v>903</v>
      </c>
      <c r="C41" s="111" t="str">
        <f>EQUIPAMENTOS!B27</f>
        <v>CPOS</v>
      </c>
      <c r="D41" s="106" t="str">
        <f>EQUIPAMENTOS!C27</f>
        <v>02.06.040</v>
      </c>
      <c r="E41" s="20"/>
      <c r="F41" s="21"/>
      <c r="G41" s="21"/>
      <c r="H41" s="603" t="str">
        <f>EQUIPAMENTOS!D27</f>
        <v>LOCAÇÃO DE PLATAFORMA ELEVATÓRIA ARTICULADA, COM ALTURA APROXIMADA DE 20 M, CAPACIDADE DE CARGA DE 227 KG, DIESEL (adaptado conforme Decreto Estadual 9900/2021)</v>
      </c>
      <c r="I41" s="603"/>
      <c r="J41" s="603"/>
      <c r="K41" s="603"/>
      <c r="L41" s="603"/>
      <c r="M41" s="604"/>
      <c r="N41" s="124" t="str">
        <f>EQUIPAMENTOS!K30</f>
        <v>MÊS</v>
      </c>
      <c r="O41" s="17"/>
      <c r="P41" s="17"/>
      <c r="Q41" s="17"/>
      <c r="R41" s="17"/>
      <c r="S41" s="17"/>
      <c r="T41" s="17"/>
      <c r="U41" s="17"/>
      <c r="V41" s="17">
        <f>EQUIPAMENTOS!J30</f>
        <v>2</v>
      </c>
      <c r="W41" s="17"/>
      <c r="X41" s="18">
        <f t="shared" si="4"/>
        <v>2</v>
      </c>
      <c r="Y41" s="63"/>
      <c r="Z41" s="63"/>
    </row>
    <row r="42" spans="1:26" s="8" customFormat="1" ht="30" customHeight="1" x14ac:dyDescent="0.25">
      <c r="A42" s="42"/>
      <c r="B42" s="23" t="s">
        <v>904</v>
      </c>
      <c r="C42" s="161" t="str">
        <f>EQUIPAMENTOS!B32</f>
        <v>GOINFRA
RODOVIÁRIA</v>
      </c>
      <c r="D42" s="106">
        <f>EQUIPAMENTOS!C32</f>
        <v>42301</v>
      </c>
      <c r="E42" s="20"/>
      <c r="F42" s="21"/>
      <c r="G42" s="21"/>
      <c r="H42" s="603" t="str">
        <f>EQUIPAMENTOS!D32</f>
        <v>MOBILIZAÇÃO / DESMOBILIZAÇÃO - CONFORME DEMONSTRATIVO - SEM DESONERAÇÃO</v>
      </c>
      <c r="I42" s="603"/>
      <c r="J42" s="603"/>
      <c r="K42" s="603"/>
      <c r="L42" s="603"/>
      <c r="M42" s="604"/>
      <c r="N42" s="124" t="s">
        <v>96</v>
      </c>
      <c r="O42" s="17"/>
      <c r="P42" s="17"/>
      <c r="Q42" s="17"/>
      <c r="R42" s="17"/>
      <c r="S42" s="17"/>
      <c r="T42" s="17"/>
      <c r="U42" s="17"/>
      <c r="V42" s="17">
        <v>1</v>
      </c>
      <c r="W42" s="17"/>
      <c r="X42" s="18">
        <f t="shared" ref="X42" si="5">SUM(O42:W42)</f>
        <v>1</v>
      </c>
      <c r="Y42" s="63"/>
      <c r="Z42" s="63"/>
    </row>
    <row r="43" spans="1:26" s="8" customFormat="1" ht="24.95" customHeight="1" x14ac:dyDescent="0.25">
      <c r="A43" s="41"/>
      <c r="B43" s="19"/>
      <c r="C43" s="110"/>
      <c r="D43" s="105"/>
      <c r="E43" s="13"/>
      <c r="F43" s="14"/>
      <c r="G43" s="24"/>
      <c r="H43" s="14"/>
      <c r="I43" s="14"/>
      <c r="J43" s="14"/>
      <c r="K43" s="14"/>
      <c r="L43" s="24"/>
      <c r="M43" s="15"/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8">
        <f t="shared" ref="X43:X46" si="6">SUM(O43:W43)</f>
        <v>0</v>
      </c>
      <c r="Y43" s="63"/>
      <c r="Z43" s="63"/>
    </row>
    <row r="44" spans="1:26" s="8" customFormat="1" ht="24.95" customHeight="1" x14ac:dyDescent="0.25">
      <c r="A44" s="41"/>
      <c r="B44" s="12">
        <v>4</v>
      </c>
      <c r="C44" s="109"/>
      <c r="D44" s="104"/>
      <c r="E44" s="13"/>
      <c r="F44" s="14" t="s">
        <v>847</v>
      </c>
      <c r="G44" s="14"/>
      <c r="H44" s="14"/>
      <c r="I44" s="14"/>
      <c r="J44" s="14"/>
      <c r="K44" s="14"/>
      <c r="L44" s="14"/>
      <c r="M44" s="15"/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8">
        <f t="shared" si="6"/>
        <v>0</v>
      </c>
      <c r="Y44" s="63"/>
      <c r="Z44" s="63"/>
    </row>
    <row r="45" spans="1:26" s="8" customFormat="1" ht="24.95" customHeight="1" x14ac:dyDescent="0.25">
      <c r="A45" s="42"/>
      <c r="B45" s="23" t="s">
        <v>136</v>
      </c>
      <c r="C45" s="111" t="str">
        <f>'SEGURANÇA DO TRABALHO'!B9</f>
        <v>ORSE</v>
      </c>
      <c r="D45" s="106">
        <f>'SEGURANÇA DO TRABALHO'!C9</f>
        <v>4518</v>
      </c>
      <c r="E45" s="20"/>
      <c r="F45" s="21"/>
      <c r="G45" s="21"/>
      <c r="H45" s="603" t="str">
        <f>'SEGURANÇA DO TRABALHO'!D9</f>
        <v>TELA DE NYLON PARA PROTEÇÃO DE FACHADA (adaptado conforme Decreto Estadual 9900/2021)</v>
      </c>
      <c r="I45" s="603"/>
      <c r="J45" s="603"/>
      <c r="K45" s="603"/>
      <c r="L45" s="603"/>
      <c r="M45" s="604"/>
      <c r="N45" s="124" t="str">
        <f>'SEGURANÇA DO TRABALHO'!K12</f>
        <v>M2</v>
      </c>
      <c r="O45" s="17"/>
      <c r="P45" s="17"/>
      <c r="Q45" s="17"/>
      <c r="R45" s="17"/>
      <c r="S45" s="17"/>
      <c r="T45" s="17"/>
      <c r="U45" s="17"/>
      <c r="V45" s="17">
        <f>'SEGURANÇA DO TRABALHO'!J12</f>
        <v>2300</v>
      </c>
      <c r="W45" s="17"/>
      <c r="X45" s="18">
        <f t="shared" si="6"/>
        <v>2300</v>
      </c>
      <c r="Y45" s="63"/>
      <c r="Z45" s="63"/>
    </row>
    <row r="46" spans="1:26" s="8" customFormat="1" ht="24.95" customHeight="1" x14ac:dyDescent="0.25">
      <c r="A46" s="42"/>
      <c r="B46" s="23" t="s">
        <v>137</v>
      </c>
      <c r="C46" s="111" t="str">
        <f>'SEGURANÇA DO TRABALHO'!B15</f>
        <v>GOINFRA</v>
      </c>
      <c r="D46" s="106" t="str">
        <f>'SEGURANÇA DO TRABALHO'!C15</f>
        <v>021001</v>
      </c>
      <c r="E46" s="20"/>
      <c r="F46" s="21"/>
      <c r="G46" s="21"/>
      <c r="H46" s="603" t="str">
        <f>'SEGURANÇA DO TRABALHO'!D15</f>
        <v>CONSTRUÇÃO DE BANDEJA SALVA VIDAS PRIMÁRIA DE MADEIRA - LARGURA 2,50M</v>
      </c>
      <c r="I46" s="603"/>
      <c r="J46" s="603"/>
      <c r="K46" s="603"/>
      <c r="L46" s="603"/>
      <c r="M46" s="604"/>
      <c r="N46" s="124" t="str">
        <f>'SEGURANÇA DO TRABALHO'!K18</f>
        <v>M</v>
      </c>
      <c r="O46" s="17"/>
      <c r="P46" s="17"/>
      <c r="Q46" s="17"/>
      <c r="R46" s="17"/>
      <c r="S46" s="17"/>
      <c r="T46" s="17"/>
      <c r="U46" s="17"/>
      <c r="V46" s="17">
        <f>'SEGURANÇA DO TRABALHO'!J18</f>
        <v>80</v>
      </c>
      <c r="W46" s="17"/>
      <c r="X46" s="18">
        <f t="shared" si="6"/>
        <v>80</v>
      </c>
      <c r="Y46" s="63"/>
      <c r="Z46" s="63"/>
    </row>
    <row r="47" spans="1:26" s="8" customFormat="1" ht="39.950000000000003" customHeight="1" x14ac:dyDescent="0.25">
      <c r="A47" s="42"/>
      <c r="B47" s="23" t="s">
        <v>138</v>
      </c>
      <c r="C47" s="111" t="str">
        <f>'SEGURANÇA DO TRABALHO'!B21</f>
        <v>SINAPI</v>
      </c>
      <c r="D47" s="106">
        <f>'SEGURANÇA DO TRABALHO'!C21</f>
        <v>97017</v>
      </c>
      <c r="E47" s="20"/>
      <c r="F47" s="21"/>
      <c r="G47" s="21"/>
      <c r="H47" s="603" t="str">
        <f>'SEGURANÇA DO TRABALHO'!D21</f>
        <v>GUARDA-CORPO FIXADO EM FÔRMA DE MADEIRA COM MONTANTES E TRAVESSÕES EM MADEIRA PRÉ-MONTADOS PARA EDIFÍCIOS COM 3 PAVIMENTOS. AF_03/2024 (adaptado conforme Decreto Estadual 9900/2021)</v>
      </c>
      <c r="I47" s="603"/>
      <c r="J47" s="603"/>
      <c r="K47" s="603"/>
      <c r="L47" s="603"/>
      <c r="M47" s="604"/>
      <c r="N47" s="124" t="str">
        <f>'SEGURANÇA DO TRABALHO'!K24</f>
        <v>M</v>
      </c>
      <c r="O47" s="17"/>
      <c r="P47" s="17"/>
      <c r="Q47" s="17"/>
      <c r="R47" s="17"/>
      <c r="S47" s="17"/>
      <c r="T47" s="17"/>
      <c r="U47" s="17"/>
      <c r="V47" s="17">
        <f>'SEGURANÇA DO TRABALHO'!J24</f>
        <v>450</v>
      </c>
      <c r="W47" s="17"/>
      <c r="X47" s="18">
        <f t="shared" ref="X47:X48" si="7">SUM(O47:W47)</f>
        <v>450</v>
      </c>
      <c r="Y47" s="63"/>
      <c r="Z47" s="63"/>
    </row>
    <row r="48" spans="1:26" s="8" customFormat="1" ht="30" customHeight="1" x14ac:dyDescent="0.25">
      <c r="A48" s="42"/>
      <c r="B48" s="23" t="s">
        <v>139</v>
      </c>
      <c r="C48" s="111" t="str">
        <f>'SEGURANÇA DO TRABALHO'!B26</f>
        <v>SETOP</v>
      </c>
      <c r="D48" s="106" t="str">
        <f>'SEGURANÇA DO TRABALHO'!C26</f>
        <v>ED-9128</v>
      </c>
      <c r="E48" s="20"/>
      <c r="F48" s="21"/>
      <c r="G48" s="21"/>
      <c r="H48" s="603" t="str">
        <f>'SEGURANÇA DO TRABALHO'!D26</f>
        <v>LINHA DE VIDA HORIZONTAL PERMANENTE EM CABO DE AÇO GALVANIZADO PARA TRABALHOS EM COBERTURAS E TELHADOS, EXCLUSIVE PROJETO E ART (adaptado conforme Decreto Estadual 9900/2021)</v>
      </c>
      <c r="I48" s="603"/>
      <c r="J48" s="603"/>
      <c r="K48" s="603"/>
      <c r="L48" s="603"/>
      <c r="M48" s="604"/>
      <c r="N48" s="124" t="str">
        <f>'SEGURANÇA DO TRABALHO'!K29</f>
        <v>M</v>
      </c>
      <c r="O48" s="17"/>
      <c r="P48" s="17"/>
      <c r="Q48" s="17"/>
      <c r="R48" s="17"/>
      <c r="S48" s="17"/>
      <c r="T48" s="17"/>
      <c r="U48" s="17"/>
      <c r="V48" s="17">
        <f>'SEGURANÇA DO TRABALHO'!J29</f>
        <v>157</v>
      </c>
      <c r="W48" s="17"/>
      <c r="X48" s="18">
        <f t="shared" si="7"/>
        <v>157</v>
      </c>
      <c r="Y48" s="63"/>
      <c r="Z48" s="63"/>
    </row>
    <row r="49" spans="1:27" s="8" customFormat="1" ht="24.95" customHeight="1" x14ac:dyDescent="0.25">
      <c r="A49" s="42"/>
      <c r="B49" s="23"/>
      <c r="C49" s="111"/>
      <c r="D49" s="106"/>
      <c r="E49" s="20"/>
      <c r="F49" s="21"/>
      <c r="G49" s="21"/>
      <c r="H49" s="321"/>
      <c r="I49" s="321"/>
      <c r="J49" s="321"/>
      <c r="K49" s="321"/>
      <c r="L49" s="321"/>
      <c r="M49" s="322"/>
      <c r="N49" s="124"/>
      <c r="O49" s="17"/>
      <c r="P49" s="17"/>
      <c r="Q49" s="17"/>
      <c r="R49" s="17"/>
      <c r="S49" s="17"/>
      <c r="T49" s="17"/>
      <c r="U49" s="17"/>
      <c r="V49" s="17"/>
      <c r="W49" s="17"/>
      <c r="X49" s="18">
        <f t="shared" si="0"/>
        <v>0</v>
      </c>
      <c r="Y49" s="63"/>
      <c r="Z49" s="63"/>
    </row>
    <row r="50" spans="1:27" s="8" customFormat="1" ht="24.95" customHeight="1" x14ac:dyDescent="0.25">
      <c r="A50" s="41"/>
      <c r="B50" s="12">
        <v>5</v>
      </c>
      <c r="C50" s="109"/>
      <c r="D50" s="104"/>
      <c r="E50" s="13"/>
      <c r="F50" s="14" t="s">
        <v>35</v>
      </c>
      <c r="G50" s="14"/>
      <c r="H50" s="14"/>
      <c r="I50" s="14"/>
      <c r="J50" s="14"/>
      <c r="K50" s="14"/>
      <c r="L50" s="14"/>
      <c r="M50" s="15"/>
      <c r="N50" s="16"/>
      <c r="O50" s="17"/>
      <c r="P50" s="17"/>
      <c r="Q50" s="17"/>
      <c r="R50" s="17"/>
      <c r="S50" s="17"/>
      <c r="T50" s="17"/>
      <c r="U50" s="17"/>
      <c r="V50" s="17"/>
      <c r="W50" s="17"/>
      <c r="X50" s="18">
        <f t="shared" si="0"/>
        <v>0</v>
      </c>
      <c r="Y50" s="63"/>
      <c r="Z50" s="63"/>
    </row>
    <row r="51" spans="1:27" s="8" customFormat="1" ht="24.95" customHeight="1" x14ac:dyDescent="0.25">
      <c r="A51" s="42"/>
      <c r="B51" s="23" t="s">
        <v>905</v>
      </c>
      <c r="C51" s="111" t="str">
        <f>'SERVIÇOS PRELIMINARES'!B9</f>
        <v>GOINFRA</v>
      </c>
      <c r="D51" s="106" t="str">
        <f>'SERVIÇOS PRELIMINARES'!C9</f>
        <v>020190</v>
      </c>
      <c r="E51" s="20"/>
      <c r="F51" s="21"/>
      <c r="G51" s="21"/>
      <c r="H51" s="603" t="str">
        <f>'SERVIÇOS PRELIMINARES'!D9</f>
        <v>LIMPEZA MECÂNICA DE TERRENO</v>
      </c>
      <c r="I51" s="603"/>
      <c r="J51" s="603"/>
      <c r="K51" s="603"/>
      <c r="L51" s="603"/>
      <c r="M51" s="604"/>
      <c r="N51" s="124" t="str">
        <f>'SERVIÇOS PRELIMINARES'!K12</f>
        <v>M2</v>
      </c>
      <c r="O51" s="17"/>
      <c r="P51" s="17"/>
      <c r="Q51" s="17"/>
      <c r="R51" s="17"/>
      <c r="S51" s="17"/>
      <c r="T51" s="17"/>
      <c r="U51" s="17"/>
      <c r="V51" s="17">
        <f>'SERVIÇOS PRELIMINARES'!J12</f>
        <v>10000</v>
      </c>
      <c r="W51" s="17"/>
      <c r="X51" s="18">
        <f t="shared" si="0"/>
        <v>10000</v>
      </c>
      <c r="Y51" s="63"/>
      <c r="Z51" s="63"/>
      <c r="AA51" s="63"/>
    </row>
    <row r="52" spans="1:27" s="8" customFormat="1" ht="24.95" customHeight="1" x14ac:dyDescent="0.25">
      <c r="A52" s="41"/>
      <c r="B52" s="19"/>
      <c r="C52" s="110"/>
      <c r="D52" s="105"/>
      <c r="E52" s="13"/>
      <c r="F52" s="14"/>
      <c r="G52" s="24"/>
      <c r="H52" s="14"/>
      <c r="I52" s="14"/>
      <c r="J52" s="14"/>
      <c r="K52" s="14"/>
      <c r="L52" s="24"/>
      <c r="M52" s="15"/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18">
        <f t="shared" si="0"/>
        <v>0</v>
      </c>
      <c r="Y52" s="63"/>
      <c r="Z52" s="63"/>
    </row>
    <row r="53" spans="1:27" s="8" customFormat="1" ht="24.95" customHeight="1" x14ac:dyDescent="0.25">
      <c r="A53" s="41"/>
      <c r="B53" s="12">
        <v>6</v>
      </c>
      <c r="C53" s="109"/>
      <c r="D53" s="104"/>
      <c r="E53" s="13"/>
      <c r="F53" s="14" t="s">
        <v>104</v>
      </c>
      <c r="G53" s="14"/>
      <c r="H53" s="14"/>
      <c r="I53" s="14"/>
      <c r="J53" s="14"/>
      <c r="K53" s="14"/>
      <c r="L53" s="14"/>
      <c r="M53" s="15"/>
      <c r="N53" s="16"/>
      <c r="O53" s="17"/>
      <c r="P53" s="17"/>
      <c r="Q53" s="17"/>
      <c r="R53" s="17"/>
      <c r="S53" s="17"/>
      <c r="T53" s="17"/>
      <c r="U53" s="17"/>
      <c r="V53" s="17"/>
      <c r="W53" s="17"/>
      <c r="X53" s="18">
        <f t="shared" si="0"/>
        <v>0</v>
      </c>
      <c r="Y53" s="63"/>
      <c r="Z53" s="63"/>
    </row>
    <row r="54" spans="1:27" s="8" customFormat="1" ht="24.95" customHeight="1" x14ac:dyDescent="0.25">
      <c r="A54" s="42"/>
      <c r="B54" s="23" t="s">
        <v>906</v>
      </c>
      <c r="C54" s="111" t="str">
        <f>'DEMOLIÇÕES - ESQUADRIAS '!B9</f>
        <v>ORSE</v>
      </c>
      <c r="D54" s="106" t="str">
        <f>'DEMOLIÇÕES - ESQUADRIAS '!C9</f>
        <v>39</v>
      </c>
      <c r="E54" s="20"/>
      <c r="F54" s="21"/>
      <c r="G54" s="21"/>
      <c r="H54" s="603" t="str">
        <f>'DEMOLIÇÕES - ESQUADRIAS '!D9</f>
        <v>REMOÇÃO DE VIDRO (adaptado conforme Decreto Estadual 9900/2021)</v>
      </c>
      <c r="I54" s="603"/>
      <c r="J54" s="603"/>
      <c r="K54" s="603"/>
      <c r="L54" s="603"/>
      <c r="M54" s="604"/>
      <c r="N54" s="22" t="str">
        <f>+'DEMOLIÇÕES - ESQUADRIAS '!M62</f>
        <v>M2</v>
      </c>
      <c r="O54" s="17">
        <f>+'DEMOLIÇÕES - ESQUADRIAS '!L62</f>
        <v>375.05</v>
      </c>
      <c r="P54" s="17"/>
      <c r="Q54" s="17"/>
      <c r="R54" s="17"/>
      <c r="S54" s="17"/>
      <c r="T54" s="17"/>
      <c r="U54" s="17"/>
      <c r="V54" s="17"/>
      <c r="W54" s="17"/>
      <c r="X54" s="18">
        <f t="shared" si="0"/>
        <v>375.05</v>
      </c>
      <c r="Y54" s="63"/>
      <c r="Z54" s="63"/>
    </row>
    <row r="55" spans="1:27" s="8" customFormat="1" ht="24.95" customHeight="1" x14ac:dyDescent="0.25">
      <c r="A55" s="42"/>
      <c r="B55" s="23" t="s">
        <v>907</v>
      </c>
      <c r="C55" s="111" t="str">
        <f>'DEMOLIÇÕES - ESQUADRIAS '!B10</f>
        <v>GOINFRA</v>
      </c>
      <c r="D55" s="106" t="str">
        <f>'DEMOLIÇÕES - ESQUADRIAS '!C10</f>
        <v>020106</v>
      </c>
      <c r="E55" s="20"/>
      <c r="F55" s="21"/>
      <c r="G55" s="21"/>
      <c r="H55" s="603" t="str">
        <f>'DEMOLIÇÕES - ESQUADRIAS '!D10</f>
        <v xml:space="preserve">REMOÇÃO MANUAL DE JANELA OU PORTAL COM TRANSPORTE ATÉ CAÇAMBA E CARGA	</v>
      </c>
      <c r="I55" s="603"/>
      <c r="J55" s="603"/>
      <c r="K55" s="603"/>
      <c r="L55" s="603"/>
      <c r="M55" s="604"/>
      <c r="N55" s="22" t="str">
        <f>+'DEMOLIÇÕES - ESQUADRIAS '!M62</f>
        <v>M2</v>
      </c>
      <c r="O55" s="17">
        <f>+'DEMOLIÇÕES - ESQUADRIAS '!K62</f>
        <v>457.98000000000008</v>
      </c>
      <c r="P55" s="17"/>
      <c r="Q55" s="17"/>
      <c r="R55" s="17"/>
      <c r="S55" s="17"/>
      <c r="T55" s="17"/>
      <c r="U55" s="17"/>
      <c r="V55" s="17"/>
      <c r="W55" s="17"/>
      <c r="X55" s="18">
        <f t="shared" si="0"/>
        <v>457.98000000000008</v>
      </c>
      <c r="Y55" s="63"/>
      <c r="Z55" s="63"/>
    </row>
    <row r="56" spans="1:27" s="8" customFormat="1" ht="24.95" customHeight="1" x14ac:dyDescent="0.25">
      <c r="A56" s="42"/>
      <c r="B56" s="23" t="s">
        <v>908</v>
      </c>
      <c r="C56" s="111" t="str">
        <f>'DEMOLIÇÕES - GUARDA-CORPO'!B9</f>
        <v>SIURB-SP</v>
      </c>
      <c r="D56" s="106">
        <f>+'DEMOLIÇÕES - GUARDA-CORPO'!C9</f>
        <v>17060102</v>
      </c>
      <c r="E56" s="20"/>
      <c r="F56" s="21"/>
      <c r="G56" s="21"/>
      <c r="H56" s="603" t="str">
        <f>+'DEMOLIÇÕES - GUARDA-CORPO'!D9</f>
        <v>RETIRADA DE GRADIL, PORTÕES E GUARDA-CORPO (adaptado conforme Decreto Estadual 9900/2021)</v>
      </c>
      <c r="I56" s="603"/>
      <c r="J56" s="603"/>
      <c r="K56" s="603"/>
      <c r="L56" s="603"/>
      <c r="M56" s="604"/>
      <c r="N56" s="22" t="str">
        <f>+'DEMOLIÇÕES - GUARDA-CORPO'!M22</f>
        <v>M2</v>
      </c>
      <c r="O56" s="17">
        <f>+'DEMOLIÇÕES - GUARDA-CORPO'!L20</f>
        <v>292.35999999999996</v>
      </c>
      <c r="P56" s="17"/>
      <c r="Q56" s="17"/>
      <c r="R56" s="17"/>
      <c r="S56" s="17"/>
      <c r="T56" s="17">
        <f>+'DEMOLIÇÕES - GUARDA-CORPO'!L21</f>
        <v>132.19</v>
      </c>
      <c r="U56" s="17"/>
      <c r="V56" s="17"/>
      <c r="W56" s="17"/>
      <c r="X56" s="18">
        <f t="shared" si="0"/>
        <v>424.54999999999995</v>
      </c>
      <c r="Y56" s="63"/>
      <c r="Z56" s="63"/>
    </row>
    <row r="57" spans="1:27" s="8" customFormat="1" ht="24.95" customHeight="1" x14ac:dyDescent="0.25">
      <c r="A57" s="42"/>
      <c r="B57" s="23" t="s">
        <v>909</v>
      </c>
      <c r="C57" s="111" t="str">
        <f>+'DEMOLIÇÕES - ALVENARIAS'!B9</f>
        <v>GOINFRA</v>
      </c>
      <c r="D57" s="106" t="str">
        <f>+'DEMOLIÇÕES - ALVENARIAS'!C9</f>
        <v>020118</v>
      </c>
      <c r="E57" s="20"/>
      <c r="F57" s="21"/>
      <c r="G57" s="21"/>
      <c r="H57" s="603" t="str">
        <f>+'DEMOLIÇÕES - ALVENARIAS'!D9</f>
        <v xml:space="preserve">DEMOLIÇÃO MANUAL ALVENARIA TIJOLO SEM REAPROVEITAMENTO COM TRANSPORTE ATE CAÇAMBA E CARGA	</v>
      </c>
      <c r="I57" s="603"/>
      <c r="J57" s="603"/>
      <c r="K57" s="603"/>
      <c r="L57" s="603"/>
      <c r="M57" s="604"/>
      <c r="N57" s="22" t="str">
        <f>'DEMOLIÇÕES - ALVENARIAS'!N83</f>
        <v>M3</v>
      </c>
      <c r="O57" s="17"/>
      <c r="P57" s="17">
        <f>SUM('DEMOLIÇÕES - ALVENARIAS'!M11:M74)</f>
        <v>708.43000000000018</v>
      </c>
      <c r="Q57" s="17"/>
      <c r="R57" s="17"/>
      <c r="S57" s="17">
        <f>SUM('DEMOLIÇÕES - ALVENARIAS'!M75:M82)</f>
        <v>107.27999999999999</v>
      </c>
      <c r="T57" s="17"/>
      <c r="U57" s="17"/>
      <c r="V57" s="17"/>
      <c r="W57" s="17"/>
      <c r="X57" s="18">
        <f t="shared" si="0"/>
        <v>815.71000000000015</v>
      </c>
      <c r="Y57" s="63"/>
      <c r="Z57" s="63"/>
    </row>
    <row r="58" spans="1:27" s="8" customFormat="1" ht="24.95" customHeight="1" x14ac:dyDescent="0.25">
      <c r="A58" s="42"/>
      <c r="B58" s="23" t="s">
        <v>910</v>
      </c>
      <c r="C58" s="111" t="str">
        <f>'DEMOLIÇÕES - COBERTURA'!B9</f>
        <v>GOINFRA</v>
      </c>
      <c r="D58" s="106" t="str">
        <f>'DEMOLIÇÕES - COBERTURA'!C9</f>
        <v>020100</v>
      </c>
      <c r="E58" s="20"/>
      <c r="F58" s="21"/>
      <c r="G58" s="21"/>
      <c r="H58" s="603" t="str">
        <f>'DEMOLIÇÕES - COBERTURA'!D9</f>
        <v xml:space="preserve">DEMOLIÇÃO MANUAL - COBERTURA TELHA METÁLICA COM TRANSPORTE ATÉ CAÇAMBA E CARGA	</v>
      </c>
      <c r="I58" s="603"/>
      <c r="J58" s="603"/>
      <c r="K58" s="603"/>
      <c r="L58" s="603"/>
      <c r="M58" s="604"/>
      <c r="N58" s="22" t="str">
        <f>'DEMOLIÇÕES - COBERTURA'!L13</f>
        <v>M2</v>
      </c>
      <c r="O58" s="17"/>
      <c r="P58" s="17"/>
      <c r="Q58" s="17">
        <f>'DEMOLIÇÕES - COBERTURA'!K13</f>
        <v>604</v>
      </c>
      <c r="R58" s="17"/>
      <c r="S58" s="17"/>
      <c r="T58" s="17"/>
      <c r="U58" s="17"/>
      <c r="V58" s="17"/>
      <c r="W58" s="17"/>
      <c r="X58" s="18">
        <f t="shared" si="0"/>
        <v>604</v>
      </c>
      <c r="Y58" s="63"/>
      <c r="Z58" s="63"/>
    </row>
    <row r="59" spans="1:27" s="8" customFormat="1" ht="24.95" customHeight="1" x14ac:dyDescent="0.25">
      <c r="A59" s="42"/>
      <c r="B59" s="23" t="s">
        <v>911</v>
      </c>
      <c r="C59" s="111" t="str">
        <f>'DEMOLIÇÕES - COBERTURA'!B28</f>
        <v>ORSE</v>
      </c>
      <c r="D59" s="106">
        <f>'DEMOLIÇÕES - COBERTURA'!C28</f>
        <v>8344</v>
      </c>
      <c r="E59" s="20"/>
      <c r="F59" s="21"/>
      <c r="G59" s="21"/>
      <c r="H59" s="603" t="str">
        <f>'DEMOLIÇÕES - COBERTURA'!D28</f>
        <v>DESMONTAGEM DE ESTRUTURA METÁLICA COM RETIRADA DE SOLDA E CORTE DE PEÇAS POR MEIO DE LIXADEIRA (adaptado conforme Decreto Estadual 9900/2021)</v>
      </c>
      <c r="I59" s="603"/>
      <c r="J59" s="603"/>
      <c r="K59" s="603"/>
      <c r="L59" s="603"/>
      <c r="M59" s="604"/>
      <c r="N59" s="22" t="str">
        <f>'DEMOLIÇÕES - COBERTURA'!L31</f>
        <v>M2</v>
      </c>
      <c r="O59" s="17"/>
      <c r="P59" s="17"/>
      <c r="Q59" s="17">
        <f>'DEMOLIÇÕES - COBERTURA'!K31</f>
        <v>492</v>
      </c>
      <c r="R59" s="17"/>
      <c r="S59" s="17"/>
      <c r="T59" s="17"/>
      <c r="U59" s="17"/>
      <c r="V59" s="17"/>
      <c r="W59" s="17"/>
      <c r="X59" s="18">
        <f t="shared" si="0"/>
        <v>492</v>
      </c>
      <c r="Y59" s="63"/>
      <c r="Z59" s="63"/>
    </row>
    <row r="60" spans="1:27" s="8" customFormat="1" ht="24.95" customHeight="1" x14ac:dyDescent="0.25">
      <c r="A60" s="42"/>
      <c r="B60" s="23" t="s">
        <v>912</v>
      </c>
      <c r="C60" s="111" t="str">
        <f>'DEMOLIÇÕES - CONCRETO'!B9</f>
        <v>SINAPI</v>
      </c>
      <c r="D60" s="106">
        <f>'DEMOLIÇÕES - CONCRETO'!C9</f>
        <v>97629</v>
      </c>
      <c r="E60" s="20"/>
      <c r="F60" s="21"/>
      <c r="G60" s="21"/>
      <c r="H60" s="603" t="str">
        <f>'DEMOLIÇÕES - CONCRETO'!D9</f>
        <v>DEMOLIÇÃO DE LAJES, EM CONCRETO ARMADO, DE FORMA MECANIZADA COM MARTELETE, SEM REAPROVEITAMENTO. AF_09/2023 (adaptado conforme Decreto Estadual 9900/2021)</v>
      </c>
      <c r="I60" s="603"/>
      <c r="J60" s="603"/>
      <c r="K60" s="603"/>
      <c r="L60" s="603"/>
      <c r="M60" s="604"/>
      <c r="N60" s="22" t="str">
        <f>'DEMOLIÇÕES - CONCRETO'!N23</f>
        <v>M3</v>
      </c>
      <c r="O60" s="17"/>
      <c r="P60" s="17"/>
      <c r="Q60" s="17"/>
      <c r="R60" s="17">
        <f>SUM('DEMOLIÇÕES - CONCRETO'!M11:M18)</f>
        <v>777.62600000000009</v>
      </c>
      <c r="S60" s="17">
        <f>SUM('DEMOLIÇÕES - CONCRETO'!M19:M22)</f>
        <v>53.73</v>
      </c>
      <c r="T60" s="17"/>
      <c r="U60" s="17"/>
      <c r="V60" s="17"/>
      <c r="W60" s="17"/>
      <c r="X60" s="18">
        <f t="shared" si="0"/>
        <v>831.35600000000011</v>
      </c>
      <c r="Y60" s="63"/>
      <c r="Z60" s="63"/>
    </row>
    <row r="61" spans="1:27" s="8" customFormat="1" ht="24.95" customHeight="1" x14ac:dyDescent="0.25">
      <c r="A61" s="42"/>
      <c r="B61" s="23" t="s">
        <v>913</v>
      </c>
      <c r="C61" s="111" t="str">
        <f>'DEMOLIÇÕES - CONCRETO'!B25</f>
        <v>SINAPI</v>
      </c>
      <c r="D61" s="106">
        <f>'DEMOLIÇÕES - CONCRETO'!C25</f>
        <v>97627</v>
      </c>
      <c r="E61" s="20"/>
      <c r="F61" s="21"/>
      <c r="G61" s="21"/>
      <c r="H61" s="603" t="str">
        <f>'DEMOLIÇÕES - CONCRETO'!D25</f>
        <v>DEMOLIÇÃO DE PILARES E VIGAS EM CONCRETO ARMADO, DE FORMA MECANIZADA COM MARTELETE, SEM REAPROVEITAMENTO. AF_09/2023 (adaptado conforme Decreto Estadual 9900/2021)</v>
      </c>
      <c r="I61" s="603"/>
      <c r="J61" s="603"/>
      <c r="K61" s="603"/>
      <c r="L61" s="603"/>
      <c r="M61" s="604"/>
      <c r="N61" s="22" t="str">
        <f>'DEMOLIÇÕES - CONCRETO'!N34</f>
        <v>M3</v>
      </c>
      <c r="O61" s="17"/>
      <c r="P61" s="17"/>
      <c r="Q61" s="17"/>
      <c r="R61" s="17">
        <f>SUM('DEMOLIÇÕES - CONCRETO'!M27:M29)</f>
        <v>120.918966</v>
      </c>
      <c r="S61" s="17">
        <f>SUM('DEMOLIÇÕES - CONCRETO'!M30:M33)</f>
        <v>31.887360000000001</v>
      </c>
      <c r="T61" s="17"/>
      <c r="U61" s="17"/>
      <c r="V61" s="17"/>
      <c r="W61" s="17"/>
      <c r="X61" s="18">
        <f t="shared" si="0"/>
        <v>152.80632600000001</v>
      </c>
      <c r="Y61" s="63"/>
      <c r="Z61" s="63"/>
    </row>
    <row r="62" spans="1:27" s="8" customFormat="1" ht="24.95" customHeight="1" x14ac:dyDescent="0.25">
      <c r="A62" s="42"/>
      <c r="B62" s="23" t="s">
        <v>914</v>
      </c>
      <c r="C62" s="111" t="str">
        <f>'DEMOLIÇÕES - CONCRETO'!B36</f>
        <v>PRÓPRIO</v>
      </c>
      <c r="D62" s="106" t="str">
        <f>'DEMOLIÇÕES - CONCRETO'!C36</f>
        <v>SEINFRA-0010</v>
      </c>
      <c r="E62" s="20"/>
      <c r="F62" s="21"/>
      <c r="G62" s="21"/>
      <c r="H62" s="603" t="str">
        <f>'DEMOLIÇÕES - CONCRETO'!D36</f>
        <v>DEMOLIÇÃO DE PILARES DE CONCRETO ARMADO POR TOMBAMENTO COM CABO DE AÇO</v>
      </c>
      <c r="I62" s="603"/>
      <c r="J62" s="603"/>
      <c r="K62" s="603"/>
      <c r="L62" s="603"/>
      <c r="M62" s="604"/>
      <c r="N62" s="22" t="str">
        <f>'DEMOLIÇÕES - CONCRETO'!L38</f>
        <v xml:space="preserve">UN </v>
      </c>
      <c r="O62" s="17"/>
      <c r="P62" s="17"/>
      <c r="Q62" s="17"/>
      <c r="R62" s="17">
        <f>'DEMOLIÇÕES - CONCRETO'!K38</f>
        <v>20</v>
      </c>
      <c r="S62" s="17"/>
      <c r="T62" s="17"/>
      <c r="U62" s="17"/>
      <c r="V62" s="17"/>
      <c r="W62" s="17"/>
      <c r="X62" s="18">
        <f t="shared" si="0"/>
        <v>20</v>
      </c>
      <c r="Y62" s="63"/>
      <c r="Z62" s="63"/>
    </row>
    <row r="63" spans="1:27" s="8" customFormat="1" ht="24.95" customHeight="1" x14ac:dyDescent="0.25">
      <c r="A63" s="42"/>
      <c r="B63" s="23" t="s">
        <v>915</v>
      </c>
      <c r="C63" s="111" t="str">
        <f>'DEMOLIÇÕES - CONCRETO'!B40</f>
        <v>SICRO</v>
      </c>
      <c r="D63" s="106">
        <f>'DEMOLIÇÕES - CONCRETO'!C40</f>
        <v>1619003</v>
      </c>
      <c r="E63" s="20"/>
      <c r="F63" s="21"/>
      <c r="G63" s="21"/>
      <c r="H63" s="603" t="str">
        <f>'DEMOLIÇÕES - CONCRETO'!D40</f>
        <v>DEMOLIÇÃO MECÂNICA DE CONCRETO ARMADO COM ESCAVADEIRA HIDRÁULICA (adaptado conforme Decreto Estadual 9900/2021)</v>
      </c>
      <c r="I63" s="603"/>
      <c r="J63" s="603"/>
      <c r="K63" s="603"/>
      <c r="L63" s="603"/>
      <c r="M63" s="604"/>
      <c r="N63" s="22" t="str">
        <f>'DEMOLIÇÕES - CONCRETO'!N56</f>
        <v>M3</v>
      </c>
      <c r="O63" s="17"/>
      <c r="P63" s="17"/>
      <c r="Q63" s="17"/>
      <c r="R63" s="17">
        <f>SUM('DEMOLIÇÕES - CONCRETO'!M42:M51)</f>
        <v>418.99010399999997</v>
      </c>
      <c r="S63" s="17"/>
      <c r="T63" s="17">
        <f>SUM('DEMOLIÇÕES - CONCRETO'!M52:M54)</f>
        <v>409.6875</v>
      </c>
      <c r="U63" s="17">
        <f>'DEMOLIÇÕES - CONCRETO'!M55</f>
        <v>82.600000000000009</v>
      </c>
      <c r="V63" s="17"/>
      <c r="W63" s="17"/>
      <c r="X63" s="18">
        <f t="shared" si="0"/>
        <v>911.277604</v>
      </c>
      <c r="Y63" s="63"/>
      <c r="Z63" s="63"/>
    </row>
    <row r="64" spans="1:27" s="8" customFormat="1" ht="24.95" customHeight="1" x14ac:dyDescent="0.25">
      <c r="A64" s="42"/>
      <c r="B64" s="23" t="s">
        <v>916</v>
      </c>
      <c r="C64" s="111" t="str">
        <f>'DEMOLIÇÕES - CONCRETO'!B58</f>
        <v>PRÓPRIO</v>
      </c>
      <c r="D64" s="106" t="str">
        <f>'DEMOLIÇÕES - CONCRETO'!C58</f>
        <v>SEINFRA-0014</v>
      </c>
      <c r="E64" s="20"/>
      <c r="F64" s="21"/>
      <c r="G64" s="21"/>
      <c r="H64" s="603" t="str">
        <f>'DEMOLIÇÕES - CONCRETO'!D58</f>
        <v>EXECUÇÃO DE CORTES EM PILARES COM FIO DIAMANTADO, INCLUSO MOBILIZAÇÃO E DESMOBILIZAÇÃO</v>
      </c>
      <c r="I64" s="603"/>
      <c r="J64" s="603"/>
      <c r="K64" s="603"/>
      <c r="L64" s="603"/>
      <c r="M64" s="604"/>
      <c r="N64" s="22" t="str">
        <f>'DEMOLIÇÕES - CONCRETO'!L61</f>
        <v xml:space="preserve">UN </v>
      </c>
      <c r="O64" s="17"/>
      <c r="P64" s="17"/>
      <c r="Q64" s="17"/>
      <c r="R64" s="17">
        <f>'DEMOLIÇÕES - CONCRETO'!K61</f>
        <v>20</v>
      </c>
      <c r="S64" s="17"/>
      <c r="T64" s="17"/>
      <c r="U64" s="17"/>
      <c r="V64" s="17"/>
      <c r="W64" s="17"/>
      <c r="X64" s="18">
        <f t="shared" si="0"/>
        <v>20</v>
      </c>
      <c r="Y64" s="63"/>
      <c r="Z64" s="63"/>
    </row>
    <row r="65" spans="1:27" s="8" customFormat="1" ht="24.95" customHeight="1" x14ac:dyDescent="0.25">
      <c r="A65" s="42"/>
      <c r="B65" s="23" t="s">
        <v>917</v>
      </c>
      <c r="C65" s="111" t="str">
        <f>+'DEMOLIÇÕES - COBERTURA'!B34</f>
        <v>GOINFRA</v>
      </c>
      <c r="D65" s="106" t="str">
        <f>+'DEMOLIÇÕES - COBERTURA'!C34</f>
        <v>020101</v>
      </c>
      <c r="E65" s="20"/>
      <c r="F65" s="21"/>
      <c r="G65" s="21"/>
      <c r="H65" s="603" t="str">
        <f>+'DEMOLIÇÕES - COBERTURA'!D34</f>
        <v>DEMOLIÇÃO MANUAL DE COBERTURA EM TELHA CERAMICA COM TRANSPORTE ATÉ CAÇAMBA E CARGA</v>
      </c>
      <c r="I65" s="603"/>
      <c r="J65" s="603"/>
      <c r="K65" s="603"/>
      <c r="L65" s="603"/>
      <c r="M65" s="604"/>
      <c r="N65" s="22" t="str">
        <f>+'DEMOLIÇÕES - COBERTURA'!L37</f>
        <v>M2</v>
      </c>
      <c r="O65" s="17"/>
      <c r="P65" s="17"/>
      <c r="Q65" s="17"/>
      <c r="R65" s="17"/>
      <c r="S65" s="17">
        <f>+'DEMOLIÇÕES - COBERTURA'!K37</f>
        <v>57</v>
      </c>
      <c r="T65" s="17"/>
      <c r="U65" s="17"/>
      <c r="V65" s="17"/>
      <c r="W65" s="17"/>
      <c r="X65" s="18">
        <f t="shared" si="0"/>
        <v>57</v>
      </c>
      <c r="Y65" s="63"/>
      <c r="Z65" s="63"/>
    </row>
    <row r="66" spans="1:27" s="8" customFormat="1" ht="24.95" customHeight="1" x14ac:dyDescent="0.25">
      <c r="A66" s="42"/>
      <c r="B66" s="23" t="s">
        <v>918</v>
      </c>
      <c r="C66" s="111" t="str">
        <f>'DEMOLIÇÕES - CONCRETO'!B63</f>
        <v>CPOS</v>
      </c>
      <c r="D66" s="106" t="str">
        <f>'DEMOLIÇÕES - CONCRETO'!C63</f>
        <v>04.21.130</v>
      </c>
      <c r="E66" s="20"/>
      <c r="F66" s="21"/>
      <c r="G66" s="21"/>
      <c r="H66" s="603" t="str">
        <f>'DEMOLIÇÕES - CONCRETO'!D63</f>
        <v>REMOÇÃO DE POSTE DE CONCRETO (adaptado conforme Decreto Estadual 9900/2021)</v>
      </c>
      <c r="I66" s="603"/>
      <c r="J66" s="603"/>
      <c r="K66" s="603"/>
      <c r="L66" s="603"/>
      <c r="M66" s="604"/>
      <c r="N66" s="22" t="str">
        <f>'DEMOLIÇÕES - CONCRETO'!L65</f>
        <v xml:space="preserve">UN </v>
      </c>
      <c r="O66" s="17"/>
      <c r="P66" s="17"/>
      <c r="Q66" s="17"/>
      <c r="R66" s="17"/>
      <c r="S66" s="17"/>
      <c r="T66" s="17">
        <f>'DEMOLIÇÕES - CONCRETO'!K65</f>
        <v>3</v>
      </c>
      <c r="U66" s="17"/>
      <c r="V66" s="17"/>
      <c r="W66" s="17"/>
      <c r="X66" s="18">
        <f t="shared" si="0"/>
        <v>3</v>
      </c>
      <c r="Y66" s="63"/>
      <c r="Z66" s="63"/>
    </row>
    <row r="67" spans="1:27" s="8" customFormat="1" ht="24.95" customHeight="1" x14ac:dyDescent="0.25">
      <c r="A67" s="41"/>
      <c r="B67" s="19"/>
      <c r="C67" s="110"/>
      <c r="D67" s="105"/>
      <c r="E67" s="13"/>
      <c r="F67" s="14"/>
      <c r="G67" s="24"/>
      <c r="H67" s="14"/>
      <c r="I67" s="14"/>
      <c r="J67" s="14"/>
      <c r="K67" s="14"/>
      <c r="L67" s="24"/>
      <c r="M67" s="15"/>
      <c r="N67" s="16"/>
      <c r="O67" s="17"/>
      <c r="P67" s="17"/>
      <c r="Q67" s="17"/>
      <c r="R67" s="17"/>
      <c r="S67" s="17"/>
      <c r="T67" s="17"/>
      <c r="U67" s="17"/>
      <c r="V67" s="17"/>
      <c r="W67" s="17"/>
      <c r="X67" s="18">
        <f t="shared" si="0"/>
        <v>0</v>
      </c>
      <c r="Y67" s="63"/>
      <c r="Z67" s="63"/>
    </row>
    <row r="68" spans="1:27" s="8" customFormat="1" ht="24.95" customHeight="1" x14ac:dyDescent="0.25">
      <c r="A68" s="41"/>
      <c r="B68" s="12">
        <v>7</v>
      </c>
      <c r="C68" s="109"/>
      <c r="D68" s="104"/>
      <c r="E68" s="13"/>
      <c r="F68" s="14" t="s">
        <v>38</v>
      </c>
      <c r="G68" s="14"/>
      <c r="H68" s="14"/>
      <c r="I68" s="14"/>
      <c r="J68" s="14"/>
      <c r="K68" s="14"/>
      <c r="L68" s="14"/>
      <c r="M68" s="15"/>
      <c r="N68" s="16"/>
      <c r="O68" s="17"/>
      <c r="P68" s="17"/>
      <c r="Q68" s="17"/>
      <c r="R68" s="17"/>
      <c r="S68" s="17"/>
      <c r="T68" s="17"/>
      <c r="U68" s="17"/>
      <c r="V68" s="17"/>
      <c r="W68" s="17"/>
      <c r="X68" s="18">
        <f t="shared" si="0"/>
        <v>0</v>
      </c>
      <c r="Y68" s="63"/>
      <c r="Z68" s="63"/>
    </row>
    <row r="69" spans="1:27" s="8" customFormat="1" ht="24.95" customHeight="1" x14ac:dyDescent="0.25">
      <c r="A69" s="42"/>
      <c r="B69" s="23" t="s">
        <v>919</v>
      </c>
      <c r="C69" s="111" t="str">
        <f>'DEMOLIÇÕES - MOVIMENTO DE TERRA'!B9</f>
        <v>GOINFRA</v>
      </c>
      <c r="D69" s="111" t="str">
        <f>'DEMOLIÇÕES - MOVIMENTO DE TERRA'!C9</f>
        <v>041004</v>
      </c>
      <c r="E69" s="20"/>
      <c r="F69" s="21"/>
      <c r="G69" s="21"/>
      <c r="H69" s="603" t="str">
        <f>'DEMOLIÇÕES - MOVIMENTO DE TERRA'!D9</f>
        <v>ESCAVAÇÃO MECÂNICA</v>
      </c>
      <c r="I69" s="603"/>
      <c r="J69" s="603"/>
      <c r="K69" s="603"/>
      <c r="L69" s="603"/>
      <c r="M69" s="604"/>
      <c r="N69" s="22" t="str">
        <f>'DEMOLIÇÕES - MOVIMENTO DE TERRA'!K12</f>
        <v>M3</v>
      </c>
      <c r="O69" s="17"/>
      <c r="P69" s="17"/>
      <c r="Q69" s="17"/>
      <c r="R69" s="17"/>
      <c r="S69" s="17"/>
      <c r="T69" s="17"/>
      <c r="U69" s="17">
        <f>+'DEMOLIÇÕES - MOVIMENTO DE TERRA'!J12</f>
        <v>1239</v>
      </c>
      <c r="V69" s="17"/>
      <c r="W69" s="17"/>
      <c r="X69" s="18">
        <f t="shared" si="0"/>
        <v>1239</v>
      </c>
      <c r="Y69" s="63"/>
      <c r="Z69" s="63"/>
    </row>
    <row r="70" spans="1:27" s="8" customFormat="1" ht="24.95" customHeight="1" x14ac:dyDescent="0.25">
      <c r="A70" s="41"/>
      <c r="B70" s="19"/>
      <c r="C70" s="110"/>
      <c r="D70" s="105"/>
      <c r="E70" s="13"/>
      <c r="F70" s="14"/>
      <c r="G70" s="24"/>
      <c r="H70" s="14"/>
      <c r="I70" s="14"/>
      <c r="J70" s="14"/>
      <c r="K70" s="14"/>
      <c r="L70" s="24"/>
      <c r="M70" s="15"/>
      <c r="N70" s="16"/>
      <c r="O70" s="17"/>
      <c r="P70" s="17"/>
      <c r="Q70" s="17"/>
      <c r="R70" s="17"/>
      <c r="S70" s="17"/>
      <c r="T70" s="17"/>
      <c r="U70" s="17"/>
      <c r="V70" s="17"/>
      <c r="W70" s="17"/>
      <c r="X70" s="18">
        <f t="shared" si="0"/>
        <v>0</v>
      </c>
      <c r="Y70" s="63"/>
      <c r="Z70" s="63"/>
    </row>
    <row r="71" spans="1:27" s="8" customFormat="1" ht="24.95" customHeight="1" x14ac:dyDescent="0.25">
      <c r="A71" s="41"/>
      <c r="B71" s="12">
        <v>8</v>
      </c>
      <c r="C71" s="109"/>
      <c r="D71" s="104"/>
      <c r="E71" s="13"/>
      <c r="F71" s="14" t="s">
        <v>829</v>
      </c>
      <c r="G71" s="14"/>
      <c r="H71" s="14"/>
      <c r="I71" s="14"/>
      <c r="J71" s="14"/>
      <c r="K71" s="14"/>
      <c r="L71" s="14"/>
      <c r="M71" s="15"/>
      <c r="N71" s="16"/>
      <c r="O71" s="17"/>
      <c r="P71" s="17"/>
      <c r="Q71" s="17"/>
      <c r="R71" s="17"/>
      <c r="S71" s="17"/>
      <c r="T71" s="17"/>
      <c r="U71" s="17"/>
      <c r="V71" s="17"/>
      <c r="W71" s="17"/>
      <c r="X71" s="18">
        <f t="shared" si="0"/>
        <v>0</v>
      </c>
      <c r="Y71" s="63"/>
      <c r="Z71" s="63"/>
    </row>
    <row r="72" spans="1:27" s="8" customFormat="1" ht="24.95" customHeight="1" x14ac:dyDescent="0.25">
      <c r="A72" s="42"/>
      <c r="B72" s="23" t="s">
        <v>920</v>
      </c>
      <c r="C72" s="111" t="str">
        <f>+'DEMOLIÇÕES - TRANSPORTES'!B9</f>
        <v>GOINFRA</v>
      </c>
      <c r="D72" s="106" t="str">
        <f>+'DEMOLIÇÕES - TRANSPORTES'!C9</f>
        <v>030104</v>
      </c>
      <c r="E72" s="20"/>
      <c r="F72" s="21"/>
      <c r="G72" s="21"/>
      <c r="H72" s="603" t="str">
        <f>+'DEMOLIÇÕES - TRANSPORTES'!D9</f>
        <v>TRANSPORTE DE ENTULHO CAÇAMBA ESTACIONÁRIA SEM CARGA</v>
      </c>
      <c r="I72" s="603"/>
      <c r="J72" s="603"/>
      <c r="K72" s="603"/>
      <c r="L72" s="603"/>
      <c r="M72" s="604"/>
      <c r="N72" s="22" t="str">
        <f>+'DEMOLIÇÕES - TRANSPORTES'!N19</f>
        <v>M3</v>
      </c>
      <c r="O72" s="17"/>
      <c r="P72" s="17"/>
      <c r="Q72" s="17"/>
      <c r="R72" s="17"/>
      <c r="S72" s="17"/>
      <c r="T72" s="17"/>
      <c r="U72" s="17"/>
      <c r="V72" s="17">
        <f>+'DEMOLIÇÕES - TRANSPORTES'!M19</f>
        <v>2379.0564000000004</v>
      </c>
      <c r="W72" s="17"/>
      <c r="X72" s="18">
        <f t="shared" si="0"/>
        <v>2379.0564000000004</v>
      </c>
      <c r="Y72" s="63"/>
      <c r="Z72" s="63"/>
    </row>
    <row r="73" spans="1:27" s="8" customFormat="1" ht="24.95" customHeight="1" x14ac:dyDescent="0.25">
      <c r="A73" s="42"/>
      <c r="B73" s="23" t="s">
        <v>921</v>
      </c>
      <c r="C73" s="111" t="str">
        <f>'DEMOLIÇÕES - TRANSPORTES'!B21</f>
        <v>GOINFRA</v>
      </c>
      <c r="D73" s="106" t="str">
        <f>'DEMOLIÇÕES - TRANSPORTES'!C21</f>
        <v>041005</v>
      </c>
      <c r="E73" s="20"/>
      <c r="F73" s="21"/>
      <c r="G73" s="21"/>
      <c r="H73" s="603" t="str">
        <f>'DEMOLIÇÕES - TRANSPORTES'!D21</f>
        <v xml:space="preserve">CARGA MECANIZADA	</v>
      </c>
      <c r="I73" s="603"/>
      <c r="J73" s="603"/>
      <c r="K73" s="603"/>
      <c r="L73" s="603"/>
      <c r="M73" s="604"/>
      <c r="N73" s="22" t="str">
        <f>'DEMOLIÇÕES - TRANSPORTES'!N26</f>
        <v>M3</v>
      </c>
      <c r="O73" s="17"/>
      <c r="P73" s="17"/>
      <c r="Q73" s="17"/>
      <c r="R73" s="17"/>
      <c r="S73" s="17"/>
      <c r="T73" s="17"/>
      <c r="U73" s="17"/>
      <c r="V73" s="17">
        <f>'DEMOLIÇÕES - TRANSPORTES'!M26</f>
        <v>2558.8439055000008</v>
      </c>
      <c r="W73" s="17"/>
      <c r="X73" s="18">
        <f t="shared" si="0"/>
        <v>2558.8439055000008</v>
      </c>
      <c r="Y73" s="63"/>
      <c r="Z73" s="63"/>
    </row>
    <row r="74" spans="1:27" s="8" customFormat="1" ht="24.95" customHeight="1" x14ac:dyDescent="0.25">
      <c r="A74" s="42"/>
      <c r="B74" s="23" t="s">
        <v>922</v>
      </c>
      <c r="C74" s="161" t="str">
        <f>'DEMOLIÇÕES - TRANSPORTES'!B28</f>
        <v>GOINFRA
RODOVIÁRIA</v>
      </c>
      <c r="D74" s="106">
        <f>'DEMOLIÇÕES - TRANSPORTES'!C28</f>
        <v>44011</v>
      </c>
      <c r="E74" s="20"/>
      <c r="F74" s="21"/>
      <c r="G74" s="21"/>
      <c r="H74" s="603" t="str">
        <f>'DEMOLIÇÕES - TRANSPORTES'!D28</f>
        <v>TRANSPORTE DE ENTULHOS (PAV.URB.)</v>
      </c>
      <c r="I74" s="603"/>
      <c r="J74" s="603"/>
      <c r="K74" s="603"/>
      <c r="L74" s="603"/>
      <c r="M74" s="604"/>
      <c r="N74" s="22" t="str">
        <f>'DEMOLIÇÕES - TRANSPORTES'!N31</f>
        <v>M3xKM</v>
      </c>
      <c r="O74" s="17"/>
      <c r="P74" s="17"/>
      <c r="Q74" s="17"/>
      <c r="R74" s="17"/>
      <c r="S74" s="17"/>
      <c r="T74" s="17"/>
      <c r="U74" s="17"/>
      <c r="V74" s="17">
        <f>'DEMOLIÇÕES - TRANSPORTES'!M31</f>
        <v>348002.77114800009</v>
      </c>
      <c r="W74" s="17"/>
      <c r="X74" s="18">
        <f t="shared" si="0"/>
        <v>348002.77114800009</v>
      </c>
      <c r="Y74" s="63"/>
      <c r="Z74" s="63"/>
    </row>
    <row r="75" spans="1:27" s="8" customFormat="1" ht="24.95" customHeight="1" x14ac:dyDescent="0.25">
      <c r="A75" s="41"/>
      <c r="B75" s="19"/>
      <c r="C75" s="110"/>
      <c r="D75" s="105"/>
      <c r="E75" s="13"/>
      <c r="F75" s="14"/>
      <c r="G75" s="24"/>
      <c r="H75" s="14"/>
      <c r="I75" s="14"/>
      <c r="J75" s="14"/>
      <c r="K75" s="14"/>
      <c r="L75" s="24"/>
      <c r="M75" s="15"/>
      <c r="N75" s="16"/>
      <c r="O75" s="17"/>
      <c r="P75" s="17"/>
      <c r="Q75" s="17"/>
      <c r="R75" s="17"/>
      <c r="S75" s="17"/>
      <c r="T75" s="17"/>
      <c r="U75" s="17"/>
      <c r="V75" s="17"/>
      <c r="W75" s="17"/>
      <c r="X75" s="18">
        <f t="shared" ref="X75:X77" si="8">SUM(O75:W75)</f>
        <v>0</v>
      </c>
      <c r="Y75" s="63"/>
      <c r="Z75" s="63"/>
    </row>
    <row r="76" spans="1:27" s="8" customFormat="1" ht="24.95" customHeight="1" x14ac:dyDescent="0.25">
      <c r="A76" s="41"/>
      <c r="B76" s="12">
        <v>9</v>
      </c>
      <c r="C76" s="109"/>
      <c r="D76" s="104"/>
      <c r="E76" s="13"/>
      <c r="F76" s="14" t="s">
        <v>41</v>
      </c>
      <c r="G76" s="14"/>
      <c r="H76" s="14"/>
      <c r="I76" s="14"/>
      <c r="J76" s="14"/>
      <c r="K76" s="14"/>
      <c r="L76" s="14"/>
      <c r="M76" s="15"/>
      <c r="N76" s="16"/>
      <c r="O76" s="17"/>
      <c r="P76" s="17"/>
      <c r="Q76" s="17"/>
      <c r="R76" s="17"/>
      <c r="S76" s="17"/>
      <c r="T76" s="17"/>
      <c r="U76" s="17"/>
      <c r="V76" s="17"/>
      <c r="W76" s="17"/>
      <c r="X76" s="18">
        <f t="shared" si="8"/>
        <v>0</v>
      </c>
      <c r="Y76" s="63"/>
      <c r="Z76" s="63"/>
    </row>
    <row r="77" spans="1:27" s="8" customFormat="1" ht="24.95" customHeight="1" x14ac:dyDescent="0.25">
      <c r="A77" s="42"/>
      <c r="B77" s="23" t="s">
        <v>923</v>
      </c>
      <c r="C77" s="111" t="str">
        <f>'DEMOLIÇÕES - RESÍDUOS'!B9</f>
        <v>ORSE</v>
      </c>
      <c r="D77" s="106">
        <f>'DEMOLIÇÕES - RESÍDUOS'!C9</f>
        <v>10039</v>
      </c>
      <c r="E77" s="20"/>
      <c r="F77" s="21"/>
      <c r="G77" s="21"/>
      <c r="H77" s="603" t="str">
        <f>'DEMOLIÇÕES - RESÍDUOS'!D9</f>
        <v>DESCARTE DE RESÍDUOS DA CONSTRUÇÃO CIVIL EM ÁREA LICENCIADA / USINA DE RECICLAGEM (adaptado conforme Decreto Estadual 9900/2021)</v>
      </c>
      <c r="I77" s="603"/>
      <c r="J77" s="603"/>
      <c r="K77" s="603"/>
      <c r="L77" s="603"/>
      <c r="M77" s="604"/>
      <c r="N77" s="22" t="str">
        <f>'DEMOLIÇÕES - RESÍDUOS'!N14</f>
        <v>TON</v>
      </c>
      <c r="O77" s="17"/>
      <c r="P77" s="17"/>
      <c r="Q77" s="17"/>
      <c r="R77" s="17"/>
      <c r="S77" s="17"/>
      <c r="T77" s="17"/>
      <c r="U77" s="17"/>
      <c r="V77" s="17">
        <f>'DEMOLIÇÕES - RESÍDUOS'!M14</f>
        <v>4738.5998250000002</v>
      </c>
      <c r="W77" s="17"/>
      <c r="X77" s="18">
        <f t="shared" si="8"/>
        <v>4738.5998250000002</v>
      </c>
      <c r="Y77" s="63"/>
      <c r="Z77" s="63"/>
      <c r="AA77" s="63"/>
    </row>
    <row r="78" spans="1:27" s="8" customFormat="1" ht="24.95" customHeight="1" thickBot="1" x14ac:dyDescent="0.3">
      <c r="A78" s="42"/>
      <c r="B78" s="49"/>
      <c r="C78" s="112"/>
      <c r="D78" s="107"/>
      <c r="E78" s="25"/>
      <c r="F78" s="26"/>
      <c r="G78" s="26"/>
      <c r="H78" s="605"/>
      <c r="I78" s="605"/>
      <c r="J78" s="605"/>
      <c r="K78" s="605"/>
      <c r="L78" s="605"/>
      <c r="M78" s="606"/>
      <c r="N78" s="27"/>
      <c r="O78" s="28"/>
      <c r="P78" s="28"/>
      <c r="Q78" s="28"/>
      <c r="R78" s="28"/>
      <c r="S78" s="28"/>
      <c r="T78" s="28"/>
      <c r="U78" s="28"/>
      <c r="V78" s="28"/>
      <c r="W78" s="28"/>
      <c r="X78" s="29">
        <f t="shared" ref="X78" si="9">SUM(O78:W78)</f>
        <v>0</v>
      </c>
      <c r="Y78" s="63"/>
      <c r="Z78" s="63"/>
    </row>
    <row r="79" spans="1:27" s="8" customFormat="1" ht="30" hidden="1" customHeight="1" thickBot="1" x14ac:dyDescent="0.3">
      <c r="A79" s="41"/>
      <c r="B79" s="54">
        <v>0</v>
      </c>
      <c r="C79" s="108"/>
      <c r="D79" s="108"/>
      <c r="E79" s="55"/>
      <c r="F79" s="56"/>
      <c r="G79" s="57"/>
      <c r="H79" s="56"/>
      <c r="I79" s="56"/>
      <c r="J79" s="56"/>
      <c r="K79" s="56"/>
      <c r="L79" s="57"/>
      <c r="M79" s="58"/>
      <c r="N79" s="59"/>
      <c r="O79" s="60"/>
      <c r="P79" s="60"/>
      <c r="Q79" s="60"/>
      <c r="R79" s="60"/>
      <c r="S79" s="60"/>
      <c r="T79" s="60"/>
      <c r="U79" s="60"/>
      <c r="V79" s="60"/>
      <c r="W79" s="60"/>
      <c r="X79" s="61">
        <f>+SUM(W79:W79)</f>
        <v>0</v>
      </c>
      <c r="Y79" s="63"/>
      <c r="Z79" s="63"/>
    </row>
    <row r="80" spans="1:27" s="8" customFormat="1" ht="30" hidden="1" customHeight="1" thickBot="1" x14ac:dyDescent="0.3">
      <c r="A80" s="41"/>
      <c r="B80" s="12" t="s">
        <v>70</v>
      </c>
      <c r="C80" s="104"/>
      <c r="D80" s="104"/>
      <c r="E80" s="13"/>
      <c r="F80" s="14" t="s">
        <v>42</v>
      </c>
      <c r="G80" s="14"/>
      <c r="H80" s="14"/>
      <c r="I80" s="14"/>
      <c r="J80" s="14"/>
      <c r="K80" s="14"/>
      <c r="L80" s="14"/>
      <c r="M80" s="15"/>
      <c r="N80" s="16"/>
      <c r="O80" s="17"/>
      <c r="P80" s="17"/>
      <c r="Q80" s="17"/>
      <c r="R80" s="17"/>
      <c r="S80" s="17"/>
      <c r="T80" s="17"/>
      <c r="U80" s="17"/>
      <c r="V80" s="17"/>
      <c r="W80" s="17"/>
      <c r="X80" s="18">
        <f>+SUM(W80:W80)</f>
        <v>0</v>
      </c>
      <c r="Y80" s="63"/>
      <c r="Z80" s="63"/>
    </row>
    <row r="81" spans="1:26" s="8" customFormat="1" ht="39.950000000000003" hidden="1" customHeight="1" x14ac:dyDescent="0.25">
      <c r="A81" s="42"/>
      <c r="B81" s="23" t="s">
        <v>71</v>
      </c>
      <c r="C81" s="106"/>
      <c r="D81" s="106"/>
      <c r="E81" s="20"/>
      <c r="F81" s="21"/>
      <c r="G81" s="21"/>
      <c r="H81" s="603" t="s">
        <v>72</v>
      </c>
      <c r="I81" s="603"/>
      <c r="J81" s="603"/>
      <c r="K81" s="603"/>
      <c r="L81" s="603"/>
      <c r="M81" s="604"/>
      <c r="N81" s="22" t="s">
        <v>73</v>
      </c>
      <c r="O81" s="17"/>
      <c r="P81" s="17"/>
      <c r="Q81" s="17"/>
      <c r="R81" s="17"/>
      <c r="S81" s="17"/>
      <c r="T81" s="17"/>
      <c r="U81" s="17"/>
      <c r="V81" s="17"/>
      <c r="W81" s="17"/>
      <c r="X81" s="18">
        <f>+SUM(W81:W81)</f>
        <v>0</v>
      </c>
      <c r="Y81" s="63"/>
      <c r="Z81" s="63"/>
    </row>
    <row r="82" spans="1:26" s="8" customFormat="1" ht="39.950000000000003" hidden="1" customHeight="1" x14ac:dyDescent="0.25">
      <c r="A82" s="42"/>
      <c r="B82" s="49" t="s">
        <v>74</v>
      </c>
      <c r="C82" s="107"/>
      <c r="D82" s="107"/>
      <c r="E82" s="25"/>
      <c r="F82" s="26"/>
      <c r="G82" s="26"/>
      <c r="H82" s="605" t="s">
        <v>75</v>
      </c>
      <c r="I82" s="605"/>
      <c r="J82" s="605"/>
      <c r="K82" s="605"/>
      <c r="L82" s="605"/>
      <c r="M82" s="606"/>
      <c r="N82" s="27" t="s">
        <v>73</v>
      </c>
      <c r="O82" s="28"/>
      <c r="P82" s="28"/>
      <c r="Q82" s="28"/>
      <c r="R82" s="28"/>
      <c r="S82" s="28"/>
      <c r="T82" s="28"/>
      <c r="U82" s="28"/>
      <c r="V82" s="28"/>
      <c r="W82" s="28"/>
      <c r="X82" s="29">
        <f>+SUM(W82:W82)</f>
        <v>0</v>
      </c>
      <c r="Y82" s="63"/>
      <c r="Z82" s="63"/>
    </row>
  </sheetData>
  <mergeCells count="62">
    <mergeCell ref="H60:M60"/>
    <mergeCell ref="H61:M61"/>
    <mergeCell ref="H66:M66"/>
    <mergeCell ref="H64:M64"/>
    <mergeCell ref="H65:M65"/>
    <mergeCell ref="H62:M62"/>
    <mergeCell ref="H63:M63"/>
    <mergeCell ref="H45:M45"/>
    <mergeCell ref="H35:M35"/>
    <mergeCell ref="H56:M56"/>
    <mergeCell ref="H23:M23"/>
    <mergeCell ref="H24:M24"/>
    <mergeCell ref="H32:M32"/>
    <mergeCell ref="H33:M33"/>
    <mergeCell ref="H34:M34"/>
    <mergeCell ref="H48:M48"/>
    <mergeCell ref="H47:M47"/>
    <mergeCell ref="B1:X6"/>
    <mergeCell ref="B13:B14"/>
    <mergeCell ref="E13:M14"/>
    <mergeCell ref="N13:N14"/>
    <mergeCell ref="W13:W14"/>
    <mergeCell ref="X13:X14"/>
    <mergeCell ref="U13:U14"/>
    <mergeCell ref="V13:V14"/>
    <mergeCell ref="C13:C14"/>
    <mergeCell ref="D13:D14"/>
    <mergeCell ref="S13:S14"/>
    <mergeCell ref="T13:T14"/>
    <mergeCell ref="O13:R13"/>
    <mergeCell ref="H78:M78"/>
    <mergeCell ref="H81:M81"/>
    <mergeCell ref="H82:M82"/>
    <mergeCell ref="H77:M77"/>
    <mergeCell ref="H16:M16"/>
    <mergeCell ref="H55:M55"/>
    <mergeCell ref="H54:M54"/>
    <mergeCell ref="H25:M25"/>
    <mergeCell ref="H26:M26"/>
    <mergeCell ref="H20:M20"/>
    <mergeCell ref="H19:M19"/>
    <mergeCell ref="H51:M51"/>
    <mergeCell ref="H46:M46"/>
    <mergeCell ref="H72:M72"/>
    <mergeCell ref="H73:M73"/>
    <mergeCell ref="H58:M58"/>
    <mergeCell ref="H17:M17"/>
    <mergeCell ref="H18:M18"/>
    <mergeCell ref="H74:M74"/>
    <mergeCell ref="H38:M38"/>
    <mergeCell ref="H39:M39"/>
    <mergeCell ref="H40:M40"/>
    <mergeCell ref="H41:M41"/>
    <mergeCell ref="H42:M42"/>
    <mergeCell ref="H27:M27"/>
    <mergeCell ref="H69:M69"/>
    <mergeCell ref="H57:M57"/>
    <mergeCell ref="H59:M59"/>
    <mergeCell ref="H28:M28"/>
    <mergeCell ref="H29:M29"/>
    <mergeCell ref="H30:M30"/>
    <mergeCell ref="H31:M31"/>
  </mergeCells>
  <phoneticPr fontId="46" type="noConversion"/>
  <printOptions horizontalCentered="1"/>
  <pageMargins left="0.39370078740157483" right="0.39370078740157483" top="0.78740157480314965" bottom="0.59055118110236227" header="0.31496062992125984" footer="0.31496062992125984"/>
  <pageSetup paperSize="9" scale="56" orientation="landscape" r:id="rId1"/>
  <headerFooter>
    <oddHeader>&amp;L&amp;G</oddHeader>
    <oddFooter>&amp;L&amp;"Arial Narrow,Normal"&amp;10&amp;A
&amp;F&amp;R&amp;"Arial Narrow,Normal"&amp;10Página &amp;P de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A575-07C1-4581-BE52-7EE16763E13E}">
  <dimension ref="B1:U39"/>
  <sheetViews>
    <sheetView showGridLines="0" showZeros="0" view="pageBreakPreview" zoomScaleNormal="100" zoomScaleSheetLayoutView="100" workbookViewId="0">
      <selection activeCell="Q9" sqref="Q9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L4" s="2"/>
      <c r="N4" s="3" t="s">
        <v>62</v>
      </c>
      <c r="O4" s="4" t="str">
        <f>+'DADOS DA OBRA'!$N$22</f>
        <v>18/11/2024</v>
      </c>
      <c r="R4" s="31"/>
      <c r="S4" s="31"/>
      <c r="T4" s="32"/>
      <c r="U4" s="32"/>
    </row>
    <row r="5" spans="2:21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N5" s="3" t="s">
        <v>17</v>
      </c>
      <c r="O5" s="4" t="str">
        <f>'DADOS DA OBRA'!$N$25</f>
        <v>02</v>
      </c>
    </row>
    <row r="6" spans="2:21" s="5" customFormat="1" ht="20.100000000000001" customHeight="1" x14ac:dyDescent="0.25"/>
    <row r="7" spans="2:21" s="5" customFormat="1" ht="20.100000000000001" customHeight="1" x14ac:dyDescent="0.25">
      <c r="B7" s="1" t="s">
        <v>63</v>
      </c>
      <c r="C7" s="38" t="s">
        <v>119</v>
      </c>
      <c r="N7" s="3"/>
      <c r="O7" s="62"/>
    </row>
    <row r="8" spans="2:21" s="63" customFormat="1" ht="15" customHeight="1" x14ac:dyDescent="0.25">
      <c r="B8" s="50"/>
      <c r="C8" s="51"/>
      <c r="D8" s="9"/>
      <c r="E8" s="9"/>
      <c r="F8" s="9"/>
      <c r="G8" s="10"/>
      <c r="H8" s="10"/>
      <c r="I8" s="10"/>
      <c r="J8" s="10"/>
      <c r="K8" s="9"/>
      <c r="M8" s="10"/>
      <c r="N8" s="10"/>
    </row>
    <row r="9" spans="2:21" ht="20.100000000000001" customHeight="1" x14ac:dyDescent="0.25">
      <c r="B9" s="125" t="s">
        <v>91</v>
      </c>
      <c r="C9" s="100">
        <v>250101</v>
      </c>
      <c r="D9" s="125" t="s">
        <v>129</v>
      </c>
      <c r="E9" s="125"/>
      <c r="F9" s="125"/>
      <c r="G9" s="125"/>
      <c r="H9" s="125"/>
      <c r="I9" s="125"/>
      <c r="J9" s="125" t="s">
        <v>91</v>
      </c>
      <c r="K9" s="100">
        <v>250113</v>
      </c>
      <c r="L9" s="125" t="s">
        <v>134</v>
      </c>
      <c r="M9" s="125"/>
      <c r="N9" s="125"/>
      <c r="O9" s="76"/>
    </row>
    <row r="10" spans="2:21" ht="20.100000000000001" customHeight="1" x14ac:dyDescent="0.25">
      <c r="B10" s="125"/>
      <c r="C10" s="125"/>
      <c r="D10" s="128" t="s">
        <v>120</v>
      </c>
      <c r="E10" s="127">
        <v>3</v>
      </c>
      <c r="F10" s="125" t="s">
        <v>121</v>
      </c>
      <c r="G10" s="125"/>
      <c r="H10" s="125"/>
      <c r="I10" s="125"/>
      <c r="J10" s="125"/>
      <c r="K10" s="125"/>
      <c r="L10" s="128" t="s">
        <v>120</v>
      </c>
      <c r="M10" s="127">
        <v>3</v>
      </c>
      <c r="N10" s="125" t="s">
        <v>121</v>
      </c>
      <c r="O10" s="76"/>
    </row>
    <row r="11" spans="2:21" ht="20.100000000000001" customHeight="1" x14ac:dyDescent="0.25">
      <c r="B11" s="125"/>
      <c r="C11" s="125"/>
      <c r="D11" s="128" t="s">
        <v>122</v>
      </c>
      <c r="E11" s="127">
        <v>5</v>
      </c>
      <c r="F11" s="125" t="s">
        <v>123</v>
      </c>
      <c r="G11" s="125"/>
      <c r="H11" s="125"/>
      <c r="I11" s="125"/>
      <c r="J11" s="125"/>
      <c r="K11" s="125"/>
      <c r="L11" s="128" t="s">
        <v>122</v>
      </c>
      <c r="M11" s="127">
        <v>5</v>
      </c>
      <c r="N11" s="125" t="s">
        <v>123</v>
      </c>
      <c r="O11" s="76"/>
    </row>
    <row r="12" spans="2:21" ht="20.100000000000001" customHeight="1" x14ac:dyDescent="0.25">
      <c r="B12" s="125"/>
      <c r="C12" s="125"/>
      <c r="D12" s="128" t="s">
        <v>124</v>
      </c>
      <c r="E12" s="127">
        <v>4</v>
      </c>
      <c r="F12" s="125" t="s">
        <v>125</v>
      </c>
      <c r="G12" s="125"/>
      <c r="H12" s="125"/>
      <c r="I12" s="125"/>
      <c r="J12" s="125"/>
      <c r="K12" s="125"/>
      <c r="L12" s="128" t="s">
        <v>124</v>
      </c>
      <c r="M12" s="127">
        <v>4</v>
      </c>
      <c r="N12" s="125" t="s">
        <v>125</v>
      </c>
      <c r="O12" s="76"/>
    </row>
    <row r="13" spans="2:21" ht="20.100000000000001" customHeight="1" x14ac:dyDescent="0.25">
      <c r="B13" s="125"/>
      <c r="C13" s="125"/>
      <c r="D13" s="128" t="s">
        <v>126</v>
      </c>
      <c r="E13" s="127">
        <v>4</v>
      </c>
      <c r="F13" s="125" t="s">
        <v>127</v>
      </c>
      <c r="G13" s="125"/>
      <c r="H13" s="125"/>
      <c r="I13" s="125"/>
      <c r="J13" s="125"/>
      <c r="K13" s="125"/>
      <c r="L13" s="128" t="s">
        <v>126</v>
      </c>
      <c r="M13" s="127">
        <v>4</v>
      </c>
      <c r="N13" s="125" t="s">
        <v>127</v>
      </c>
      <c r="O13" s="76"/>
    </row>
    <row r="14" spans="2:21" ht="20.100000000000001" customHeight="1" x14ac:dyDescent="0.25">
      <c r="B14" s="125"/>
      <c r="C14" s="125"/>
      <c r="D14" s="128" t="s">
        <v>130</v>
      </c>
      <c r="E14" s="127">
        <v>1</v>
      </c>
      <c r="F14" s="125" t="s">
        <v>131</v>
      </c>
      <c r="G14" s="125"/>
      <c r="H14" s="125"/>
      <c r="I14" s="125"/>
      <c r="J14" s="125"/>
      <c r="K14" s="125"/>
      <c r="L14" s="128" t="s">
        <v>130</v>
      </c>
      <c r="M14" s="127">
        <v>1</v>
      </c>
      <c r="N14" s="125" t="s">
        <v>131</v>
      </c>
      <c r="O14" s="76"/>
    </row>
    <row r="15" spans="2:21" ht="20.100000000000001" customHeight="1" x14ac:dyDescent="0.25">
      <c r="B15" s="125"/>
      <c r="C15" s="120"/>
      <c r="D15" s="129" t="s">
        <v>128</v>
      </c>
      <c r="E15" s="130">
        <f>+E13*E12*E11*E10*E14</f>
        <v>240</v>
      </c>
      <c r="F15" s="120" t="s">
        <v>48</v>
      </c>
      <c r="G15" s="125"/>
      <c r="H15" s="125"/>
      <c r="I15" s="125"/>
      <c r="J15" s="125"/>
      <c r="K15" s="120"/>
      <c r="L15" s="129" t="s">
        <v>128</v>
      </c>
      <c r="M15" s="130">
        <f>+M13*M12*M11*M10*M14</f>
        <v>240</v>
      </c>
      <c r="N15" s="120" t="s">
        <v>48</v>
      </c>
      <c r="O15" s="76"/>
    </row>
    <row r="16" spans="2:21" s="63" customFormat="1" ht="20.100000000000001" customHeight="1" x14ac:dyDescent="0.25">
      <c r="B16" s="50"/>
      <c r="C16" s="51"/>
      <c r="D16" s="9"/>
      <c r="E16" s="9"/>
      <c r="F16" s="9"/>
      <c r="G16" s="10"/>
      <c r="H16" s="10"/>
      <c r="I16" s="10"/>
      <c r="J16" s="10"/>
      <c r="K16" s="9"/>
      <c r="M16" s="10"/>
      <c r="N16" s="10"/>
    </row>
    <row r="17" spans="2:15" ht="24.95" customHeight="1" x14ac:dyDescent="0.25">
      <c r="B17" s="125" t="s">
        <v>91</v>
      </c>
      <c r="C17" s="126" t="s">
        <v>133</v>
      </c>
      <c r="D17" s="125" t="s">
        <v>132</v>
      </c>
      <c r="E17" s="125"/>
      <c r="F17" s="125"/>
      <c r="G17" s="125"/>
      <c r="H17" s="125"/>
      <c r="I17" s="125"/>
      <c r="J17" s="125" t="s">
        <v>853</v>
      </c>
      <c r="K17" s="100" t="s">
        <v>883</v>
      </c>
      <c r="L17" s="621" t="s">
        <v>882</v>
      </c>
      <c r="M17" s="621"/>
      <c r="N17" s="621"/>
      <c r="O17" s="621"/>
    </row>
    <row r="18" spans="2:15" ht="20.100000000000001" customHeight="1" x14ac:dyDescent="0.25">
      <c r="B18" s="125"/>
      <c r="C18" s="125"/>
      <c r="D18" s="128" t="s">
        <v>120</v>
      </c>
      <c r="E18" s="127">
        <v>5.5</v>
      </c>
      <c r="F18" s="125" t="s">
        <v>121</v>
      </c>
      <c r="G18" s="125"/>
      <c r="H18" s="125"/>
      <c r="I18" s="125"/>
      <c r="J18" s="125"/>
      <c r="K18" s="125"/>
      <c r="L18" s="128" t="s">
        <v>120</v>
      </c>
      <c r="M18" s="127">
        <v>3</v>
      </c>
      <c r="N18" s="125" t="s">
        <v>121</v>
      </c>
      <c r="O18" s="75"/>
    </row>
    <row r="19" spans="2:15" ht="20.100000000000001" customHeight="1" x14ac:dyDescent="0.25">
      <c r="B19" s="125"/>
      <c r="C19" s="125"/>
      <c r="D19" s="128" t="s">
        <v>122</v>
      </c>
      <c r="E19" s="127">
        <v>10</v>
      </c>
      <c r="F19" s="125" t="s">
        <v>123</v>
      </c>
      <c r="G19" s="125"/>
      <c r="H19" s="125"/>
      <c r="I19" s="125"/>
      <c r="J19" s="125"/>
      <c r="K19" s="125"/>
      <c r="L19" s="128" t="s">
        <v>122</v>
      </c>
      <c r="M19" s="127">
        <v>5</v>
      </c>
      <c r="N19" s="125" t="s">
        <v>123</v>
      </c>
      <c r="O19" s="75"/>
    </row>
    <row r="20" spans="2:15" ht="20.100000000000001" customHeight="1" x14ac:dyDescent="0.25">
      <c r="B20" s="125"/>
      <c r="C20" s="125"/>
      <c r="D20" s="128" t="s">
        <v>124</v>
      </c>
      <c r="E20" s="127">
        <v>4</v>
      </c>
      <c r="F20" s="125" t="s">
        <v>125</v>
      </c>
      <c r="G20" s="125"/>
      <c r="H20" s="125"/>
      <c r="I20" s="125"/>
      <c r="J20" s="125"/>
      <c r="K20" s="125"/>
      <c r="L20" s="128" t="s">
        <v>124</v>
      </c>
      <c r="M20" s="127">
        <v>4</v>
      </c>
      <c r="N20" s="125" t="s">
        <v>125</v>
      </c>
      <c r="O20" s="75"/>
    </row>
    <row r="21" spans="2:15" ht="20.100000000000001" customHeight="1" x14ac:dyDescent="0.25">
      <c r="B21" s="125"/>
      <c r="C21" s="125"/>
      <c r="D21" s="128" t="s">
        <v>126</v>
      </c>
      <c r="E21" s="127">
        <v>4</v>
      </c>
      <c r="F21" s="125" t="s">
        <v>127</v>
      </c>
      <c r="G21" s="125"/>
      <c r="H21" s="125"/>
      <c r="I21" s="125"/>
      <c r="J21" s="125"/>
      <c r="K21" s="125"/>
      <c r="L21" s="128" t="s">
        <v>126</v>
      </c>
      <c r="M21" s="127">
        <v>4</v>
      </c>
      <c r="N21" s="125" t="s">
        <v>127</v>
      </c>
      <c r="O21" s="75"/>
    </row>
    <row r="22" spans="2:15" ht="20.100000000000001" customHeight="1" x14ac:dyDescent="0.25">
      <c r="B22" s="125"/>
      <c r="C22" s="125"/>
      <c r="D22" s="128" t="s">
        <v>130</v>
      </c>
      <c r="E22" s="127">
        <v>1</v>
      </c>
      <c r="F22" s="125" t="s">
        <v>131</v>
      </c>
      <c r="G22" s="125"/>
      <c r="H22" s="125"/>
      <c r="I22" s="125"/>
      <c r="J22" s="125"/>
      <c r="K22" s="125"/>
      <c r="L22" s="128" t="s">
        <v>130</v>
      </c>
      <c r="M22" s="127">
        <v>1</v>
      </c>
      <c r="N22" s="125" t="s">
        <v>131</v>
      </c>
      <c r="O22" s="76"/>
    </row>
    <row r="23" spans="2:15" ht="20.100000000000001" customHeight="1" x14ac:dyDescent="0.25">
      <c r="B23" s="125"/>
      <c r="C23" s="120"/>
      <c r="D23" s="129" t="s">
        <v>128</v>
      </c>
      <c r="E23" s="130">
        <f>+E21*E20*E19*E18*E22</f>
        <v>880</v>
      </c>
      <c r="F23" s="120" t="s">
        <v>48</v>
      </c>
      <c r="G23" s="125"/>
      <c r="H23" s="125"/>
      <c r="I23" s="125"/>
      <c r="J23" s="125"/>
      <c r="K23" s="120"/>
      <c r="L23" s="129" t="s">
        <v>128</v>
      </c>
      <c r="M23" s="130">
        <f>+M21*M20*M19*M18*M22</f>
        <v>240</v>
      </c>
      <c r="N23" s="120" t="s">
        <v>48</v>
      </c>
      <c r="O23" s="76"/>
    </row>
    <row r="24" spans="2:15" s="63" customFormat="1" ht="20.100000000000001" customHeight="1" x14ac:dyDescent="0.25">
      <c r="B24" s="50"/>
      <c r="C24" s="51"/>
      <c r="D24" s="9"/>
      <c r="E24" s="9"/>
      <c r="F24" s="9"/>
      <c r="G24" s="10"/>
      <c r="H24" s="10"/>
      <c r="I24" s="10"/>
      <c r="J24" s="10"/>
      <c r="K24" s="9"/>
      <c r="M24" s="10"/>
      <c r="N24" s="10"/>
    </row>
    <row r="25" spans="2:15" ht="20.100000000000001" customHeight="1" x14ac:dyDescent="0.25">
      <c r="B25" s="125" t="s">
        <v>91</v>
      </c>
      <c r="C25" s="126">
        <v>250110</v>
      </c>
      <c r="D25" s="125" t="s">
        <v>140</v>
      </c>
      <c r="E25" s="125"/>
      <c r="F25" s="125"/>
      <c r="G25" s="125"/>
      <c r="H25" s="125"/>
      <c r="I25" s="125"/>
      <c r="J25" s="125"/>
      <c r="K25" s="100"/>
      <c r="L25" s="621"/>
      <c r="M25" s="621"/>
      <c r="N25" s="621"/>
      <c r="O25" s="621"/>
    </row>
    <row r="26" spans="2:15" ht="20.100000000000001" customHeight="1" x14ac:dyDescent="0.25">
      <c r="B26" s="125"/>
      <c r="C26" s="125"/>
      <c r="D26" s="128" t="s">
        <v>120</v>
      </c>
      <c r="E26" s="127">
        <v>7</v>
      </c>
      <c r="F26" s="125" t="s">
        <v>121</v>
      </c>
      <c r="G26" s="125"/>
      <c r="H26" s="125"/>
      <c r="I26" s="125"/>
      <c r="J26" s="125" t="s">
        <v>372</v>
      </c>
      <c r="L26" s="125"/>
      <c r="M26" s="125"/>
      <c r="N26" s="125"/>
      <c r="O26" s="76"/>
    </row>
    <row r="27" spans="2:15" ht="20.100000000000001" customHeight="1" x14ac:dyDescent="0.25">
      <c r="B27" s="125"/>
      <c r="C27" s="125"/>
      <c r="D27" s="128" t="s">
        <v>122</v>
      </c>
      <c r="E27" s="127">
        <v>12</v>
      </c>
      <c r="F27" s="125" t="s">
        <v>123</v>
      </c>
      <c r="G27" s="125"/>
      <c r="H27" s="125"/>
      <c r="I27" s="125"/>
      <c r="J27" s="622" t="s">
        <v>884</v>
      </c>
      <c r="K27" s="622"/>
      <c r="L27" s="622"/>
      <c r="M27" s="622"/>
      <c r="N27" s="622"/>
      <c r="O27" s="622"/>
    </row>
    <row r="28" spans="2:15" ht="20.100000000000001" customHeight="1" x14ac:dyDescent="0.25">
      <c r="B28" s="125"/>
      <c r="C28" s="125"/>
      <c r="D28" s="128" t="s">
        <v>124</v>
      </c>
      <c r="E28" s="127">
        <v>4</v>
      </c>
      <c r="F28" s="125" t="s">
        <v>125</v>
      </c>
      <c r="G28" s="125"/>
      <c r="H28" s="125"/>
      <c r="I28" s="125"/>
      <c r="J28" s="622"/>
      <c r="K28" s="622"/>
      <c r="L28" s="622"/>
      <c r="M28" s="622"/>
      <c r="N28" s="622"/>
      <c r="O28" s="622"/>
    </row>
    <row r="29" spans="2:15" ht="20.100000000000001" customHeight="1" x14ac:dyDescent="0.25">
      <c r="B29" s="125"/>
      <c r="C29" s="125"/>
      <c r="D29" s="128" t="s">
        <v>126</v>
      </c>
      <c r="E29" s="127">
        <v>4</v>
      </c>
      <c r="F29" s="125" t="s">
        <v>127</v>
      </c>
      <c r="G29" s="125"/>
      <c r="H29" s="125"/>
      <c r="I29" s="125"/>
      <c r="J29" s="100" t="s">
        <v>373</v>
      </c>
      <c r="K29" s="100" t="s">
        <v>374</v>
      </c>
      <c r="L29" s="100" t="s">
        <v>375</v>
      </c>
      <c r="M29" s="619" t="s">
        <v>376</v>
      </c>
      <c r="N29" s="619"/>
      <c r="O29" s="619"/>
    </row>
    <row r="30" spans="2:15" ht="20.100000000000001" customHeight="1" x14ac:dyDescent="0.25">
      <c r="B30" s="125"/>
      <c r="C30" s="125"/>
      <c r="D30" s="128" t="s">
        <v>130</v>
      </c>
      <c r="E30" s="127">
        <v>2</v>
      </c>
      <c r="F30" s="125" t="s">
        <v>131</v>
      </c>
      <c r="G30" s="125"/>
      <c r="H30" s="125"/>
      <c r="I30" s="125"/>
      <c r="J30" s="240">
        <v>3.49E-2</v>
      </c>
      <c r="K30" s="240">
        <v>6.2300000000000001E-2</v>
      </c>
      <c r="L30" s="240">
        <v>8.8700000000000001E-2</v>
      </c>
      <c r="M30" s="620">
        <f>(SUM('ORÇAMENTO SINTÉTICO (SD)'!L9,'ORÇAMENTO SINTÉTICO (SD)'!L24:L25,'ORÇAMENTO SINTÉTICO (SD)'!L27:L28,'ORÇAMENTO SINTÉTICO (SD)'!L32:L33))/'ORÇAMENTO SINTÉTICO (SD)'!L79</f>
        <v>0.14630990938151961</v>
      </c>
      <c r="N30" s="620"/>
      <c r="O30" s="620"/>
    </row>
    <row r="31" spans="2:15" ht="20.100000000000001" customHeight="1" x14ac:dyDescent="0.25">
      <c r="B31" s="125"/>
      <c r="C31" s="120"/>
      <c r="D31" s="129" t="s">
        <v>128</v>
      </c>
      <c r="E31" s="130">
        <f>+E29*E28*E27*E26*E30</f>
        <v>2688</v>
      </c>
      <c r="F31" s="120" t="s">
        <v>48</v>
      </c>
      <c r="G31" s="125"/>
      <c r="H31" s="125"/>
      <c r="I31" s="125"/>
      <c r="J31" s="125"/>
      <c r="K31" s="120"/>
      <c r="L31" s="129"/>
      <c r="M31" s="130"/>
      <c r="N31" s="120"/>
      <c r="O31" s="76"/>
    </row>
    <row r="32" spans="2:15" s="63" customFormat="1" ht="20.100000000000001" customHeight="1" x14ac:dyDescent="0.25">
      <c r="B32" s="50"/>
      <c r="C32" s="51"/>
      <c r="D32" s="9"/>
      <c r="E32" s="9"/>
      <c r="F32" s="9"/>
      <c r="G32" s="10"/>
      <c r="H32" s="10"/>
      <c r="I32" s="10"/>
      <c r="J32" s="10"/>
      <c r="K32" s="9"/>
      <c r="M32" s="10"/>
      <c r="N32" s="10"/>
    </row>
    <row r="33" spans="2:15" ht="20.100000000000001" customHeight="1" x14ac:dyDescent="0.25">
      <c r="B33" s="125"/>
      <c r="C33" s="126"/>
      <c r="D33" s="125"/>
      <c r="E33" s="125"/>
      <c r="F33" s="125"/>
      <c r="M33" s="125"/>
      <c r="N33" s="125"/>
      <c r="O33" s="76"/>
    </row>
    <row r="34" spans="2:15" ht="20.100000000000001" customHeight="1" x14ac:dyDescent="0.25">
      <c r="B34" s="125"/>
      <c r="C34" s="125"/>
      <c r="D34" s="128"/>
      <c r="E34" s="127"/>
      <c r="F34" s="125"/>
    </row>
    <row r="35" spans="2:15" ht="20.100000000000001" customHeight="1" x14ac:dyDescent="0.25">
      <c r="B35" s="125"/>
      <c r="C35" s="125"/>
      <c r="D35" s="128"/>
      <c r="E35" s="127"/>
      <c r="F35" s="125"/>
    </row>
    <row r="36" spans="2:15" ht="20.100000000000001" customHeight="1" x14ac:dyDescent="0.25">
      <c r="B36" s="125"/>
      <c r="C36" s="125"/>
      <c r="D36" s="128"/>
      <c r="E36" s="127"/>
      <c r="F36" s="125"/>
    </row>
    <row r="37" spans="2:15" ht="20.100000000000001" customHeight="1" x14ac:dyDescent="0.25">
      <c r="B37" s="125"/>
      <c r="C37" s="125"/>
      <c r="D37" s="128"/>
      <c r="E37" s="127"/>
      <c r="F37" s="125"/>
    </row>
    <row r="38" spans="2:15" ht="20.100000000000001" customHeight="1" x14ac:dyDescent="0.25">
      <c r="B38" s="125"/>
      <c r="C38" s="125"/>
      <c r="D38" s="128"/>
      <c r="E38" s="127"/>
      <c r="F38" s="125"/>
      <c r="G38" s="125"/>
      <c r="H38" s="125"/>
    </row>
    <row r="39" spans="2:15" ht="20.100000000000001" customHeight="1" x14ac:dyDescent="0.25">
      <c r="B39" s="125"/>
      <c r="C39" s="120"/>
      <c r="D39" s="129"/>
      <c r="E39" s="130"/>
      <c r="F39" s="120"/>
      <c r="G39" s="125"/>
      <c r="H39" s="125"/>
      <c r="I39" s="125"/>
      <c r="J39" s="125"/>
      <c r="K39" s="120"/>
      <c r="L39" s="129"/>
      <c r="M39" s="130"/>
      <c r="N39" s="393"/>
      <c r="O39" s="398"/>
    </row>
  </sheetData>
  <mergeCells count="6">
    <mergeCell ref="M29:O29"/>
    <mergeCell ref="M30:O30"/>
    <mergeCell ref="L25:O25"/>
    <mergeCell ref="L17:O17"/>
    <mergeCell ref="B1:P2"/>
    <mergeCell ref="J27:O28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0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ED9B-BA3F-487C-BEAC-D0E18E87B9B0}">
  <dimension ref="B1:U91"/>
  <sheetViews>
    <sheetView showGridLines="0" showZeros="0" view="pageBreakPreview" topLeftCell="A63" zoomScaleNormal="100" zoomScaleSheetLayoutView="100" workbookViewId="0">
      <selection activeCell="R68" sqref="R62:R68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L4" s="2"/>
      <c r="N4" s="3" t="s">
        <v>62</v>
      </c>
      <c r="O4" s="4" t="str">
        <f>+'DADOS DA OBRA'!$N$22</f>
        <v>18/11/2024</v>
      </c>
      <c r="R4" s="31"/>
      <c r="S4" s="31"/>
      <c r="T4" s="32"/>
      <c r="U4" s="32"/>
    </row>
    <row r="5" spans="2:21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N5" s="3" t="s">
        <v>17</v>
      </c>
      <c r="O5" s="4" t="str">
        <f>'DADOS DA OBRA'!$N$25</f>
        <v>02</v>
      </c>
    </row>
    <row r="6" spans="2:21" s="5" customFormat="1" ht="20.100000000000001" customHeight="1" x14ac:dyDescent="0.25"/>
    <row r="7" spans="2:21" s="5" customFormat="1" ht="20.100000000000001" customHeight="1" x14ac:dyDescent="0.25">
      <c r="B7" s="1" t="s">
        <v>63</v>
      </c>
      <c r="C7" s="38" t="s">
        <v>103</v>
      </c>
      <c r="N7" s="3"/>
      <c r="O7" s="62"/>
    </row>
    <row r="8" spans="2:21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  <c r="O8" s="75"/>
    </row>
    <row r="9" spans="2:21" s="30" customFormat="1" ht="24.95" customHeight="1" x14ac:dyDescent="0.25">
      <c r="B9" s="324" t="s">
        <v>91</v>
      </c>
      <c r="C9" s="103" t="s">
        <v>869</v>
      </c>
      <c r="D9" s="30" t="s">
        <v>868</v>
      </c>
    </row>
    <row r="10" spans="2:21" s="30" customFormat="1" ht="24" customHeight="1" x14ac:dyDescent="0.25">
      <c r="C10" s="101"/>
      <c r="G10" s="122" t="s">
        <v>90</v>
      </c>
      <c r="H10" s="326" t="s">
        <v>78</v>
      </c>
      <c r="I10" s="326" t="s">
        <v>862</v>
      </c>
      <c r="J10" s="326" t="s">
        <v>69</v>
      </c>
      <c r="M10" s="101"/>
      <c r="N10" s="102"/>
    </row>
    <row r="11" spans="2:21" s="30" customFormat="1" ht="20.100000000000001" customHeight="1" thickBot="1" x14ac:dyDescent="0.3">
      <c r="C11" s="101"/>
      <c r="G11" s="340" t="s">
        <v>867</v>
      </c>
      <c r="H11" s="342">
        <v>1</v>
      </c>
      <c r="I11" s="342">
        <v>4</v>
      </c>
      <c r="J11" s="379">
        <f>+H11*I11</f>
        <v>4</v>
      </c>
      <c r="L11" s="119"/>
      <c r="M11" s="101"/>
      <c r="N11" s="102"/>
    </row>
    <row r="12" spans="2:21" s="30" customFormat="1" ht="20.100000000000001" customHeight="1" x14ac:dyDescent="0.25">
      <c r="C12" s="101"/>
      <c r="I12" s="131" t="s">
        <v>34</v>
      </c>
      <c r="J12" s="380">
        <f>+J11</f>
        <v>4</v>
      </c>
      <c r="K12" s="350" t="s">
        <v>863</v>
      </c>
      <c r="L12" s="119"/>
      <c r="M12" s="101"/>
      <c r="N12" s="102"/>
    </row>
    <row r="13" spans="2:21" ht="20.100000000000001" customHeight="1" x14ac:dyDescent="0.25">
      <c r="B13" s="625"/>
      <c r="C13" s="625"/>
      <c r="D13" s="625"/>
      <c r="E13" s="625"/>
      <c r="F13" s="625"/>
      <c r="G13" s="625"/>
      <c r="H13" s="625"/>
      <c r="I13" s="625"/>
      <c r="J13" s="625"/>
      <c r="K13" s="625"/>
      <c r="N13" s="76"/>
      <c r="O13" s="75"/>
    </row>
    <row r="14" spans="2:21" s="30" customFormat="1" ht="24.95" customHeight="1" x14ac:dyDescent="0.25">
      <c r="B14" s="324" t="s">
        <v>91</v>
      </c>
      <c r="C14" s="103" t="s">
        <v>871</v>
      </c>
      <c r="D14" s="624" t="s">
        <v>870</v>
      </c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</row>
    <row r="15" spans="2:21" s="30" customFormat="1" ht="24" customHeight="1" x14ac:dyDescent="0.25">
      <c r="C15" s="101"/>
      <c r="G15" s="122" t="s">
        <v>90</v>
      </c>
      <c r="H15" s="326" t="s">
        <v>78</v>
      </c>
      <c r="I15" s="326" t="s">
        <v>862</v>
      </c>
      <c r="J15" s="326" t="s">
        <v>69</v>
      </c>
      <c r="M15" s="101"/>
      <c r="N15" s="102"/>
    </row>
    <row r="16" spans="2:21" s="30" customFormat="1" ht="20.100000000000001" customHeight="1" thickBot="1" x14ac:dyDescent="0.3">
      <c r="C16" s="101"/>
      <c r="G16" s="340" t="s">
        <v>867</v>
      </c>
      <c r="H16" s="342">
        <v>1</v>
      </c>
      <c r="I16" s="342">
        <v>4</v>
      </c>
      <c r="J16" s="379">
        <f>+H16*I16</f>
        <v>4</v>
      </c>
      <c r="L16" s="119"/>
      <c r="M16" s="101"/>
      <c r="N16" s="102"/>
    </row>
    <row r="17" spans="2:15" s="30" customFormat="1" ht="20.100000000000001" customHeight="1" x14ac:dyDescent="0.25">
      <c r="C17" s="101"/>
      <c r="I17" s="131" t="s">
        <v>34</v>
      </c>
      <c r="J17" s="380">
        <f>+J16</f>
        <v>4</v>
      </c>
      <c r="K17" s="350" t="s">
        <v>863</v>
      </c>
      <c r="L17" s="119"/>
      <c r="M17" s="101"/>
      <c r="N17" s="102"/>
    </row>
    <row r="18" spans="2:15" ht="20.100000000000001" customHeight="1" x14ac:dyDescent="0.25"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N18" s="76"/>
      <c r="O18" s="75"/>
    </row>
    <row r="19" spans="2:15" s="30" customFormat="1" ht="24.95" customHeight="1" x14ac:dyDescent="0.25">
      <c r="B19" s="324" t="s">
        <v>91</v>
      </c>
      <c r="C19" s="103" t="s">
        <v>873</v>
      </c>
      <c r="D19" s="624" t="s">
        <v>872</v>
      </c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</row>
    <row r="20" spans="2:15" s="30" customFormat="1" ht="24" customHeight="1" x14ac:dyDescent="0.25">
      <c r="C20" s="101"/>
      <c r="G20" s="122" t="s">
        <v>90</v>
      </c>
      <c r="H20" s="326" t="s">
        <v>78</v>
      </c>
      <c r="I20" s="326" t="s">
        <v>862</v>
      </c>
      <c r="J20" s="326" t="s">
        <v>69</v>
      </c>
      <c r="M20" s="101"/>
      <c r="N20" s="102"/>
    </row>
    <row r="21" spans="2:15" s="30" customFormat="1" ht="20.100000000000001" customHeight="1" thickBot="1" x14ac:dyDescent="0.3">
      <c r="C21" s="101"/>
      <c r="G21" s="340" t="s">
        <v>867</v>
      </c>
      <c r="H21" s="342">
        <v>1</v>
      </c>
      <c r="I21" s="342">
        <v>4</v>
      </c>
      <c r="J21" s="379">
        <f>+H21*I21</f>
        <v>4</v>
      </c>
      <c r="L21" s="119"/>
      <c r="M21" s="101"/>
      <c r="N21" s="102"/>
    </row>
    <row r="22" spans="2:15" s="30" customFormat="1" ht="20.100000000000001" customHeight="1" x14ac:dyDescent="0.25">
      <c r="C22" s="101"/>
      <c r="I22" s="131" t="s">
        <v>34</v>
      </c>
      <c r="J22" s="380">
        <f>+J21</f>
        <v>4</v>
      </c>
      <c r="K22" s="350" t="s">
        <v>863</v>
      </c>
      <c r="L22" s="119"/>
      <c r="M22" s="101"/>
      <c r="N22" s="102"/>
    </row>
    <row r="23" spans="2:15" ht="20.100000000000001" customHeight="1" x14ac:dyDescent="0.25"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N23" s="76"/>
      <c r="O23" s="75"/>
    </row>
    <row r="24" spans="2:15" s="30" customFormat="1" ht="24.95" customHeight="1" x14ac:dyDescent="0.25">
      <c r="B24" s="324" t="s">
        <v>100</v>
      </c>
      <c r="C24" s="103">
        <v>4659</v>
      </c>
      <c r="D24" s="624" t="s">
        <v>874</v>
      </c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</row>
    <row r="25" spans="2:15" s="30" customFormat="1" ht="24" customHeight="1" x14ac:dyDescent="0.25">
      <c r="C25" s="101"/>
      <c r="G25" s="122" t="s">
        <v>90</v>
      </c>
      <c r="H25" s="326" t="s">
        <v>78</v>
      </c>
      <c r="I25" s="326" t="s">
        <v>862</v>
      </c>
      <c r="J25" s="326" t="s">
        <v>69</v>
      </c>
      <c r="M25" s="101"/>
      <c r="N25" s="102"/>
    </row>
    <row r="26" spans="2:15" s="30" customFormat="1" ht="20.100000000000001" customHeight="1" thickBot="1" x14ac:dyDescent="0.3">
      <c r="C26" s="101"/>
      <c r="G26" s="340" t="s">
        <v>867</v>
      </c>
      <c r="H26" s="342">
        <v>1</v>
      </c>
      <c r="I26" s="342">
        <v>4</v>
      </c>
      <c r="J26" s="379">
        <f>+H26*I26</f>
        <v>4</v>
      </c>
      <c r="L26" s="119"/>
      <c r="M26" s="101"/>
      <c r="N26" s="102"/>
    </row>
    <row r="27" spans="2:15" s="30" customFormat="1" ht="20.100000000000001" customHeight="1" x14ac:dyDescent="0.25">
      <c r="C27" s="101"/>
      <c r="I27" s="131" t="s">
        <v>34</v>
      </c>
      <c r="J27" s="380">
        <f>+J26</f>
        <v>4</v>
      </c>
      <c r="K27" s="350" t="s">
        <v>863</v>
      </c>
      <c r="L27" s="119"/>
      <c r="M27" s="101"/>
      <c r="N27" s="102"/>
    </row>
    <row r="28" spans="2:15" s="30" customFormat="1" ht="24.95" customHeight="1" x14ac:dyDescent="0.25">
      <c r="B28" s="324" t="s">
        <v>91</v>
      </c>
      <c r="C28" s="103" t="s">
        <v>879</v>
      </c>
      <c r="D28" s="624" t="s">
        <v>875</v>
      </c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</row>
    <row r="29" spans="2:15" s="30" customFormat="1" ht="24" customHeight="1" x14ac:dyDescent="0.25">
      <c r="C29" s="101"/>
      <c r="G29" s="122" t="s">
        <v>90</v>
      </c>
      <c r="H29" s="326" t="s">
        <v>78</v>
      </c>
      <c r="I29" s="326" t="s">
        <v>876</v>
      </c>
      <c r="J29" s="326" t="s">
        <v>69</v>
      </c>
      <c r="M29" s="101"/>
      <c r="N29" s="102"/>
    </row>
    <row r="30" spans="2:15" s="30" customFormat="1" ht="20.100000000000001" customHeight="1" thickBot="1" x14ac:dyDescent="0.3">
      <c r="C30" s="101"/>
      <c r="G30" s="340" t="s">
        <v>867</v>
      </c>
      <c r="H30" s="342">
        <f>+H26+H21+H16+H11</f>
        <v>4</v>
      </c>
      <c r="I30" s="342">
        <v>128.80000000000001</v>
      </c>
      <c r="J30" s="379">
        <f>+H30*I30</f>
        <v>515.20000000000005</v>
      </c>
      <c r="L30" s="119"/>
      <c r="M30" s="101"/>
      <c r="N30" s="102"/>
    </row>
    <row r="31" spans="2:15" s="30" customFormat="1" ht="20.100000000000001" customHeight="1" x14ac:dyDescent="0.25">
      <c r="C31" s="101"/>
      <c r="I31" s="131" t="s">
        <v>34</v>
      </c>
      <c r="J31" s="380">
        <f>+J30</f>
        <v>515.20000000000005</v>
      </c>
      <c r="K31" s="350" t="s">
        <v>877</v>
      </c>
      <c r="L31" s="119"/>
      <c r="M31" s="101"/>
      <c r="N31" s="102"/>
    </row>
    <row r="32" spans="2:15" ht="20.100000000000001" customHeight="1" x14ac:dyDescent="0.25">
      <c r="B32" s="625"/>
      <c r="C32" s="625"/>
      <c r="D32" s="625"/>
      <c r="E32" s="625"/>
      <c r="F32" s="625"/>
      <c r="G32" s="625"/>
      <c r="H32" s="625"/>
      <c r="I32" s="625"/>
      <c r="J32" s="625"/>
      <c r="K32" s="625"/>
      <c r="N32" s="76"/>
      <c r="O32" s="75"/>
    </row>
    <row r="33" spans="2:15" s="30" customFormat="1" ht="24.95" customHeight="1" x14ac:dyDescent="0.25">
      <c r="B33" s="324" t="s">
        <v>91</v>
      </c>
      <c r="C33" s="103" t="s">
        <v>880</v>
      </c>
      <c r="D33" s="624" t="s">
        <v>878</v>
      </c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4"/>
    </row>
    <row r="34" spans="2:15" s="30" customFormat="1" ht="24" customHeight="1" x14ac:dyDescent="0.25">
      <c r="C34" s="101"/>
      <c r="G34" s="122" t="s">
        <v>90</v>
      </c>
      <c r="H34" s="326" t="s">
        <v>78</v>
      </c>
      <c r="I34" s="326" t="s">
        <v>876</v>
      </c>
      <c r="J34" s="326" t="s">
        <v>69</v>
      </c>
      <c r="M34" s="101"/>
      <c r="N34" s="102"/>
    </row>
    <row r="35" spans="2:15" s="30" customFormat="1" ht="20.100000000000001" customHeight="1" thickBot="1" x14ac:dyDescent="0.3">
      <c r="C35" s="101"/>
      <c r="G35" s="340" t="s">
        <v>867</v>
      </c>
      <c r="H35" s="342">
        <f>+H30</f>
        <v>4</v>
      </c>
      <c r="I35" s="342">
        <v>128.80000000000001</v>
      </c>
      <c r="J35" s="379">
        <f>+H35*I35</f>
        <v>515.20000000000005</v>
      </c>
      <c r="L35" s="119"/>
      <c r="M35" s="101"/>
      <c r="N35" s="102"/>
    </row>
    <row r="36" spans="2:15" s="30" customFormat="1" ht="20.100000000000001" customHeight="1" x14ac:dyDescent="0.25">
      <c r="C36" s="101"/>
      <c r="I36" s="131" t="s">
        <v>34</v>
      </c>
      <c r="J36" s="380">
        <f>+J35</f>
        <v>515.20000000000005</v>
      </c>
      <c r="K36" s="350" t="s">
        <v>877</v>
      </c>
      <c r="L36" s="119"/>
      <c r="M36" s="101"/>
      <c r="N36" s="102"/>
    </row>
    <row r="37" spans="2:15" s="63" customFormat="1" ht="20.100000000000001" customHeight="1" x14ac:dyDescent="0.25">
      <c r="B37" s="50"/>
      <c r="C37" s="51"/>
      <c r="D37" s="9"/>
      <c r="E37" s="9"/>
      <c r="F37" s="9"/>
      <c r="G37" s="10"/>
      <c r="H37" s="10"/>
      <c r="I37" s="10"/>
      <c r="J37" s="10"/>
      <c r="K37" s="9"/>
      <c r="M37" s="10"/>
      <c r="N37" s="10"/>
    </row>
    <row r="38" spans="2:15" ht="20.100000000000001" customHeight="1" x14ac:dyDescent="0.25">
      <c r="B38" s="125" t="s">
        <v>91</v>
      </c>
      <c r="C38" s="126" t="s">
        <v>110</v>
      </c>
      <c r="D38" s="125" t="s">
        <v>109</v>
      </c>
      <c r="E38" s="125"/>
      <c r="F38" s="125"/>
      <c r="G38" s="125"/>
      <c r="H38" s="125"/>
      <c r="I38" s="125"/>
      <c r="J38" s="125"/>
      <c r="K38" s="125"/>
      <c r="L38" s="125"/>
      <c r="O38" s="76"/>
    </row>
    <row r="39" spans="2:15" s="30" customFormat="1" ht="24" customHeight="1" x14ac:dyDescent="0.25">
      <c r="C39" s="101"/>
      <c r="G39" s="122" t="s">
        <v>90</v>
      </c>
      <c r="H39" s="326"/>
      <c r="I39" s="326"/>
      <c r="J39" s="326" t="s">
        <v>69</v>
      </c>
      <c r="M39" s="101"/>
      <c r="N39" s="102"/>
    </row>
    <row r="40" spans="2:15" s="30" customFormat="1" ht="20.100000000000001" customHeight="1" thickBot="1" x14ac:dyDescent="0.3">
      <c r="C40" s="101"/>
      <c r="G40" s="340" t="s">
        <v>867</v>
      </c>
      <c r="H40" s="342"/>
      <c r="I40" s="342"/>
      <c r="J40" s="379">
        <v>1</v>
      </c>
      <c r="L40" s="119"/>
      <c r="M40" s="101"/>
      <c r="N40" s="102"/>
    </row>
    <row r="41" spans="2:15" s="30" customFormat="1" ht="20.100000000000001" customHeight="1" x14ac:dyDescent="0.25">
      <c r="C41" s="101"/>
      <c r="I41" s="131" t="s">
        <v>34</v>
      </c>
      <c r="J41" s="380">
        <f>+J40</f>
        <v>1</v>
      </c>
      <c r="K41" s="350" t="s">
        <v>96</v>
      </c>
      <c r="L41" s="119"/>
      <c r="M41" s="101"/>
      <c r="N41" s="102"/>
    </row>
    <row r="42" spans="2:15" ht="20.100000000000001" customHeight="1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O42" s="76"/>
    </row>
    <row r="43" spans="2:15" ht="20.100000000000001" customHeight="1" x14ac:dyDescent="0.25">
      <c r="B43" s="125" t="s">
        <v>91</v>
      </c>
      <c r="C43" s="126" t="s">
        <v>112</v>
      </c>
      <c r="D43" s="125" t="s">
        <v>111</v>
      </c>
      <c r="E43" s="125"/>
      <c r="F43" s="125"/>
      <c r="G43" s="125"/>
      <c r="H43" s="125"/>
      <c r="I43" s="125"/>
      <c r="J43" s="125"/>
      <c r="K43" s="125"/>
      <c r="L43" s="125"/>
      <c r="O43" s="76"/>
    </row>
    <row r="44" spans="2:15" s="30" customFormat="1" ht="24" customHeight="1" x14ac:dyDescent="0.25">
      <c r="C44" s="101"/>
      <c r="G44" s="122" t="s">
        <v>90</v>
      </c>
      <c r="H44" s="326"/>
      <c r="I44" s="326"/>
      <c r="J44" s="326" t="s">
        <v>69</v>
      </c>
      <c r="M44" s="101"/>
      <c r="N44" s="102"/>
    </row>
    <row r="45" spans="2:15" s="30" customFormat="1" ht="20.100000000000001" customHeight="1" thickBot="1" x14ac:dyDescent="0.3">
      <c r="C45" s="101"/>
      <c r="G45" s="340" t="s">
        <v>867</v>
      </c>
      <c r="H45" s="342"/>
      <c r="I45" s="342"/>
      <c r="J45" s="379">
        <v>1</v>
      </c>
      <c r="L45" s="119"/>
      <c r="M45" s="101"/>
      <c r="N45" s="102"/>
    </row>
    <row r="46" spans="2:15" s="30" customFormat="1" ht="20.100000000000001" customHeight="1" x14ac:dyDescent="0.25">
      <c r="C46" s="101"/>
      <c r="I46" s="131" t="s">
        <v>34</v>
      </c>
      <c r="J46" s="380">
        <f>+J45</f>
        <v>1</v>
      </c>
      <c r="K46" s="350" t="s">
        <v>96</v>
      </c>
      <c r="L46" s="119"/>
      <c r="M46" s="101"/>
      <c r="N46" s="102"/>
    </row>
    <row r="47" spans="2:15" ht="20.100000000000001" customHeight="1" x14ac:dyDescent="0.25"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O47" s="76"/>
    </row>
    <row r="48" spans="2:15" ht="20.100000000000001" customHeight="1" x14ac:dyDescent="0.25">
      <c r="B48" s="125" t="s">
        <v>91</v>
      </c>
      <c r="C48" s="126" t="s">
        <v>118</v>
      </c>
      <c r="D48" s="125" t="s">
        <v>117</v>
      </c>
      <c r="E48" s="125"/>
      <c r="F48" s="125"/>
      <c r="G48" s="125"/>
      <c r="H48" s="125"/>
      <c r="I48" s="125"/>
      <c r="J48" s="125"/>
      <c r="K48" s="125"/>
      <c r="L48" s="125"/>
      <c r="O48" s="76"/>
    </row>
    <row r="49" spans="2:15" s="30" customFormat="1" ht="24" customHeight="1" x14ac:dyDescent="0.25">
      <c r="C49" s="101"/>
      <c r="G49" s="122" t="s">
        <v>881</v>
      </c>
      <c r="H49" s="326" t="s">
        <v>45</v>
      </c>
      <c r="I49" s="326" t="s">
        <v>77</v>
      </c>
      <c r="J49" s="326" t="s">
        <v>143</v>
      </c>
      <c r="K49" s="326" t="s">
        <v>86</v>
      </c>
      <c r="M49" s="101"/>
      <c r="N49" s="102"/>
    </row>
    <row r="50" spans="2:15" s="30" customFormat="1" ht="20.100000000000001" customHeight="1" x14ac:dyDescent="0.25">
      <c r="C50" s="101"/>
      <c r="G50" s="385" t="s">
        <v>141</v>
      </c>
      <c r="H50" s="386">
        <v>1</v>
      </c>
      <c r="I50" s="386">
        <v>1</v>
      </c>
      <c r="J50" s="386">
        <v>1.5</v>
      </c>
      <c r="K50" s="387">
        <f>+I50*J50</f>
        <v>1.5</v>
      </c>
      <c r="M50" s="101"/>
      <c r="N50" s="102"/>
    </row>
    <row r="51" spans="2:15" s="30" customFormat="1" ht="20.100000000000001" customHeight="1" thickBot="1" x14ac:dyDescent="0.3">
      <c r="C51" s="101"/>
      <c r="G51" s="382" t="s">
        <v>142</v>
      </c>
      <c r="H51" s="383">
        <v>1</v>
      </c>
      <c r="I51" s="383">
        <v>3</v>
      </c>
      <c r="J51" s="383">
        <v>2</v>
      </c>
      <c r="K51" s="384">
        <f>+I51*J51</f>
        <v>6</v>
      </c>
      <c r="M51" s="101"/>
      <c r="N51" s="102"/>
    </row>
    <row r="52" spans="2:15" s="30" customFormat="1" ht="20.100000000000001" customHeight="1" x14ac:dyDescent="0.25">
      <c r="C52" s="101"/>
      <c r="J52" s="131" t="s">
        <v>34</v>
      </c>
      <c r="K52" s="380">
        <f>SUM(K50:K51)</f>
        <v>7.5</v>
      </c>
      <c r="L52" s="350" t="s">
        <v>93</v>
      </c>
      <c r="M52" s="101"/>
      <c r="N52" s="102"/>
    </row>
    <row r="53" spans="2:15" s="30" customFormat="1" ht="20.100000000000001" customHeight="1" x14ac:dyDescent="0.25">
      <c r="C53" s="101"/>
      <c r="J53" s="131"/>
      <c r="K53" s="380"/>
      <c r="L53" s="350"/>
      <c r="M53" s="101"/>
      <c r="N53" s="102"/>
    </row>
    <row r="54" spans="2:15" ht="20.100000000000001" customHeight="1" x14ac:dyDescent="0.25"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O54" s="76"/>
    </row>
    <row r="55" spans="2:15" ht="20.100000000000001" customHeight="1" x14ac:dyDescent="0.25">
      <c r="B55" s="125" t="s">
        <v>91</v>
      </c>
      <c r="C55" s="126" t="s">
        <v>114</v>
      </c>
      <c r="D55" s="125" t="s">
        <v>113</v>
      </c>
      <c r="E55" s="125"/>
      <c r="F55" s="125"/>
      <c r="G55" s="125"/>
      <c r="H55" s="125"/>
      <c r="I55" s="125"/>
      <c r="J55" s="125"/>
      <c r="K55" s="125"/>
      <c r="L55" s="125"/>
      <c r="O55" s="76"/>
    </row>
    <row r="56" spans="2:15" s="30" customFormat="1" ht="24" customHeight="1" x14ac:dyDescent="0.25">
      <c r="C56" s="101"/>
      <c r="F56" s="325" t="s">
        <v>90</v>
      </c>
      <c r="G56" s="362" t="s">
        <v>890</v>
      </c>
      <c r="H56" s="362" t="s">
        <v>891</v>
      </c>
      <c r="I56" s="362" t="s">
        <v>867</v>
      </c>
      <c r="J56" s="362" t="s">
        <v>892</v>
      </c>
      <c r="K56" s="362" t="s">
        <v>86</v>
      </c>
      <c r="M56" s="101"/>
      <c r="N56" s="102"/>
    </row>
    <row r="57" spans="2:15" s="30" customFormat="1" ht="20.100000000000001" customHeight="1" thickBot="1" x14ac:dyDescent="0.3">
      <c r="C57" s="101"/>
      <c r="F57" s="340" t="s">
        <v>253</v>
      </c>
      <c r="G57" s="392">
        <v>2266341.96</v>
      </c>
      <c r="H57" s="392">
        <v>112153.04</v>
      </c>
      <c r="I57" s="392">
        <v>79709.5</v>
      </c>
      <c r="J57" s="392">
        <v>2024.37</v>
      </c>
      <c r="K57" s="379">
        <f>+ROUND((G57-H57-I57)/J57,2)</f>
        <v>1024.75</v>
      </c>
      <c r="M57" s="101"/>
      <c r="N57" s="102"/>
    </row>
    <row r="58" spans="2:15" s="30" customFormat="1" ht="20.100000000000001" customHeight="1" x14ac:dyDescent="0.25">
      <c r="C58" s="101"/>
      <c r="J58" s="131" t="s">
        <v>34</v>
      </c>
      <c r="K58" s="380">
        <f>+K57</f>
        <v>1024.75</v>
      </c>
      <c r="L58" s="350" t="s">
        <v>93</v>
      </c>
      <c r="M58" s="101"/>
      <c r="N58" s="102"/>
    </row>
    <row r="59" spans="2:15" s="30" customFormat="1" ht="20.100000000000001" customHeight="1" x14ac:dyDescent="0.25">
      <c r="C59" s="101"/>
      <c r="J59" s="131"/>
      <c r="K59" s="380"/>
      <c r="L59" s="350"/>
      <c r="M59" s="101"/>
      <c r="N59" s="102"/>
    </row>
    <row r="60" spans="2:15" ht="20.100000000000001" customHeight="1" x14ac:dyDescent="0.25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O60" s="76"/>
    </row>
    <row r="61" spans="2:15" ht="20.100000000000001" customHeight="1" x14ac:dyDescent="0.25">
      <c r="B61" s="125" t="s">
        <v>91</v>
      </c>
      <c r="C61" s="126" t="s">
        <v>116</v>
      </c>
      <c r="D61" s="125" t="s">
        <v>115</v>
      </c>
      <c r="E61" s="125"/>
      <c r="F61" s="125"/>
      <c r="G61" s="125"/>
      <c r="H61" s="125"/>
      <c r="I61" s="125"/>
      <c r="J61" s="125"/>
      <c r="K61" s="125"/>
      <c r="L61" s="125"/>
      <c r="O61" s="76"/>
    </row>
    <row r="62" spans="2:15" s="30" customFormat="1" ht="24" customHeight="1" x14ac:dyDescent="0.25">
      <c r="C62" s="101"/>
      <c r="F62" s="325" t="s">
        <v>90</v>
      </c>
      <c r="G62" s="362" t="s">
        <v>890</v>
      </c>
      <c r="H62" s="362" t="s">
        <v>891</v>
      </c>
      <c r="I62" s="362" t="s">
        <v>867</v>
      </c>
      <c r="J62" s="362" t="s">
        <v>892</v>
      </c>
      <c r="K62" s="362" t="s">
        <v>86</v>
      </c>
      <c r="M62" s="101"/>
      <c r="N62" s="102"/>
    </row>
    <row r="63" spans="2:15" s="30" customFormat="1" ht="20.100000000000001" customHeight="1" thickBot="1" x14ac:dyDescent="0.3">
      <c r="C63" s="101"/>
      <c r="F63" s="340" t="s">
        <v>253</v>
      </c>
      <c r="G63" s="392">
        <f>G57</f>
        <v>2266341.96</v>
      </c>
      <c r="H63" s="392">
        <f>H57</f>
        <v>112153.04</v>
      </c>
      <c r="I63" s="392">
        <f>I57</f>
        <v>79709.5</v>
      </c>
      <c r="J63" s="392">
        <f>J57</f>
        <v>2024.37</v>
      </c>
      <c r="K63" s="379">
        <f>+ROUND((G63-H63-I63)/J63,2)</f>
        <v>1024.75</v>
      </c>
      <c r="M63" s="101"/>
      <c r="N63" s="102"/>
    </row>
    <row r="64" spans="2:15" s="30" customFormat="1" ht="20.100000000000001" customHeight="1" x14ac:dyDescent="0.25">
      <c r="C64" s="101"/>
      <c r="J64" s="131" t="s">
        <v>34</v>
      </c>
      <c r="K64" s="380">
        <f>+K63</f>
        <v>1024.75</v>
      </c>
      <c r="L64" s="350" t="s">
        <v>93</v>
      </c>
      <c r="M64" s="101"/>
      <c r="N64" s="102"/>
    </row>
    <row r="65" spans="2:15" s="30" customFormat="1" ht="20.100000000000001" customHeight="1" x14ac:dyDescent="0.25">
      <c r="C65" s="101"/>
      <c r="J65" s="131"/>
      <c r="K65" s="380"/>
      <c r="L65" s="350"/>
      <c r="M65" s="101"/>
      <c r="N65" s="102"/>
    </row>
    <row r="66" spans="2:15" ht="20.100000000000001" customHeight="1" x14ac:dyDescent="0.25"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O66" s="76"/>
    </row>
    <row r="67" spans="2:15" ht="20.100000000000001" customHeight="1" x14ac:dyDescent="0.25"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O67" s="76"/>
    </row>
    <row r="68" spans="2:15" ht="20.100000000000001" customHeight="1" x14ac:dyDescent="0.25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O68" s="76"/>
    </row>
    <row r="69" spans="2:15" ht="20.100000000000001" customHeight="1" x14ac:dyDescent="0.25">
      <c r="B69" s="125" t="s">
        <v>91</v>
      </c>
      <c r="C69" s="126">
        <v>271502</v>
      </c>
      <c r="D69" s="125" t="s">
        <v>212</v>
      </c>
      <c r="E69" s="125"/>
      <c r="F69" s="125"/>
      <c r="G69" s="125" t="s">
        <v>91</v>
      </c>
      <c r="H69" s="126">
        <v>271500</v>
      </c>
      <c r="I69" s="125" t="s">
        <v>247</v>
      </c>
      <c r="J69" s="125"/>
      <c r="K69" s="125"/>
      <c r="L69" s="128" t="s">
        <v>249</v>
      </c>
      <c r="M69" s="100">
        <v>4</v>
      </c>
      <c r="N69" s="75" t="s">
        <v>52</v>
      </c>
      <c r="O69" s="76"/>
    </row>
    <row r="70" spans="2:15" s="30" customFormat="1" ht="15" customHeight="1" x14ac:dyDescent="0.25">
      <c r="B70" s="629" t="s">
        <v>43</v>
      </c>
      <c r="C70" s="629" t="s">
        <v>213</v>
      </c>
      <c r="D70" s="629"/>
      <c r="E70" s="629" t="s">
        <v>85</v>
      </c>
      <c r="F70" s="629"/>
      <c r="G70" s="629"/>
      <c r="H70" s="629"/>
      <c r="I70" s="629"/>
      <c r="J70" s="629" t="s">
        <v>68</v>
      </c>
      <c r="K70" s="627" t="s">
        <v>245</v>
      </c>
      <c r="L70" s="627" t="s">
        <v>246</v>
      </c>
      <c r="M70" s="101"/>
      <c r="N70" s="627" t="s">
        <v>248</v>
      </c>
    </row>
    <row r="71" spans="2:15" s="30" customFormat="1" ht="15" customHeight="1" x14ac:dyDescent="0.25">
      <c r="B71" s="630"/>
      <c r="C71" s="630"/>
      <c r="D71" s="630"/>
      <c r="E71" s="630"/>
      <c r="F71" s="630"/>
      <c r="G71" s="630"/>
      <c r="H71" s="630"/>
      <c r="I71" s="630"/>
      <c r="J71" s="630"/>
      <c r="K71" s="628"/>
      <c r="L71" s="628"/>
      <c r="M71" s="101"/>
      <c r="N71" s="628"/>
    </row>
    <row r="72" spans="2:15" s="30" customFormat="1" ht="12" customHeight="1" x14ac:dyDescent="0.25">
      <c r="B72" s="162" t="s">
        <v>233</v>
      </c>
      <c r="C72" s="623" t="s">
        <v>287</v>
      </c>
      <c r="D72" s="623"/>
      <c r="E72" s="632" t="s">
        <v>234</v>
      </c>
      <c r="F72" s="632"/>
      <c r="G72" s="632"/>
      <c r="H72" s="632"/>
      <c r="I72" s="632"/>
      <c r="J72" s="162" t="s">
        <v>48</v>
      </c>
      <c r="K72" s="163">
        <v>3319.5877000999999</v>
      </c>
      <c r="L72" s="163">
        <f>ROUND((K72/8.8)*0.85,0)</f>
        <v>321</v>
      </c>
      <c r="M72" s="101"/>
      <c r="N72" s="166">
        <f t="shared" ref="N72:N88" si="0">+ROUNDUP(((K72/220)/$M$69),0)</f>
        <v>4</v>
      </c>
    </row>
    <row r="73" spans="2:15" s="30" customFormat="1" ht="12" customHeight="1" x14ac:dyDescent="0.25">
      <c r="B73" s="162" t="s">
        <v>214</v>
      </c>
      <c r="C73" s="631" t="s">
        <v>287</v>
      </c>
      <c r="D73" s="631"/>
      <c r="E73" s="632" t="s">
        <v>216</v>
      </c>
      <c r="F73" s="632"/>
      <c r="G73" s="632"/>
      <c r="H73" s="632"/>
      <c r="I73" s="632"/>
      <c r="J73" s="162" t="s">
        <v>48</v>
      </c>
      <c r="K73" s="163">
        <v>3882.5209420000001</v>
      </c>
      <c r="L73" s="163">
        <f t="shared" ref="L73:L88" si="1">ROUND((K73/8.8)*0.85,0)</f>
        <v>375</v>
      </c>
      <c r="M73" s="101"/>
      <c r="N73" s="166">
        <f t="shared" si="0"/>
        <v>5</v>
      </c>
    </row>
    <row r="74" spans="2:15" s="30" customFormat="1" ht="12" customHeight="1" x14ac:dyDescent="0.25">
      <c r="B74" s="162" t="s">
        <v>217</v>
      </c>
      <c r="C74" s="623" t="s">
        <v>287</v>
      </c>
      <c r="D74" s="623"/>
      <c r="E74" s="632" t="s">
        <v>218</v>
      </c>
      <c r="F74" s="632"/>
      <c r="G74" s="632"/>
      <c r="H74" s="632"/>
      <c r="I74" s="632"/>
      <c r="J74" s="162" t="s">
        <v>48</v>
      </c>
      <c r="K74" s="163">
        <v>2688</v>
      </c>
      <c r="L74" s="163">
        <f t="shared" si="1"/>
        <v>260</v>
      </c>
      <c r="N74" s="166">
        <f t="shared" si="0"/>
        <v>4</v>
      </c>
    </row>
    <row r="75" spans="2:15" ht="12" customHeight="1" x14ac:dyDescent="0.25">
      <c r="B75" s="162" t="s">
        <v>219</v>
      </c>
      <c r="C75" s="623" t="s">
        <v>287</v>
      </c>
      <c r="D75" s="623"/>
      <c r="E75" s="632" t="s">
        <v>220</v>
      </c>
      <c r="F75" s="632"/>
      <c r="G75" s="632"/>
      <c r="H75" s="632"/>
      <c r="I75" s="632"/>
      <c r="J75" s="162" t="s">
        <v>48</v>
      </c>
      <c r="K75" s="163">
        <v>880</v>
      </c>
      <c r="L75" s="163">
        <f t="shared" si="1"/>
        <v>85</v>
      </c>
      <c r="N75" s="166">
        <f t="shared" si="0"/>
        <v>1</v>
      </c>
      <c r="O75" s="75"/>
    </row>
    <row r="76" spans="2:15" ht="12" customHeight="1" x14ac:dyDescent="0.25">
      <c r="B76" s="162" t="s">
        <v>223</v>
      </c>
      <c r="C76" s="623" t="s">
        <v>287</v>
      </c>
      <c r="D76" s="623"/>
      <c r="E76" s="632" t="s">
        <v>224</v>
      </c>
      <c r="F76" s="632"/>
      <c r="G76" s="632"/>
      <c r="H76" s="632"/>
      <c r="I76" s="632"/>
      <c r="J76" s="162" t="s">
        <v>48</v>
      </c>
      <c r="K76" s="163">
        <v>880</v>
      </c>
      <c r="L76" s="163">
        <f t="shared" si="1"/>
        <v>85</v>
      </c>
      <c r="N76" s="166">
        <f t="shared" si="0"/>
        <v>1</v>
      </c>
      <c r="O76" s="75"/>
    </row>
    <row r="77" spans="2:15" ht="23.25" customHeight="1" x14ac:dyDescent="0.25">
      <c r="B77" s="162" t="s">
        <v>886</v>
      </c>
      <c r="C77" s="623" t="s">
        <v>853</v>
      </c>
      <c r="D77" s="623"/>
      <c r="E77" s="632" t="s">
        <v>887</v>
      </c>
      <c r="F77" s="632"/>
      <c r="G77" s="632"/>
      <c r="H77" s="632"/>
      <c r="I77" s="632"/>
      <c r="J77" s="162" t="s">
        <v>48</v>
      </c>
      <c r="K77" s="163">
        <v>220</v>
      </c>
      <c r="L77" s="163">
        <f t="shared" si="1"/>
        <v>21</v>
      </c>
      <c r="N77" s="166">
        <f t="shared" si="0"/>
        <v>1</v>
      </c>
      <c r="O77" s="75"/>
    </row>
    <row r="78" spans="2:15" ht="12" customHeight="1" x14ac:dyDescent="0.25">
      <c r="B78" s="162" t="s">
        <v>243</v>
      </c>
      <c r="C78" s="623" t="s">
        <v>287</v>
      </c>
      <c r="D78" s="623"/>
      <c r="E78" s="632" t="s">
        <v>244</v>
      </c>
      <c r="F78" s="632"/>
      <c r="G78" s="632"/>
      <c r="H78" s="632"/>
      <c r="I78" s="632"/>
      <c r="J78" s="162" t="s">
        <v>48</v>
      </c>
      <c r="K78" s="163">
        <v>400.38400460000003</v>
      </c>
      <c r="L78" s="163">
        <f t="shared" si="1"/>
        <v>39</v>
      </c>
      <c r="N78" s="166">
        <f t="shared" si="0"/>
        <v>1</v>
      </c>
      <c r="O78" s="75"/>
    </row>
    <row r="79" spans="2:15" ht="12" customHeight="1" x14ac:dyDescent="0.25">
      <c r="B79" s="162" t="s">
        <v>225</v>
      </c>
      <c r="C79" s="623" t="s">
        <v>287</v>
      </c>
      <c r="D79" s="623"/>
      <c r="E79" s="632" t="s">
        <v>226</v>
      </c>
      <c r="F79" s="632"/>
      <c r="G79" s="632"/>
      <c r="H79" s="632"/>
      <c r="I79" s="632"/>
      <c r="J79" s="162" t="s">
        <v>48</v>
      </c>
      <c r="K79" s="163">
        <v>359.70804600000002</v>
      </c>
      <c r="L79" s="163">
        <f t="shared" si="1"/>
        <v>35</v>
      </c>
      <c r="N79" s="166">
        <f t="shared" si="0"/>
        <v>1</v>
      </c>
      <c r="O79" s="75"/>
    </row>
    <row r="80" spans="2:15" ht="12" customHeight="1" x14ac:dyDescent="0.25">
      <c r="B80" s="162" t="s">
        <v>229</v>
      </c>
      <c r="C80" s="623" t="s">
        <v>287</v>
      </c>
      <c r="D80" s="623"/>
      <c r="E80" s="632" t="s">
        <v>230</v>
      </c>
      <c r="F80" s="632"/>
      <c r="G80" s="632"/>
      <c r="H80" s="632"/>
      <c r="I80" s="632"/>
      <c r="J80" s="162" t="s">
        <v>48</v>
      </c>
      <c r="K80" s="163">
        <v>279.82875000000001</v>
      </c>
      <c r="L80" s="163">
        <f t="shared" si="1"/>
        <v>27</v>
      </c>
      <c r="N80" s="166">
        <f t="shared" si="0"/>
        <v>1</v>
      </c>
      <c r="O80" s="75"/>
    </row>
    <row r="81" spans="2:15" ht="12" customHeight="1" x14ac:dyDescent="0.25">
      <c r="B81" s="162" t="s">
        <v>235</v>
      </c>
      <c r="C81" s="623" t="s">
        <v>287</v>
      </c>
      <c r="D81" s="623"/>
      <c r="E81" s="632" t="s">
        <v>236</v>
      </c>
      <c r="F81" s="632"/>
      <c r="G81" s="632"/>
      <c r="H81" s="632"/>
      <c r="I81" s="632"/>
      <c r="J81" s="162" t="s">
        <v>48</v>
      </c>
      <c r="K81" s="163">
        <v>86.4405</v>
      </c>
      <c r="L81" s="163">
        <f t="shared" si="1"/>
        <v>8</v>
      </c>
      <c r="N81" s="166">
        <f t="shared" si="0"/>
        <v>1</v>
      </c>
      <c r="O81" s="75"/>
    </row>
    <row r="82" spans="2:15" ht="12" customHeight="1" x14ac:dyDescent="0.25">
      <c r="B82" s="162" t="s">
        <v>221</v>
      </c>
      <c r="C82" s="623" t="s">
        <v>287</v>
      </c>
      <c r="D82" s="623"/>
      <c r="E82" s="632" t="s">
        <v>222</v>
      </c>
      <c r="F82" s="632"/>
      <c r="G82" s="632"/>
      <c r="H82" s="632"/>
      <c r="I82" s="632"/>
      <c r="J82" s="162" t="s">
        <v>48</v>
      </c>
      <c r="K82" s="163">
        <v>76.418928100000002</v>
      </c>
      <c r="L82" s="163">
        <f t="shared" si="1"/>
        <v>7</v>
      </c>
      <c r="N82" s="166">
        <f t="shared" si="0"/>
        <v>1</v>
      </c>
      <c r="O82" s="75"/>
    </row>
    <row r="83" spans="2:15" ht="12" customHeight="1" x14ac:dyDescent="0.25">
      <c r="B83" s="162" t="s">
        <v>888</v>
      </c>
      <c r="C83" s="623" t="s">
        <v>287</v>
      </c>
      <c r="D83" s="623"/>
      <c r="E83" s="632" t="s">
        <v>889</v>
      </c>
      <c r="F83" s="632"/>
      <c r="G83" s="632"/>
      <c r="H83" s="632"/>
      <c r="I83" s="632"/>
      <c r="J83" s="162" t="s">
        <v>48</v>
      </c>
      <c r="K83" s="163">
        <v>34.64</v>
      </c>
      <c r="L83" s="163">
        <f t="shared" si="1"/>
        <v>3</v>
      </c>
      <c r="N83" s="166">
        <f t="shared" si="0"/>
        <v>1</v>
      </c>
      <c r="O83" s="75"/>
    </row>
    <row r="84" spans="2:15" ht="12" customHeight="1" x14ac:dyDescent="0.25">
      <c r="B84" s="162" t="s">
        <v>237</v>
      </c>
      <c r="C84" s="623" t="s">
        <v>287</v>
      </c>
      <c r="D84" s="623"/>
      <c r="E84" s="632" t="s">
        <v>238</v>
      </c>
      <c r="F84" s="632"/>
      <c r="G84" s="632"/>
      <c r="H84" s="632"/>
      <c r="I84" s="632"/>
      <c r="J84" s="162" t="s">
        <v>48</v>
      </c>
      <c r="K84" s="163">
        <v>22.66</v>
      </c>
      <c r="L84" s="163">
        <f t="shared" si="1"/>
        <v>2</v>
      </c>
      <c r="N84" s="166">
        <f t="shared" si="0"/>
        <v>1</v>
      </c>
      <c r="O84" s="75"/>
    </row>
    <row r="85" spans="2:15" ht="12" customHeight="1" x14ac:dyDescent="0.25">
      <c r="B85" s="162" t="s">
        <v>231</v>
      </c>
      <c r="C85" s="623" t="s">
        <v>287</v>
      </c>
      <c r="D85" s="623"/>
      <c r="E85" s="632" t="s">
        <v>232</v>
      </c>
      <c r="F85" s="632"/>
      <c r="G85" s="632"/>
      <c r="H85" s="632"/>
      <c r="I85" s="632"/>
      <c r="J85" s="162" t="s">
        <v>48</v>
      </c>
      <c r="K85" s="163">
        <v>17.636600000000001</v>
      </c>
      <c r="L85" s="163">
        <f t="shared" si="1"/>
        <v>2</v>
      </c>
      <c r="N85" s="166">
        <f t="shared" si="0"/>
        <v>1</v>
      </c>
      <c r="O85" s="75"/>
    </row>
    <row r="86" spans="2:15" ht="12" customHeight="1" x14ac:dyDescent="0.25">
      <c r="B86" s="162" t="s">
        <v>241</v>
      </c>
      <c r="C86" s="623" t="s">
        <v>287</v>
      </c>
      <c r="D86" s="623"/>
      <c r="E86" s="632" t="s">
        <v>242</v>
      </c>
      <c r="F86" s="632"/>
      <c r="G86" s="632"/>
      <c r="H86" s="632"/>
      <c r="I86" s="632"/>
      <c r="J86" s="162" t="s">
        <v>48</v>
      </c>
      <c r="K86" s="163">
        <v>0.7</v>
      </c>
      <c r="L86" s="163">
        <f t="shared" si="1"/>
        <v>0</v>
      </c>
      <c r="N86" s="166">
        <f t="shared" si="0"/>
        <v>1</v>
      </c>
      <c r="O86" s="75"/>
    </row>
    <row r="87" spans="2:15" ht="12" customHeight="1" x14ac:dyDescent="0.25">
      <c r="B87" s="162" t="s">
        <v>227</v>
      </c>
      <c r="C87" s="623" t="s">
        <v>287</v>
      </c>
      <c r="D87" s="623"/>
      <c r="E87" s="632" t="s">
        <v>228</v>
      </c>
      <c r="F87" s="632"/>
      <c r="G87" s="632"/>
      <c r="H87" s="632"/>
      <c r="I87" s="632"/>
      <c r="J87" s="162" t="s">
        <v>48</v>
      </c>
      <c r="K87" s="163">
        <v>0.46</v>
      </c>
      <c r="L87" s="163">
        <f t="shared" si="1"/>
        <v>0</v>
      </c>
      <c r="N87" s="166">
        <f t="shared" si="0"/>
        <v>1</v>
      </c>
      <c r="O87" s="75"/>
    </row>
    <row r="88" spans="2:15" ht="12" customHeight="1" x14ac:dyDescent="0.25">
      <c r="B88" s="162" t="s">
        <v>239</v>
      </c>
      <c r="C88" s="623" t="s">
        <v>287</v>
      </c>
      <c r="D88" s="623"/>
      <c r="E88" s="632" t="s">
        <v>240</v>
      </c>
      <c r="F88" s="632"/>
      <c r="G88" s="632"/>
      <c r="H88" s="632"/>
      <c r="I88" s="632"/>
      <c r="J88" s="162" t="s">
        <v>48</v>
      </c>
      <c r="K88" s="163">
        <v>0.58720000000000006</v>
      </c>
      <c r="L88" s="163">
        <f t="shared" si="1"/>
        <v>0</v>
      </c>
      <c r="N88" s="166">
        <f t="shared" si="0"/>
        <v>1</v>
      </c>
      <c r="O88" s="75"/>
    </row>
    <row r="89" spans="2:15" ht="12" customHeight="1" x14ac:dyDescent="0.25">
      <c r="B89" s="626" t="s">
        <v>34</v>
      </c>
      <c r="C89" s="626"/>
      <c r="D89" s="626"/>
      <c r="E89" s="626"/>
      <c r="F89" s="626"/>
      <c r="G89" s="626"/>
      <c r="H89" s="626"/>
      <c r="I89" s="626"/>
      <c r="J89" s="626"/>
      <c r="K89" s="626"/>
      <c r="L89" s="165">
        <f>SUM(L72:L88)</f>
        <v>1270</v>
      </c>
      <c r="N89" s="164">
        <f>SUM(N72:N88)</f>
        <v>27</v>
      </c>
    </row>
    <row r="90" spans="2:15" ht="12" customHeight="1" x14ac:dyDescent="0.25">
      <c r="B90" s="178" t="s">
        <v>250</v>
      </c>
      <c r="C90" s="623" t="s">
        <v>287</v>
      </c>
      <c r="D90" s="623"/>
      <c r="E90" s="632" t="s">
        <v>251</v>
      </c>
      <c r="F90" s="632"/>
      <c r="G90" s="632"/>
      <c r="H90" s="632"/>
      <c r="I90" s="632"/>
      <c r="J90" s="162" t="s">
        <v>48</v>
      </c>
      <c r="K90" s="163">
        <v>480</v>
      </c>
      <c r="L90" s="163"/>
      <c r="N90" s="166">
        <f>+ROUNDUP(((K90/220)/$M$69),0)</f>
        <v>1</v>
      </c>
      <c r="O90" s="75"/>
    </row>
    <row r="91" spans="2:15" ht="12" customHeight="1" x14ac:dyDescent="0.25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7"/>
      <c r="N91" s="164">
        <f>SUM(N89:N90)</f>
        <v>28</v>
      </c>
    </row>
  </sheetData>
  <mergeCells count="55">
    <mergeCell ref="E90:I90"/>
    <mergeCell ref="B1:P2"/>
    <mergeCell ref="B70:B71"/>
    <mergeCell ref="J70:J71"/>
    <mergeCell ref="K70:K71"/>
    <mergeCell ref="B8:K8"/>
    <mergeCell ref="B13:K13"/>
    <mergeCell ref="D14:O14"/>
    <mergeCell ref="B18:K18"/>
    <mergeCell ref="E76:I76"/>
    <mergeCell ref="E77:I77"/>
    <mergeCell ref="E78:I78"/>
    <mergeCell ref="E79:I79"/>
    <mergeCell ref="E72:I72"/>
    <mergeCell ref="E73:I73"/>
    <mergeCell ref="C78:D78"/>
    <mergeCell ref="C79:D79"/>
    <mergeCell ref="C80:D80"/>
    <mergeCell ref="C81:D81"/>
    <mergeCell ref="C90:D90"/>
    <mergeCell ref="C83:D83"/>
    <mergeCell ref="E88:I88"/>
    <mergeCell ref="E80:I80"/>
    <mergeCell ref="E81:I81"/>
    <mergeCell ref="E82:I82"/>
    <mergeCell ref="E83:I83"/>
    <mergeCell ref="E84:I84"/>
    <mergeCell ref="E85:I85"/>
    <mergeCell ref="E86:I86"/>
    <mergeCell ref="E87:I87"/>
    <mergeCell ref="C82:D82"/>
    <mergeCell ref="B89:K89"/>
    <mergeCell ref="L70:L71"/>
    <mergeCell ref="N70:N71"/>
    <mergeCell ref="E70:I71"/>
    <mergeCell ref="C84:D84"/>
    <mergeCell ref="C85:D85"/>
    <mergeCell ref="C86:D86"/>
    <mergeCell ref="C87:D87"/>
    <mergeCell ref="C88:D88"/>
    <mergeCell ref="C70:D71"/>
    <mergeCell ref="C72:D72"/>
    <mergeCell ref="C73:D73"/>
    <mergeCell ref="C74:D74"/>
    <mergeCell ref="C75:D75"/>
    <mergeCell ref="C76:D76"/>
    <mergeCell ref="C77:D77"/>
    <mergeCell ref="D33:O33"/>
    <mergeCell ref="B32:K32"/>
    <mergeCell ref="D19:O19"/>
    <mergeCell ref="D28:O28"/>
    <mergeCell ref="B23:K23"/>
    <mergeCell ref="D24:O24"/>
    <mergeCell ref="E74:I74"/>
    <mergeCell ref="E75:I75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4" fitToWidth="0" fitToHeight="0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7" max="1048575" man="1"/>
  </colBreaks>
  <legacy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42-D0D5-4EE0-A2E1-84FCDB065CF5}">
  <dimension ref="B1:O138"/>
  <sheetViews>
    <sheetView showGridLines="0" showZeros="0" view="pageBreakPreview" topLeftCell="A81" zoomScaleNormal="100" zoomScaleSheetLayoutView="100" workbookViewId="0">
      <selection activeCell="J143" sqref="J143"/>
    </sheetView>
  </sheetViews>
  <sheetFormatPr defaultColWidth="9.140625" defaultRowHeight="13.5" x14ac:dyDescent="0.25"/>
  <cols>
    <col min="1" max="1" width="1.7109375" style="75" customWidth="1"/>
    <col min="2" max="2" width="10.5703125" style="75" customWidth="1"/>
    <col min="3" max="3" width="11" style="75" customWidth="1"/>
    <col min="4" max="4" width="9.7109375" style="75" bestFit="1" customWidth="1"/>
    <col min="5" max="5" width="10.7109375" style="75" customWidth="1"/>
    <col min="6" max="6" width="12.42578125" style="75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2:15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15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15" s="65" customFormat="1" ht="20.100000000000001" customHeight="1" x14ac:dyDescent="0.25"/>
    <row r="4" spans="2:15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</row>
    <row r="5" spans="2:15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M5" s="3" t="s">
        <v>17</v>
      </c>
      <c r="N5" s="4" t="str">
        <f>'DADOS DA OBRA'!$N$25</f>
        <v>02</v>
      </c>
    </row>
    <row r="6" spans="2:15" s="5" customFormat="1" ht="20.100000000000001" customHeight="1" x14ac:dyDescent="0.25"/>
    <row r="7" spans="2:15" s="5" customFormat="1" ht="20.100000000000001" customHeight="1" x14ac:dyDescent="0.25">
      <c r="B7" s="1" t="s">
        <v>63</v>
      </c>
      <c r="C7" s="38" t="s">
        <v>106</v>
      </c>
      <c r="M7" s="3"/>
      <c r="N7" s="62"/>
    </row>
    <row r="8" spans="2:15" ht="20.100000000000001" customHeight="1" x14ac:dyDescent="0.25">
      <c r="B8" s="120"/>
      <c r="C8" s="120"/>
      <c r="D8" s="120"/>
      <c r="E8" s="120"/>
      <c r="F8" s="120"/>
      <c r="G8" s="120"/>
      <c r="H8" s="120"/>
      <c r="I8" s="120"/>
      <c r="J8" s="120"/>
      <c r="K8" s="120"/>
      <c r="N8" s="76"/>
    </row>
    <row r="9" spans="2:15" s="30" customFormat="1" ht="20.100000000000001" customHeight="1" x14ac:dyDescent="0.25">
      <c r="B9" s="101" t="s">
        <v>91</v>
      </c>
      <c r="C9" s="103" t="s">
        <v>763</v>
      </c>
      <c r="D9" s="30" t="s">
        <v>762</v>
      </c>
      <c r="F9" s="101"/>
      <c r="M9" s="101"/>
      <c r="N9" s="102"/>
    </row>
    <row r="10" spans="2:15" s="30" customFormat="1" ht="24" customHeight="1" x14ac:dyDescent="0.25">
      <c r="C10" s="101"/>
      <c r="G10" s="122" t="s">
        <v>90</v>
      </c>
      <c r="H10" s="326" t="s">
        <v>78</v>
      </c>
      <c r="I10" s="326" t="s">
        <v>81</v>
      </c>
      <c r="J10" s="326" t="s">
        <v>856</v>
      </c>
      <c r="K10" s="326" t="s">
        <v>86</v>
      </c>
      <c r="M10" s="101"/>
      <c r="N10" s="102"/>
    </row>
    <row r="11" spans="2:15" s="30" customFormat="1" ht="20.100000000000001" customHeight="1" thickBot="1" x14ac:dyDescent="0.3">
      <c r="C11" s="101"/>
      <c r="F11" s="382"/>
      <c r="G11" s="382" t="s">
        <v>858</v>
      </c>
      <c r="H11" s="383">
        <v>2</v>
      </c>
      <c r="I11" s="383">
        <v>10</v>
      </c>
      <c r="J11" s="383">
        <v>0.5</v>
      </c>
      <c r="K11" s="384">
        <f>+H11*I11*J11</f>
        <v>10</v>
      </c>
      <c r="M11" s="101"/>
      <c r="N11" s="102"/>
    </row>
    <row r="12" spans="2:15" s="30" customFormat="1" ht="20.100000000000001" customHeight="1" x14ac:dyDescent="0.25">
      <c r="C12" s="101"/>
      <c r="J12" s="131" t="s">
        <v>34</v>
      </c>
      <c r="K12" s="380">
        <f>SUM(K11:K11)</f>
        <v>10</v>
      </c>
      <c r="L12" s="352" t="s">
        <v>764</v>
      </c>
      <c r="M12" s="101"/>
      <c r="N12" s="102"/>
    </row>
    <row r="13" spans="2:15" s="30" customFormat="1" ht="20.100000000000001" customHeight="1" x14ac:dyDescent="0.25">
      <c r="C13" s="101"/>
      <c r="J13" s="131"/>
      <c r="K13" s="380"/>
      <c r="L13" s="352"/>
      <c r="M13" s="101"/>
      <c r="N13" s="102"/>
    </row>
    <row r="14" spans="2:15" ht="20.100000000000001" customHeight="1" x14ac:dyDescent="0.25"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N14" s="76"/>
    </row>
    <row r="15" spans="2:15" s="30" customFormat="1" ht="20.100000000000001" customHeight="1" x14ac:dyDescent="0.25">
      <c r="B15" s="101" t="s">
        <v>91</v>
      </c>
      <c r="C15" s="103" t="s">
        <v>751</v>
      </c>
      <c r="D15" s="30" t="s">
        <v>750</v>
      </c>
      <c r="F15" s="101"/>
      <c r="M15" s="101"/>
      <c r="N15" s="102"/>
    </row>
    <row r="16" spans="2:15" s="30" customFormat="1" ht="24" customHeight="1" x14ac:dyDescent="0.25">
      <c r="C16" s="101"/>
      <c r="F16" s="122" t="s">
        <v>90</v>
      </c>
      <c r="G16" s="326" t="s">
        <v>78</v>
      </c>
      <c r="H16" s="326" t="s">
        <v>79</v>
      </c>
      <c r="I16" s="326" t="s">
        <v>81</v>
      </c>
      <c r="J16" s="326" t="s">
        <v>856</v>
      </c>
      <c r="K16" s="326" t="s">
        <v>86</v>
      </c>
      <c r="M16" s="101"/>
      <c r="N16" s="102"/>
    </row>
    <row r="17" spans="2:14" s="30" customFormat="1" ht="20.100000000000001" customHeight="1" x14ac:dyDescent="0.25">
      <c r="C17" s="101"/>
      <c r="E17" s="385"/>
      <c r="F17" s="385" t="s">
        <v>731</v>
      </c>
      <c r="G17" s="386">
        <v>2</v>
      </c>
      <c r="H17" s="386">
        <v>11</v>
      </c>
      <c r="I17" s="386">
        <v>13</v>
      </c>
      <c r="J17" s="386">
        <v>0.5</v>
      </c>
      <c r="K17" s="387">
        <f>+G17*H17*I17*J17</f>
        <v>143</v>
      </c>
      <c r="M17" s="101"/>
      <c r="N17" s="102"/>
    </row>
    <row r="18" spans="2:14" s="30" customFormat="1" ht="20.100000000000001" customHeight="1" thickBot="1" x14ac:dyDescent="0.3">
      <c r="C18" s="101"/>
      <c r="E18" s="382"/>
      <c r="F18" s="382" t="s">
        <v>857</v>
      </c>
      <c r="G18" s="383">
        <v>1</v>
      </c>
      <c r="H18" s="383">
        <v>28</v>
      </c>
      <c r="I18" s="383">
        <v>20</v>
      </c>
      <c r="J18" s="383">
        <v>0.5</v>
      </c>
      <c r="K18" s="384">
        <f>+G18*H18*I18*J18</f>
        <v>280</v>
      </c>
      <c r="M18" s="101"/>
      <c r="N18" s="102"/>
    </row>
    <row r="19" spans="2:14" s="30" customFormat="1" ht="20.100000000000001" customHeight="1" x14ac:dyDescent="0.25">
      <c r="C19" s="101"/>
      <c r="J19" s="131" t="s">
        <v>34</v>
      </c>
      <c r="K19" s="380">
        <f>SUM(K17:K18)</f>
        <v>423</v>
      </c>
      <c r="L19" s="350" t="s">
        <v>753</v>
      </c>
      <c r="M19" s="101"/>
      <c r="N19" s="102"/>
    </row>
    <row r="20" spans="2:14" s="30" customFormat="1" ht="20.100000000000001" customHeight="1" x14ac:dyDescent="0.25">
      <c r="C20" s="101"/>
      <c r="J20" s="131"/>
      <c r="K20" s="380"/>
      <c r="L20" s="350"/>
      <c r="M20" s="101"/>
      <c r="N20" s="102"/>
    </row>
    <row r="21" spans="2:14" ht="20.100000000000001" customHeight="1" x14ac:dyDescent="0.25">
      <c r="B21" s="625"/>
      <c r="C21" s="625"/>
      <c r="D21" s="625"/>
      <c r="E21" s="625"/>
      <c r="F21" s="625"/>
      <c r="G21" s="625"/>
      <c r="H21" s="625"/>
      <c r="I21" s="625"/>
      <c r="J21" s="625"/>
      <c r="K21" s="625"/>
      <c r="N21" s="76"/>
    </row>
    <row r="22" spans="2:14" s="30" customFormat="1" ht="24.95" customHeight="1" x14ac:dyDescent="0.25">
      <c r="B22" s="324" t="s">
        <v>203</v>
      </c>
      <c r="C22" s="103">
        <v>40194</v>
      </c>
      <c r="D22" s="30" t="s">
        <v>859</v>
      </c>
      <c r="M22" s="101"/>
      <c r="N22" s="102"/>
    </row>
    <row r="23" spans="2:14" s="30" customFormat="1" ht="24" customHeight="1" x14ac:dyDescent="0.25">
      <c r="C23" s="101"/>
      <c r="F23" s="122" t="s">
        <v>90</v>
      </c>
      <c r="G23" s="326" t="s">
        <v>78</v>
      </c>
      <c r="H23" s="326" t="s">
        <v>865</v>
      </c>
      <c r="I23" s="326" t="s">
        <v>861</v>
      </c>
      <c r="J23" s="326" t="s">
        <v>69</v>
      </c>
      <c r="M23" s="101"/>
      <c r="N23" s="102"/>
    </row>
    <row r="24" spans="2:14" s="30" customFormat="1" ht="20.100000000000001" customHeight="1" thickBot="1" x14ac:dyDescent="0.3">
      <c r="C24" s="101"/>
      <c r="F24" s="340" t="s">
        <v>849</v>
      </c>
      <c r="G24" s="342">
        <v>1</v>
      </c>
      <c r="H24" s="342">
        <v>20</v>
      </c>
      <c r="I24" s="342">
        <v>10</v>
      </c>
      <c r="J24" s="379">
        <f>+G24*H24*I24</f>
        <v>200</v>
      </c>
      <c r="L24" s="119"/>
      <c r="M24" s="101"/>
      <c r="N24" s="102"/>
    </row>
    <row r="25" spans="2:14" s="30" customFormat="1" ht="20.100000000000001" customHeight="1" x14ac:dyDescent="0.25">
      <c r="C25" s="101"/>
      <c r="I25" s="131" t="s">
        <v>34</v>
      </c>
      <c r="J25" s="380">
        <f>+J24</f>
        <v>200</v>
      </c>
      <c r="K25" s="350" t="s">
        <v>48</v>
      </c>
      <c r="L25" s="119"/>
      <c r="M25" s="101"/>
      <c r="N25" s="102"/>
    </row>
    <row r="26" spans="2:14" ht="20.100000000000001" customHeight="1" x14ac:dyDescent="0.25"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N26" s="76"/>
    </row>
    <row r="27" spans="2:14" s="30" customFormat="1" ht="24.95" customHeight="1" x14ac:dyDescent="0.25">
      <c r="B27" s="324" t="s">
        <v>592</v>
      </c>
      <c r="C27" s="103" t="s">
        <v>864</v>
      </c>
      <c r="D27" s="624" t="s">
        <v>860</v>
      </c>
      <c r="E27" s="624"/>
      <c r="F27" s="624"/>
      <c r="G27" s="624"/>
      <c r="H27" s="624"/>
      <c r="I27" s="624"/>
      <c r="J27" s="624"/>
      <c r="K27" s="624"/>
      <c r="L27" s="624"/>
      <c r="M27" s="624"/>
      <c r="N27" s="624"/>
    </row>
    <row r="28" spans="2:14" s="30" customFormat="1" ht="24" customHeight="1" x14ac:dyDescent="0.25">
      <c r="C28" s="101"/>
      <c r="G28" s="122" t="s">
        <v>90</v>
      </c>
      <c r="H28" s="326" t="s">
        <v>78</v>
      </c>
      <c r="I28" s="326" t="s">
        <v>862</v>
      </c>
      <c r="J28" s="326" t="s">
        <v>69</v>
      </c>
      <c r="M28" s="101"/>
      <c r="N28" s="102"/>
    </row>
    <row r="29" spans="2:14" s="30" customFormat="1" ht="20.100000000000001" customHeight="1" thickBot="1" x14ac:dyDescent="0.3">
      <c r="C29" s="101"/>
      <c r="G29" s="340" t="s">
        <v>849</v>
      </c>
      <c r="H29" s="342">
        <v>1</v>
      </c>
      <c r="I29" s="342">
        <v>2</v>
      </c>
      <c r="J29" s="379">
        <f>+H29*I29</f>
        <v>2</v>
      </c>
      <c r="L29" s="119"/>
      <c r="M29" s="101"/>
      <c r="N29" s="102"/>
    </row>
    <row r="30" spans="2:14" s="30" customFormat="1" ht="20.100000000000001" customHeight="1" x14ac:dyDescent="0.25">
      <c r="C30" s="101"/>
      <c r="I30" s="131" t="s">
        <v>34</v>
      </c>
      <c r="J30" s="380">
        <f>+J29</f>
        <v>2</v>
      </c>
      <c r="K30" s="350" t="s">
        <v>863</v>
      </c>
      <c r="L30" s="119"/>
      <c r="M30" s="101"/>
      <c r="N30" s="102"/>
    </row>
    <row r="31" spans="2:14" ht="20.100000000000001" customHeight="1" x14ac:dyDescent="0.25"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N31" s="76"/>
    </row>
    <row r="32" spans="2:14" s="30" customFormat="1" ht="27.75" customHeight="1" x14ac:dyDescent="0.25">
      <c r="B32" s="132" t="s">
        <v>203</v>
      </c>
      <c r="C32" s="101">
        <v>42301</v>
      </c>
      <c r="D32" s="30" t="s">
        <v>893</v>
      </c>
      <c r="E32" s="121"/>
      <c r="F32" s="116"/>
      <c r="G32" s="116"/>
      <c r="H32" s="116"/>
      <c r="J32" s="116"/>
      <c r="K32" s="116"/>
      <c r="M32" s="101"/>
      <c r="N32" s="102"/>
    </row>
    <row r="33" spans="2:14" s="30" customFormat="1" ht="36.75" customHeight="1" x14ac:dyDescent="0.25">
      <c r="B33" s="649" t="s">
        <v>144</v>
      </c>
      <c r="C33" s="649"/>
      <c r="D33" s="649"/>
      <c r="E33" s="649"/>
      <c r="F33" s="649"/>
      <c r="G33" s="649"/>
      <c r="H33" s="146" t="s">
        <v>145</v>
      </c>
      <c r="I33" s="146" t="s">
        <v>146</v>
      </c>
      <c r="J33" s="146" t="s">
        <v>205</v>
      </c>
      <c r="K33" s="146" t="s">
        <v>147</v>
      </c>
      <c r="L33" s="146" t="s">
        <v>148</v>
      </c>
      <c r="M33" s="146" t="s">
        <v>149</v>
      </c>
      <c r="N33" s="146" t="s">
        <v>206</v>
      </c>
    </row>
    <row r="34" spans="2:14" ht="15" customHeight="1" x14ac:dyDescent="0.25">
      <c r="B34" s="650" t="s">
        <v>150</v>
      </c>
      <c r="C34" s="651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2"/>
    </row>
    <row r="35" spans="2:14" hidden="1" x14ac:dyDescent="0.25">
      <c r="B35" s="133">
        <v>30050</v>
      </c>
      <c r="C35" s="140" t="s">
        <v>151</v>
      </c>
      <c r="D35" s="141"/>
      <c r="E35" s="141"/>
      <c r="F35" s="141"/>
      <c r="G35" s="142"/>
      <c r="H35" s="134">
        <v>30050</v>
      </c>
      <c r="I35" s="388">
        <v>1</v>
      </c>
      <c r="J35" s="134">
        <v>488.73</v>
      </c>
      <c r="K35" s="135">
        <f t="shared" ref="K35:K48" si="0">$C$81</f>
        <v>257.60000000000002</v>
      </c>
      <c r="L35" s="136">
        <v>8.14</v>
      </c>
      <c r="M35" s="135"/>
      <c r="N35" s="147">
        <f t="shared" ref="N35:N48" si="1">ROUND(K35*L35*M35,2)</f>
        <v>0</v>
      </c>
    </row>
    <row r="36" spans="2:14" x14ac:dyDescent="0.25">
      <c r="B36" s="133">
        <v>30037</v>
      </c>
      <c r="C36" s="140" t="s">
        <v>152</v>
      </c>
      <c r="D36" s="141"/>
      <c r="E36" s="141"/>
      <c r="F36" s="141"/>
      <c r="G36" s="142"/>
      <c r="H36" s="134">
        <v>30037</v>
      </c>
      <c r="I36" s="388">
        <v>1</v>
      </c>
      <c r="J36" s="134">
        <v>292.75</v>
      </c>
      <c r="K36" s="135">
        <f t="shared" si="0"/>
        <v>257.60000000000002</v>
      </c>
      <c r="L36" s="136">
        <v>4.87</v>
      </c>
      <c r="M36" s="135">
        <v>6</v>
      </c>
      <c r="N36" s="147">
        <f t="shared" si="1"/>
        <v>7527.07</v>
      </c>
    </row>
    <row r="37" spans="2:14" x14ac:dyDescent="0.25">
      <c r="B37" s="133">
        <v>30036</v>
      </c>
      <c r="C37" s="140" t="s">
        <v>153</v>
      </c>
      <c r="D37" s="141"/>
      <c r="E37" s="141"/>
      <c r="F37" s="141"/>
      <c r="G37" s="142"/>
      <c r="H37" s="134">
        <v>30036</v>
      </c>
      <c r="I37" s="388">
        <v>1</v>
      </c>
      <c r="J37" s="134">
        <v>173.23</v>
      </c>
      <c r="K37" s="135">
        <f t="shared" si="0"/>
        <v>257.60000000000002</v>
      </c>
      <c r="L37" s="136">
        <v>2.88</v>
      </c>
      <c r="M37" s="135">
        <v>2</v>
      </c>
      <c r="N37" s="147">
        <f t="shared" si="1"/>
        <v>1483.78</v>
      </c>
    </row>
    <row r="38" spans="2:14" x14ac:dyDescent="0.25">
      <c r="B38" s="133">
        <v>30035</v>
      </c>
      <c r="C38" s="140" t="s">
        <v>154</v>
      </c>
      <c r="D38" s="141"/>
      <c r="E38" s="141"/>
      <c r="F38" s="141"/>
      <c r="G38" s="142"/>
      <c r="H38" s="134">
        <v>30035</v>
      </c>
      <c r="I38" s="388">
        <v>1</v>
      </c>
      <c r="J38" s="134">
        <v>244.06</v>
      </c>
      <c r="K38" s="135">
        <f t="shared" si="0"/>
        <v>257.60000000000002</v>
      </c>
      <c r="L38" s="136">
        <v>4.0599999999999996</v>
      </c>
      <c r="M38" s="135">
        <v>2</v>
      </c>
      <c r="N38" s="147">
        <f t="shared" si="1"/>
        <v>2091.71</v>
      </c>
    </row>
    <row r="39" spans="2:14" hidden="1" x14ac:dyDescent="0.25">
      <c r="B39" s="133">
        <v>30125</v>
      </c>
      <c r="C39" s="140" t="s">
        <v>155</v>
      </c>
      <c r="D39" s="141"/>
      <c r="E39" s="141"/>
      <c r="F39" s="141"/>
      <c r="G39" s="142"/>
      <c r="H39" s="134">
        <v>30125</v>
      </c>
      <c r="I39" s="388">
        <v>1</v>
      </c>
      <c r="J39" s="134">
        <v>278.61</v>
      </c>
      <c r="K39" s="135">
        <f t="shared" si="0"/>
        <v>257.60000000000002</v>
      </c>
      <c r="L39" s="136">
        <v>4.6399999999999997</v>
      </c>
      <c r="M39" s="135"/>
      <c r="N39" s="147">
        <f t="shared" si="1"/>
        <v>0</v>
      </c>
    </row>
    <row r="40" spans="2:14" hidden="1" x14ac:dyDescent="0.25">
      <c r="B40" s="133">
        <v>30110</v>
      </c>
      <c r="C40" s="140" t="s">
        <v>156</v>
      </c>
      <c r="D40" s="141"/>
      <c r="E40" s="141"/>
      <c r="F40" s="141"/>
      <c r="G40" s="142"/>
      <c r="H40" s="134">
        <v>30110</v>
      </c>
      <c r="I40" s="388">
        <v>1</v>
      </c>
      <c r="J40" s="134">
        <v>483.33</v>
      </c>
      <c r="K40" s="135">
        <f t="shared" si="0"/>
        <v>257.60000000000002</v>
      </c>
      <c r="L40" s="136">
        <v>8.0500000000000007</v>
      </c>
      <c r="M40" s="135"/>
      <c r="N40" s="147">
        <f t="shared" si="1"/>
        <v>0</v>
      </c>
    </row>
    <row r="41" spans="2:14" hidden="1" x14ac:dyDescent="0.25">
      <c r="B41" s="133">
        <v>30120</v>
      </c>
      <c r="C41" s="140" t="s">
        <v>157</v>
      </c>
      <c r="D41" s="141"/>
      <c r="E41" s="141"/>
      <c r="F41" s="141"/>
      <c r="G41" s="142"/>
      <c r="H41" s="134">
        <v>30120</v>
      </c>
      <c r="I41" s="388">
        <v>1</v>
      </c>
      <c r="J41" s="134">
        <v>426.28</v>
      </c>
      <c r="K41" s="135">
        <f t="shared" si="0"/>
        <v>257.60000000000002</v>
      </c>
      <c r="L41" s="136">
        <v>7.1</v>
      </c>
      <c r="M41" s="135"/>
      <c r="N41" s="147">
        <f t="shared" si="1"/>
        <v>0</v>
      </c>
    </row>
    <row r="42" spans="2:14" x14ac:dyDescent="0.25">
      <c r="B42" s="133">
        <v>31062</v>
      </c>
      <c r="C42" s="140" t="s">
        <v>158</v>
      </c>
      <c r="D42" s="141"/>
      <c r="E42" s="141"/>
      <c r="F42" s="141"/>
      <c r="G42" s="142"/>
      <c r="H42" s="134">
        <v>31062</v>
      </c>
      <c r="I42" s="388">
        <v>1</v>
      </c>
      <c r="J42" s="134">
        <v>242.12</v>
      </c>
      <c r="K42" s="135">
        <f t="shared" si="0"/>
        <v>257.60000000000002</v>
      </c>
      <c r="L42" s="136">
        <v>4.03</v>
      </c>
      <c r="M42" s="135">
        <v>2</v>
      </c>
      <c r="N42" s="147">
        <f t="shared" si="1"/>
        <v>2076.2600000000002</v>
      </c>
    </row>
    <row r="43" spans="2:14" hidden="1" x14ac:dyDescent="0.25">
      <c r="B43" s="133">
        <v>30053</v>
      </c>
      <c r="C43" s="140" t="s">
        <v>159</v>
      </c>
      <c r="D43" s="141"/>
      <c r="E43" s="141"/>
      <c r="F43" s="141"/>
      <c r="G43" s="142"/>
      <c r="H43" s="134">
        <v>30053</v>
      </c>
      <c r="I43" s="388">
        <v>1</v>
      </c>
      <c r="J43" s="134">
        <v>292.55</v>
      </c>
      <c r="K43" s="135">
        <f t="shared" si="0"/>
        <v>257.60000000000002</v>
      </c>
      <c r="L43" s="136">
        <v>4.87</v>
      </c>
      <c r="M43" s="135"/>
      <c r="N43" s="147">
        <f t="shared" si="1"/>
        <v>0</v>
      </c>
    </row>
    <row r="44" spans="2:14" hidden="1" x14ac:dyDescent="0.25">
      <c r="B44" s="133">
        <v>30049</v>
      </c>
      <c r="C44" s="140" t="s">
        <v>160</v>
      </c>
      <c r="D44" s="141"/>
      <c r="E44" s="141"/>
      <c r="F44" s="141"/>
      <c r="G44" s="142"/>
      <c r="H44" s="134">
        <v>30049</v>
      </c>
      <c r="I44" s="388">
        <v>1</v>
      </c>
      <c r="J44" s="134">
        <v>309.73</v>
      </c>
      <c r="K44" s="135">
        <f t="shared" si="0"/>
        <v>257.60000000000002</v>
      </c>
      <c r="L44" s="136">
        <v>5.16</v>
      </c>
      <c r="M44" s="135"/>
      <c r="N44" s="147">
        <f t="shared" si="1"/>
        <v>0</v>
      </c>
    </row>
    <row r="45" spans="2:14" hidden="1" x14ac:dyDescent="0.25">
      <c r="B45" s="133">
        <v>30040</v>
      </c>
      <c r="C45" s="140" t="s">
        <v>161</v>
      </c>
      <c r="D45" s="141"/>
      <c r="E45" s="141"/>
      <c r="F45" s="141"/>
      <c r="G45" s="142"/>
      <c r="H45" s="134">
        <v>30040</v>
      </c>
      <c r="I45" s="388">
        <v>1</v>
      </c>
      <c r="J45" s="134">
        <v>291.12</v>
      </c>
      <c r="K45" s="135">
        <f t="shared" si="0"/>
        <v>257.60000000000002</v>
      </c>
      <c r="L45" s="136">
        <v>4.8499999999999996</v>
      </c>
      <c r="M45" s="135"/>
      <c r="N45" s="147">
        <f t="shared" si="1"/>
        <v>0</v>
      </c>
    </row>
    <row r="46" spans="2:14" hidden="1" x14ac:dyDescent="0.25">
      <c r="B46" s="133">
        <v>30039</v>
      </c>
      <c r="C46" s="140" t="s">
        <v>162</v>
      </c>
      <c r="D46" s="141"/>
      <c r="E46" s="141"/>
      <c r="F46" s="141"/>
      <c r="G46" s="142"/>
      <c r="H46" s="134">
        <v>30039</v>
      </c>
      <c r="I46" s="388">
        <v>1</v>
      </c>
      <c r="J46" s="134">
        <v>220.22</v>
      </c>
      <c r="K46" s="135">
        <f t="shared" si="0"/>
        <v>257.60000000000002</v>
      </c>
      <c r="L46" s="136">
        <v>3.67</v>
      </c>
      <c r="M46" s="135"/>
      <c r="N46" s="147">
        <f t="shared" si="1"/>
        <v>0</v>
      </c>
    </row>
    <row r="47" spans="2:14" hidden="1" x14ac:dyDescent="0.25">
      <c r="B47" s="133">
        <v>30021</v>
      </c>
      <c r="C47" s="140" t="s">
        <v>163</v>
      </c>
      <c r="D47" s="141"/>
      <c r="E47" s="141"/>
      <c r="F47" s="141"/>
      <c r="G47" s="142"/>
      <c r="H47" s="134">
        <v>30021</v>
      </c>
      <c r="I47" s="388">
        <v>1</v>
      </c>
      <c r="J47" s="134">
        <v>232.06</v>
      </c>
      <c r="K47" s="135">
        <f t="shared" si="0"/>
        <v>257.60000000000002</v>
      </c>
      <c r="L47" s="136">
        <v>3.86</v>
      </c>
      <c r="M47" s="135"/>
      <c r="N47" s="147">
        <f t="shared" si="1"/>
        <v>0</v>
      </c>
    </row>
    <row r="48" spans="2:14" hidden="1" x14ac:dyDescent="0.25">
      <c r="B48" s="133">
        <v>30030</v>
      </c>
      <c r="C48" s="140" t="s">
        <v>164</v>
      </c>
      <c r="D48" s="141"/>
      <c r="E48" s="141"/>
      <c r="F48" s="141"/>
      <c r="G48" s="142"/>
      <c r="H48" s="134">
        <v>30030</v>
      </c>
      <c r="I48" s="388">
        <v>1</v>
      </c>
      <c r="J48" s="134">
        <v>637.29999999999995</v>
      </c>
      <c r="K48" s="135">
        <f t="shared" si="0"/>
        <v>257.60000000000002</v>
      </c>
      <c r="L48" s="136">
        <v>10.62</v>
      </c>
      <c r="M48" s="135"/>
      <c r="N48" s="136">
        <f t="shared" si="1"/>
        <v>0</v>
      </c>
    </row>
    <row r="49" spans="2:14" ht="15" customHeight="1" x14ac:dyDescent="0.25">
      <c r="B49" s="650" t="s">
        <v>165</v>
      </c>
      <c r="C49" s="651"/>
      <c r="D49" s="651"/>
      <c r="E49" s="651"/>
      <c r="F49" s="651"/>
      <c r="G49" s="651"/>
      <c r="H49" s="651"/>
      <c r="I49" s="651"/>
      <c r="J49" s="651"/>
      <c r="K49" s="651"/>
      <c r="L49" s="651"/>
      <c r="M49" s="651"/>
      <c r="N49" s="652"/>
    </row>
    <row r="50" spans="2:14" hidden="1" x14ac:dyDescent="0.25">
      <c r="B50" s="133">
        <v>30010</v>
      </c>
      <c r="C50" s="140" t="s">
        <v>166</v>
      </c>
      <c r="D50" s="141"/>
      <c r="E50" s="141"/>
      <c r="F50" s="141"/>
      <c r="G50" s="142"/>
      <c r="H50" s="134">
        <v>30105</v>
      </c>
      <c r="I50" s="388">
        <v>0.5</v>
      </c>
      <c r="J50" s="134">
        <v>372.06</v>
      </c>
      <c r="K50" s="135">
        <f t="shared" ref="K50:K76" si="2">$C$81</f>
        <v>257.60000000000002</v>
      </c>
      <c r="L50" s="136">
        <v>3.1</v>
      </c>
      <c r="M50" s="135"/>
      <c r="N50" s="136">
        <f>ROUND(J50*K50*M50,2)</f>
        <v>0</v>
      </c>
    </row>
    <row r="51" spans="2:14" x14ac:dyDescent="0.25">
      <c r="B51" s="133">
        <v>30007</v>
      </c>
      <c r="C51" s="140" t="s">
        <v>167</v>
      </c>
      <c r="D51" s="141"/>
      <c r="E51" s="141"/>
      <c r="F51" s="141"/>
      <c r="G51" s="142"/>
      <c r="H51" s="134">
        <v>30105</v>
      </c>
      <c r="I51" s="388">
        <v>0.5</v>
      </c>
      <c r="J51" s="134">
        <f>+$J$50</f>
        <v>372.06</v>
      </c>
      <c r="K51" s="135">
        <f t="shared" si="2"/>
        <v>257.60000000000002</v>
      </c>
      <c r="L51" s="136">
        <v>3.1</v>
      </c>
      <c r="M51" s="135">
        <v>2</v>
      </c>
      <c r="N51" s="147">
        <f t="shared" ref="N51:N76" si="3">ROUND(K51*L51*M51,2)</f>
        <v>1597.12</v>
      </c>
    </row>
    <row r="52" spans="2:14" x14ac:dyDescent="0.25">
      <c r="B52" s="133">
        <v>30011</v>
      </c>
      <c r="C52" s="140" t="s">
        <v>168</v>
      </c>
      <c r="D52" s="141"/>
      <c r="E52" s="141"/>
      <c r="F52" s="141"/>
      <c r="G52" s="142"/>
      <c r="H52" s="134">
        <v>30105</v>
      </c>
      <c r="I52" s="388">
        <v>1</v>
      </c>
      <c r="J52" s="134">
        <f t="shared" ref="J52:J76" si="4">+$J$50</f>
        <v>372.06</v>
      </c>
      <c r="K52" s="135">
        <f t="shared" si="2"/>
        <v>257.60000000000002</v>
      </c>
      <c r="L52" s="136">
        <v>6.2</v>
      </c>
      <c r="M52" s="135">
        <v>1</v>
      </c>
      <c r="N52" s="147">
        <f t="shared" si="3"/>
        <v>1597.12</v>
      </c>
    </row>
    <row r="53" spans="2:14" hidden="1" x14ac:dyDescent="0.25">
      <c r="B53" s="133">
        <v>30057</v>
      </c>
      <c r="C53" s="140" t="s">
        <v>169</v>
      </c>
      <c r="D53" s="141"/>
      <c r="E53" s="141"/>
      <c r="F53" s="141"/>
      <c r="G53" s="142"/>
      <c r="H53" s="134">
        <v>30105</v>
      </c>
      <c r="I53" s="388">
        <v>1</v>
      </c>
      <c r="J53" s="134">
        <f t="shared" si="4"/>
        <v>372.06</v>
      </c>
      <c r="K53" s="135">
        <f t="shared" si="2"/>
        <v>257.60000000000002</v>
      </c>
      <c r="L53" s="136">
        <v>6.2</v>
      </c>
      <c r="M53" s="135"/>
      <c r="N53" s="147">
        <f t="shared" si="3"/>
        <v>0</v>
      </c>
    </row>
    <row r="54" spans="2:14" hidden="1" x14ac:dyDescent="0.25">
      <c r="B54" s="133">
        <v>30019</v>
      </c>
      <c r="C54" s="140" t="s">
        <v>170</v>
      </c>
      <c r="D54" s="141"/>
      <c r="E54" s="141"/>
      <c r="F54" s="141"/>
      <c r="G54" s="142"/>
      <c r="H54" s="134">
        <v>30105</v>
      </c>
      <c r="I54" s="388">
        <v>1</v>
      </c>
      <c r="J54" s="134">
        <f t="shared" si="4"/>
        <v>372.06</v>
      </c>
      <c r="K54" s="135">
        <f t="shared" si="2"/>
        <v>257.60000000000002</v>
      </c>
      <c r="L54" s="136">
        <v>6.2</v>
      </c>
      <c r="M54" s="135"/>
      <c r="N54" s="147">
        <f t="shared" si="3"/>
        <v>0</v>
      </c>
    </row>
    <row r="55" spans="2:14" hidden="1" x14ac:dyDescent="0.25">
      <c r="B55" s="133">
        <v>30158</v>
      </c>
      <c r="C55" s="140" t="s">
        <v>171</v>
      </c>
      <c r="D55" s="141"/>
      <c r="E55" s="141"/>
      <c r="F55" s="141"/>
      <c r="G55" s="142"/>
      <c r="H55" s="134">
        <v>30105</v>
      </c>
      <c r="I55" s="388">
        <v>0.33</v>
      </c>
      <c r="J55" s="134">
        <f t="shared" si="4"/>
        <v>372.06</v>
      </c>
      <c r="K55" s="135">
        <f t="shared" si="2"/>
        <v>257.60000000000002</v>
      </c>
      <c r="L55" s="136">
        <v>2.04</v>
      </c>
      <c r="M55" s="135"/>
      <c r="N55" s="147">
        <f t="shared" si="3"/>
        <v>0</v>
      </c>
    </row>
    <row r="56" spans="2:14" hidden="1" x14ac:dyDescent="0.25">
      <c r="B56" s="133">
        <v>30058</v>
      </c>
      <c r="C56" s="140" t="s">
        <v>172</v>
      </c>
      <c r="D56" s="141"/>
      <c r="E56" s="141"/>
      <c r="F56" s="141"/>
      <c r="G56" s="142"/>
      <c r="H56" s="134">
        <v>30105</v>
      </c>
      <c r="I56" s="388">
        <v>0.33</v>
      </c>
      <c r="J56" s="134">
        <f t="shared" si="4"/>
        <v>372.06</v>
      </c>
      <c r="K56" s="135">
        <f t="shared" si="2"/>
        <v>257.60000000000002</v>
      </c>
      <c r="L56" s="136">
        <v>2.04</v>
      </c>
      <c r="M56" s="135"/>
      <c r="N56" s="147">
        <f t="shared" si="3"/>
        <v>0</v>
      </c>
    </row>
    <row r="57" spans="2:14" hidden="1" x14ac:dyDescent="0.25">
      <c r="B57" s="133">
        <v>30046</v>
      </c>
      <c r="C57" s="140" t="s">
        <v>173</v>
      </c>
      <c r="D57" s="141"/>
      <c r="E57" s="141"/>
      <c r="F57" s="141"/>
      <c r="G57" s="142"/>
      <c r="H57" s="134">
        <v>30105</v>
      </c>
      <c r="I57" s="388">
        <v>1</v>
      </c>
      <c r="J57" s="134">
        <f t="shared" si="4"/>
        <v>372.06</v>
      </c>
      <c r="K57" s="135">
        <f t="shared" si="2"/>
        <v>257.60000000000002</v>
      </c>
      <c r="L57" s="136">
        <v>6.2</v>
      </c>
      <c r="M57" s="135"/>
      <c r="N57" s="147">
        <f t="shared" si="3"/>
        <v>0</v>
      </c>
    </row>
    <row r="58" spans="2:14" hidden="1" x14ac:dyDescent="0.25">
      <c r="B58" s="133">
        <v>30170</v>
      </c>
      <c r="C58" s="140" t="s">
        <v>174</v>
      </c>
      <c r="D58" s="141"/>
      <c r="E58" s="141"/>
      <c r="F58" s="141"/>
      <c r="G58" s="142"/>
      <c r="H58" s="134">
        <v>30105</v>
      </c>
      <c r="I58" s="388">
        <v>1</v>
      </c>
      <c r="J58" s="134">
        <f t="shared" si="4"/>
        <v>372.06</v>
      </c>
      <c r="K58" s="135">
        <f t="shared" si="2"/>
        <v>257.60000000000002</v>
      </c>
      <c r="L58" s="136">
        <v>6.2</v>
      </c>
      <c r="M58" s="135"/>
      <c r="N58" s="147">
        <f t="shared" si="3"/>
        <v>0</v>
      </c>
    </row>
    <row r="59" spans="2:14" hidden="1" x14ac:dyDescent="0.25">
      <c r="B59" s="133">
        <v>30029</v>
      </c>
      <c r="C59" s="140" t="s">
        <v>175</v>
      </c>
      <c r="D59" s="141"/>
      <c r="E59" s="141"/>
      <c r="F59" s="141"/>
      <c r="G59" s="142"/>
      <c r="H59" s="134">
        <v>30105</v>
      </c>
      <c r="I59" s="388">
        <v>0.5</v>
      </c>
      <c r="J59" s="134">
        <f t="shared" si="4"/>
        <v>372.06</v>
      </c>
      <c r="K59" s="135">
        <f t="shared" si="2"/>
        <v>257.60000000000002</v>
      </c>
      <c r="L59" s="136">
        <v>3.1</v>
      </c>
      <c r="M59" s="135"/>
      <c r="N59" s="147">
        <f t="shared" si="3"/>
        <v>0</v>
      </c>
    </row>
    <row r="60" spans="2:14" hidden="1" x14ac:dyDescent="0.25">
      <c r="B60" s="133">
        <v>30101</v>
      </c>
      <c r="C60" s="140" t="s">
        <v>176</v>
      </c>
      <c r="D60" s="141"/>
      <c r="E60" s="141"/>
      <c r="F60" s="141"/>
      <c r="G60" s="142"/>
      <c r="H60" s="134">
        <v>30105</v>
      </c>
      <c r="I60" s="388">
        <v>1</v>
      </c>
      <c r="J60" s="134">
        <f t="shared" si="4"/>
        <v>372.06</v>
      </c>
      <c r="K60" s="135">
        <f t="shared" si="2"/>
        <v>257.60000000000002</v>
      </c>
      <c r="L60" s="136">
        <v>6.2</v>
      </c>
      <c r="M60" s="135"/>
      <c r="N60" s="147">
        <f t="shared" si="3"/>
        <v>0</v>
      </c>
    </row>
    <row r="61" spans="2:14" x14ac:dyDescent="0.25">
      <c r="B61" s="133">
        <v>30008</v>
      </c>
      <c r="C61" s="140" t="s">
        <v>177</v>
      </c>
      <c r="D61" s="141"/>
      <c r="E61" s="141"/>
      <c r="F61" s="141"/>
      <c r="G61" s="142"/>
      <c r="H61" s="134">
        <v>30105</v>
      </c>
      <c r="I61" s="388">
        <v>0.5</v>
      </c>
      <c r="J61" s="134">
        <f t="shared" si="4"/>
        <v>372.06</v>
      </c>
      <c r="K61" s="135">
        <f t="shared" si="2"/>
        <v>257.60000000000002</v>
      </c>
      <c r="L61" s="136">
        <v>3.1</v>
      </c>
      <c r="M61" s="135">
        <v>1</v>
      </c>
      <c r="N61" s="147">
        <f t="shared" si="3"/>
        <v>798.56</v>
      </c>
    </row>
    <row r="62" spans="2:14" hidden="1" x14ac:dyDescent="0.25">
      <c r="B62" s="133">
        <v>30015</v>
      </c>
      <c r="C62" s="140" t="s">
        <v>178</v>
      </c>
      <c r="D62" s="141"/>
      <c r="E62" s="141"/>
      <c r="F62" s="141"/>
      <c r="G62" s="142"/>
      <c r="H62" s="134">
        <v>30105</v>
      </c>
      <c r="I62" s="388">
        <v>0.5</v>
      </c>
      <c r="J62" s="134">
        <f t="shared" si="4"/>
        <v>372.06</v>
      </c>
      <c r="K62" s="135">
        <f t="shared" si="2"/>
        <v>257.60000000000002</v>
      </c>
      <c r="L62" s="136">
        <v>3.1</v>
      </c>
      <c r="M62" s="135"/>
      <c r="N62" s="147">
        <f t="shared" si="3"/>
        <v>0</v>
      </c>
    </row>
    <row r="63" spans="2:14" hidden="1" x14ac:dyDescent="0.25">
      <c r="B63" s="133">
        <v>30012</v>
      </c>
      <c r="C63" s="140" t="s">
        <v>179</v>
      </c>
      <c r="D63" s="141"/>
      <c r="E63" s="141"/>
      <c r="F63" s="141"/>
      <c r="G63" s="142"/>
      <c r="H63" s="134">
        <v>30105</v>
      </c>
      <c r="I63" s="388">
        <v>0.5</v>
      </c>
      <c r="J63" s="134">
        <f t="shared" si="4"/>
        <v>372.06</v>
      </c>
      <c r="K63" s="135">
        <f t="shared" si="2"/>
        <v>257.60000000000002</v>
      </c>
      <c r="L63" s="136">
        <v>3.1</v>
      </c>
      <c r="M63" s="135"/>
      <c r="N63" s="147">
        <f t="shared" si="3"/>
        <v>0</v>
      </c>
    </row>
    <row r="64" spans="2:14" hidden="1" x14ac:dyDescent="0.25">
      <c r="B64" s="133">
        <v>30014</v>
      </c>
      <c r="C64" s="140" t="s">
        <v>180</v>
      </c>
      <c r="D64" s="141"/>
      <c r="E64" s="141"/>
      <c r="F64" s="141"/>
      <c r="G64" s="142"/>
      <c r="H64" s="134">
        <v>30105</v>
      </c>
      <c r="I64" s="388">
        <v>0.5</v>
      </c>
      <c r="J64" s="134">
        <f t="shared" si="4"/>
        <v>372.06</v>
      </c>
      <c r="K64" s="135">
        <f t="shared" si="2"/>
        <v>257.60000000000002</v>
      </c>
      <c r="L64" s="136">
        <v>3.1</v>
      </c>
      <c r="M64" s="135"/>
      <c r="N64" s="147">
        <f t="shared" si="3"/>
        <v>0</v>
      </c>
    </row>
    <row r="65" spans="2:14" hidden="1" x14ac:dyDescent="0.25">
      <c r="B65" s="133">
        <v>30009</v>
      </c>
      <c r="C65" s="140" t="s">
        <v>181</v>
      </c>
      <c r="D65" s="141"/>
      <c r="E65" s="141"/>
      <c r="F65" s="141"/>
      <c r="G65" s="142"/>
      <c r="H65" s="134">
        <v>30105</v>
      </c>
      <c r="I65" s="388">
        <v>0.5</v>
      </c>
      <c r="J65" s="134">
        <f t="shared" si="4"/>
        <v>372.06</v>
      </c>
      <c r="K65" s="135">
        <f t="shared" si="2"/>
        <v>257.60000000000002</v>
      </c>
      <c r="L65" s="136">
        <v>3.1</v>
      </c>
      <c r="M65" s="135"/>
      <c r="N65" s="147">
        <f t="shared" si="3"/>
        <v>0</v>
      </c>
    </row>
    <row r="66" spans="2:14" hidden="1" x14ac:dyDescent="0.25">
      <c r="B66" s="133">
        <v>30020</v>
      </c>
      <c r="C66" s="140" t="s">
        <v>182</v>
      </c>
      <c r="D66" s="141"/>
      <c r="E66" s="141"/>
      <c r="F66" s="141"/>
      <c r="G66" s="142"/>
      <c r="H66" s="134">
        <v>30105</v>
      </c>
      <c r="I66" s="388">
        <v>1</v>
      </c>
      <c r="J66" s="134">
        <f t="shared" si="4"/>
        <v>372.06</v>
      </c>
      <c r="K66" s="135">
        <f t="shared" si="2"/>
        <v>257.60000000000002</v>
      </c>
      <c r="L66" s="136">
        <v>6.2</v>
      </c>
      <c r="M66" s="135"/>
      <c r="N66" s="147">
        <f t="shared" si="3"/>
        <v>0</v>
      </c>
    </row>
    <row r="67" spans="2:14" hidden="1" x14ac:dyDescent="0.25">
      <c r="B67" s="133">
        <v>30005</v>
      </c>
      <c r="C67" s="140" t="s">
        <v>183</v>
      </c>
      <c r="D67" s="141"/>
      <c r="E67" s="141"/>
      <c r="F67" s="141"/>
      <c r="G67" s="142"/>
      <c r="H67" s="134">
        <v>30105</v>
      </c>
      <c r="I67" s="388">
        <v>0.5</v>
      </c>
      <c r="J67" s="134">
        <f t="shared" si="4"/>
        <v>372.06</v>
      </c>
      <c r="K67" s="135">
        <f t="shared" si="2"/>
        <v>257.60000000000002</v>
      </c>
      <c r="L67" s="136">
        <v>3.1</v>
      </c>
      <c r="M67" s="135"/>
      <c r="N67" s="147">
        <f t="shared" si="3"/>
        <v>0</v>
      </c>
    </row>
    <row r="68" spans="2:14" hidden="1" x14ac:dyDescent="0.25">
      <c r="B68" s="133">
        <v>30006</v>
      </c>
      <c r="C68" s="140" t="s">
        <v>184</v>
      </c>
      <c r="D68" s="141"/>
      <c r="E68" s="141"/>
      <c r="F68" s="141"/>
      <c r="G68" s="142"/>
      <c r="H68" s="134">
        <v>30105</v>
      </c>
      <c r="I68" s="388">
        <v>0.5</v>
      </c>
      <c r="J68" s="134">
        <f t="shared" si="4"/>
        <v>372.06</v>
      </c>
      <c r="K68" s="135">
        <f t="shared" si="2"/>
        <v>257.60000000000002</v>
      </c>
      <c r="L68" s="136">
        <v>3.1</v>
      </c>
      <c r="M68" s="135"/>
      <c r="N68" s="147">
        <f t="shared" si="3"/>
        <v>0</v>
      </c>
    </row>
    <row r="69" spans="2:14" hidden="1" x14ac:dyDescent="0.25">
      <c r="B69" s="133">
        <v>30001</v>
      </c>
      <c r="C69" s="140" t="s">
        <v>185</v>
      </c>
      <c r="D69" s="141"/>
      <c r="E69" s="141"/>
      <c r="F69" s="141"/>
      <c r="G69" s="142"/>
      <c r="H69" s="134">
        <v>30105</v>
      </c>
      <c r="I69" s="388">
        <v>1</v>
      </c>
      <c r="J69" s="134">
        <f t="shared" si="4"/>
        <v>372.06</v>
      </c>
      <c r="K69" s="135">
        <f t="shared" si="2"/>
        <v>257.60000000000002</v>
      </c>
      <c r="L69" s="136">
        <v>6.2</v>
      </c>
      <c r="M69" s="135"/>
      <c r="N69" s="147">
        <f t="shared" si="3"/>
        <v>0</v>
      </c>
    </row>
    <row r="70" spans="2:14" hidden="1" x14ac:dyDescent="0.25">
      <c r="B70" s="133">
        <v>30002</v>
      </c>
      <c r="C70" s="140" t="s">
        <v>186</v>
      </c>
      <c r="D70" s="141"/>
      <c r="E70" s="141"/>
      <c r="F70" s="141"/>
      <c r="G70" s="142"/>
      <c r="H70" s="134">
        <v>30105</v>
      </c>
      <c r="I70" s="388">
        <v>1</v>
      </c>
      <c r="J70" s="134">
        <f t="shared" si="4"/>
        <v>372.06</v>
      </c>
      <c r="K70" s="135">
        <f t="shared" si="2"/>
        <v>257.60000000000002</v>
      </c>
      <c r="L70" s="136">
        <v>6.2</v>
      </c>
      <c r="M70" s="135"/>
      <c r="N70" s="147">
        <f t="shared" si="3"/>
        <v>0</v>
      </c>
    </row>
    <row r="71" spans="2:14" hidden="1" x14ac:dyDescent="0.25">
      <c r="B71" s="133">
        <v>30059</v>
      </c>
      <c r="C71" s="140" t="s">
        <v>187</v>
      </c>
      <c r="D71" s="141"/>
      <c r="E71" s="141"/>
      <c r="F71" s="141"/>
      <c r="G71" s="142"/>
      <c r="H71" s="134">
        <v>30105</v>
      </c>
      <c r="I71" s="388">
        <v>0.5</v>
      </c>
      <c r="J71" s="134">
        <f t="shared" si="4"/>
        <v>372.06</v>
      </c>
      <c r="K71" s="135">
        <f t="shared" si="2"/>
        <v>257.60000000000002</v>
      </c>
      <c r="L71" s="136">
        <v>3.1</v>
      </c>
      <c r="M71" s="135"/>
      <c r="N71" s="147">
        <f t="shared" si="3"/>
        <v>0</v>
      </c>
    </row>
    <row r="72" spans="2:14" hidden="1" x14ac:dyDescent="0.25">
      <c r="B72" s="133">
        <v>30000</v>
      </c>
      <c r="C72" s="140" t="s">
        <v>188</v>
      </c>
      <c r="D72" s="141"/>
      <c r="E72" s="141"/>
      <c r="F72" s="141"/>
      <c r="G72" s="142"/>
      <c r="H72" s="134">
        <v>30105</v>
      </c>
      <c r="I72" s="388">
        <v>0.5</v>
      </c>
      <c r="J72" s="134">
        <f t="shared" si="4"/>
        <v>372.06</v>
      </c>
      <c r="K72" s="135">
        <f t="shared" si="2"/>
        <v>257.60000000000002</v>
      </c>
      <c r="L72" s="136">
        <v>3.1</v>
      </c>
      <c r="M72" s="135"/>
      <c r="N72" s="147">
        <f t="shared" si="3"/>
        <v>0</v>
      </c>
    </row>
    <row r="73" spans="2:14" hidden="1" x14ac:dyDescent="0.25">
      <c r="B73" s="133">
        <v>30025</v>
      </c>
      <c r="C73" s="140" t="s">
        <v>189</v>
      </c>
      <c r="D73" s="141"/>
      <c r="E73" s="141"/>
      <c r="F73" s="141"/>
      <c r="G73" s="142"/>
      <c r="H73" s="134">
        <v>30105</v>
      </c>
      <c r="I73" s="388">
        <v>3</v>
      </c>
      <c r="J73" s="134">
        <f t="shared" si="4"/>
        <v>372.06</v>
      </c>
      <c r="K73" s="135">
        <f t="shared" si="2"/>
        <v>257.60000000000002</v>
      </c>
      <c r="L73" s="136">
        <v>18.600000000000001</v>
      </c>
      <c r="M73" s="135"/>
      <c r="N73" s="147">
        <f t="shared" si="3"/>
        <v>0</v>
      </c>
    </row>
    <row r="74" spans="2:14" hidden="1" x14ac:dyDescent="0.25">
      <c r="B74" s="133">
        <v>30016</v>
      </c>
      <c r="C74" s="140" t="s">
        <v>190</v>
      </c>
      <c r="D74" s="141"/>
      <c r="E74" s="141"/>
      <c r="F74" s="141"/>
      <c r="G74" s="142"/>
      <c r="H74" s="134">
        <v>30105</v>
      </c>
      <c r="I74" s="388">
        <v>2</v>
      </c>
      <c r="J74" s="134">
        <f t="shared" si="4"/>
        <v>372.06</v>
      </c>
      <c r="K74" s="135">
        <f t="shared" si="2"/>
        <v>257.60000000000002</v>
      </c>
      <c r="L74" s="136">
        <v>12.4</v>
      </c>
      <c r="M74" s="135"/>
      <c r="N74" s="147">
        <f t="shared" si="3"/>
        <v>0</v>
      </c>
    </row>
    <row r="75" spans="2:14" hidden="1" x14ac:dyDescent="0.25">
      <c r="B75" s="133">
        <v>30024</v>
      </c>
      <c r="C75" s="140" t="s">
        <v>191</v>
      </c>
      <c r="D75" s="141"/>
      <c r="E75" s="141"/>
      <c r="F75" s="141"/>
      <c r="G75" s="142"/>
      <c r="H75" s="134">
        <v>30105</v>
      </c>
      <c r="I75" s="388">
        <v>1</v>
      </c>
      <c r="J75" s="134">
        <f t="shared" si="4"/>
        <v>372.06</v>
      </c>
      <c r="K75" s="135">
        <f t="shared" si="2"/>
        <v>257.60000000000002</v>
      </c>
      <c r="L75" s="136">
        <v>6.2</v>
      </c>
      <c r="M75" s="135"/>
      <c r="N75" s="147">
        <f t="shared" si="3"/>
        <v>0</v>
      </c>
    </row>
    <row r="76" spans="2:14" hidden="1" x14ac:dyDescent="0.25">
      <c r="B76" s="137">
        <v>30023</v>
      </c>
      <c r="C76" s="143" t="s">
        <v>192</v>
      </c>
      <c r="D76" s="144"/>
      <c r="E76" s="144"/>
      <c r="F76" s="144"/>
      <c r="G76" s="145"/>
      <c r="H76" s="138">
        <v>30105</v>
      </c>
      <c r="I76" s="389">
        <v>0.5</v>
      </c>
      <c r="J76" s="134">
        <f t="shared" si="4"/>
        <v>372.06</v>
      </c>
      <c r="K76" s="135">
        <f t="shared" si="2"/>
        <v>257.60000000000002</v>
      </c>
      <c r="L76" s="136">
        <v>3.1</v>
      </c>
      <c r="M76" s="139"/>
      <c r="N76" s="148">
        <f t="shared" si="3"/>
        <v>0</v>
      </c>
    </row>
    <row r="77" spans="2:14" ht="13.5" customHeight="1" x14ac:dyDescent="0.25">
      <c r="B77" s="653" t="s">
        <v>193</v>
      </c>
      <c r="C77" s="653"/>
      <c r="D77" s="653"/>
      <c r="E77" s="653"/>
      <c r="F77" s="653"/>
      <c r="G77" s="653"/>
      <c r="H77" s="653"/>
      <c r="I77" s="653"/>
      <c r="J77" s="653"/>
      <c r="K77" s="653"/>
      <c r="L77" s="653"/>
      <c r="M77" s="152"/>
      <c r="N77" s="160">
        <f>SUM(N35:N48,N51:N76)</f>
        <v>17171.620000000003</v>
      </c>
    </row>
    <row r="78" spans="2:14" ht="38.25" hidden="1" x14ac:dyDescent="0.25">
      <c r="B78" s="633" t="s">
        <v>194</v>
      </c>
      <c r="C78" s="633"/>
      <c r="D78" s="633"/>
      <c r="E78" s="633"/>
      <c r="F78" s="633"/>
      <c r="G78" s="633"/>
      <c r="H78" s="633"/>
      <c r="I78" s="633"/>
      <c r="J78" s="633"/>
      <c r="K78" s="149" t="s">
        <v>195</v>
      </c>
      <c r="L78" s="149" t="s">
        <v>207</v>
      </c>
      <c r="M78" s="149" t="s">
        <v>208</v>
      </c>
      <c r="N78" s="149" t="s">
        <v>196</v>
      </c>
    </row>
    <row r="79" spans="2:14" hidden="1" x14ac:dyDescent="0.25">
      <c r="B79" s="150" t="s">
        <v>197</v>
      </c>
      <c r="C79" s="151" t="s">
        <v>198</v>
      </c>
      <c r="D79" s="152"/>
      <c r="E79" s="152"/>
      <c r="F79" s="152"/>
      <c r="G79" s="152"/>
      <c r="H79" s="150"/>
      <c r="I79" s="150"/>
      <c r="J79" s="153"/>
      <c r="K79" s="154"/>
      <c r="L79" s="155">
        <v>105.44</v>
      </c>
      <c r="M79" s="156"/>
      <c r="N79" s="155">
        <f>K79*L79*M79</f>
        <v>0</v>
      </c>
    </row>
    <row r="80" spans="2:14" x14ac:dyDescent="0.25">
      <c r="B80" s="30"/>
      <c r="C80" s="30"/>
      <c r="D80" s="30"/>
      <c r="E80" s="30"/>
      <c r="F80" s="634" t="s">
        <v>199</v>
      </c>
      <c r="G80" s="634"/>
      <c r="H80" s="634"/>
      <c r="I80" s="634"/>
      <c r="J80" s="634"/>
      <c r="K80" s="634"/>
      <c r="L80" s="634"/>
      <c r="M80" s="634"/>
      <c r="N80" s="157">
        <f>SUM(N79)</f>
        <v>0</v>
      </c>
    </row>
    <row r="81" spans="2:14" x14ac:dyDescent="0.25">
      <c r="B81" s="635" t="s">
        <v>211</v>
      </c>
      <c r="C81" s="638">
        <f>128.8*2</f>
        <v>257.60000000000002</v>
      </c>
      <c r="D81" s="639"/>
      <c r="E81" s="644" t="s">
        <v>210</v>
      </c>
      <c r="F81" s="647" t="s">
        <v>200</v>
      </c>
      <c r="G81" s="647"/>
      <c r="H81" s="647"/>
      <c r="I81" s="647"/>
      <c r="J81" s="647"/>
      <c r="K81" s="647"/>
      <c r="L81" s="647"/>
      <c r="M81" s="647"/>
      <c r="N81" s="158">
        <f>N77+N80</f>
        <v>17171.620000000003</v>
      </c>
    </row>
    <row r="82" spans="2:14" x14ac:dyDescent="0.25">
      <c r="B82" s="636"/>
      <c r="C82" s="640"/>
      <c r="D82" s="641"/>
      <c r="E82" s="645"/>
      <c r="F82" s="647" t="s">
        <v>209</v>
      </c>
      <c r="G82" s="647"/>
      <c r="H82" s="647"/>
      <c r="I82" s="647"/>
      <c r="J82" s="647"/>
      <c r="K82" s="647"/>
      <c r="L82" s="647"/>
      <c r="M82" s="647"/>
      <c r="N82" s="158">
        <f>N81*0</f>
        <v>0</v>
      </c>
    </row>
    <row r="83" spans="2:14" x14ac:dyDescent="0.25">
      <c r="B83" s="636"/>
      <c r="C83" s="640"/>
      <c r="D83" s="641"/>
      <c r="E83" s="645"/>
      <c r="F83" s="647" t="s">
        <v>201</v>
      </c>
      <c r="G83" s="647"/>
      <c r="H83" s="647"/>
      <c r="I83" s="647"/>
      <c r="J83" s="647"/>
      <c r="K83" s="647"/>
      <c r="L83" s="647"/>
      <c r="M83" s="647"/>
      <c r="N83" s="158">
        <f>SUM(N81:N82)</f>
        <v>17171.620000000003</v>
      </c>
    </row>
    <row r="84" spans="2:14" x14ac:dyDescent="0.25">
      <c r="B84" s="637"/>
      <c r="C84" s="642"/>
      <c r="D84" s="643"/>
      <c r="E84" s="646"/>
      <c r="F84" s="648" t="s">
        <v>202</v>
      </c>
      <c r="G84" s="648"/>
      <c r="H84" s="648"/>
      <c r="I84" s="648"/>
      <c r="J84" s="648"/>
      <c r="K84" s="648"/>
      <c r="L84" s="648"/>
      <c r="M84" s="648"/>
      <c r="N84" s="159">
        <f>N83*2</f>
        <v>34343.240000000005</v>
      </c>
    </row>
    <row r="85" spans="2:14" ht="20.100000000000001" customHeight="1" x14ac:dyDescent="0.25">
      <c r="B85" s="625"/>
      <c r="C85" s="625"/>
      <c r="D85" s="625"/>
      <c r="E85" s="625"/>
      <c r="F85" s="625"/>
      <c r="G85" s="625"/>
      <c r="H85" s="625"/>
      <c r="I85" s="625"/>
      <c r="J85" s="625"/>
      <c r="K85" s="625"/>
      <c r="N85" s="76"/>
    </row>
    <row r="86" spans="2:14" s="30" customFormat="1" ht="27.75" customHeight="1" x14ac:dyDescent="0.25">
      <c r="B86" s="132" t="s">
        <v>203</v>
      </c>
      <c r="C86" s="101">
        <v>42301</v>
      </c>
      <c r="D86" s="30" t="s">
        <v>894</v>
      </c>
      <c r="E86" s="121"/>
      <c r="F86" s="116"/>
      <c r="G86" s="116"/>
      <c r="H86" s="116"/>
      <c r="J86" s="116"/>
      <c r="K86" s="116"/>
      <c r="M86" s="101"/>
      <c r="N86" s="102"/>
    </row>
    <row r="87" spans="2:14" s="30" customFormat="1" ht="36.75" customHeight="1" x14ac:dyDescent="0.25">
      <c r="B87" s="649" t="s">
        <v>144</v>
      </c>
      <c r="C87" s="649"/>
      <c r="D87" s="649"/>
      <c r="E87" s="649"/>
      <c r="F87" s="649"/>
      <c r="G87" s="649"/>
      <c r="H87" s="146" t="s">
        <v>145</v>
      </c>
      <c r="I87" s="146" t="s">
        <v>146</v>
      </c>
      <c r="J87" s="146" t="s">
        <v>205</v>
      </c>
      <c r="K87" s="146" t="s">
        <v>147</v>
      </c>
      <c r="L87" s="146" t="s">
        <v>148</v>
      </c>
      <c r="M87" s="146" t="s">
        <v>149</v>
      </c>
      <c r="N87" s="146" t="s">
        <v>206</v>
      </c>
    </row>
    <row r="88" spans="2:14" ht="15" customHeight="1" x14ac:dyDescent="0.25">
      <c r="B88" s="650" t="s">
        <v>150</v>
      </c>
      <c r="C88" s="651"/>
      <c r="D88" s="651"/>
      <c r="E88" s="651"/>
      <c r="F88" s="651"/>
      <c r="G88" s="651"/>
      <c r="H88" s="651"/>
      <c r="I88" s="651"/>
      <c r="J88" s="651"/>
      <c r="K88" s="651"/>
      <c r="L88" s="651"/>
      <c r="M88" s="651"/>
      <c r="N88" s="652"/>
    </row>
    <row r="89" spans="2:14" hidden="1" x14ac:dyDescent="0.25">
      <c r="B89" s="133">
        <v>30050</v>
      </c>
      <c r="C89" s="140" t="s">
        <v>151</v>
      </c>
      <c r="D89" s="141"/>
      <c r="E89" s="141"/>
      <c r="F89" s="141"/>
      <c r="G89" s="142"/>
      <c r="H89" s="134">
        <v>30050</v>
      </c>
      <c r="I89" s="388">
        <v>1</v>
      </c>
      <c r="J89" s="134">
        <v>485.21</v>
      </c>
      <c r="K89" s="135">
        <f t="shared" ref="K89:K102" si="5">$C$81</f>
        <v>257.60000000000002</v>
      </c>
      <c r="L89" s="136">
        <v>8.08</v>
      </c>
      <c r="M89" s="135"/>
      <c r="N89" s="147">
        <f t="shared" ref="N89:N102" si="6">ROUND(K89*L89*M89,2)</f>
        <v>0</v>
      </c>
    </row>
    <row r="90" spans="2:14" x14ac:dyDescent="0.25">
      <c r="B90" s="133">
        <v>30037</v>
      </c>
      <c r="C90" s="140" t="s">
        <v>152</v>
      </c>
      <c r="D90" s="141"/>
      <c r="E90" s="141"/>
      <c r="F90" s="141"/>
      <c r="G90" s="142"/>
      <c r="H90" s="134">
        <v>30037</v>
      </c>
      <c r="I90" s="388">
        <v>1</v>
      </c>
      <c r="J90" s="134">
        <v>289.88</v>
      </c>
      <c r="K90" s="135">
        <f t="shared" si="5"/>
        <v>257.60000000000002</v>
      </c>
      <c r="L90" s="136">
        <v>4.83</v>
      </c>
      <c r="M90" s="135">
        <v>6</v>
      </c>
      <c r="N90" s="147">
        <f t="shared" si="6"/>
        <v>7465.25</v>
      </c>
    </row>
    <row r="91" spans="2:14" x14ac:dyDescent="0.25">
      <c r="B91" s="133">
        <v>30036</v>
      </c>
      <c r="C91" s="140" t="s">
        <v>153</v>
      </c>
      <c r="D91" s="141"/>
      <c r="E91" s="141"/>
      <c r="F91" s="141"/>
      <c r="G91" s="142"/>
      <c r="H91" s="134">
        <v>30036</v>
      </c>
      <c r="I91" s="388">
        <v>1</v>
      </c>
      <c r="J91" s="134">
        <v>170.36</v>
      </c>
      <c r="K91" s="135">
        <f t="shared" si="5"/>
        <v>257.60000000000002</v>
      </c>
      <c r="L91" s="136">
        <v>2.83</v>
      </c>
      <c r="M91" s="135">
        <v>2</v>
      </c>
      <c r="N91" s="147">
        <f t="shared" si="6"/>
        <v>1458.02</v>
      </c>
    </row>
    <row r="92" spans="2:14" x14ac:dyDescent="0.25">
      <c r="B92" s="133">
        <v>30035</v>
      </c>
      <c r="C92" s="140" t="s">
        <v>154</v>
      </c>
      <c r="D92" s="141"/>
      <c r="E92" s="141"/>
      <c r="F92" s="141"/>
      <c r="G92" s="142"/>
      <c r="H92" s="134">
        <v>30035</v>
      </c>
      <c r="I92" s="388">
        <v>1</v>
      </c>
      <c r="J92" s="134">
        <v>241.19</v>
      </c>
      <c r="K92" s="135">
        <f t="shared" si="5"/>
        <v>257.60000000000002</v>
      </c>
      <c r="L92" s="136">
        <v>4.01</v>
      </c>
      <c r="M92" s="135">
        <v>2</v>
      </c>
      <c r="N92" s="147">
        <f t="shared" si="6"/>
        <v>2065.9499999999998</v>
      </c>
    </row>
    <row r="93" spans="2:14" hidden="1" x14ac:dyDescent="0.25">
      <c r="B93" s="133">
        <v>30125</v>
      </c>
      <c r="C93" s="140" t="s">
        <v>155</v>
      </c>
      <c r="D93" s="141"/>
      <c r="E93" s="141"/>
      <c r="F93" s="141"/>
      <c r="G93" s="142"/>
      <c r="H93" s="134">
        <v>30125</v>
      </c>
      <c r="I93" s="388">
        <v>1</v>
      </c>
      <c r="J93" s="134">
        <v>275.74</v>
      </c>
      <c r="K93" s="135">
        <f t="shared" si="5"/>
        <v>257.60000000000002</v>
      </c>
      <c r="L93" s="136">
        <v>4.59</v>
      </c>
      <c r="M93" s="135"/>
      <c r="N93" s="147">
        <f t="shared" si="6"/>
        <v>0</v>
      </c>
    </row>
    <row r="94" spans="2:14" hidden="1" x14ac:dyDescent="0.25">
      <c r="B94" s="133">
        <v>30110</v>
      </c>
      <c r="C94" s="140" t="s">
        <v>156</v>
      </c>
      <c r="D94" s="141"/>
      <c r="E94" s="141"/>
      <c r="F94" s="141"/>
      <c r="G94" s="142"/>
      <c r="H94" s="134">
        <v>30110</v>
      </c>
      <c r="I94" s="388">
        <v>1</v>
      </c>
      <c r="J94" s="134">
        <v>479.81</v>
      </c>
      <c r="K94" s="135">
        <f t="shared" si="5"/>
        <v>257.60000000000002</v>
      </c>
      <c r="L94" s="136">
        <v>7.99</v>
      </c>
      <c r="M94" s="135"/>
      <c r="N94" s="147">
        <f t="shared" si="6"/>
        <v>0</v>
      </c>
    </row>
    <row r="95" spans="2:14" hidden="1" x14ac:dyDescent="0.25">
      <c r="B95" s="133">
        <v>30120</v>
      </c>
      <c r="C95" s="140" t="s">
        <v>157</v>
      </c>
      <c r="D95" s="141"/>
      <c r="E95" s="141"/>
      <c r="F95" s="141"/>
      <c r="G95" s="142"/>
      <c r="H95" s="134">
        <v>30120</v>
      </c>
      <c r="I95" s="388">
        <v>1</v>
      </c>
      <c r="J95" s="134">
        <v>423.41</v>
      </c>
      <c r="K95" s="135">
        <f t="shared" si="5"/>
        <v>257.60000000000002</v>
      </c>
      <c r="L95" s="136">
        <v>4.05</v>
      </c>
      <c r="M95" s="135"/>
      <c r="N95" s="147">
        <f t="shared" si="6"/>
        <v>0</v>
      </c>
    </row>
    <row r="96" spans="2:14" x14ac:dyDescent="0.25">
      <c r="B96" s="133">
        <v>31062</v>
      </c>
      <c r="C96" s="140" t="s">
        <v>158</v>
      </c>
      <c r="D96" s="141"/>
      <c r="E96" s="141"/>
      <c r="F96" s="141"/>
      <c r="G96" s="142"/>
      <c r="H96" s="134">
        <v>31062</v>
      </c>
      <c r="I96" s="388">
        <v>1</v>
      </c>
      <c r="J96" s="134">
        <v>238.6</v>
      </c>
      <c r="K96" s="135">
        <f t="shared" si="5"/>
        <v>257.60000000000002</v>
      </c>
      <c r="L96" s="136">
        <v>3.97</v>
      </c>
      <c r="M96" s="135">
        <v>2</v>
      </c>
      <c r="N96" s="147">
        <f t="shared" si="6"/>
        <v>2045.34</v>
      </c>
    </row>
    <row r="97" spans="2:14" hidden="1" x14ac:dyDescent="0.25">
      <c r="B97" s="133">
        <v>30053</v>
      </c>
      <c r="C97" s="140" t="s">
        <v>159</v>
      </c>
      <c r="D97" s="141"/>
      <c r="E97" s="141"/>
      <c r="F97" s="141"/>
      <c r="G97" s="142"/>
      <c r="H97" s="134">
        <v>30053</v>
      </c>
      <c r="I97" s="388">
        <v>1</v>
      </c>
      <c r="J97" s="134">
        <v>286.99</v>
      </c>
      <c r="K97" s="135">
        <f t="shared" si="5"/>
        <v>257.60000000000002</v>
      </c>
      <c r="L97" s="136">
        <v>4.78</v>
      </c>
      <c r="M97" s="135"/>
      <c r="N97" s="147">
        <f t="shared" si="6"/>
        <v>0</v>
      </c>
    </row>
    <row r="98" spans="2:14" hidden="1" x14ac:dyDescent="0.25">
      <c r="B98" s="133">
        <v>30049</v>
      </c>
      <c r="C98" s="140" t="s">
        <v>160</v>
      </c>
      <c r="D98" s="141"/>
      <c r="E98" s="141"/>
      <c r="F98" s="141"/>
      <c r="G98" s="142"/>
      <c r="H98" s="134">
        <v>30049</v>
      </c>
      <c r="I98" s="388">
        <v>1</v>
      </c>
      <c r="J98" s="134">
        <v>306.20999999999998</v>
      </c>
      <c r="K98" s="135">
        <f t="shared" si="5"/>
        <v>257.60000000000002</v>
      </c>
      <c r="L98" s="136">
        <v>5.0999999999999996</v>
      </c>
      <c r="M98" s="135"/>
      <c r="N98" s="147">
        <f t="shared" si="6"/>
        <v>0</v>
      </c>
    </row>
    <row r="99" spans="2:14" hidden="1" x14ac:dyDescent="0.25">
      <c r="B99" s="133">
        <v>30040</v>
      </c>
      <c r="C99" s="140" t="s">
        <v>161</v>
      </c>
      <c r="D99" s="141"/>
      <c r="E99" s="141"/>
      <c r="F99" s="141"/>
      <c r="G99" s="142"/>
      <c r="H99" s="134">
        <v>30040</v>
      </c>
      <c r="I99" s="388">
        <v>1</v>
      </c>
      <c r="J99" s="134">
        <v>288.25</v>
      </c>
      <c r="K99" s="135">
        <f t="shared" si="5"/>
        <v>257.60000000000002</v>
      </c>
      <c r="L99" s="136">
        <v>4.8</v>
      </c>
      <c r="M99" s="135"/>
      <c r="N99" s="147">
        <f t="shared" si="6"/>
        <v>0</v>
      </c>
    </row>
    <row r="100" spans="2:14" hidden="1" x14ac:dyDescent="0.25">
      <c r="B100" s="133">
        <v>30039</v>
      </c>
      <c r="C100" s="140" t="s">
        <v>162</v>
      </c>
      <c r="D100" s="141"/>
      <c r="E100" s="141"/>
      <c r="F100" s="141"/>
      <c r="G100" s="142"/>
      <c r="H100" s="134">
        <v>30039</v>
      </c>
      <c r="I100" s="388">
        <v>1</v>
      </c>
      <c r="J100" s="134">
        <v>217.35</v>
      </c>
      <c r="K100" s="135">
        <f t="shared" si="5"/>
        <v>257.60000000000002</v>
      </c>
      <c r="L100" s="136">
        <v>3.62</v>
      </c>
      <c r="M100" s="135"/>
      <c r="N100" s="147">
        <f t="shared" si="6"/>
        <v>0</v>
      </c>
    </row>
    <row r="101" spans="2:14" hidden="1" x14ac:dyDescent="0.25">
      <c r="B101" s="133">
        <v>30021</v>
      </c>
      <c r="C101" s="140" t="s">
        <v>163</v>
      </c>
      <c r="D101" s="141"/>
      <c r="E101" s="141"/>
      <c r="F101" s="141"/>
      <c r="G101" s="142"/>
      <c r="H101" s="134">
        <v>30021</v>
      </c>
      <c r="I101" s="388">
        <v>1</v>
      </c>
      <c r="J101" s="134">
        <v>229.19</v>
      </c>
      <c r="K101" s="135">
        <f t="shared" si="5"/>
        <v>257.60000000000002</v>
      </c>
      <c r="L101" s="136">
        <v>3.81</v>
      </c>
      <c r="M101" s="135"/>
      <c r="N101" s="147">
        <f t="shared" si="6"/>
        <v>0</v>
      </c>
    </row>
    <row r="102" spans="2:14" hidden="1" x14ac:dyDescent="0.25">
      <c r="B102" s="133">
        <v>30030</v>
      </c>
      <c r="C102" s="140" t="s">
        <v>164</v>
      </c>
      <c r="D102" s="141"/>
      <c r="E102" s="141"/>
      <c r="F102" s="141"/>
      <c r="G102" s="142"/>
      <c r="H102" s="134">
        <v>30030</v>
      </c>
      <c r="I102" s="388">
        <v>1</v>
      </c>
      <c r="J102" s="134">
        <v>632.08000000000004</v>
      </c>
      <c r="K102" s="135">
        <f t="shared" si="5"/>
        <v>257.60000000000002</v>
      </c>
      <c r="L102" s="136">
        <v>10.53</v>
      </c>
      <c r="M102" s="135"/>
      <c r="N102" s="136">
        <f t="shared" si="6"/>
        <v>0</v>
      </c>
    </row>
    <row r="103" spans="2:14" ht="15" customHeight="1" x14ac:dyDescent="0.25">
      <c r="B103" s="650" t="s">
        <v>165</v>
      </c>
      <c r="C103" s="651"/>
      <c r="D103" s="651"/>
      <c r="E103" s="651"/>
      <c r="F103" s="651"/>
      <c r="G103" s="651"/>
      <c r="H103" s="651"/>
      <c r="I103" s="651"/>
      <c r="J103" s="651"/>
      <c r="K103" s="651"/>
      <c r="L103" s="651"/>
      <c r="M103" s="651"/>
      <c r="N103" s="652"/>
    </row>
    <row r="104" spans="2:14" hidden="1" x14ac:dyDescent="0.25">
      <c r="B104" s="133">
        <v>30010</v>
      </c>
      <c r="C104" s="140" t="s">
        <v>166</v>
      </c>
      <c r="D104" s="141"/>
      <c r="E104" s="141"/>
      <c r="F104" s="141"/>
      <c r="G104" s="142"/>
      <c r="H104" s="134">
        <v>30105</v>
      </c>
      <c r="I104" s="388">
        <v>0.5</v>
      </c>
      <c r="J104" s="134">
        <v>369.19</v>
      </c>
      <c r="K104" s="135">
        <f t="shared" ref="K104:K130" si="7">$C$81</f>
        <v>257.60000000000002</v>
      </c>
      <c r="L104" s="136">
        <v>3.07</v>
      </c>
      <c r="M104" s="135"/>
      <c r="N104" s="136">
        <f>ROUND(J104*K104*M104,2)</f>
        <v>0</v>
      </c>
    </row>
    <row r="105" spans="2:14" x14ac:dyDescent="0.25">
      <c r="B105" s="133">
        <v>30007</v>
      </c>
      <c r="C105" s="140" t="s">
        <v>167</v>
      </c>
      <c r="D105" s="141"/>
      <c r="E105" s="141"/>
      <c r="F105" s="141"/>
      <c r="G105" s="142"/>
      <c r="H105" s="134">
        <v>30105</v>
      </c>
      <c r="I105" s="388">
        <v>0.5</v>
      </c>
      <c r="J105" s="134">
        <f>+$J$104</f>
        <v>369.19</v>
      </c>
      <c r="K105" s="135">
        <f t="shared" si="7"/>
        <v>257.60000000000002</v>
      </c>
      <c r="L105" s="136">
        <v>3.07</v>
      </c>
      <c r="M105" s="135">
        <v>2</v>
      </c>
      <c r="N105" s="147">
        <f t="shared" ref="N105:N130" si="8">ROUND(K105*L105*M105,2)</f>
        <v>1581.66</v>
      </c>
    </row>
    <row r="106" spans="2:14" x14ac:dyDescent="0.25">
      <c r="B106" s="133">
        <v>30011</v>
      </c>
      <c r="C106" s="140" t="s">
        <v>168</v>
      </c>
      <c r="D106" s="141"/>
      <c r="E106" s="141"/>
      <c r="F106" s="141"/>
      <c r="G106" s="142"/>
      <c r="H106" s="134">
        <v>30105</v>
      </c>
      <c r="I106" s="388">
        <v>1</v>
      </c>
      <c r="J106" s="134">
        <f t="shared" ref="J106:J130" si="9">+$J$104</f>
        <v>369.19</v>
      </c>
      <c r="K106" s="135">
        <f t="shared" si="7"/>
        <v>257.60000000000002</v>
      </c>
      <c r="L106" s="136">
        <v>6.15</v>
      </c>
      <c r="M106" s="135">
        <v>1</v>
      </c>
      <c r="N106" s="147">
        <f t="shared" si="8"/>
        <v>1584.24</v>
      </c>
    </row>
    <row r="107" spans="2:14" hidden="1" x14ac:dyDescent="0.25">
      <c r="B107" s="133">
        <v>30057</v>
      </c>
      <c r="C107" s="140" t="s">
        <v>169</v>
      </c>
      <c r="D107" s="141"/>
      <c r="E107" s="141"/>
      <c r="F107" s="141"/>
      <c r="G107" s="142"/>
      <c r="H107" s="134">
        <v>30105</v>
      </c>
      <c r="I107" s="388">
        <v>1</v>
      </c>
      <c r="J107" s="134">
        <f t="shared" si="9"/>
        <v>369.19</v>
      </c>
      <c r="K107" s="135">
        <f t="shared" si="7"/>
        <v>257.60000000000002</v>
      </c>
      <c r="L107" s="136">
        <v>6.15</v>
      </c>
      <c r="M107" s="135"/>
      <c r="N107" s="147">
        <f t="shared" si="8"/>
        <v>0</v>
      </c>
    </row>
    <row r="108" spans="2:14" hidden="1" x14ac:dyDescent="0.25">
      <c r="B108" s="133">
        <v>30019</v>
      </c>
      <c r="C108" s="140" t="s">
        <v>170</v>
      </c>
      <c r="D108" s="141"/>
      <c r="E108" s="141"/>
      <c r="F108" s="141"/>
      <c r="G108" s="142"/>
      <c r="H108" s="134">
        <v>30105</v>
      </c>
      <c r="I108" s="388">
        <v>1</v>
      </c>
      <c r="J108" s="134">
        <f t="shared" si="9"/>
        <v>369.19</v>
      </c>
      <c r="K108" s="135">
        <f t="shared" si="7"/>
        <v>257.60000000000002</v>
      </c>
      <c r="L108" s="136">
        <v>6.15</v>
      </c>
      <c r="M108" s="135"/>
      <c r="N108" s="147">
        <f t="shared" si="8"/>
        <v>0</v>
      </c>
    </row>
    <row r="109" spans="2:14" hidden="1" x14ac:dyDescent="0.25">
      <c r="B109" s="133">
        <v>30158</v>
      </c>
      <c r="C109" s="140" t="s">
        <v>171</v>
      </c>
      <c r="D109" s="141"/>
      <c r="E109" s="141"/>
      <c r="F109" s="141"/>
      <c r="G109" s="142"/>
      <c r="H109" s="134">
        <v>30105</v>
      </c>
      <c r="I109" s="388">
        <v>0.33</v>
      </c>
      <c r="J109" s="134">
        <f t="shared" si="9"/>
        <v>369.19</v>
      </c>
      <c r="K109" s="135">
        <f t="shared" si="7"/>
        <v>257.60000000000002</v>
      </c>
      <c r="L109" s="136">
        <v>2.0299999999999998</v>
      </c>
      <c r="M109" s="135"/>
      <c r="N109" s="147">
        <f t="shared" si="8"/>
        <v>0</v>
      </c>
    </row>
    <row r="110" spans="2:14" hidden="1" x14ac:dyDescent="0.25">
      <c r="B110" s="133">
        <v>30058</v>
      </c>
      <c r="C110" s="140" t="s">
        <v>172</v>
      </c>
      <c r="D110" s="141"/>
      <c r="E110" s="141"/>
      <c r="F110" s="141"/>
      <c r="G110" s="142"/>
      <c r="H110" s="134">
        <v>30105</v>
      </c>
      <c r="I110" s="388">
        <v>0.33</v>
      </c>
      <c r="J110" s="134">
        <f t="shared" si="9"/>
        <v>369.19</v>
      </c>
      <c r="K110" s="135">
        <f t="shared" si="7"/>
        <v>257.60000000000002</v>
      </c>
      <c r="L110" s="136">
        <v>2.0299999999999998</v>
      </c>
      <c r="M110" s="135"/>
      <c r="N110" s="147">
        <f t="shared" si="8"/>
        <v>0</v>
      </c>
    </row>
    <row r="111" spans="2:14" hidden="1" x14ac:dyDescent="0.25">
      <c r="B111" s="133">
        <v>30046</v>
      </c>
      <c r="C111" s="140" t="s">
        <v>173</v>
      </c>
      <c r="D111" s="141"/>
      <c r="E111" s="141"/>
      <c r="F111" s="141"/>
      <c r="G111" s="142"/>
      <c r="H111" s="134">
        <v>30105</v>
      </c>
      <c r="I111" s="388">
        <v>1</v>
      </c>
      <c r="J111" s="134">
        <f t="shared" si="9"/>
        <v>369.19</v>
      </c>
      <c r="K111" s="135">
        <f t="shared" si="7"/>
        <v>257.60000000000002</v>
      </c>
      <c r="L111" s="136">
        <v>6.15</v>
      </c>
      <c r="M111" s="135"/>
      <c r="N111" s="147">
        <f t="shared" si="8"/>
        <v>0</v>
      </c>
    </row>
    <row r="112" spans="2:14" hidden="1" x14ac:dyDescent="0.25">
      <c r="B112" s="133">
        <v>30170</v>
      </c>
      <c r="C112" s="140" t="s">
        <v>174</v>
      </c>
      <c r="D112" s="141"/>
      <c r="E112" s="141"/>
      <c r="F112" s="141"/>
      <c r="G112" s="142"/>
      <c r="H112" s="134">
        <v>30105</v>
      </c>
      <c r="I112" s="388">
        <v>1</v>
      </c>
      <c r="J112" s="134">
        <f t="shared" si="9"/>
        <v>369.19</v>
      </c>
      <c r="K112" s="135">
        <f t="shared" si="7"/>
        <v>257.60000000000002</v>
      </c>
      <c r="L112" s="136">
        <v>6.15</v>
      </c>
      <c r="M112" s="135"/>
      <c r="N112" s="147">
        <f t="shared" si="8"/>
        <v>0</v>
      </c>
    </row>
    <row r="113" spans="2:14" hidden="1" x14ac:dyDescent="0.25">
      <c r="B113" s="133">
        <v>30029</v>
      </c>
      <c r="C113" s="140" t="s">
        <v>175</v>
      </c>
      <c r="D113" s="141"/>
      <c r="E113" s="141"/>
      <c r="F113" s="141"/>
      <c r="G113" s="142"/>
      <c r="H113" s="134">
        <v>30105</v>
      </c>
      <c r="I113" s="388">
        <v>0.5</v>
      </c>
      <c r="J113" s="134">
        <f t="shared" si="9"/>
        <v>369.19</v>
      </c>
      <c r="K113" s="135">
        <f t="shared" si="7"/>
        <v>257.60000000000002</v>
      </c>
      <c r="L113" s="136">
        <v>3.07</v>
      </c>
      <c r="M113" s="135"/>
      <c r="N113" s="147">
        <f t="shared" si="8"/>
        <v>0</v>
      </c>
    </row>
    <row r="114" spans="2:14" hidden="1" x14ac:dyDescent="0.25">
      <c r="B114" s="133">
        <v>30101</v>
      </c>
      <c r="C114" s="140" t="s">
        <v>176</v>
      </c>
      <c r="D114" s="141"/>
      <c r="E114" s="141"/>
      <c r="F114" s="141"/>
      <c r="G114" s="142"/>
      <c r="H114" s="134">
        <v>30105</v>
      </c>
      <c r="I114" s="388">
        <v>1</v>
      </c>
      <c r="J114" s="134">
        <f t="shared" si="9"/>
        <v>369.19</v>
      </c>
      <c r="K114" s="135">
        <f t="shared" si="7"/>
        <v>257.60000000000002</v>
      </c>
      <c r="L114" s="136">
        <v>6.15</v>
      </c>
      <c r="M114" s="135"/>
      <c r="N114" s="147">
        <f t="shared" si="8"/>
        <v>0</v>
      </c>
    </row>
    <row r="115" spans="2:14" x14ac:dyDescent="0.25">
      <c r="B115" s="133">
        <v>30008</v>
      </c>
      <c r="C115" s="140" t="s">
        <v>177</v>
      </c>
      <c r="D115" s="141"/>
      <c r="E115" s="141"/>
      <c r="F115" s="141"/>
      <c r="G115" s="142"/>
      <c r="H115" s="134">
        <v>30105</v>
      </c>
      <c r="I115" s="388">
        <v>0.5</v>
      </c>
      <c r="J115" s="134">
        <f t="shared" si="9"/>
        <v>369.19</v>
      </c>
      <c r="K115" s="135">
        <f t="shared" si="7"/>
        <v>257.60000000000002</v>
      </c>
      <c r="L115" s="136">
        <v>3.07</v>
      </c>
      <c r="M115" s="135">
        <v>1</v>
      </c>
      <c r="N115" s="147">
        <f t="shared" si="8"/>
        <v>790.83</v>
      </c>
    </row>
    <row r="116" spans="2:14" hidden="1" x14ac:dyDescent="0.25">
      <c r="B116" s="133">
        <v>30015</v>
      </c>
      <c r="C116" s="140" t="s">
        <v>178</v>
      </c>
      <c r="D116" s="141"/>
      <c r="E116" s="141"/>
      <c r="F116" s="141"/>
      <c r="G116" s="142"/>
      <c r="H116" s="134">
        <v>30105</v>
      </c>
      <c r="I116" s="388">
        <v>0.5</v>
      </c>
      <c r="J116" s="134">
        <f t="shared" si="9"/>
        <v>369.19</v>
      </c>
      <c r="K116" s="135">
        <f t="shared" si="7"/>
        <v>257.60000000000002</v>
      </c>
      <c r="L116" s="136">
        <v>3.07</v>
      </c>
      <c r="M116" s="135"/>
      <c r="N116" s="147">
        <f t="shared" si="8"/>
        <v>0</v>
      </c>
    </row>
    <row r="117" spans="2:14" hidden="1" x14ac:dyDescent="0.25">
      <c r="B117" s="133">
        <v>30012</v>
      </c>
      <c r="C117" s="140" t="s">
        <v>179</v>
      </c>
      <c r="D117" s="141"/>
      <c r="E117" s="141"/>
      <c r="F117" s="141"/>
      <c r="G117" s="142"/>
      <c r="H117" s="134">
        <v>30105</v>
      </c>
      <c r="I117" s="388">
        <v>0.5</v>
      </c>
      <c r="J117" s="134">
        <f t="shared" si="9"/>
        <v>369.19</v>
      </c>
      <c r="K117" s="135">
        <f t="shared" si="7"/>
        <v>257.60000000000002</v>
      </c>
      <c r="L117" s="136">
        <v>3.07</v>
      </c>
      <c r="M117" s="135"/>
      <c r="N117" s="147">
        <f t="shared" si="8"/>
        <v>0</v>
      </c>
    </row>
    <row r="118" spans="2:14" hidden="1" x14ac:dyDescent="0.25">
      <c r="B118" s="133">
        <v>30014</v>
      </c>
      <c r="C118" s="140" t="s">
        <v>180</v>
      </c>
      <c r="D118" s="141"/>
      <c r="E118" s="141"/>
      <c r="F118" s="141"/>
      <c r="G118" s="142"/>
      <c r="H118" s="134">
        <v>30105</v>
      </c>
      <c r="I118" s="388">
        <v>0.5</v>
      </c>
      <c r="J118" s="134">
        <f t="shared" si="9"/>
        <v>369.19</v>
      </c>
      <c r="K118" s="135">
        <f t="shared" si="7"/>
        <v>257.60000000000002</v>
      </c>
      <c r="L118" s="136">
        <v>3.07</v>
      </c>
      <c r="M118" s="135"/>
      <c r="N118" s="147">
        <f t="shared" si="8"/>
        <v>0</v>
      </c>
    </row>
    <row r="119" spans="2:14" hidden="1" x14ac:dyDescent="0.25">
      <c r="B119" s="133">
        <v>30009</v>
      </c>
      <c r="C119" s="140" t="s">
        <v>181</v>
      </c>
      <c r="D119" s="141"/>
      <c r="E119" s="141"/>
      <c r="F119" s="141"/>
      <c r="G119" s="142"/>
      <c r="H119" s="134">
        <v>30105</v>
      </c>
      <c r="I119" s="388">
        <v>0.5</v>
      </c>
      <c r="J119" s="134">
        <f t="shared" si="9"/>
        <v>369.19</v>
      </c>
      <c r="K119" s="135">
        <f t="shared" si="7"/>
        <v>257.60000000000002</v>
      </c>
      <c r="L119" s="136">
        <v>3.07</v>
      </c>
      <c r="M119" s="135"/>
      <c r="N119" s="147">
        <f t="shared" si="8"/>
        <v>0</v>
      </c>
    </row>
    <row r="120" spans="2:14" hidden="1" x14ac:dyDescent="0.25">
      <c r="B120" s="133">
        <v>30020</v>
      </c>
      <c r="C120" s="140" t="s">
        <v>182</v>
      </c>
      <c r="D120" s="141"/>
      <c r="E120" s="141"/>
      <c r="F120" s="141"/>
      <c r="G120" s="142"/>
      <c r="H120" s="134">
        <v>30105</v>
      </c>
      <c r="I120" s="388">
        <v>1</v>
      </c>
      <c r="J120" s="134">
        <f t="shared" si="9"/>
        <v>369.19</v>
      </c>
      <c r="K120" s="135">
        <f t="shared" si="7"/>
        <v>257.60000000000002</v>
      </c>
      <c r="L120" s="136">
        <v>6.15</v>
      </c>
      <c r="M120" s="135"/>
      <c r="N120" s="147">
        <f t="shared" si="8"/>
        <v>0</v>
      </c>
    </row>
    <row r="121" spans="2:14" hidden="1" x14ac:dyDescent="0.25">
      <c r="B121" s="133">
        <v>30005</v>
      </c>
      <c r="C121" s="140" t="s">
        <v>183</v>
      </c>
      <c r="D121" s="141"/>
      <c r="E121" s="141"/>
      <c r="F121" s="141"/>
      <c r="G121" s="142"/>
      <c r="H121" s="134">
        <v>30105</v>
      </c>
      <c r="I121" s="388">
        <v>0.5</v>
      </c>
      <c r="J121" s="134">
        <f t="shared" si="9"/>
        <v>369.19</v>
      </c>
      <c r="K121" s="135">
        <f t="shared" si="7"/>
        <v>257.60000000000002</v>
      </c>
      <c r="L121" s="136">
        <v>3.07</v>
      </c>
      <c r="M121" s="135"/>
      <c r="N121" s="147">
        <f t="shared" si="8"/>
        <v>0</v>
      </c>
    </row>
    <row r="122" spans="2:14" hidden="1" x14ac:dyDescent="0.25">
      <c r="B122" s="133">
        <v>30006</v>
      </c>
      <c r="C122" s="140" t="s">
        <v>184</v>
      </c>
      <c r="D122" s="141"/>
      <c r="E122" s="141"/>
      <c r="F122" s="141"/>
      <c r="G122" s="142"/>
      <c r="H122" s="134">
        <v>30105</v>
      </c>
      <c r="I122" s="388">
        <v>0.5</v>
      </c>
      <c r="J122" s="134">
        <f t="shared" si="9"/>
        <v>369.19</v>
      </c>
      <c r="K122" s="135">
        <f t="shared" si="7"/>
        <v>257.60000000000002</v>
      </c>
      <c r="L122" s="136">
        <v>3.07</v>
      </c>
      <c r="M122" s="135"/>
      <c r="N122" s="147">
        <f t="shared" si="8"/>
        <v>0</v>
      </c>
    </row>
    <row r="123" spans="2:14" hidden="1" x14ac:dyDescent="0.25">
      <c r="B123" s="133">
        <v>30001</v>
      </c>
      <c r="C123" s="140" t="s">
        <v>185</v>
      </c>
      <c r="D123" s="141"/>
      <c r="E123" s="141"/>
      <c r="F123" s="141"/>
      <c r="G123" s="142"/>
      <c r="H123" s="134">
        <v>30105</v>
      </c>
      <c r="I123" s="388">
        <v>1</v>
      </c>
      <c r="J123" s="134">
        <f t="shared" si="9"/>
        <v>369.19</v>
      </c>
      <c r="K123" s="135">
        <f t="shared" si="7"/>
        <v>257.60000000000002</v>
      </c>
      <c r="L123" s="136">
        <v>6.15</v>
      </c>
      <c r="M123" s="135"/>
      <c r="N123" s="147">
        <f t="shared" si="8"/>
        <v>0</v>
      </c>
    </row>
    <row r="124" spans="2:14" hidden="1" x14ac:dyDescent="0.25">
      <c r="B124" s="133">
        <v>30002</v>
      </c>
      <c r="C124" s="140" t="s">
        <v>186</v>
      </c>
      <c r="D124" s="141"/>
      <c r="E124" s="141"/>
      <c r="F124" s="141"/>
      <c r="G124" s="142"/>
      <c r="H124" s="134">
        <v>30105</v>
      </c>
      <c r="I124" s="388">
        <v>1</v>
      </c>
      <c r="J124" s="134">
        <f t="shared" si="9"/>
        <v>369.19</v>
      </c>
      <c r="K124" s="135">
        <f t="shared" si="7"/>
        <v>257.60000000000002</v>
      </c>
      <c r="L124" s="136">
        <v>6.15</v>
      </c>
      <c r="M124" s="135"/>
      <c r="N124" s="147">
        <f t="shared" si="8"/>
        <v>0</v>
      </c>
    </row>
    <row r="125" spans="2:14" hidden="1" x14ac:dyDescent="0.25">
      <c r="B125" s="133">
        <v>30059</v>
      </c>
      <c r="C125" s="140" t="s">
        <v>187</v>
      </c>
      <c r="D125" s="141"/>
      <c r="E125" s="141"/>
      <c r="F125" s="141"/>
      <c r="G125" s="142"/>
      <c r="H125" s="134">
        <v>30105</v>
      </c>
      <c r="I125" s="388">
        <v>0.5</v>
      </c>
      <c r="J125" s="134">
        <f t="shared" si="9"/>
        <v>369.19</v>
      </c>
      <c r="K125" s="135">
        <f t="shared" si="7"/>
        <v>257.60000000000002</v>
      </c>
      <c r="L125" s="136">
        <v>3.05</v>
      </c>
      <c r="M125" s="135"/>
      <c r="N125" s="147">
        <f t="shared" si="8"/>
        <v>0</v>
      </c>
    </row>
    <row r="126" spans="2:14" hidden="1" x14ac:dyDescent="0.25">
      <c r="B126" s="133">
        <v>30000</v>
      </c>
      <c r="C126" s="140" t="s">
        <v>188</v>
      </c>
      <c r="D126" s="141"/>
      <c r="E126" s="141"/>
      <c r="F126" s="141"/>
      <c r="G126" s="142"/>
      <c r="H126" s="134">
        <v>30105</v>
      </c>
      <c r="I126" s="388">
        <v>0.5</v>
      </c>
      <c r="J126" s="134">
        <f t="shared" si="9"/>
        <v>369.19</v>
      </c>
      <c r="K126" s="135">
        <f t="shared" si="7"/>
        <v>257.60000000000002</v>
      </c>
      <c r="L126" s="136">
        <v>3.05</v>
      </c>
      <c r="M126" s="135"/>
      <c r="N126" s="147">
        <f t="shared" si="8"/>
        <v>0</v>
      </c>
    </row>
    <row r="127" spans="2:14" hidden="1" x14ac:dyDescent="0.25">
      <c r="B127" s="133">
        <v>30025</v>
      </c>
      <c r="C127" s="140" t="s">
        <v>189</v>
      </c>
      <c r="D127" s="141"/>
      <c r="E127" s="141"/>
      <c r="F127" s="141"/>
      <c r="G127" s="142"/>
      <c r="H127" s="134">
        <v>30105</v>
      </c>
      <c r="I127" s="388">
        <v>3</v>
      </c>
      <c r="J127" s="134">
        <f t="shared" si="9"/>
        <v>369.19</v>
      </c>
      <c r="K127" s="135">
        <f t="shared" si="7"/>
        <v>257.60000000000002</v>
      </c>
      <c r="L127" s="136">
        <v>18.45</v>
      </c>
      <c r="M127" s="135"/>
      <c r="N127" s="147">
        <f t="shared" si="8"/>
        <v>0</v>
      </c>
    </row>
    <row r="128" spans="2:14" hidden="1" x14ac:dyDescent="0.25">
      <c r="B128" s="133">
        <v>30016</v>
      </c>
      <c r="C128" s="140" t="s">
        <v>190</v>
      </c>
      <c r="D128" s="141"/>
      <c r="E128" s="141"/>
      <c r="F128" s="141"/>
      <c r="G128" s="142"/>
      <c r="H128" s="134">
        <v>30105</v>
      </c>
      <c r="I128" s="388">
        <v>2</v>
      </c>
      <c r="J128" s="134">
        <f t="shared" si="9"/>
        <v>369.19</v>
      </c>
      <c r="K128" s="135">
        <f t="shared" si="7"/>
        <v>257.60000000000002</v>
      </c>
      <c r="L128" s="136">
        <v>12.3</v>
      </c>
      <c r="M128" s="135"/>
      <c r="N128" s="147">
        <f t="shared" si="8"/>
        <v>0</v>
      </c>
    </row>
    <row r="129" spans="2:14" hidden="1" x14ac:dyDescent="0.25">
      <c r="B129" s="133">
        <v>30024</v>
      </c>
      <c r="C129" s="140" t="s">
        <v>191</v>
      </c>
      <c r="D129" s="141"/>
      <c r="E129" s="141"/>
      <c r="F129" s="141"/>
      <c r="G129" s="142"/>
      <c r="H129" s="134">
        <v>30105</v>
      </c>
      <c r="I129" s="388">
        <v>1</v>
      </c>
      <c r="J129" s="134">
        <f t="shared" si="9"/>
        <v>369.19</v>
      </c>
      <c r="K129" s="135">
        <f t="shared" si="7"/>
        <v>257.60000000000002</v>
      </c>
      <c r="L129" s="136">
        <v>6.15</v>
      </c>
      <c r="M129" s="135"/>
      <c r="N129" s="147">
        <f t="shared" si="8"/>
        <v>0</v>
      </c>
    </row>
    <row r="130" spans="2:14" hidden="1" x14ac:dyDescent="0.25">
      <c r="B130" s="137">
        <v>30023</v>
      </c>
      <c r="C130" s="143" t="s">
        <v>192</v>
      </c>
      <c r="D130" s="144"/>
      <c r="E130" s="144"/>
      <c r="F130" s="144"/>
      <c r="G130" s="145"/>
      <c r="H130" s="138">
        <v>30105</v>
      </c>
      <c r="I130" s="389">
        <v>0.5</v>
      </c>
      <c r="J130" s="134">
        <f t="shared" si="9"/>
        <v>369.19</v>
      </c>
      <c r="K130" s="135">
        <f t="shared" si="7"/>
        <v>257.60000000000002</v>
      </c>
      <c r="L130" s="136">
        <v>3.07</v>
      </c>
      <c r="M130" s="139"/>
      <c r="N130" s="148">
        <f t="shared" si="8"/>
        <v>0</v>
      </c>
    </row>
    <row r="131" spans="2:14" ht="13.5" customHeight="1" x14ac:dyDescent="0.25">
      <c r="B131" s="653" t="s">
        <v>193</v>
      </c>
      <c r="C131" s="653"/>
      <c r="D131" s="653"/>
      <c r="E131" s="653"/>
      <c r="F131" s="653"/>
      <c r="G131" s="653"/>
      <c r="H131" s="653"/>
      <c r="I131" s="653"/>
      <c r="J131" s="653"/>
      <c r="K131" s="653"/>
      <c r="L131" s="653"/>
      <c r="M131" s="152"/>
      <c r="N131" s="160">
        <f>SUM(N89:N102,N105:N130)</f>
        <v>16991.29</v>
      </c>
    </row>
    <row r="132" spans="2:14" ht="38.25" x14ac:dyDescent="0.25">
      <c r="B132" s="633" t="s">
        <v>194</v>
      </c>
      <c r="C132" s="633"/>
      <c r="D132" s="633"/>
      <c r="E132" s="633"/>
      <c r="F132" s="633"/>
      <c r="G132" s="633"/>
      <c r="H132" s="633"/>
      <c r="I132" s="633"/>
      <c r="J132" s="633"/>
      <c r="K132" s="149" t="s">
        <v>195</v>
      </c>
      <c r="L132" s="149" t="s">
        <v>207</v>
      </c>
      <c r="M132" s="149" t="s">
        <v>208</v>
      </c>
      <c r="N132" s="149" t="s">
        <v>196</v>
      </c>
    </row>
    <row r="133" spans="2:14" x14ac:dyDescent="0.25">
      <c r="B133" s="150" t="s">
        <v>197</v>
      </c>
      <c r="C133" s="151" t="s">
        <v>198</v>
      </c>
      <c r="D133" s="152"/>
      <c r="E133" s="152"/>
      <c r="F133" s="152"/>
      <c r="G133" s="152"/>
      <c r="H133" s="150"/>
      <c r="I133" s="150"/>
      <c r="J133" s="153"/>
      <c r="K133" s="154"/>
      <c r="L133" s="155">
        <v>105.44</v>
      </c>
      <c r="M133" s="156"/>
      <c r="N133" s="155">
        <f>K133*L133*M133</f>
        <v>0</v>
      </c>
    </row>
    <row r="134" spans="2:14" x14ac:dyDescent="0.25">
      <c r="B134" s="30"/>
      <c r="C134" s="30"/>
      <c r="D134" s="30"/>
      <c r="E134" s="30"/>
      <c r="F134" s="634" t="s">
        <v>199</v>
      </c>
      <c r="G134" s="634"/>
      <c r="H134" s="634"/>
      <c r="I134" s="634"/>
      <c r="J134" s="634"/>
      <c r="K134" s="634"/>
      <c r="L134" s="634"/>
      <c r="M134" s="634"/>
      <c r="N134" s="157">
        <f>SUM(N133)</f>
        <v>0</v>
      </c>
    </row>
    <row r="135" spans="2:14" x14ac:dyDescent="0.25">
      <c r="B135" s="635" t="s">
        <v>211</v>
      </c>
      <c r="C135" s="638">
        <f>128.8*2</f>
        <v>257.60000000000002</v>
      </c>
      <c r="D135" s="639"/>
      <c r="E135" s="644" t="s">
        <v>210</v>
      </c>
      <c r="F135" s="647" t="s">
        <v>200</v>
      </c>
      <c r="G135" s="647"/>
      <c r="H135" s="647"/>
      <c r="I135" s="647"/>
      <c r="J135" s="647"/>
      <c r="K135" s="647"/>
      <c r="L135" s="647"/>
      <c r="M135" s="647"/>
      <c r="N135" s="158">
        <f>N131+N134</f>
        <v>16991.29</v>
      </c>
    </row>
    <row r="136" spans="2:14" x14ac:dyDescent="0.25">
      <c r="B136" s="636"/>
      <c r="C136" s="640"/>
      <c r="D136" s="641"/>
      <c r="E136" s="645"/>
      <c r="F136" s="647" t="s">
        <v>209</v>
      </c>
      <c r="G136" s="647"/>
      <c r="H136" s="647"/>
      <c r="I136" s="647"/>
      <c r="J136" s="647"/>
      <c r="K136" s="647"/>
      <c r="L136" s="647"/>
      <c r="M136" s="647"/>
      <c r="N136" s="158">
        <f>N135*0</f>
        <v>0</v>
      </c>
    </row>
    <row r="137" spans="2:14" x14ac:dyDescent="0.25">
      <c r="B137" s="636"/>
      <c r="C137" s="640"/>
      <c r="D137" s="641"/>
      <c r="E137" s="645"/>
      <c r="F137" s="647" t="s">
        <v>201</v>
      </c>
      <c r="G137" s="647"/>
      <c r="H137" s="647"/>
      <c r="I137" s="647"/>
      <c r="J137" s="647"/>
      <c r="K137" s="647"/>
      <c r="L137" s="647"/>
      <c r="M137" s="647"/>
      <c r="N137" s="158">
        <f>SUM(N135:N136)</f>
        <v>16991.29</v>
      </c>
    </row>
    <row r="138" spans="2:14" x14ac:dyDescent="0.25">
      <c r="B138" s="637"/>
      <c r="C138" s="642"/>
      <c r="D138" s="643"/>
      <c r="E138" s="646"/>
      <c r="F138" s="648" t="s">
        <v>202</v>
      </c>
      <c r="G138" s="648"/>
      <c r="H138" s="648"/>
      <c r="I138" s="648"/>
      <c r="J138" s="648"/>
      <c r="K138" s="648"/>
      <c r="L138" s="648"/>
      <c r="M138" s="648"/>
      <c r="N138" s="159">
        <f>N137*2</f>
        <v>33982.58</v>
      </c>
    </row>
  </sheetData>
  <mergeCells count="33">
    <mergeCell ref="B77:L77"/>
    <mergeCell ref="B78:J78"/>
    <mergeCell ref="F80:M80"/>
    <mergeCell ref="B81:B84"/>
    <mergeCell ref="C81:D84"/>
    <mergeCell ref="E81:E84"/>
    <mergeCell ref="F81:M81"/>
    <mergeCell ref="F82:M82"/>
    <mergeCell ref="F83:M83"/>
    <mergeCell ref="F84:M84"/>
    <mergeCell ref="B33:G33"/>
    <mergeCell ref="B34:N34"/>
    <mergeCell ref="B49:N49"/>
    <mergeCell ref="B1:O2"/>
    <mergeCell ref="B21:K21"/>
    <mergeCell ref="B31:K31"/>
    <mergeCell ref="B14:K14"/>
    <mergeCell ref="B26:K26"/>
    <mergeCell ref="D27:N27"/>
    <mergeCell ref="B85:K85"/>
    <mergeCell ref="B87:G87"/>
    <mergeCell ref="B88:N88"/>
    <mergeCell ref="B103:N103"/>
    <mergeCell ref="B131:L131"/>
    <mergeCell ref="B132:J132"/>
    <mergeCell ref="F134:M134"/>
    <mergeCell ref="B135:B138"/>
    <mergeCell ref="C135:D138"/>
    <mergeCell ref="E135:E138"/>
    <mergeCell ref="F135:M135"/>
    <mergeCell ref="F136:M136"/>
    <mergeCell ref="F137:M137"/>
    <mergeCell ref="F138:M138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906B-2826-4625-9EE4-538860DD1A52}">
  <dimension ref="B1:O31"/>
  <sheetViews>
    <sheetView showGridLines="0" showZeros="0" view="pageBreakPreview" topLeftCell="A7" zoomScaleNormal="100" zoomScaleSheetLayoutView="100" workbookViewId="0">
      <selection activeCell="D9" sqref="D9"/>
    </sheetView>
  </sheetViews>
  <sheetFormatPr defaultColWidth="9.140625" defaultRowHeight="13.5" x14ac:dyDescent="0.25"/>
  <cols>
    <col min="1" max="1" width="1.7109375" style="75" customWidth="1"/>
    <col min="2" max="2" width="10.5703125" style="75" customWidth="1"/>
    <col min="3" max="3" width="11" style="75" customWidth="1"/>
    <col min="4" max="4" width="9.7109375" style="75" bestFit="1" customWidth="1"/>
    <col min="5" max="5" width="10.7109375" style="75" customWidth="1"/>
    <col min="6" max="6" width="12.42578125" style="75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2:15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15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15" s="65" customFormat="1" ht="20.100000000000001" customHeight="1" x14ac:dyDescent="0.25"/>
    <row r="4" spans="2:15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</row>
    <row r="5" spans="2:15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M5" s="3" t="s">
        <v>17</v>
      </c>
      <c r="N5" s="4" t="str">
        <f>'DADOS DA OBRA'!$N$25</f>
        <v>02</v>
      </c>
    </row>
    <row r="6" spans="2:15" s="5" customFormat="1" ht="20.100000000000001" customHeight="1" x14ac:dyDescent="0.25"/>
    <row r="7" spans="2:15" s="5" customFormat="1" ht="20.100000000000001" customHeight="1" x14ac:dyDescent="0.25">
      <c r="B7" s="1" t="s">
        <v>63</v>
      </c>
      <c r="C7" s="38" t="s">
        <v>106</v>
      </c>
      <c r="M7" s="3"/>
      <c r="N7" s="62"/>
    </row>
    <row r="8" spans="2:15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15" s="30" customFormat="1" ht="20.100000000000001" customHeight="1" x14ac:dyDescent="0.25">
      <c r="B9" s="101" t="s">
        <v>100</v>
      </c>
      <c r="C9" s="103">
        <v>4518</v>
      </c>
      <c r="D9" s="30" t="s">
        <v>848</v>
      </c>
      <c r="M9" s="101"/>
      <c r="N9" s="102"/>
    </row>
    <row r="10" spans="2:15" s="30" customFormat="1" ht="24" customHeight="1" x14ac:dyDescent="0.25">
      <c r="C10" s="101"/>
      <c r="G10" s="122" t="s">
        <v>90</v>
      </c>
      <c r="H10" s="326" t="s">
        <v>79</v>
      </c>
      <c r="I10" s="326" t="s">
        <v>80</v>
      </c>
      <c r="J10" s="326" t="s">
        <v>86</v>
      </c>
      <c r="M10" s="101"/>
      <c r="N10" s="102"/>
    </row>
    <row r="11" spans="2:15" s="30" customFormat="1" ht="20.100000000000001" customHeight="1" thickBot="1" x14ac:dyDescent="0.3">
      <c r="C11" s="101"/>
      <c r="G11" s="340" t="s">
        <v>849</v>
      </c>
      <c r="H11" s="342">
        <v>115</v>
      </c>
      <c r="I11" s="342">
        <v>20</v>
      </c>
      <c r="J11" s="379">
        <f>+H11*I11</f>
        <v>2300</v>
      </c>
      <c r="L11" s="119"/>
      <c r="M11" s="101"/>
      <c r="N11" s="102"/>
    </row>
    <row r="12" spans="2:15" s="30" customFormat="1" ht="20.100000000000001" customHeight="1" x14ac:dyDescent="0.25">
      <c r="C12" s="101"/>
      <c r="I12" s="131" t="s">
        <v>34</v>
      </c>
      <c r="J12" s="380">
        <f>+J11</f>
        <v>2300</v>
      </c>
      <c r="K12" s="350" t="s">
        <v>93</v>
      </c>
      <c r="L12" s="119"/>
      <c r="M12" s="101"/>
      <c r="N12" s="102"/>
    </row>
    <row r="13" spans="2:15" ht="20.100000000000001" customHeight="1" x14ac:dyDescent="0.25">
      <c r="B13" s="625"/>
      <c r="C13" s="625"/>
      <c r="D13" s="625"/>
      <c r="E13" s="625"/>
      <c r="F13" s="625"/>
      <c r="G13" s="625"/>
      <c r="H13" s="625"/>
      <c r="I13" s="625"/>
      <c r="J13" s="625"/>
      <c r="K13" s="625"/>
      <c r="N13" s="76"/>
    </row>
    <row r="14" spans="2:15" ht="20.100000000000001" customHeight="1" x14ac:dyDescent="0.25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N14" s="76"/>
    </row>
    <row r="15" spans="2:15" s="30" customFormat="1" ht="20.100000000000001" customHeight="1" x14ac:dyDescent="0.25">
      <c r="B15" s="101" t="s">
        <v>91</v>
      </c>
      <c r="C15" s="103" t="s">
        <v>851</v>
      </c>
      <c r="D15" s="30" t="s">
        <v>850</v>
      </c>
      <c r="M15" s="101"/>
      <c r="N15" s="102"/>
    </row>
    <row r="16" spans="2:15" s="30" customFormat="1" ht="24" customHeight="1" x14ac:dyDescent="0.25">
      <c r="C16" s="101"/>
      <c r="G16" s="122" t="s">
        <v>90</v>
      </c>
      <c r="H16" s="326"/>
      <c r="I16" s="326"/>
      <c r="J16" s="326" t="s">
        <v>77</v>
      </c>
      <c r="M16" s="101"/>
      <c r="N16" s="102"/>
    </row>
    <row r="17" spans="2:14" s="30" customFormat="1" ht="20.100000000000001" customHeight="1" thickBot="1" x14ac:dyDescent="0.3">
      <c r="C17" s="101"/>
      <c r="G17" s="340" t="s">
        <v>849</v>
      </c>
      <c r="H17" s="342"/>
      <c r="I17" s="342"/>
      <c r="J17" s="379">
        <v>80</v>
      </c>
      <c r="L17" s="119"/>
      <c r="M17" s="101"/>
      <c r="N17" s="102"/>
    </row>
    <row r="18" spans="2:14" s="30" customFormat="1" ht="20.100000000000001" customHeight="1" x14ac:dyDescent="0.25">
      <c r="C18" s="101"/>
      <c r="I18" s="131" t="s">
        <v>34</v>
      </c>
      <c r="J18" s="380">
        <f>+J17</f>
        <v>80</v>
      </c>
      <c r="K18" s="350" t="s">
        <v>73</v>
      </c>
      <c r="L18" s="119"/>
      <c r="M18" s="101"/>
      <c r="N18" s="102"/>
    </row>
    <row r="19" spans="2:14" ht="20.100000000000001" customHeight="1" x14ac:dyDescent="0.25"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N19" s="76"/>
    </row>
    <row r="20" spans="2:14" ht="20.100000000000001" customHeight="1" x14ac:dyDescent="0.25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N20" s="76"/>
    </row>
    <row r="21" spans="2:14" s="30" customFormat="1" ht="24.95" customHeight="1" x14ac:dyDescent="0.25">
      <c r="B21" s="101" t="s">
        <v>289</v>
      </c>
      <c r="C21" s="103">
        <v>97017</v>
      </c>
      <c r="D21" s="624" t="s">
        <v>852</v>
      </c>
      <c r="E21" s="624"/>
      <c r="F21" s="624"/>
      <c r="G21" s="624"/>
      <c r="H21" s="624"/>
      <c r="I21" s="624"/>
      <c r="J21" s="624"/>
      <c r="K21" s="624"/>
      <c r="L21" s="624"/>
      <c r="M21" s="624"/>
      <c r="N21" s="624"/>
    </row>
    <row r="22" spans="2:14" s="30" customFormat="1" ht="24" customHeight="1" x14ac:dyDescent="0.25">
      <c r="C22" s="101"/>
      <c r="G22" s="122" t="s">
        <v>90</v>
      </c>
      <c r="H22" s="326" t="s">
        <v>99</v>
      </c>
      <c r="I22" s="326" t="s">
        <v>77</v>
      </c>
      <c r="J22" s="326" t="s">
        <v>77</v>
      </c>
      <c r="M22" s="101"/>
      <c r="N22" s="102"/>
    </row>
    <row r="23" spans="2:14" s="30" customFormat="1" ht="20.100000000000001" customHeight="1" thickBot="1" x14ac:dyDescent="0.3">
      <c r="C23" s="101"/>
      <c r="G23" s="340" t="s">
        <v>849</v>
      </c>
      <c r="H23" s="342">
        <v>3</v>
      </c>
      <c r="I23" s="342">
        <v>150</v>
      </c>
      <c r="J23" s="379">
        <f>+H23*I23</f>
        <v>450</v>
      </c>
      <c r="L23" s="119"/>
      <c r="M23" s="101"/>
      <c r="N23" s="102"/>
    </row>
    <row r="24" spans="2:14" s="30" customFormat="1" ht="20.100000000000001" customHeight="1" x14ac:dyDescent="0.25">
      <c r="C24" s="101"/>
      <c r="I24" s="131" t="s">
        <v>34</v>
      </c>
      <c r="J24" s="380">
        <f>+J23</f>
        <v>450</v>
      </c>
      <c r="K24" s="350" t="s">
        <v>73</v>
      </c>
      <c r="L24" s="119"/>
      <c r="M24" s="101"/>
      <c r="N24" s="102"/>
    </row>
    <row r="25" spans="2:14" ht="20.100000000000001" customHeight="1" x14ac:dyDescent="0.25">
      <c r="B25" s="625"/>
      <c r="C25" s="625"/>
      <c r="D25" s="625"/>
      <c r="E25" s="625"/>
      <c r="F25" s="625"/>
      <c r="G25" s="625"/>
      <c r="H25" s="625"/>
      <c r="I25" s="625"/>
      <c r="J25" s="625"/>
      <c r="K25" s="625"/>
      <c r="N25" s="76"/>
    </row>
    <row r="26" spans="2:14" s="30" customFormat="1" ht="24.95" customHeight="1" x14ac:dyDescent="0.25">
      <c r="B26" s="101" t="s">
        <v>853</v>
      </c>
      <c r="C26" s="103" t="s">
        <v>854</v>
      </c>
      <c r="D26" s="624" t="s">
        <v>855</v>
      </c>
      <c r="E26" s="624"/>
      <c r="F26" s="624"/>
      <c r="G26" s="624"/>
      <c r="H26" s="624"/>
      <c r="I26" s="624"/>
      <c r="J26" s="624"/>
      <c r="K26" s="624"/>
      <c r="L26" s="624"/>
      <c r="M26" s="624"/>
      <c r="N26" s="624"/>
    </row>
    <row r="27" spans="2:14" s="30" customFormat="1" ht="24" customHeight="1" x14ac:dyDescent="0.25">
      <c r="C27" s="101"/>
      <c r="G27" s="122" t="s">
        <v>90</v>
      </c>
      <c r="H27" s="326" t="s">
        <v>99</v>
      </c>
      <c r="I27" s="326" t="s">
        <v>77</v>
      </c>
      <c r="J27" s="326" t="s">
        <v>77</v>
      </c>
      <c r="M27" s="101"/>
      <c r="N27" s="102"/>
    </row>
    <row r="28" spans="2:14" s="30" customFormat="1" ht="20.100000000000001" customHeight="1" thickBot="1" x14ac:dyDescent="0.3">
      <c r="C28" s="101"/>
      <c r="G28" s="340" t="s">
        <v>849</v>
      </c>
      <c r="H28" s="342">
        <v>1</v>
      </c>
      <c r="I28" s="342">
        <v>157</v>
      </c>
      <c r="J28" s="379">
        <f>+H28*I28</f>
        <v>157</v>
      </c>
      <c r="L28" s="119"/>
      <c r="M28" s="101"/>
      <c r="N28" s="102"/>
    </row>
    <row r="29" spans="2:14" s="30" customFormat="1" ht="20.100000000000001" customHeight="1" x14ac:dyDescent="0.25">
      <c r="C29" s="101"/>
      <c r="I29" s="131" t="s">
        <v>34</v>
      </c>
      <c r="J29" s="380">
        <f>+J28</f>
        <v>157</v>
      </c>
      <c r="K29" s="350" t="s">
        <v>73</v>
      </c>
      <c r="L29" s="119"/>
      <c r="M29" s="101"/>
      <c r="N29" s="102"/>
    </row>
    <row r="30" spans="2:14" s="30" customFormat="1" ht="20.100000000000001" customHeight="1" x14ac:dyDescent="0.25">
      <c r="C30" s="101"/>
      <c r="F30" s="118"/>
      <c r="G30" s="123"/>
      <c r="H30" s="116"/>
      <c r="I30" s="116"/>
      <c r="K30" s="118"/>
      <c r="L30" s="119"/>
      <c r="M30" s="101"/>
      <c r="N30" s="102"/>
    </row>
    <row r="31" spans="2:14" ht="20.100000000000001" customHeight="1" x14ac:dyDescent="0.25"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N31" s="76"/>
    </row>
  </sheetData>
  <mergeCells count="8">
    <mergeCell ref="B1:O2"/>
    <mergeCell ref="B8:K8"/>
    <mergeCell ref="B31:K31"/>
    <mergeCell ref="B13:K13"/>
    <mergeCell ref="B19:K19"/>
    <mergeCell ref="D21:N21"/>
    <mergeCell ref="B25:K25"/>
    <mergeCell ref="D26:N26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72BB-C01E-4292-ACD2-C1194CE55B15}">
  <dimension ref="A1:O14"/>
  <sheetViews>
    <sheetView showGridLines="0" showZeros="0" view="pageBreakPreview" zoomScaleNormal="100" zoomScaleSheetLayoutView="100" workbookViewId="0">
      <selection activeCell="B9" sqref="B9"/>
    </sheetView>
  </sheetViews>
  <sheetFormatPr defaultColWidth="9.140625" defaultRowHeight="13.5" x14ac:dyDescent="0.25"/>
  <cols>
    <col min="1" max="1" width="1.7109375" style="75" customWidth="1"/>
    <col min="2" max="2" width="10.5703125" style="75" customWidth="1"/>
    <col min="3" max="3" width="11" style="75" customWidth="1"/>
    <col min="4" max="4" width="9.7109375" style="75" bestFit="1" customWidth="1"/>
    <col min="5" max="5" width="10.7109375" style="75" customWidth="1"/>
    <col min="6" max="6" width="12.42578125" style="75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1:15" s="65" customFormat="1" ht="20.100000000000001" customHeight="1" x14ac:dyDescent="0.25">
      <c r="A1" s="427">
        <f>$J$12</f>
        <v>10000</v>
      </c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1:15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s="65" customFormat="1" ht="20.100000000000001" customHeight="1" x14ac:dyDescent="0.25"/>
    <row r="4" spans="1:15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</row>
    <row r="5" spans="1:15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M5" s="3" t="s">
        <v>17</v>
      </c>
      <c r="N5" s="4" t="str">
        <f>'DADOS DA OBRA'!$N$25</f>
        <v>02</v>
      </c>
    </row>
    <row r="6" spans="1:15" s="5" customFormat="1" ht="20.100000000000001" customHeight="1" x14ac:dyDescent="0.25"/>
    <row r="7" spans="1:15" s="5" customFormat="1" ht="20.100000000000001" customHeight="1" x14ac:dyDescent="0.25">
      <c r="B7" s="1" t="s">
        <v>63</v>
      </c>
      <c r="C7" s="38" t="s">
        <v>106</v>
      </c>
      <c r="M7" s="3"/>
      <c r="N7" s="62"/>
    </row>
    <row r="8" spans="1:15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1:15" s="30" customFormat="1" ht="20.100000000000001" customHeight="1" x14ac:dyDescent="0.25">
      <c r="B9" s="101" t="s">
        <v>91</v>
      </c>
      <c r="C9" s="103" t="s">
        <v>108</v>
      </c>
      <c r="D9" s="30" t="s">
        <v>107</v>
      </c>
      <c r="M9" s="101"/>
      <c r="N9" s="102"/>
    </row>
    <row r="10" spans="1:15" s="30" customFormat="1" ht="24" customHeight="1" x14ac:dyDescent="0.25">
      <c r="C10" s="101"/>
      <c r="G10" s="122" t="s">
        <v>90</v>
      </c>
      <c r="H10" s="326" t="s">
        <v>79</v>
      </c>
      <c r="I10" s="326" t="s">
        <v>80</v>
      </c>
      <c r="J10" s="326" t="s">
        <v>86</v>
      </c>
      <c r="M10" s="101"/>
      <c r="N10" s="102"/>
    </row>
    <row r="11" spans="1:15" s="30" customFormat="1" ht="20.100000000000001" customHeight="1" thickBot="1" x14ac:dyDescent="0.3">
      <c r="C11" s="101"/>
      <c r="G11" s="340" t="s">
        <v>845</v>
      </c>
      <c r="H11" s="342">
        <v>100</v>
      </c>
      <c r="I11" s="342">
        <v>100</v>
      </c>
      <c r="J11" s="379">
        <f>+H11*I11</f>
        <v>10000</v>
      </c>
      <c r="L11" s="119"/>
      <c r="M11" s="101"/>
      <c r="N11" s="102"/>
    </row>
    <row r="12" spans="1:15" s="30" customFormat="1" ht="20.100000000000001" customHeight="1" x14ac:dyDescent="0.25">
      <c r="C12" s="101"/>
      <c r="I12" s="131" t="s">
        <v>34</v>
      </c>
      <c r="J12" s="380">
        <f>+J11</f>
        <v>10000</v>
      </c>
      <c r="K12" s="350" t="s">
        <v>93</v>
      </c>
      <c r="L12" s="119"/>
      <c r="M12" s="101"/>
      <c r="N12" s="102"/>
    </row>
    <row r="13" spans="1:15" s="30" customFormat="1" ht="20.100000000000001" customHeight="1" x14ac:dyDescent="0.25">
      <c r="C13" s="101"/>
      <c r="F13" s="118"/>
      <c r="G13" s="123"/>
      <c r="H13" s="116"/>
      <c r="I13" s="116"/>
      <c r="K13" s="118"/>
      <c r="L13" s="119"/>
      <c r="M13" s="101"/>
      <c r="N13" s="102"/>
    </row>
    <row r="14" spans="1:15" ht="20.100000000000001" customHeight="1" x14ac:dyDescent="0.25"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N14" s="76"/>
    </row>
  </sheetData>
  <mergeCells count="3">
    <mergeCell ref="B1:O2"/>
    <mergeCell ref="B8:K8"/>
    <mergeCell ref="B14:K14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0E2F-ADC1-4FE9-9226-8205920444F3}">
  <dimension ref="A1:T63"/>
  <sheetViews>
    <sheetView showGridLines="0" showZeros="0" view="pageBreakPreview" zoomScale="115" zoomScaleNormal="100" zoomScaleSheetLayoutView="115" workbookViewId="0">
      <selection activeCell="B9" sqref="B9:B10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0.7109375" style="75" customWidth="1"/>
    <col min="6" max="6" width="12.42578125" style="75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1:20" s="65" customFormat="1" ht="20.100000000000001" customHeight="1" x14ac:dyDescent="0.25">
      <c r="A1" s="353" t="s">
        <v>626</v>
      </c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1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20" s="65" customFormat="1" ht="20.100000000000001" customHeight="1" x14ac:dyDescent="0.25"/>
    <row r="4" spans="1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1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M5" s="3" t="s">
        <v>17</v>
      </c>
      <c r="N5" s="4" t="str">
        <f>'DADOS DA OBRA'!$N$25</f>
        <v>02</v>
      </c>
    </row>
    <row r="6" spans="1:20" s="5" customFormat="1" ht="20.100000000000001" customHeight="1" x14ac:dyDescent="0.25"/>
    <row r="7" spans="1:20" s="5" customFormat="1" ht="20.100000000000001" customHeight="1" x14ac:dyDescent="0.25">
      <c r="B7" s="1" t="s">
        <v>63</v>
      </c>
      <c r="C7" s="38" t="s">
        <v>739</v>
      </c>
      <c r="L7" s="1"/>
      <c r="M7" s="38"/>
      <c r="N7" s="62"/>
    </row>
    <row r="8" spans="1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1:20" ht="20.100000000000001" customHeight="1" x14ac:dyDescent="0.25">
      <c r="B9" s="101" t="s">
        <v>100</v>
      </c>
      <c r="C9" s="103" t="s">
        <v>727</v>
      </c>
      <c r="D9" s="30" t="s">
        <v>759</v>
      </c>
      <c r="E9" s="30"/>
      <c r="F9" s="30"/>
      <c r="G9" s="30"/>
      <c r="H9" s="30"/>
      <c r="I9" s="120"/>
      <c r="J9" s="120"/>
      <c r="K9" s="120"/>
      <c r="N9" s="76"/>
    </row>
    <row r="10" spans="1:20" s="30" customFormat="1" ht="20.100000000000001" customHeight="1" x14ac:dyDescent="0.25">
      <c r="B10" s="101" t="s">
        <v>91</v>
      </c>
      <c r="C10" s="103" t="s">
        <v>717</v>
      </c>
      <c r="D10" s="30" t="s">
        <v>716</v>
      </c>
      <c r="M10" s="101"/>
      <c r="N10" s="102"/>
    </row>
    <row r="11" spans="1:20" s="30" customFormat="1" ht="24" customHeight="1" x14ac:dyDescent="0.25">
      <c r="E11" s="327" t="s">
        <v>90</v>
      </c>
      <c r="F11" s="327" t="s">
        <v>44</v>
      </c>
      <c r="G11" s="327" t="s">
        <v>718</v>
      </c>
      <c r="H11" s="327" t="s">
        <v>45</v>
      </c>
      <c r="I11" s="328" t="s">
        <v>79</v>
      </c>
      <c r="J11" s="328" t="s">
        <v>81</v>
      </c>
      <c r="K11" s="328" t="s">
        <v>719</v>
      </c>
      <c r="L11" s="328" t="s">
        <v>720</v>
      </c>
      <c r="M11" s="101"/>
    </row>
    <row r="12" spans="1:20" s="30" customFormat="1" ht="17.100000000000001" customHeight="1" x14ac:dyDescent="0.25">
      <c r="E12" s="329" t="s">
        <v>721</v>
      </c>
      <c r="F12" s="329" t="s">
        <v>729</v>
      </c>
      <c r="G12" s="329" t="s">
        <v>726</v>
      </c>
      <c r="H12" s="330">
        <v>2</v>
      </c>
      <c r="I12" s="330">
        <v>2.8</v>
      </c>
      <c r="J12" s="330">
        <v>0.77</v>
      </c>
      <c r="K12" s="331">
        <f>+ROUND(H12*I12*J12,2)</f>
        <v>4.3099999999999996</v>
      </c>
      <c r="L12" s="332">
        <f>K12</f>
        <v>4.3099999999999996</v>
      </c>
      <c r="M12" s="116"/>
    </row>
    <row r="13" spans="1:20" s="30" customFormat="1" ht="17.100000000000001" customHeight="1" x14ac:dyDescent="0.25">
      <c r="E13" s="329" t="s">
        <v>721</v>
      </c>
      <c r="F13" s="329" t="s">
        <v>729</v>
      </c>
      <c r="G13" s="329" t="s">
        <v>726</v>
      </c>
      <c r="H13" s="330">
        <v>1</v>
      </c>
      <c r="I13" s="330">
        <v>1.3</v>
      </c>
      <c r="J13" s="330">
        <v>0.77</v>
      </c>
      <c r="K13" s="332">
        <f t="shared" ref="K13:K61" si="0">+ROUND(H13*I13*J13,2)</f>
        <v>1</v>
      </c>
      <c r="L13" s="332">
        <f t="shared" ref="L13:L43" si="1">K13</f>
        <v>1</v>
      </c>
      <c r="M13" s="116"/>
    </row>
    <row r="14" spans="1:20" s="30" customFormat="1" ht="17.100000000000001" customHeight="1" x14ac:dyDescent="0.25">
      <c r="E14" s="329" t="s">
        <v>721</v>
      </c>
      <c r="F14" s="329" t="s">
        <v>729</v>
      </c>
      <c r="G14" s="329" t="s">
        <v>726</v>
      </c>
      <c r="H14" s="330">
        <v>3</v>
      </c>
      <c r="I14" s="330">
        <v>2</v>
      </c>
      <c r="J14" s="330">
        <v>0.8</v>
      </c>
      <c r="K14" s="332">
        <f t="shared" si="0"/>
        <v>4.8</v>
      </c>
      <c r="L14" s="332">
        <f t="shared" si="1"/>
        <v>4.8</v>
      </c>
      <c r="M14" s="116"/>
    </row>
    <row r="15" spans="1:20" s="30" customFormat="1" ht="17.100000000000001" customHeight="1" x14ac:dyDescent="0.25">
      <c r="E15" s="329" t="s">
        <v>721</v>
      </c>
      <c r="F15" s="329" t="s">
        <v>729</v>
      </c>
      <c r="G15" s="329" t="s">
        <v>726</v>
      </c>
      <c r="H15" s="330">
        <v>1</v>
      </c>
      <c r="I15" s="330">
        <v>1.3</v>
      </c>
      <c r="J15" s="330">
        <v>0.8</v>
      </c>
      <c r="K15" s="332">
        <f t="shared" si="0"/>
        <v>1.04</v>
      </c>
      <c r="L15" s="332">
        <f t="shared" si="1"/>
        <v>1.04</v>
      </c>
      <c r="M15" s="116"/>
    </row>
    <row r="16" spans="1:20" s="30" customFormat="1" ht="17.100000000000001" customHeight="1" x14ac:dyDescent="0.25">
      <c r="E16" s="329" t="s">
        <v>721</v>
      </c>
      <c r="F16" s="329" t="s">
        <v>729</v>
      </c>
      <c r="G16" s="329" t="s">
        <v>726</v>
      </c>
      <c r="H16" s="330">
        <v>4</v>
      </c>
      <c r="I16" s="330">
        <v>1.4</v>
      </c>
      <c r="J16" s="330">
        <v>0.77</v>
      </c>
      <c r="K16" s="332">
        <f t="shared" si="0"/>
        <v>4.3099999999999996</v>
      </c>
      <c r="L16" s="332">
        <f t="shared" si="1"/>
        <v>4.3099999999999996</v>
      </c>
      <c r="M16" s="116"/>
    </row>
    <row r="17" spans="5:14" s="30" customFormat="1" ht="17.100000000000001" customHeight="1" x14ac:dyDescent="0.25">
      <c r="E17" s="329" t="s">
        <v>721</v>
      </c>
      <c r="F17" s="329" t="s">
        <v>729</v>
      </c>
      <c r="G17" s="329" t="s">
        <v>726</v>
      </c>
      <c r="H17" s="330">
        <v>9</v>
      </c>
      <c r="I17" s="330">
        <v>2.9</v>
      </c>
      <c r="J17" s="330">
        <v>0.9</v>
      </c>
      <c r="K17" s="332">
        <f t="shared" si="0"/>
        <v>23.49</v>
      </c>
      <c r="L17" s="332">
        <f t="shared" si="1"/>
        <v>23.49</v>
      </c>
      <c r="M17" s="116"/>
    </row>
    <row r="18" spans="5:14" s="30" customFormat="1" ht="17.100000000000001" customHeight="1" x14ac:dyDescent="0.25">
      <c r="E18" s="329" t="s">
        <v>721</v>
      </c>
      <c r="F18" s="329" t="s">
        <v>729</v>
      </c>
      <c r="G18" s="329" t="s">
        <v>726</v>
      </c>
      <c r="H18" s="330">
        <v>1</v>
      </c>
      <c r="I18" s="330">
        <v>5</v>
      </c>
      <c r="J18" s="330">
        <v>1.2</v>
      </c>
      <c r="K18" s="332">
        <f t="shared" si="0"/>
        <v>6</v>
      </c>
      <c r="L18" s="332">
        <f t="shared" si="1"/>
        <v>6</v>
      </c>
      <c r="M18" s="116"/>
    </row>
    <row r="19" spans="5:14" s="30" customFormat="1" ht="17.100000000000001" customHeight="1" x14ac:dyDescent="0.25">
      <c r="E19" s="329" t="s">
        <v>721</v>
      </c>
      <c r="F19" s="329" t="s">
        <v>729</v>
      </c>
      <c r="G19" s="329" t="s">
        <v>726</v>
      </c>
      <c r="H19" s="330">
        <v>4</v>
      </c>
      <c r="I19" s="330">
        <v>2.8</v>
      </c>
      <c r="J19" s="330">
        <v>0.8</v>
      </c>
      <c r="K19" s="332">
        <f t="shared" si="0"/>
        <v>8.9600000000000009</v>
      </c>
      <c r="L19" s="332">
        <f t="shared" si="1"/>
        <v>8.9600000000000009</v>
      </c>
      <c r="M19" s="116"/>
    </row>
    <row r="20" spans="5:14" s="30" customFormat="1" ht="17.100000000000001" customHeight="1" x14ac:dyDescent="0.25">
      <c r="E20" s="329" t="s">
        <v>721</v>
      </c>
      <c r="F20" s="329" t="s">
        <v>729</v>
      </c>
      <c r="G20" s="329" t="s">
        <v>726</v>
      </c>
      <c r="H20" s="330">
        <v>3</v>
      </c>
      <c r="I20" s="330">
        <v>1.4</v>
      </c>
      <c r="J20" s="330">
        <v>0.8</v>
      </c>
      <c r="K20" s="332">
        <f t="shared" si="0"/>
        <v>3.36</v>
      </c>
      <c r="L20" s="332">
        <f t="shared" si="1"/>
        <v>3.36</v>
      </c>
      <c r="M20" s="116"/>
    </row>
    <row r="21" spans="5:14" s="30" customFormat="1" ht="17.100000000000001" customHeight="1" x14ac:dyDescent="0.25">
      <c r="E21" s="329" t="s">
        <v>721</v>
      </c>
      <c r="F21" s="329" t="s">
        <v>729</v>
      </c>
      <c r="G21" s="329" t="s">
        <v>726</v>
      </c>
      <c r="H21" s="330">
        <v>2</v>
      </c>
      <c r="I21" s="330">
        <v>0.8</v>
      </c>
      <c r="J21" s="330">
        <v>3.4</v>
      </c>
      <c r="K21" s="332">
        <f t="shared" si="0"/>
        <v>5.44</v>
      </c>
      <c r="L21" s="332">
        <f t="shared" si="1"/>
        <v>5.44</v>
      </c>
      <c r="M21" s="116"/>
    </row>
    <row r="22" spans="5:14" s="30" customFormat="1" ht="17.100000000000001" customHeight="1" x14ac:dyDescent="0.25">
      <c r="E22" s="329" t="s">
        <v>721</v>
      </c>
      <c r="F22" s="329" t="s">
        <v>729</v>
      </c>
      <c r="G22" s="329" t="s">
        <v>726</v>
      </c>
      <c r="H22" s="330">
        <v>1</v>
      </c>
      <c r="I22" s="330">
        <v>2</v>
      </c>
      <c r="J22" s="330">
        <v>0.8</v>
      </c>
      <c r="K22" s="332">
        <f t="shared" si="0"/>
        <v>1.6</v>
      </c>
      <c r="L22" s="332">
        <f t="shared" si="1"/>
        <v>1.6</v>
      </c>
      <c r="M22" s="116"/>
    </row>
    <row r="23" spans="5:14" s="30" customFormat="1" ht="17.100000000000001" customHeight="1" x14ac:dyDescent="0.25">
      <c r="E23" s="329" t="s">
        <v>721</v>
      </c>
      <c r="F23" s="329" t="s">
        <v>729</v>
      </c>
      <c r="G23" s="329" t="s">
        <v>726</v>
      </c>
      <c r="H23" s="330">
        <v>2</v>
      </c>
      <c r="I23" s="330">
        <v>2.1</v>
      </c>
      <c r="J23" s="330">
        <v>1.2</v>
      </c>
      <c r="K23" s="332">
        <f t="shared" si="0"/>
        <v>5.04</v>
      </c>
      <c r="L23" s="332">
        <f t="shared" si="1"/>
        <v>5.04</v>
      </c>
      <c r="M23" s="116"/>
    </row>
    <row r="24" spans="5:14" s="30" customFormat="1" ht="17.100000000000001" customHeight="1" x14ac:dyDescent="0.25">
      <c r="E24" s="329" t="s">
        <v>721</v>
      </c>
      <c r="F24" s="329" t="s">
        <v>729</v>
      </c>
      <c r="G24" s="329" t="s">
        <v>726</v>
      </c>
      <c r="H24" s="330">
        <v>2</v>
      </c>
      <c r="I24" s="330">
        <v>4.5</v>
      </c>
      <c r="J24" s="330">
        <v>1.2</v>
      </c>
      <c r="K24" s="332">
        <f t="shared" si="0"/>
        <v>10.8</v>
      </c>
      <c r="L24" s="332">
        <f t="shared" si="1"/>
        <v>10.8</v>
      </c>
      <c r="M24" s="116"/>
    </row>
    <row r="25" spans="5:14" s="30" customFormat="1" ht="17.100000000000001" customHeight="1" x14ac:dyDescent="0.25">
      <c r="E25" s="329" t="s">
        <v>721</v>
      </c>
      <c r="F25" s="329" t="s">
        <v>729</v>
      </c>
      <c r="G25" s="329" t="s">
        <v>726</v>
      </c>
      <c r="H25" s="330">
        <v>2</v>
      </c>
      <c r="I25" s="330">
        <v>4.3</v>
      </c>
      <c r="J25" s="330">
        <v>1.2</v>
      </c>
      <c r="K25" s="332">
        <f t="shared" si="0"/>
        <v>10.32</v>
      </c>
      <c r="L25" s="332">
        <f t="shared" si="1"/>
        <v>10.32</v>
      </c>
      <c r="M25" s="116"/>
    </row>
    <row r="26" spans="5:14" s="30" customFormat="1" ht="17.100000000000001" customHeight="1" x14ac:dyDescent="0.25">
      <c r="E26" s="329" t="s">
        <v>721</v>
      </c>
      <c r="F26" s="329" t="s">
        <v>729</v>
      </c>
      <c r="G26" s="329" t="s">
        <v>726</v>
      </c>
      <c r="H26" s="330">
        <v>2</v>
      </c>
      <c r="I26" s="330">
        <v>2</v>
      </c>
      <c r="J26" s="330">
        <v>1</v>
      </c>
      <c r="K26" s="332">
        <f t="shared" si="0"/>
        <v>4</v>
      </c>
      <c r="L26" s="332">
        <f t="shared" si="1"/>
        <v>4</v>
      </c>
      <c r="M26" s="116"/>
      <c r="N26" s="119"/>
    </row>
    <row r="27" spans="5:14" s="30" customFormat="1" ht="17.100000000000001" customHeight="1" x14ac:dyDescent="0.25">
      <c r="E27" s="329" t="s">
        <v>721</v>
      </c>
      <c r="F27" s="329" t="s">
        <v>729</v>
      </c>
      <c r="G27" s="329" t="s">
        <v>726</v>
      </c>
      <c r="H27" s="330">
        <v>2</v>
      </c>
      <c r="I27" s="330">
        <v>3.5</v>
      </c>
      <c r="J27" s="330">
        <v>2</v>
      </c>
      <c r="K27" s="332">
        <f t="shared" si="0"/>
        <v>14</v>
      </c>
      <c r="L27" s="332">
        <f t="shared" si="1"/>
        <v>14</v>
      </c>
      <c r="M27" s="116"/>
    </row>
    <row r="28" spans="5:14" s="30" customFormat="1" ht="17.100000000000001" customHeight="1" x14ac:dyDescent="0.25">
      <c r="E28" s="329" t="s">
        <v>722</v>
      </c>
      <c r="F28" s="329" t="s">
        <v>729</v>
      </c>
      <c r="G28" s="329" t="s">
        <v>726</v>
      </c>
      <c r="H28" s="330">
        <v>2</v>
      </c>
      <c r="I28" s="330">
        <v>2</v>
      </c>
      <c r="J28" s="330">
        <v>0.77</v>
      </c>
      <c r="K28" s="332">
        <f t="shared" si="0"/>
        <v>3.08</v>
      </c>
      <c r="L28" s="332">
        <f t="shared" si="1"/>
        <v>3.08</v>
      </c>
      <c r="M28" s="116"/>
    </row>
    <row r="29" spans="5:14" s="30" customFormat="1" ht="17.100000000000001" customHeight="1" x14ac:dyDescent="0.25">
      <c r="E29" s="329" t="s">
        <v>722</v>
      </c>
      <c r="F29" s="329" t="s">
        <v>729</v>
      </c>
      <c r="G29" s="329" t="s">
        <v>726</v>
      </c>
      <c r="H29" s="330">
        <v>1</v>
      </c>
      <c r="I29" s="330">
        <v>0.6</v>
      </c>
      <c r="J29" s="330">
        <v>0.77</v>
      </c>
      <c r="K29" s="332">
        <f t="shared" si="0"/>
        <v>0.46</v>
      </c>
      <c r="L29" s="332">
        <f t="shared" si="1"/>
        <v>0.46</v>
      </c>
      <c r="M29" s="116"/>
    </row>
    <row r="30" spans="5:14" s="30" customFormat="1" ht="17.100000000000001" customHeight="1" x14ac:dyDescent="0.25">
      <c r="E30" s="329" t="s">
        <v>722</v>
      </c>
      <c r="F30" s="329" t="s">
        <v>729</v>
      </c>
      <c r="G30" s="329" t="s">
        <v>726</v>
      </c>
      <c r="H30" s="330">
        <v>6</v>
      </c>
      <c r="I30" s="330">
        <v>5</v>
      </c>
      <c r="J30" s="330">
        <v>1.5</v>
      </c>
      <c r="K30" s="332">
        <f t="shared" si="0"/>
        <v>45</v>
      </c>
      <c r="L30" s="332">
        <f t="shared" si="1"/>
        <v>45</v>
      </c>
      <c r="M30" s="116"/>
      <c r="N30" s="119"/>
    </row>
    <row r="31" spans="5:14" s="30" customFormat="1" ht="17.100000000000001" customHeight="1" x14ac:dyDescent="0.25">
      <c r="E31" s="329" t="s">
        <v>722</v>
      </c>
      <c r="F31" s="329" t="s">
        <v>729</v>
      </c>
      <c r="G31" s="329" t="s">
        <v>726</v>
      </c>
      <c r="H31" s="330">
        <v>13</v>
      </c>
      <c r="I31" s="330">
        <v>2.4</v>
      </c>
      <c r="J31" s="330">
        <v>0.7</v>
      </c>
      <c r="K31" s="332">
        <f t="shared" si="0"/>
        <v>21.84</v>
      </c>
      <c r="L31" s="332">
        <f t="shared" si="1"/>
        <v>21.84</v>
      </c>
      <c r="M31" s="116"/>
    </row>
    <row r="32" spans="5:14" s="30" customFormat="1" ht="17.100000000000001" customHeight="1" x14ac:dyDescent="0.25">
      <c r="E32" s="329" t="s">
        <v>722</v>
      </c>
      <c r="F32" s="329" t="s">
        <v>729</v>
      </c>
      <c r="G32" s="329" t="s">
        <v>726</v>
      </c>
      <c r="H32" s="330">
        <v>4</v>
      </c>
      <c r="I32" s="330">
        <v>2.4</v>
      </c>
      <c r="J32" s="330">
        <v>0.6</v>
      </c>
      <c r="K32" s="332">
        <f t="shared" si="0"/>
        <v>5.76</v>
      </c>
      <c r="L32" s="332">
        <f t="shared" si="1"/>
        <v>5.76</v>
      </c>
      <c r="M32" s="116"/>
    </row>
    <row r="33" spans="5:14" s="30" customFormat="1" ht="17.100000000000001" customHeight="1" x14ac:dyDescent="0.25">
      <c r="E33" s="329" t="s">
        <v>722</v>
      </c>
      <c r="F33" s="329" t="s">
        <v>729</v>
      </c>
      <c r="G33" s="329" t="s">
        <v>726</v>
      </c>
      <c r="H33" s="330">
        <v>5</v>
      </c>
      <c r="I33" s="330">
        <v>2</v>
      </c>
      <c r="J33" s="330">
        <v>0.6</v>
      </c>
      <c r="K33" s="332">
        <f t="shared" si="0"/>
        <v>6</v>
      </c>
      <c r="L33" s="332">
        <f t="shared" si="1"/>
        <v>6</v>
      </c>
      <c r="M33" s="116"/>
    </row>
    <row r="34" spans="5:14" s="30" customFormat="1" ht="17.100000000000001" customHeight="1" x14ac:dyDescent="0.25">
      <c r="E34" s="329" t="s">
        <v>723</v>
      </c>
      <c r="F34" s="329" t="s">
        <v>729</v>
      </c>
      <c r="G34" s="329" t="s">
        <v>726</v>
      </c>
      <c r="H34" s="330">
        <v>1</v>
      </c>
      <c r="I34" s="330">
        <v>1.25</v>
      </c>
      <c r="J34" s="330">
        <v>0.77</v>
      </c>
      <c r="K34" s="332">
        <f t="shared" si="0"/>
        <v>0.96</v>
      </c>
      <c r="L34" s="332">
        <f t="shared" si="1"/>
        <v>0.96</v>
      </c>
      <c r="M34" s="116"/>
      <c r="N34" s="119"/>
    </row>
    <row r="35" spans="5:14" s="30" customFormat="1" ht="17.100000000000001" customHeight="1" x14ac:dyDescent="0.25">
      <c r="E35" s="329" t="s">
        <v>723</v>
      </c>
      <c r="F35" s="329" t="s">
        <v>729</v>
      </c>
      <c r="G35" s="329" t="s">
        <v>726</v>
      </c>
      <c r="H35" s="330">
        <v>1</v>
      </c>
      <c r="I35" s="330">
        <v>3.9</v>
      </c>
      <c r="J35" s="330">
        <v>1.5</v>
      </c>
      <c r="K35" s="332">
        <f t="shared" si="0"/>
        <v>5.85</v>
      </c>
      <c r="L35" s="332">
        <f t="shared" si="1"/>
        <v>5.85</v>
      </c>
      <c r="M35" s="116"/>
    </row>
    <row r="36" spans="5:14" s="30" customFormat="1" ht="17.100000000000001" customHeight="1" x14ac:dyDescent="0.25">
      <c r="E36" s="329" t="s">
        <v>723</v>
      </c>
      <c r="F36" s="329" t="s">
        <v>729</v>
      </c>
      <c r="G36" s="329" t="s">
        <v>726</v>
      </c>
      <c r="H36" s="330">
        <v>8</v>
      </c>
      <c r="I36" s="330">
        <v>4.7</v>
      </c>
      <c r="J36" s="330">
        <v>1.5</v>
      </c>
      <c r="K36" s="332">
        <f t="shared" si="0"/>
        <v>56.4</v>
      </c>
      <c r="L36" s="332">
        <f t="shared" si="1"/>
        <v>56.4</v>
      </c>
      <c r="M36" s="116"/>
    </row>
    <row r="37" spans="5:14" s="30" customFormat="1" ht="17.100000000000001" customHeight="1" x14ac:dyDescent="0.25">
      <c r="E37" s="329" t="s">
        <v>723</v>
      </c>
      <c r="F37" s="329" t="s">
        <v>729</v>
      </c>
      <c r="G37" s="329" t="s">
        <v>726</v>
      </c>
      <c r="H37" s="330">
        <v>12</v>
      </c>
      <c r="I37" s="330">
        <v>5</v>
      </c>
      <c r="J37" s="330">
        <v>1.5</v>
      </c>
      <c r="K37" s="332">
        <f t="shared" si="0"/>
        <v>90</v>
      </c>
      <c r="L37" s="332">
        <f t="shared" si="1"/>
        <v>90</v>
      </c>
      <c r="M37" s="116"/>
    </row>
    <row r="38" spans="5:14" s="30" customFormat="1" ht="17.100000000000001" customHeight="1" x14ac:dyDescent="0.25">
      <c r="E38" s="329" t="s">
        <v>723</v>
      </c>
      <c r="F38" s="329" t="s">
        <v>729</v>
      </c>
      <c r="G38" s="329" t="s">
        <v>726</v>
      </c>
      <c r="H38" s="330">
        <v>8</v>
      </c>
      <c r="I38" s="330">
        <v>2.9</v>
      </c>
      <c r="J38" s="330">
        <v>0.8</v>
      </c>
      <c r="K38" s="332">
        <f t="shared" si="0"/>
        <v>18.559999999999999</v>
      </c>
      <c r="L38" s="332">
        <f t="shared" si="1"/>
        <v>18.559999999999999</v>
      </c>
      <c r="M38" s="116"/>
      <c r="N38" s="119"/>
    </row>
    <row r="39" spans="5:14" s="30" customFormat="1" ht="17.100000000000001" customHeight="1" x14ac:dyDescent="0.25">
      <c r="E39" s="329" t="s">
        <v>723</v>
      </c>
      <c r="F39" s="329" t="s">
        <v>729</v>
      </c>
      <c r="G39" s="329" t="s">
        <v>726</v>
      </c>
      <c r="H39" s="330">
        <v>2</v>
      </c>
      <c r="I39" s="330">
        <v>0.8</v>
      </c>
      <c r="J39" s="330">
        <v>0.8</v>
      </c>
      <c r="K39" s="332">
        <f t="shared" si="0"/>
        <v>1.28</v>
      </c>
      <c r="L39" s="332">
        <f t="shared" si="1"/>
        <v>1.28</v>
      </c>
      <c r="M39" s="116"/>
    </row>
    <row r="40" spans="5:14" s="30" customFormat="1" ht="17.100000000000001" customHeight="1" x14ac:dyDescent="0.25">
      <c r="E40" s="329" t="s">
        <v>724</v>
      </c>
      <c r="F40" s="329" t="s">
        <v>729</v>
      </c>
      <c r="G40" s="329" t="s">
        <v>726</v>
      </c>
      <c r="H40" s="330">
        <v>5</v>
      </c>
      <c r="I40" s="330">
        <v>1.2</v>
      </c>
      <c r="J40" s="330">
        <v>1.1000000000000001</v>
      </c>
      <c r="K40" s="332">
        <f t="shared" si="0"/>
        <v>6.6</v>
      </c>
      <c r="L40" s="332">
        <f t="shared" si="1"/>
        <v>6.6</v>
      </c>
      <c r="M40" s="116"/>
    </row>
    <row r="41" spans="5:14" s="30" customFormat="1" ht="17.100000000000001" customHeight="1" x14ac:dyDescent="0.25">
      <c r="E41" s="329" t="s">
        <v>724</v>
      </c>
      <c r="F41" s="329" t="s">
        <v>729</v>
      </c>
      <c r="G41" s="329" t="s">
        <v>726</v>
      </c>
      <c r="H41" s="330">
        <v>1</v>
      </c>
      <c r="I41" s="330">
        <v>0.8</v>
      </c>
      <c r="J41" s="330">
        <v>0.6</v>
      </c>
      <c r="K41" s="332">
        <f t="shared" si="0"/>
        <v>0.48</v>
      </c>
      <c r="L41" s="332">
        <f t="shared" si="1"/>
        <v>0.48</v>
      </c>
      <c r="M41" s="116"/>
    </row>
    <row r="42" spans="5:14" s="30" customFormat="1" ht="17.100000000000001" customHeight="1" x14ac:dyDescent="0.25">
      <c r="E42" s="329" t="s">
        <v>725</v>
      </c>
      <c r="F42" s="329" t="s">
        <v>729</v>
      </c>
      <c r="G42" s="329" t="s">
        <v>726</v>
      </c>
      <c r="H42" s="330">
        <v>2</v>
      </c>
      <c r="I42" s="330">
        <v>2</v>
      </c>
      <c r="J42" s="330">
        <v>0.77</v>
      </c>
      <c r="K42" s="332">
        <f t="shared" si="0"/>
        <v>3.08</v>
      </c>
      <c r="L42" s="332">
        <f t="shared" si="1"/>
        <v>3.08</v>
      </c>
      <c r="M42" s="116"/>
      <c r="N42" s="119"/>
    </row>
    <row r="43" spans="5:14" s="30" customFormat="1" ht="17.100000000000001" customHeight="1" thickBot="1" x14ac:dyDescent="0.3">
      <c r="E43" s="341" t="s">
        <v>725</v>
      </c>
      <c r="F43" s="341" t="s">
        <v>729</v>
      </c>
      <c r="G43" s="341" t="s">
        <v>726</v>
      </c>
      <c r="H43" s="342">
        <v>1</v>
      </c>
      <c r="I43" s="342">
        <v>1.6</v>
      </c>
      <c r="J43" s="342">
        <v>0.77</v>
      </c>
      <c r="K43" s="343">
        <f t="shared" si="0"/>
        <v>1.23</v>
      </c>
      <c r="L43" s="343">
        <f t="shared" si="1"/>
        <v>1.23</v>
      </c>
      <c r="M43" s="116"/>
    </row>
    <row r="44" spans="5:14" s="30" customFormat="1" ht="17.100000000000001" customHeight="1" x14ac:dyDescent="0.25">
      <c r="E44" s="336" t="s">
        <v>721</v>
      </c>
      <c r="F44" s="336" t="s">
        <v>728</v>
      </c>
      <c r="G44" s="336" t="s">
        <v>726</v>
      </c>
      <c r="H44" s="337">
        <v>2</v>
      </c>
      <c r="I44" s="337">
        <v>2</v>
      </c>
      <c r="J44" s="337">
        <v>0.7</v>
      </c>
      <c r="K44" s="338">
        <f t="shared" si="0"/>
        <v>2.8</v>
      </c>
      <c r="L44" s="334"/>
      <c r="M44" s="116"/>
    </row>
    <row r="45" spans="5:14" s="30" customFormat="1" ht="17.100000000000001" customHeight="1" x14ac:dyDescent="0.25">
      <c r="E45" s="329" t="s">
        <v>721</v>
      </c>
      <c r="F45" s="329" t="s">
        <v>728</v>
      </c>
      <c r="G45" s="329" t="s">
        <v>726</v>
      </c>
      <c r="H45" s="330">
        <v>3</v>
      </c>
      <c r="I45" s="330">
        <v>2.1</v>
      </c>
      <c r="J45" s="330">
        <v>0.8</v>
      </c>
      <c r="K45" s="332">
        <f t="shared" si="0"/>
        <v>5.04</v>
      </c>
      <c r="L45" s="331"/>
      <c r="M45" s="116"/>
    </row>
    <row r="46" spans="5:14" s="30" customFormat="1" ht="17.100000000000001" customHeight="1" x14ac:dyDescent="0.25">
      <c r="E46" s="329" t="s">
        <v>721</v>
      </c>
      <c r="F46" s="329" t="s">
        <v>728</v>
      </c>
      <c r="G46" s="329" t="s">
        <v>726</v>
      </c>
      <c r="H46" s="330">
        <v>4</v>
      </c>
      <c r="I46" s="330">
        <v>2.1</v>
      </c>
      <c r="J46" s="330">
        <v>0.6</v>
      </c>
      <c r="K46" s="332">
        <f t="shared" si="0"/>
        <v>5.04</v>
      </c>
      <c r="L46" s="331"/>
      <c r="M46" s="116"/>
    </row>
    <row r="47" spans="5:14" s="30" customFormat="1" ht="17.100000000000001" customHeight="1" x14ac:dyDescent="0.25">
      <c r="E47" s="329" t="s">
        <v>721</v>
      </c>
      <c r="F47" s="329" t="s">
        <v>728</v>
      </c>
      <c r="G47" s="329" t="s">
        <v>726</v>
      </c>
      <c r="H47" s="330">
        <v>3</v>
      </c>
      <c r="I47" s="330">
        <v>2.1</v>
      </c>
      <c r="J47" s="330">
        <v>0.9</v>
      </c>
      <c r="K47" s="332">
        <f t="shared" si="0"/>
        <v>5.67</v>
      </c>
      <c r="L47" s="331"/>
      <c r="M47" s="116"/>
    </row>
    <row r="48" spans="5:14" s="30" customFormat="1" ht="17.100000000000001" customHeight="1" x14ac:dyDescent="0.25">
      <c r="E48" s="329" t="s">
        <v>722</v>
      </c>
      <c r="F48" s="329" t="s">
        <v>728</v>
      </c>
      <c r="G48" s="329" t="s">
        <v>726</v>
      </c>
      <c r="H48" s="330">
        <v>3</v>
      </c>
      <c r="I48" s="330">
        <v>2.1</v>
      </c>
      <c r="J48" s="330">
        <v>0.9</v>
      </c>
      <c r="K48" s="332">
        <f t="shared" si="0"/>
        <v>5.67</v>
      </c>
      <c r="L48" s="331"/>
      <c r="M48" s="116"/>
    </row>
    <row r="49" spans="2:14" s="30" customFormat="1" ht="17.100000000000001" customHeight="1" x14ac:dyDescent="0.25">
      <c r="E49" s="329" t="s">
        <v>722</v>
      </c>
      <c r="F49" s="329" t="s">
        <v>728</v>
      </c>
      <c r="G49" s="329" t="s">
        <v>726</v>
      </c>
      <c r="H49" s="330">
        <v>2</v>
      </c>
      <c r="I49" s="330">
        <v>2</v>
      </c>
      <c r="J49" s="330">
        <v>0.8</v>
      </c>
      <c r="K49" s="332">
        <f t="shared" si="0"/>
        <v>3.2</v>
      </c>
      <c r="L49" s="331"/>
      <c r="M49" s="116"/>
    </row>
    <row r="50" spans="2:14" s="30" customFormat="1" ht="17.100000000000001" customHeight="1" x14ac:dyDescent="0.25">
      <c r="E50" s="329" t="s">
        <v>722</v>
      </c>
      <c r="F50" s="329" t="s">
        <v>728</v>
      </c>
      <c r="G50" s="329" t="s">
        <v>726</v>
      </c>
      <c r="H50" s="330">
        <v>2</v>
      </c>
      <c r="I50" s="330">
        <v>2</v>
      </c>
      <c r="J50" s="330">
        <v>0.7</v>
      </c>
      <c r="K50" s="332">
        <f t="shared" si="0"/>
        <v>2.8</v>
      </c>
      <c r="L50" s="331"/>
      <c r="M50" s="116"/>
    </row>
    <row r="51" spans="2:14" s="30" customFormat="1" ht="17.100000000000001" customHeight="1" x14ac:dyDescent="0.25">
      <c r="E51" s="329" t="s">
        <v>722</v>
      </c>
      <c r="F51" s="329" t="s">
        <v>728</v>
      </c>
      <c r="G51" s="329" t="s">
        <v>726</v>
      </c>
      <c r="H51" s="330">
        <v>6</v>
      </c>
      <c r="I51" s="330">
        <v>1.6</v>
      </c>
      <c r="J51" s="330">
        <v>0.7</v>
      </c>
      <c r="K51" s="332">
        <f t="shared" si="0"/>
        <v>6.72</v>
      </c>
      <c r="L51" s="331"/>
      <c r="M51" s="116"/>
    </row>
    <row r="52" spans="2:14" s="30" customFormat="1" ht="17.100000000000001" customHeight="1" x14ac:dyDescent="0.25">
      <c r="E52" s="329" t="s">
        <v>722</v>
      </c>
      <c r="F52" s="329" t="s">
        <v>728</v>
      </c>
      <c r="G52" s="329" t="s">
        <v>726</v>
      </c>
      <c r="H52" s="330">
        <v>3</v>
      </c>
      <c r="I52" s="330">
        <v>2.1</v>
      </c>
      <c r="J52" s="330">
        <v>0.8</v>
      </c>
      <c r="K52" s="332">
        <f t="shared" si="0"/>
        <v>5.04</v>
      </c>
      <c r="L52" s="331"/>
      <c r="M52" s="116"/>
    </row>
    <row r="53" spans="2:14" s="30" customFormat="1" ht="17.100000000000001" customHeight="1" x14ac:dyDescent="0.25">
      <c r="E53" s="329" t="s">
        <v>723</v>
      </c>
      <c r="F53" s="329" t="s">
        <v>728</v>
      </c>
      <c r="G53" s="329" t="s">
        <v>726</v>
      </c>
      <c r="H53" s="330">
        <v>2</v>
      </c>
      <c r="I53" s="330">
        <v>2.1</v>
      </c>
      <c r="J53" s="330">
        <v>1</v>
      </c>
      <c r="K53" s="332">
        <f t="shared" si="0"/>
        <v>4.2</v>
      </c>
      <c r="L53" s="331"/>
      <c r="M53" s="116"/>
    </row>
    <row r="54" spans="2:14" s="30" customFormat="1" ht="17.100000000000001" customHeight="1" x14ac:dyDescent="0.25">
      <c r="E54" s="329" t="s">
        <v>723</v>
      </c>
      <c r="F54" s="329" t="s">
        <v>728</v>
      </c>
      <c r="G54" s="329" t="s">
        <v>726</v>
      </c>
      <c r="H54" s="330">
        <v>1</v>
      </c>
      <c r="I54" s="330">
        <v>2.1</v>
      </c>
      <c r="J54" s="330">
        <v>0.9</v>
      </c>
      <c r="K54" s="332">
        <f t="shared" si="0"/>
        <v>1.89</v>
      </c>
      <c r="L54" s="331"/>
      <c r="M54" s="116"/>
    </row>
    <row r="55" spans="2:14" s="30" customFormat="1" ht="17.100000000000001" customHeight="1" x14ac:dyDescent="0.25">
      <c r="E55" s="329" t="s">
        <v>723</v>
      </c>
      <c r="F55" s="329" t="s">
        <v>728</v>
      </c>
      <c r="G55" s="329" t="s">
        <v>726</v>
      </c>
      <c r="H55" s="330">
        <v>7</v>
      </c>
      <c r="I55" s="330">
        <v>1.6</v>
      </c>
      <c r="J55" s="330">
        <v>0.7</v>
      </c>
      <c r="K55" s="332">
        <f t="shared" si="0"/>
        <v>7.84</v>
      </c>
      <c r="L55" s="331"/>
      <c r="M55" s="116"/>
    </row>
    <row r="56" spans="2:14" s="30" customFormat="1" ht="17.100000000000001" customHeight="1" x14ac:dyDescent="0.25">
      <c r="E56" s="329" t="s">
        <v>723</v>
      </c>
      <c r="F56" s="329" t="s">
        <v>728</v>
      </c>
      <c r="G56" s="329" t="s">
        <v>726</v>
      </c>
      <c r="H56" s="330">
        <v>1</v>
      </c>
      <c r="I56" s="330">
        <v>1.6</v>
      </c>
      <c r="J56" s="330">
        <v>1</v>
      </c>
      <c r="K56" s="332">
        <f t="shared" si="0"/>
        <v>1.6</v>
      </c>
      <c r="L56" s="331"/>
      <c r="M56" s="116"/>
    </row>
    <row r="57" spans="2:14" s="30" customFormat="1" ht="17.100000000000001" customHeight="1" x14ac:dyDescent="0.25">
      <c r="E57" s="329" t="s">
        <v>723</v>
      </c>
      <c r="F57" s="329" t="s">
        <v>728</v>
      </c>
      <c r="G57" s="329" t="s">
        <v>726</v>
      </c>
      <c r="H57" s="330">
        <v>9</v>
      </c>
      <c r="I57" s="330">
        <v>1.6</v>
      </c>
      <c r="J57" s="330">
        <v>0.7</v>
      </c>
      <c r="K57" s="332">
        <f t="shared" si="0"/>
        <v>10.08</v>
      </c>
      <c r="L57" s="331"/>
      <c r="M57" s="116"/>
    </row>
    <row r="58" spans="2:14" s="30" customFormat="1" ht="17.100000000000001" customHeight="1" x14ac:dyDescent="0.25">
      <c r="E58" s="329" t="s">
        <v>723</v>
      </c>
      <c r="F58" s="329" t="s">
        <v>728</v>
      </c>
      <c r="G58" s="329" t="s">
        <v>726</v>
      </c>
      <c r="H58" s="330">
        <v>2</v>
      </c>
      <c r="I58" s="330">
        <v>2</v>
      </c>
      <c r="J58" s="330">
        <v>0.6</v>
      </c>
      <c r="K58" s="332">
        <f t="shared" si="0"/>
        <v>2.4</v>
      </c>
      <c r="L58" s="331"/>
      <c r="M58" s="116"/>
    </row>
    <row r="59" spans="2:14" s="30" customFormat="1" ht="17.100000000000001" customHeight="1" x14ac:dyDescent="0.25">
      <c r="E59" s="329" t="s">
        <v>724</v>
      </c>
      <c r="F59" s="329" t="s">
        <v>728</v>
      </c>
      <c r="G59" s="329" t="s">
        <v>726</v>
      </c>
      <c r="H59" s="330">
        <v>7</v>
      </c>
      <c r="I59" s="330">
        <v>2.1</v>
      </c>
      <c r="J59" s="330">
        <v>0.6</v>
      </c>
      <c r="K59" s="332">
        <f t="shared" si="0"/>
        <v>8.82</v>
      </c>
      <c r="L59" s="331"/>
      <c r="M59" s="116"/>
    </row>
    <row r="60" spans="2:14" s="30" customFormat="1" ht="17.100000000000001" customHeight="1" x14ac:dyDescent="0.25">
      <c r="E60" s="329" t="s">
        <v>725</v>
      </c>
      <c r="F60" s="329" t="s">
        <v>728</v>
      </c>
      <c r="G60" s="329" t="s">
        <v>726</v>
      </c>
      <c r="H60" s="330">
        <v>1</v>
      </c>
      <c r="I60" s="330">
        <v>2</v>
      </c>
      <c r="J60" s="330">
        <v>0.8</v>
      </c>
      <c r="K60" s="332">
        <f t="shared" si="0"/>
        <v>1.6</v>
      </c>
      <c r="L60" s="331"/>
      <c r="M60" s="116"/>
    </row>
    <row r="61" spans="2:14" s="30" customFormat="1" ht="17.100000000000001" customHeight="1" thickBot="1" x14ac:dyDescent="0.3">
      <c r="E61" s="341" t="s">
        <v>725</v>
      </c>
      <c r="F61" s="341" t="s">
        <v>728</v>
      </c>
      <c r="G61" s="341" t="s">
        <v>726</v>
      </c>
      <c r="H61" s="342">
        <v>2</v>
      </c>
      <c r="I61" s="342">
        <v>2.1</v>
      </c>
      <c r="J61" s="342">
        <v>0.6</v>
      </c>
      <c r="K61" s="343">
        <f t="shared" si="0"/>
        <v>2.52</v>
      </c>
      <c r="L61" s="339"/>
      <c r="M61" s="116"/>
    </row>
    <row r="62" spans="2:14" s="30" customFormat="1" ht="20.100000000000001" customHeight="1" x14ac:dyDescent="0.25">
      <c r="E62" s="101"/>
      <c r="I62" s="131"/>
      <c r="J62" s="131" t="s">
        <v>34</v>
      </c>
      <c r="K62" s="119">
        <f>SUM(K12:K61)</f>
        <v>457.98000000000008</v>
      </c>
      <c r="L62" s="119">
        <f>SUM(L12:L61)</f>
        <v>375.05</v>
      </c>
      <c r="M62" s="119" t="s">
        <v>93</v>
      </c>
      <c r="N62" s="119"/>
    </row>
    <row r="63" spans="2:14" ht="20.100000000000001" customHeight="1" x14ac:dyDescent="0.25"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N63" s="76"/>
    </row>
  </sheetData>
  <mergeCells count="3">
    <mergeCell ref="B1:O2"/>
    <mergeCell ref="B8:K8"/>
    <mergeCell ref="B63:K63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15C2-3D57-4EFD-B625-9CCE24BAAC4C}">
  <dimension ref="B1:T23"/>
  <sheetViews>
    <sheetView showGridLines="0" showZeros="0" view="pageBreakPreview" topLeftCell="A3" zoomScale="130" zoomScaleNormal="100" zoomScaleSheetLayoutView="130" workbookViewId="0">
      <selection activeCell="Q11" sqref="Q11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0.7109375" style="75" customWidth="1"/>
    <col min="6" max="6" width="12.42578125" style="75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2:20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20" s="65" customFormat="1" ht="20.100000000000001" customHeight="1" x14ac:dyDescent="0.25"/>
    <row r="4" spans="2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2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2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M5" s="3" t="s">
        <v>17</v>
      </c>
      <c r="N5" s="4" t="str">
        <f>'DADOS DA OBRA'!$N$25</f>
        <v>02</v>
      </c>
    </row>
    <row r="6" spans="2:20" s="5" customFormat="1" ht="20.100000000000001" customHeight="1" x14ac:dyDescent="0.25"/>
    <row r="7" spans="2:20" s="5" customFormat="1" ht="20.100000000000001" customHeight="1" x14ac:dyDescent="0.25">
      <c r="B7" s="1" t="s">
        <v>63</v>
      </c>
      <c r="C7" s="38" t="s">
        <v>740</v>
      </c>
      <c r="M7" s="3"/>
      <c r="N7" s="62"/>
    </row>
    <row r="8" spans="2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20" s="30" customFormat="1" ht="20.100000000000001" customHeight="1" x14ac:dyDescent="0.25">
      <c r="B9" s="101" t="s">
        <v>730</v>
      </c>
      <c r="C9" s="103">
        <v>17060102</v>
      </c>
      <c r="D9" s="30" t="s">
        <v>760</v>
      </c>
      <c r="M9" s="101"/>
      <c r="N9" s="102"/>
    </row>
    <row r="10" spans="2:20" s="30" customFormat="1" ht="24" customHeight="1" x14ac:dyDescent="0.25">
      <c r="E10" s="122" t="s">
        <v>90</v>
      </c>
      <c r="G10" s="122" t="s">
        <v>98</v>
      </c>
      <c r="H10" s="122" t="s">
        <v>45</v>
      </c>
      <c r="I10" s="326" t="s">
        <v>79</v>
      </c>
      <c r="J10" s="326" t="s">
        <v>81</v>
      </c>
      <c r="K10" s="326" t="s">
        <v>86</v>
      </c>
      <c r="L10" s="326" t="s">
        <v>738</v>
      </c>
      <c r="M10" s="101"/>
    </row>
    <row r="11" spans="2:20" s="30" customFormat="1" ht="17.100000000000001" customHeight="1" x14ac:dyDescent="0.25">
      <c r="D11" s="331"/>
      <c r="E11" s="329" t="s">
        <v>734</v>
      </c>
      <c r="F11" s="331"/>
      <c r="G11" s="329" t="s">
        <v>712</v>
      </c>
      <c r="H11" s="330">
        <v>1</v>
      </c>
      <c r="I11" s="330">
        <v>27.21</v>
      </c>
      <c r="J11" s="330">
        <v>1.1499999999999999</v>
      </c>
      <c r="K11" s="331">
        <f>+ROUND(H11*I11*J11,2)</f>
        <v>31.29</v>
      </c>
      <c r="L11" s="331"/>
      <c r="M11" s="116"/>
    </row>
    <row r="12" spans="2:20" s="30" customFormat="1" ht="17.100000000000001" customHeight="1" x14ac:dyDescent="0.25">
      <c r="D12" s="331"/>
      <c r="E12" s="329" t="s">
        <v>734</v>
      </c>
      <c r="F12" s="331"/>
      <c r="G12" s="329" t="s">
        <v>712</v>
      </c>
      <c r="H12" s="330">
        <v>1</v>
      </c>
      <c r="I12" s="330">
        <v>5.6</v>
      </c>
      <c r="J12" s="330">
        <v>1.1499999999999999</v>
      </c>
      <c r="K12" s="332">
        <f t="shared" ref="K12:K20" si="0">+ROUND(H12*I12*J12,2)</f>
        <v>6.44</v>
      </c>
      <c r="L12" s="331"/>
      <c r="M12" s="116"/>
    </row>
    <row r="13" spans="2:20" s="30" customFormat="1" ht="17.100000000000001" customHeight="1" x14ac:dyDescent="0.25">
      <c r="D13" s="331"/>
      <c r="E13" s="329" t="s">
        <v>734</v>
      </c>
      <c r="F13" s="331"/>
      <c r="G13" s="329" t="s">
        <v>712</v>
      </c>
      <c r="H13" s="330">
        <v>1</v>
      </c>
      <c r="I13" s="330">
        <v>5.6</v>
      </c>
      <c r="J13" s="330">
        <v>1.1499999999999999</v>
      </c>
      <c r="K13" s="332">
        <f t="shared" si="0"/>
        <v>6.44</v>
      </c>
      <c r="L13" s="331"/>
      <c r="M13" s="116"/>
    </row>
    <row r="14" spans="2:20" s="30" customFormat="1" ht="17.100000000000001" customHeight="1" x14ac:dyDescent="0.25">
      <c r="D14" s="331"/>
      <c r="E14" s="329" t="s">
        <v>734</v>
      </c>
      <c r="F14" s="331"/>
      <c r="G14" s="329" t="s">
        <v>712</v>
      </c>
      <c r="H14" s="330">
        <v>1</v>
      </c>
      <c r="I14" s="330">
        <v>119.52</v>
      </c>
      <c r="J14" s="330">
        <v>1.1499999999999999</v>
      </c>
      <c r="K14" s="332">
        <f t="shared" si="0"/>
        <v>137.44999999999999</v>
      </c>
      <c r="L14" s="331"/>
      <c r="M14" s="116"/>
    </row>
    <row r="15" spans="2:20" s="30" customFormat="1" ht="17.100000000000001" customHeight="1" x14ac:dyDescent="0.25">
      <c r="D15" s="331"/>
      <c r="E15" s="329" t="s">
        <v>734</v>
      </c>
      <c r="F15" s="331"/>
      <c r="G15" s="329" t="s">
        <v>712</v>
      </c>
      <c r="H15" s="330">
        <v>1</v>
      </c>
      <c r="I15" s="330">
        <v>7.27</v>
      </c>
      <c r="J15" s="330">
        <v>1.1499999999999999</v>
      </c>
      <c r="K15" s="332">
        <f t="shared" si="0"/>
        <v>8.36</v>
      </c>
      <c r="L15" s="331"/>
      <c r="M15" s="116"/>
    </row>
    <row r="16" spans="2:20" s="30" customFormat="1" ht="17.100000000000001" customHeight="1" x14ac:dyDescent="0.25">
      <c r="D16" s="331"/>
      <c r="E16" s="329" t="s">
        <v>735</v>
      </c>
      <c r="F16" s="331"/>
      <c r="G16" s="329" t="s">
        <v>712</v>
      </c>
      <c r="H16" s="330">
        <v>1</v>
      </c>
      <c r="I16" s="330">
        <v>14.1</v>
      </c>
      <c r="J16" s="330">
        <v>1</v>
      </c>
      <c r="K16" s="332">
        <f t="shared" si="0"/>
        <v>14.1</v>
      </c>
      <c r="L16" s="331"/>
      <c r="M16" s="116"/>
    </row>
    <row r="17" spans="4:14" s="30" customFormat="1" ht="17.100000000000001" customHeight="1" x14ac:dyDescent="0.25">
      <c r="D17" s="331"/>
      <c r="E17" s="329" t="s">
        <v>736</v>
      </c>
      <c r="F17" s="331"/>
      <c r="G17" s="329" t="s">
        <v>712</v>
      </c>
      <c r="H17" s="330">
        <v>1</v>
      </c>
      <c r="I17" s="330">
        <v>9</v>
      </c>
      <c r="J17" s="330">
        <v>1</v>
      </c>
      <c r="K17" s="332">
        <f t="shared" si="0"/>
        <v>9</v>
      </c>
      <c r="L17" s="331"/>
      <c r="M17" s="116"/>
    </row>
    <row r="18" spans="4:14" s="30" customFormat="1" ht="17.100000000000001" customHeight="1" x14ac:dyDescent="0.25">
      <c r="D18" s="331"/>
      <c r="E18" s="329" t="s">
        <v>736</v>
      </c>
      <c r="F18" s="331"/>
      <c r="G18" s="329" t="s">
        <v>712</v>
      </c>
      <c r="H18" s="330">
        <v>1</v>
      </c>
      <c r="I18" s="330">
        <v>38.6</v>
      </c>
      <c r="J18" s="330">
        <v>1</v>
      </c>
      <c r="K18" s="332">
        <f t="shared" si="0"/>
        <v>38.6</v>
      </c>
      <c r="L18" s="331"/>
      <c r="M18" s="116"/>
    </row>
    <row r="19" spans="4:14" s="30" customFormat="1" ht="17.100000000000001" customHeight="1" x14ac:dyDescent="0.25">
      <c r="D19" s="331"/>
      <c r="E19" s="329" t="s">
        <v>736</v>
      </c>
      <c r="F19" s="331"/>
      <c r="G19" s="329" t="s">
        <v>712</v>
      </c>
      <c r="H19" s="330">
        <v>1</v>
      </c>
      <c r="I19" s="330">
        <v>8</v>
      </c>
      <c r="J19" s="330">
        <v>1</v>
      </c>
      <c r="K19" s="332">
        <f t="shared" si="0"/>
        <v>8</v>
      </c>
      <c r="L19" s="331"/>
      <c r="M19" s="116"/>
    </row>
    <row r="20" spans="4:14" s="30" customFormat="1" ht="17.100000000000001" customHeight="1" thickBot="1" x14ac:dyDescent="0.3">
      <c r="D20" s="339"/>
      <c r="E20" s="341" t="s">
        <v>737</v>
      </c>
      <c r="F20" s="339"/>
      <c r="G20" s="341" t="s">
        <v>712</v>
      </c>
      <c r="H20" s="342">
        <v>1</v>
      </c>
      <c r="I20" s="342">
        <v>32.68</v>
      </c>
      <c r="J20" s="342">
        <v>1</v>
      </c>
      <c r="K20" s="343">
        <f t="shared" si="0"/>
        <v>32.68</v>
      </c>
      <c r="L20" s="344">
        <f>SUM(K11:K20)</f>
        <v>292.35999999999996</v>
      </c>
      <c r="M20" s="116"/>
    </row>
    <row r="21" spans="4:14" s="30" customFormat="1" ht="17.100000000000001" customHeight="1" thickBot="1" x14ac:dyDescent="0.3">
      <c r="D21" s="345"/>
      <c r="E21" s="346" t="s">
        <v>732</v>
      </c>
      <c r="F21" s="345"/>
      <c r="G21" s="346"/>
      <c r="H21" s="347">
        <v>1</v>
      </c>
      <c r="I21" s="347">
        <v>114.95</v>
      </c>
      <c r="J21" s="347">
        <v>1.1499999999999999</v>
      </c>
      <c r="K21" s="348">
        <f t="shared" ref="K21" si="1">+ROUND(H21*I21*J21,2)</f>
        <v>132.19</v>
      </c>
      <c r="L21" s="349">
        <f>SUM(K21)</f>
        <v>132.19</v>
      </c>
      <c r="M21" s="116"/>
    </row>
    <row r="22" spans="4:14" s="30" customFormat="1" ht="20.100000000000001" customHeight="1" x14ac:dyDescent="0.25">
      <c r="E22" s="101"/>
      <c r="I22" s="131"/>
      <c r="J22" s="131" t="s">
        <v>34</v>
      </c>
      <c r="L22" s="119">
        <f>SUM(L20:L21)</f>
        <v>424.54999999999995</v>
      </c>
      <c r="M22" s="119" t="s">
        <v>93</v>
      </c>
      <c r="N22" s="119"/>
    </row>
    <row r="23" spans="4:14" s="30" customFormat="1" ht="20.100000000000001" customHeight="1" x14ac:dyDescent="0.25">
      <c r="E23" s="101"/>
      <c r="G23" s="121"/>
      <c r="H23" s="116"/>
      <c r="I23" s="116"/>
      <c r="J23" s="116"/>
      <c r="M23" s="116"/>
    </row>
  </sheetData>
  <mergeCells count="2">
    <mergeCell ref="B1:O2"/>
    <mergeCell ref="B8:K8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08FF-B952-4514-A7FA-86F242B2F09E}">
  <dimension ref="B1:T83"/>
  <sheetViews>
    <sheetView showGridLines="0" showZeros="0" view="pageBreakPreview" zoomScale="115" zoomScaleNormal="100" zoomScaleSheetLayoutView="115" workbookViewId="0">
      <selection activeCell="A88" sqref="A88:XFD92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0.7109375" style="75" customWidth="1"/>
    <col min="6" max="6" width="12.42578125" style="100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2:20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20" s="65" customFormat="1" ht="20.100000000000001" customHeight="1" x14ac:dyDescent="0.25">
      <c r="F3" s="97"/>
    </row>
    <row r="4" spans="2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4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2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F5" s="48"/>
      <c r="M5" s="3" t="s">
        <v>17</v>
      </c>
      <c r="N5" s="4" t="str">
        <f>'DADOS DA OBRA'!$N$25</f>
        <v>02</v>
      </c>
    </row>
    <row r="6" spans="2:20" s="5" customFormat="1" ht="20.100000000000001" customHeight="1" x14ac:dyDescent="0.25">
      <c r="F6" s="48"/>
    </row>
    <row r="7" spans="2:20" s="5" customFormat="1" ht="20.100000000000001" customHeight="1" x14ac:dyDescent="0.25">
      <c r="B7" s="1" t="s">
        <v>63</v>
      </c>
      <c r="C7" s="38" t="s">
        <v>741</v>
      </c>
      <c r="F7" s="48"/>
      <c r="M7" s="3"/>
      <c r="N7" s="62"/>
    </row>
    <row r="8" spans="2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20" s="30" customFormat="1" ht="20.100000000000001" customHeight="1" x14ac:dyDescent="0.25">
      <c r="B9" s="101" t="s">
        <v>91</v>
      </c>
      <c r="C9" s="103" t="s">
        <v>742</v>
      </c>
      <c r="D9" s="30" t="s">
        <v>743</v>
      </c>
      <c r="F9" s="101"/>
      <c r="M9" s="101"/>
      <c r="N9" s="102"/>
    </row>
    <row r="10" spans="2:20" s="30" customFormat="1" ht="24" customHeight="1" x14ac:dyDescent="0.25">
      <c r="E10" s="122" t="s">
        <v>90</v>
      </c>
      <c r="F10" s="122" t="s">
        <v>98</v>
      </c>
      <c r="G10" s="122" t="s">
        <v>718</v>
      </c>
      <c r="H10" s="122" t="s">
        <v>45</v>
      </c>
      <c r="I10" s="326" t="s">
        <v>79</v>
      </c>
      <c r="J10" s="326" t="s">
        <v>81</v>
      </c>
      <c r="K10" s="326" t="s">
        <v>799</v>
      </c>
      <c r="L10" s="326" t="s">
        <v>798</v>
      </c>
      <c r="M10" s="326" t="s">
        <v>749</v>
      </c>
      <c r="N10" s="101"/>
    </row>
    <row r="11" spans="2:20" s="30" customFormat="1" ht="17.100000000000001" customHeight="1" x14ac:dyDescent="0.25">
      <c r="D11" s="331"/>
      <c r="E11" s="333" t="s">
        <v>734</v>
      </c>
      <c r="F11" s="329" t="s">
        <v>744</v>
      </c>
      <c r="G11" s="329" t="s">
        <v>713</v>
      </c>
      <c r="H11" s="330">
        <v>1</v>
      </c>
      <c r="I11" s="330">
        <v>71.39</v>
      </c>
      <c r="J11" s="330">
        <v>3.8</v>
      </c>
      <c r="K11" s="354">
        <f t="shared" ref="K11:K42" si="0">+ROUND(H11*I11*J11,2)</f>
        <v>271.27999999999997</v>
      </c>
      <c r="L11" s="354"/>
      <c r="M11" s="354">
        <f t="shared" ref="M11:M42" si="1">+ROUND(K11*0.15,2)</f>
        <v>40.69</v>
      </c>
      <c r="N11" s="116"/>
    </row>
    <row r="12" spans="2:20" s="30" customFormat="1" ht="17.100000000000001" customHeight="1" x14ac:dyDescent="0.25">
      <c r="D12" s="331"/>
      <c r="E12" s="333" t="s">
        <v>734</v>
      </c>
      <c r="F12" s="329" t="s">
        <v>744</v>
      </c>
      <c r="G12" s="329" t="s">
        <v>713</v>
      </c>
      <c r="H12" s="330">
        <v>1</v>
      </c>
      <c r="I12" s="330">
        <v>50.75</v>
      </c>
      <c r="J12" s="330">
        <v>3.8</v>
      </c>
      <c r="K12" s="354">
        <f t="shared" si="0"/>
        <v>192.85</v>
      </c>
      <c r="L12" s="354"/>
      <c r="M12" s="354">
        <f t="shared" si="1"/>
        <v>28.93</v>
      </c>
      <c r="N12" s="116"/>
    </row>
    <row r="13" spans="2:20" s="30" customFormat="1" ht="17.100000000000001" customHeight="1" x14ac:dyDescent="0.25">
      <c r="D13" s="331"/>
      <c r="E13" s="333" t="s">
        <v>734</v>
      </c>
      <c r="F13" s="329" t="s">
        <v>744</v>
      </c>
      <c r="G13" s="329" t="s">
        <v>713</v>
      </c>
      <c r="H13" s="330">
        <v>1</v>
      </c>
      <c r="I13" s="330">
        <v>1.5</v>
      </c>
      <c r="J13" s="330">
        <v>3.8</v>
      </c>
      <c r="K13" s="354">
        <f t="shared" si="0"/>
        <v>5.7</v>
      </c>
      <c r="L13" s="354"/>
      <c r="M13" s="354">
        <f t="shared" si="1"/>
        <v>0.86</v>
      </c>
      <c r="N13" s="116"/>
    </row>
    <row r="14" spans="2:20" s="30" customFormat="1" ht="17.100000000000001" customHeight="1" x14ac:dyDescent="0.25">
      <c r="D14" s="331"/>
      <c r="E14" s="333" t="s">
        <v>734</v>
      </c>
      <c r="F14" s="329" t="s">
        <v>744</v>
      </c>
      <c r="G14" s="329" t="s">
        <v>713</v>
      </c>
      <c r="H14" s="330">
        <v>1</v>
      </c>
      <c r="I14" s="330">
        <v>14</v>
      </c>
      <c r="J14" s="330">
        <v>3.8</v>
      </c>
      <c r="K14" s="354">
        <f t="shared" si="0"/>
        <v>53.2</v>
      </c>
      <c r="L14" s="354"/>
      <c r="M14" s="354">
        <f t="shared" si="1"/>
        <v>7.98</v>
      </c>
      <c r="N14" s="116"/>
    </row>
    <row r="15" spans="2:20" s="30" customFormat="1" ht="17.100000000000001" customHeight="1" x14ac:dyDescent="0.25">
      <c r="D15" s="331"/>
      <c r="E15" s="333" t="s">
        <v>734</v>
      </c>
      <c r="F15" s="329" t="s">
        <v>744</v>
      </c>
      <c r="G15" s="329" t="s">
        <v>713</v>
      </c>
      <c r="H15" s="330">
        <v>1</v>
      </c>
      <c r="I15" s="330">
        <v>63.18</v>
      </c>
      <c r="J15" s="330">
        <v>3.8</v>
      </c>
      <c r="K15" s="354">
        <f t="shared" si="0"/>
        <v>240.08</v>
      </c>
      <c r="L15" s="354"/>
      <c r="M15" s="354">
        <f t="shared" si="1"/>
        <v>36.01</v>
      </c>
      <c r="N15" s="116"/>
    </row>
    <row r="16" spans="2:20" s="30" customFormat="1" ht="17.100000000000001" customHeight="1" x14ac:dyDescent="0.25">
      <c r="D16" s="331"/>
      <c r="E16" s="333" t="s">
        <v>734</v>
      </c>
      <c r="F16" s="329" t="s">
        <v>744</v>
      </c>
      <c r="G16" s="329" t="s">
        <v>713</v>
      </c>
      <c r="H16" s="330">
        <v>1</v>
      </c>
      <c r="I16" s="330">
        <v>116.15</v>
      </c>
      <c r="J16" s="330">
        <v>3.8</v>
      </c>
      <c r="K16" s="354">
        <f t="shared" si="0"/>
        <v>441.37</v>
      </c>
      <c r="L16" s="354"/>
      <c r="M16" s="354">
        <f t="shared" si="1"/>
        <v>66.209999999999994</v>
      </c>
      <c r="N16" s="116"/>
    </row>
    <row r="17" spans="4:14" s="30" customFormat="1" ht="17.100000000000001" customHeight="1" x14ac:dyDescent="0.25">
      <c r="D17" s="331"/>
      <c r="E17" s="333" t="s">
        <v>734</v>
      </c>
      <c r="F17" s="329" t="s">
        <v>744</v>
      </c>
      <c r="G17" s="329" t="s">
        <v>713</v>
      </c>
      <c r="H17" s="330">
        <v>1</v>
      </c>
      <c r="I17" s="330">
        <v>1.5</v>
      </c>
      <c r="J17" s="330">
        <v>3.8</v>
      </c>
      <c r="K17" s="354">
        <f t="shared" si="0"/>
        <v>5.7</v>
      </c>
      <c r="L17" s="354"/>
      <c r="M17" s="354">
        <f t="shared" si="1"/>
        <v>0.86</v>
      </c>
      <c r="N17" s="116"/>
    </row>
    <row r="18" spans="4:14" s="30" customFormat="1" ht="17.100000000000001" customHeight="1" x14ac:dyDescent="0.25">
      <c r="D18" s="331"/>
      <c r="E18" s="333" t="s">
        <v>734</v>
      </c>
      <c r="F18" s="329" t="s">
        <v>744</v>
      </c>
      <c r="G18" s="329" t="s">
        <v>713</v>
      </c>
      <c r="H18" s="330">
        <v>1</v>
      </c>
      <c r="I18" s="330">
        <v>1.5</v>
      </c>
      <c r="J18" s="330">
        <v>3.8</v>
      </c>
      <c r="K18" s="354">
        <f t="shared" si="0"/>
        <v>5.7</v>
      </c>
      <c r="L18" s="354"/>
      <c r="M18" s="354">
        <f t="shared" si="1"/>
        <v>0.86</v>
      </c>
      <c r="N18" s="116"/>
    </row>
    <row r="19" spans="4:14" s="30" customFormat="1" ht="17.100000000000001" customHeight="1" x14ac:dyDescent="0.25">
      <c r="D19" s="331"/>
      <c r="E19" s="333" t="s">
        <v>734</v>
      </c>
      <c r="F19" s="329" t="s">
        <v>744</v>
      </c>
      <c r="G19" s="329" t="s">
        <v>713</v>
      </c>
      <c r="H19" s="330">
        <v>1</v>
      </c>
      <c r="I19" s="330">
        <v>43.68</v>
      </c>
      <c r="J19" s="330">
        <v>3.8</v>
      </c>
      <c r="K19" s="354">
        <f t="shared" si="0"/>
        <v>165.98</v>
      </c>
      <c r="L19" s="354"/>
      <c r="M19" s="354">
        <f t="shared" si="1"/>
        <v>24.9</v>
      </c>
      <c r="N19" s="116"/>
    </row>
    <row r="20" spans="4:14" s="30" customFormat="1" ht="17.100000000000001" customHeight="1" x14ac:dyDescent="0.25">
      <c r="D20" s="331"/>
      <c r="E20" s="333" t="s">
        <v>734</v>
      </c>
      <c r="F20" s="329" t="s">
        <v>744</v>
      </c>
      <c r="G20" s="329" t="s">
        <v>713</v>
      </c>
      <c r="H20" s="330">
        <v>1</v>
      </c>
      <c r="I20" s="330">
        <v>7.46</v>
      </c>
      <c r="J20" s="330">
        <v>3.8</v>
      </c>
      <c r="K20" s="354">
        <f t="shared" si="0"/>
        <v>28.35</v>
      </c>
      <c r="L20" s="354"/>
      <c r="M20" s="354">
        <f t="shared" si="1"/>
        <v>4.25</v>
      </c>
      <c r="N20" s="116"/>
    </row>
    <row r="21" spans="4:14" s="30" customFormat="1" ht="17.100000000000001" customHeight="1" x14ac:dyDescent="0.25">
      <c r="D21" s="331"/>
      <c r="E21" s="333" t="s">
        <v>734</v>
      </c>
      <c r="F21" s="329" t="s">
        <v>744</v>
      </c>
      <c r="G21" s="329" t="s">
        <v>713</v>
      </c>
      <c r="H21" s="330">
        <v>1</v>
      </c>
      <c r="I21" s="330">
        <v>5.46</v>
      </c>
      <c r="J21" s="330">
        <v>3.8</v>
      </c>
      <c r="K21" s="354">
        <f t="shared" si="0"/>
        <v>20.75</v>
      </c>
      <c r="L21" s="354"/>
      <c r="M21" s="354">
        <f t="shared" si="1"/>
        <v>3.11</v>
      </c>
      <c r="N21" s="116"/>
    </row>
    <row r="22" spans="4:14" s="30" customFormat="1" ht="17.100000000000001" customHeight="1" x14ac:dyDescent="0.25">
      <c r="D22" s="331"/>
      <c r="E22" s="333" t="s">
        <v>734</v>
      </c>
      <c r="F22" s="329" t="s">
        <v>744</v>
      </c>
      <c r="G22" s="329" t="s">
        <v>713</v>
      </c>
      <c r="H22" s="330">
        <v>1</v>
      </c>
      <c r="I22" s="330">
        <v>3</v>
      </c>
      <c r="J22" s="330">
        <v>3.8</v>
      </c>
      <c r="K22" s="354">
        <f t="shared" si="0"/>
        <v>11.4</v>
      </c>
      <c r="L22" s="354"/>
      <c r="M22" s="354">
        <f t="shared" si="1"/>
        <v>1.71</v>
      </c>
      <c r="N22" s="116"/>
    </row>
    <row r="23" spans="4:14" s="30" customFormat="1" ht="17.100000000000001" customHeight="1" x14ac:dyDescent="0.25">
      <c r="D23" s="331"/>
      <c r="E23" s="333" t="s">
        <v>734</v>
      </c>
      <c r="F23" s="329" t="s">
        <v>744</v>
      </c>
      <c r="G23" s="329" t="s">
        <v>713</v>
      </c>
      <c r="H23" s="330">
        <v>1</v>
      </c>
      <c r="I23" s="330">
        <v>3</v>
      </c>
      <c r="J23" s="330">
        <v>3.8</v>
      </c>
      <c r="K23" s="354">
        <f t="shared" si="0"/>
        <v>11.4</v>
      </c>
      <c r="L23" s="354"/>
      <c r="M23" s="354">
        <f t="shared" si="1"/>
        <v>1.71</v>
      </c>
      <c r="N23" s="116"/>
    </row>
    <row r="24" spans="4:14" s="30" customFormat="1" ht="17.100000000000001" customHeight="1" x14ac:dyDescent="0.25">
      <c r="D24" s="331"/>
      <c r="E24" s="333" t="s">
        <v>734</v>
      </c>
      <c r="F24" s="329" t="s">
        <v>744</v>
      </c>
      <c r="G24" s="329" t="s">
        <v>713</v>
      </c>
      <c r="H24" s="330">
        <v>1</v>
      </c>
      <c r="I24" s="330">
        <v>2.15</v>
      </c>
      <c r="J24" s="330">
        <v>3.8</v>
      </c>
      <c r="K24" s="354">
        <f t="shared" si="0"/>
        <v>8.17</v>
      </c>
      <c r="L24" s="354"/>
      <c r="M24" s="354">
        <f t="shared" si="1"/>
        <v>1.23</v>
      </c>
      <c r="N24" s="116"/>
    </row>
    <row r="25" spans="4:14" s="30" customFormat="1" ht="17.100000000000001" customHeight="1" x14ac:dyDescent="0.25">
      <c r="D25" s="331"/>
      <c r="E25" s="333" t="s">
        <v>734</v>
      </c>
      <c r="F25" s="329" t="s">
        <v>744</v>
      </c>
      <c r="G25" s="329" t="s">
        <v>713</v>
      </c>
      <c r="H25" s="330">
        <v>1</v>
      </c>
      <c r="I25" s="330">
        <v>61.679999999999993</v>
      </c>
      <c r="J25" s="330">
        <v>3.8</v>
      </c>
      <c r="K25" s="354">
        <f t="shared" si="0"/>
        <v>234.38</v>
      </c>
      <c r="L25" s="354"/>
      <c r="M25" s="354">
        <f t="shared" si="1"/>
        <v>35.159999999999997</v>
      </c>
      <c r="N25" s="116"/>
    </row>
    <row r="26" spans="4:14" s="30" customFormat="1" ht="17.100000000000001" customHeight="1" x14ac:dyDescent="0.25">
      <c r="D26" s="331"/>
      <c r="E26" s="333" t="s">
        <v>734</v>
      </c>
      <c r="F26" s="329" t="s">
        <v>744</v>
      </c>
      <c r="G26" s="329" t="s">
        <v>713</v>
      </c>
      <c r="H26" s="330">
        <v>1</v>
      </c>
      <c r="I26" s="330">
        <v>4.6500000000000004</v>
      </c>
      <c r="J26" s="330">
        <v>3.8</v>
      </c>
      <c r="K26" s="354">
        <f t="shared" si="0"/>
        <v>17.670000000000002</v>
      </c>
      <c r="L26" s="354"/>
      <c r="M26" s="354">
        <f t="shared" si="1"/>
        <v>2.65</v>
      </c>
      <c r="N26" s="116"/>
    </row>
    <row r="27" spans="4:14" s="30" customFormat="1" ht="17.100000000000001" customHeight="1" x14ac:dyDescent="0.25">
      <c r="D27" s="331"/>
      <c r="E27" s="333" t="s">
        <v>734</v>
      </c>
      <c r="F27" s="329" t="s">
        <v>744</v>
      </c>
      <c r="G27" s="329" t="s">
        <v>713</v>
      </c>
      <c r="H27" s="330">
        <v>1</v>
      </c>
      <c r="I27" s="330">
        <v>2.5</v>
      </c>
      <c r="J27" s="330">
        <v>3.8</v>
      </c>
      <c r="K27" s="354">
        <f t="shared" si="0"/>
        <v>9.5</v>
      </c>
      <c r="L27" s="354"/>
      <c r="M27" s="354">
        <f t="shared" si="1"/>
        <v>1.43</v>
      </c>
      <c r="N27" s="116"/>
    </row>
    <row r="28" spans="4:14" s="30" customFormat="1" ht="17.100000000000001" customHeight="1" thickBot="1" x14ac:dyDescent="0.3">
      <c r="D28" s="339"/>
      <c r="E28" s="340" t="s">
        <v>734</v>
      </c>
      <c r="F28" s="341" t="s">
        <v>744</v>
      </c>
      <c r="G28" s="341" t="s">
        <v>713</v>
      </c>
      <c r="H28" s="342">
        <v>1</v>
      </c>
      <c r="I28" s="342">
        <v>14</v>
      </c>
      <c r="J28" s="342">
        <v>3.8</v>
      </c>
      <c r="K28" s="355">
        <f t="shared" si="0"/>
        <v>53.2</v>
      </c>
      <c r="L28" s="355"/>
      <c r="M28" s="355">
        <f t="shared" si="1"/>
        <v>7.98</v>
      </c>
      <c r="N28" s="116"/>
    </row>
    <row r="29" spans="4:14" s="30" customFormat="1" ht="17.100000000000001" customHeight="1" x14ac:dyDescent="0.25">
      <c r="D29" s="334"/>
      <c r="E29" s="335" t="s">
        <v>734</v>
      </c>
      <c r="F29" s="336" t="s">
        <v>745</v>
      </c>
      <c r="G29" s="336" t="s">
        <v>713</v>
      </c>
      <c r="H29" s="337">
        <v>1</v>
      </c>
      <c r="I29" s="337">
        <v>68.91</v>
      </c>
      <c r="J29" s="337">
        <v>3.27</v>
      </c>
      <c r="K29" s="356">
        <f t="shared" si="0"/>
        <v>225.34</v>
      </c>
      <c r="L29" s="356"/>
      <c r="M29" s="356">
        <f t="shared" si="1"/>
        <v>33.799999999999997</v>
      </c>
      <c r="N29" s="116"/>
    </row>
    <row r="30" spans="4:14" s="30" customFormat="1" ht="17.100000000000001" customHeight="1" x14ac:dyDescent="0.25">
      <c r="D30" s="331"/>
      <c r="E30" s="333" t="s">
        <v>734</v>
      </c>
      <c r="F30" s="329" t="s">
        <v>745</v>
      </c>
      <c r="G30" s="329" t="s">
        <v>713</v>
      </c>
      <c r="H30" s="330">
        <v>1</v>
      </c>
      <c r="I30" s="330">
        <v>68.91</v>
      </c>
      <c r="J30" s="330">
        <v>3.27</v>
      </c>
      <c r="K30" s="354">
        <f t="shared" si="0"/>
        <v>225.34</v>
      </c>
      <c r="L30" s="354"/>
      <c r="M30" s="354">
        <f t="shared" si="1"/>
        <v>33.799999999999997</v>
      </c>
      <c r="N30" s="116"/>
    </row>
    <row r="31" spans="4:14" s="30" customFormat="1" ht="17.100000000000001" customHeight="1" x14ac:dyDescent="0.25">
      <c r="D31" s="331"/>
      <c r="E31" s="333" t="s">
        <v>734</v>
      </c>
      <c r="F31" s="329" t="s">
        <v>745</v>
      </c>
      <c r="G31" s="329" t="s">
        <v>713</v>
      </c>
      <c r="H31" s="330">
        <v>1</v>
      </c>
      <c r="I31" s="330">
        <v>53.63</v>
      </c>
      <c r="J31" s="330">
        <v>3.27</v>
      </c>
      <c r="K31" s="354">
        <f t="shared" si="0"/>
        <v>175.37</v>
      </c>
      <c r="L31" s="354"/>
      <c r="M31" s="354">
        <f t="shared" si="1"/>
        <v>26.31</v>
      </c>
      <c r="N31" s="116"/>
    </row>
    <row r="32" spans="4:14" s="30" customFormat="1" ht="17.100000000000001" customHeight="1" x14ac:dyDescent="0.25">
      <c r="D32" s="331"/>
      <c r="E32" s="333" t="s">
        <v>734</v>
      </c>
      <c r="F32" s="329" t="s">
        <v>745</v>
      </c>
      <c r="G32" s="329" t="s">
        <v>713</v>
      </c>
      <c r="H32" s="330">
        <v>1</v>
      </c>
      <c r="I32" s="330">
        <v>5.55</v>
      </c>
      <c r="J32" s="330">
        <v>3.27</v>
      </c>
      <c r="K32" s="354">
        <f t="shared" si="0"/>
        <v>18.149999999999999</v>
      </c>
      <c r="L32" s="354"/>
      <c r="M32" s="354">
        <f t="shared" si="1"/>
        <v>2.72</v>
      </c>
      <c r="N32" s="116"/>
    </row>
    <row r="33" spans="4:14" s="30" customFormat="1" ht="17.100000000000001" customHeight="1" x14ac:dyDescent="0.25">
      <c r="D33" s="331"/>
      <c r="E33" s="333" t="s">
        <v>734</v>
      </c>
      <c r="F33" s="329" t="s">
        <v>745</v>
      </c>
      <c r="G33" s="329" t="s">
        <v>713</v>
      </c>
      <c r="H33" s="330">
        <v>1</v>
      </c>
      <c r="I33" s="330">
        <v>11.97</v>
      </c>
      <c r="J33" s="330">
        <v>3.27</v>
      </c>
      <c r="K33" s="354">
        <f t="shared" si="0"/>
        <v>39.14</v>
      </c>
      <c r="L33" s="354"/>
      <c r="M33" s="354">
        <f t="shared" si="1"/>
        <v>5.87</v>
      </c>
      <c r="N33" s="116"/>
    </row>
    <row r="34" spans="4:14" s="30" customFormat="1" ht="17.100000000000001" customHeight="1" x14ac:dyDescent="0.25">
      <c r="D34" s="331"/>
      <c r="E34" s="333" t="s">
        <v>734</v>
      </c>
      <c r="F34" s="329" t="s">
        <v>745</v>
      </c>
      <c r="G34" s="329" t="s">
        <v>713</v>
      </c>
      <c r="H34" s="330">
        <v>1</v>
      </c>
      <c r="I34" s="330">
        <v>11.97</v>
      </c>
      <c r="J34" s="330">
        <v>3.27</v>
      </c>
      <c r="K34" s="354">
        <f t="shared" si="0"/>
        <v>39.14</v>
      </c>
      <c r="L34" s="354"/>
      <c r="M34" s="354">
        <f t="shared" si="1"/>
        <v>5.87</v>
      </c>
      <c r="N34" s="116"/>
    </row>
    <row r="35" spans="4:14" s="30" customFormat="1" ht="17.100000000000001" customHeight="1" x14ac:dyDescent="0.25">
      <c r="D35" s="331"/>
      <c r="E35" s="333" t="s">
        <v>734</v>
      </c>
      <c r="F35" s="329" t="s">
        <v>745</v>
      </c>
      <c r="G35" s="329" t="s">
        <v>713</v>
      </c>
      <c r="H35" s="330">
        <v>1</v>
      </c>
      <c r="I35" s="330">
        <v>28.39</v>
      </c>
      <c r="J35" s="330">
        <v>3.27</v>
      </c>
      <c r="K35" s="354">
        <f t="shared" si="0"/>
        <v>92.84</v>
      </c>
      <c r="L35" s="354"/>
      <c r="M35" s="354">
        <f t="shared" si="1"/>
        <v>13.93</v>
      </c>
      <c r="N35" s="116"/>
    </row>
    <row r="36" spans="4:14" s="30" customFormat="1" ht="17.100000000000001" customHeight="1" x14ac:dyDescent="0.25">
      <c r="D36" s="331"/>
      <c r="E36" s="333" t="s">
        <v>734</v>
      </c>
      <c r="F36" s="329" t="s">
        <v>745</v>
      </c>
      <c r="G36" s="329" t="s">
        <v>713</v>
      </c>
      <c r="H36" s="330">
        <v>1</v>
      </c>
      <c r="I36" s="330">
        <v>14.7</v>
      </c>
      <c r="J36" s="330">
        <v>3.27</v>
      </c>
      <c r="K36" s="354">
        <f t="shared" si="0"/>
        <v>48.07</v>
      </c>
      <c r="L36" s="354"/>
      <c r="M36" s="354">
        <f t="shared" si="1"/>
        <v>7.21</v>
      </c>
      <c r="N36" s="116"/>
    </row>
    <row r="37" spans="4:14" s="30" customFormat="1" ht="17.100000000000001" customHeight="1" x14ac:dyDescent="0.25">
      <c r="D37" s="331"/>
      <c r="E37" s="333" t="s">
        <v>734</v>
      </c>
      <c r="F37" s="329" t="s">
        <v>745</v>
      </c>
      <c r="G37" s="329" t="s">
        <v>713</v>
      </c>
      <c r="H37" s="330">
        <v>1</v>
      </c>
      <c r="I37" s="330">
        <v>23</v>
      </c>
      <c r="J37" s="330">
        <v>3.27</v>
      </c>
      <c r="K37" s="354">
        <f t="shared" si="0"/>
        <v>75.209999999999994</v>
      </c>
      <c r="L37" s="354"/>
      <c r="M37" s="354">
        <f t="shared" si="1"/>
        <v>11.28</v>
      </c>
      <c r="N37" s="116"/>
    </row>
    <row r="38" spans="4:14" s="30" customFormat="1" ht="17.100000000000001" customHeight="1" x14ac:dyDescent="0.25">
      <c r="D38" s="331"/>
      <c r="E38" s="333" t="s">
        <v>734</v>
      </c>
      <c r="F38" s="329" t="s">
        <v>745</v>
      </c>
      <c r="G38" s="329" t="s">
        <v>713</v>
      </c>
      <c r="H38" s="330">
        <v>1</v>
      </c>
      <c r="I38" s="330">
        <v>12.2</v>
      </c>
      <c r="J38" s="330">
        <v>3.27</v>
      </c>
      <c r="K38" s="354">
        <f t="shared" si="0"/>
        <v>39.89</v>
      </c>
      <c r="L38" s="354"/>
      <c r="M38" s="354">
        <f t="shared" si="1"/>
        <v>5.98</v>
      </c>
      <c r="N38" s="116"/>
    </row>
    <row r="39" spans="4:14" s="30" customFormat="1" ht="17.100000000000001" customHeight="1" x14ac:dyDescent="0.25">
      <c r="D39" s="331"/>
      <c r="E39" s="333" t="s">
        <v>734</v>
      </c>
      <c r="F39" s="329" t="s">
        <v>745</v>
      </c>
      <c r="G39" s="329" t="s">
        <v>713</v>
      </c>
      <c r="H39" s="330">
        <v>1</v>
      </c>
      <c r="I39" s="330">
        <v>6</v>
      </c>
      <c r="J39" s="330">
        <v>3.27</v>
      </c>
      <c r="K39" s="354">
        <f t="shared" si="0"/>
        <v>19.62</v>
      </c>
      <c r="L39" s="354"/>
      <c r="M39" s="354">
        <f t="shared" si="1"/>
        <v>2.94</v>
      </c>
      <c r="N39" s="116"/>
    </row>
    <row r="40" spans="4:14" s="30" customFormat="1" ht="17.100000000000001" customHeight="1" x14ac:dyDescent="0.25">
      <c r="D40" s="331"/>
      <c r="E40" s="333" t="s">
        <v>734</v>
      </c>
      <c r="F40" s="329" t="s">
        <v>745</v>
      </c>
      <c r="G40" s="329" t="s">
        <v>713</v>
      </c>
      <c r="H40" s="330">
        <v>1</v>
      </c>
      <c r="I40" s="330">
        <v>3.95</v>
      </c>
      <c r="J40" s="330">
        <v>3.27</v>
      </c>
      <c r="K40" s="354">
        <f t="shared" si="0"/>
        <v>12.92</v>
      </c>
      <c r="L40" s="354"/>
      <c r="M40" s="354">
        <f t="shared" si="1"/>
        <v>1.94</v>
      </c>
      <c r="N40" s="116"/>
    </row>
    <row r="41" spans="4:14" s="30" customFormat="1" ht="17.100000000000001" customHeight="1" x14ac:dyDescent="0.25">
      <c r="D41" s="331"/>
      <c r="E41" s="333" t="s">
        <v>734</v>
      </c>
      <c r="F41" s="329" t="s">
        <v>745</v>
      </c>
      <c r="G41" s="329" t="s">
        <v>713</v>
      </c>
      <c r="H41" s="330">
        <v>1</v>
      </c>
      <c r="I41" s="330">
        <v>12.71</v>
      </c>
      <c r="J41" s="330">
        <v>3.27</v>
      </c>
      <c r="K41" s="354">
        <f t="shared" si="0"/>
        <v>41.56</v>
      </c>
      <c r="L41" s="354"/>
      <c r="M41" s="354">
        <f t="shared" si="1"/>
        <v>6.23</v>
      </c>
      <c r="N41" s="116"/>
    </row>
    <row r="42" spans="4:14" s="30" customFormat="1" ht="17.100000000000001" customHeight="1" x14ac:dyDescent="0.25">
      <c r="D42" s="331"/>
      <c r="E42" s="333" t="s">
        <v>734</v>
      </c>
      <c r="F42" s="329" t="s">
        <v>745</v>
      </c>
      <c r="G42" s="329" t="s">
        <v>713</v>
      </c>
      <c r="H42" s="330">
        <v>1</v>
      </c>
      <c r="I42" s="330">
        <v>15.27</v>
      </c>
      <c r="J42" s="330">
        <v>3.27</v>
      </c>
      <c r="K42" s="354">
        <f t="shared" si="0"/>
        <v>49.93</v>
      </c>
      <c r="L42" s="354"/>
      <c r="M42" s="354">
        <f t="shared" si="1"/>
        <v>7.49</v>
      </c>
      <c r="N42" s="116"/>
    </row>
    <row r="43" spans="4:14" s="30" customFormat="1" ht="17.100000000000001" customHeight="1" x14ac:dyDescent="0.25">
      <c r="D43" s="331"/>
      <c r="E43" s="333" t="s">
        <v>734</v>
      </c>
      <c r="F43" s="329" t="s">
        <v>745</v>
      </c>
      <c r="G43" s="329" t="s">
        <v>713</v>
      </c>
      <c r="H43" s="330">
        <v>1</v>
      </c>
      <c r="I43" s="330">
        <v>11.44</v>
      </c>
      <c r="J43" s="330">
        <v>3.27</v>
      </c>
      <c r="K43" s="354">
        <f t="shared" ref="K43:K73" si="2">+ROUND(H43*I43*J43,2)</f>
        <v>37.409999999999997</v>
      </c>
      <c r="L43" s="354"/>
      <c r="M43" s="354">
        <f t="shared" ref="M43:M74" si="3">+ROUND(K43*0.15,2)</f>
        <v>5.61</v>
      </c>
      <c r="N43" s="116"/>
    </row>
    <row r="44" spans="4:14" s="30" customFormat="1" ht="17.100000000000001" customHeight="1" x14ac:dyDescent="0.25">
      <c r="D44" s="331"/>
      <c r="E44" s="333" t="s">
        <v>734</v>
      </c>
      <c r="F44" s="329" t="s">
        <v>745</v>
      </c>
      <c r="G44" s="329" t="s">
        <v>713</v>
      </c>
      <c r="H44" s="330">
        <v>1</v>
      </c>
      <c r="I44" s="330">
        <v>4.9400000000000004</v>
      </c>
      <c r="J44" s="330">
        <v>3.27</v>
      </c>
      <c r="K44" s="354">
        <f t="shared" si="2"/>
        <v>16.149999999999999</v>
      </c>
      <c r="L44" s="354"/>
      <c r="M44" s="354">
        <f t="shared" si="3"/>
        <v>2.42</v>
      </c>
      <c r="N44" s="116"/>
    </row>
    <row r="45" spans="4:14" s="30" customFormat="1" ht="17.100000000000001" customHeight="1" x14ac:dyDescent="0.25">
      <c r="D45" s="331"/>
      <c r="E45" s="333" t="s">
        <v>734</v>
      </c>
      <c r="F45" s="329" t="s">
        <v>745</v>
      </c>
      <c r="G45" s="329" t="s">
        <v>713</v>
      </c>
      <c r="H45" s="330">
        <v>1</v>
      </c>
      <c r="I45" s="330">
        <v>10.290000000000001</v>
      </c>
      <c r="J45" s="330">
        <v>3.27</v>
      </c>
      <c r="K45" s="354">
        <f t="shared" si="2"/>
        <v>33.65</v>
      </c>
      <c r="L45" s="354"/>
      <c r="M45" s="354">
        <f t="shared" si="3"/>
        <v>5.05</v>
      </c>
      <c r="N45" s="116"/>
    </row>
    <row r="46" spans="4:14" s="30" customFormat="1" ht="17.100000000000001" customHeight="1" thickBot="1" x14ac:dyDescent="0.3">
      <c r="D46" s="339"/>
      <c r="E46" s="340" t="s">
        <v>734</v>
      </c>
      <c r="F46" s="341" t="s">
        <v>745</v>
      </c>
      <c r="G46" s="341" t="s">
        <v>713</v>
      </c>
      <c r="H46" s="342">
        <v>1</v>
      </c>
      <c r="I46" s="342">
        <v>1.35</v>
      </c>
      <c r="J46" s="342">
        <v>3.27</v>
      </c>
      <c r="K46" s="355">
        <f t="shared" si="2"/>
        <v>4.41</v>
      </c>
      <c r="L46" s="355"/>
      <c r="M46" s="355">
        <f t="shared" si="3"/>
        <v>0.66</v>
      </c>
      <c r="N46" s="116"/>
    </row>
    <row r="47" spans="4:14" s="30" customFormat="1" ht="17.100000000000001" customHeight="1" x14ac:dyDescent="0.25">
      <c r="D47" s="334"/>
      <c r="E47" s="335" t="s">
        <v>734</v>
      </c>
      <c r="F47" s="336" t="s">
        <v>746</v>
      </c>
      <c r="G47" s="336" t="s">
        <v>713</v>
      </c>
      <c r="H47" s="337">
        <v>1</v>
      </c>
      <c r="I47" s="337">
        <v>115.98</v>
      </c>
      <c r="J47" s="337">
        <v>3.8</v>
      </c>
      <c r="K47" s="356">
        <f t="shared" si="2"/>
        <v>440.72</v>
      </c>
      <c r="L47" s="356"/>
      <c r="M47" s="356">
        <f t="shared" si="3"/>
        <v>66.11</v>
      </c>
      <c r="N47" s="116"/>
    </row>
    <row r="48" spans="4:14" s="30" customFormat="1" ht="17.100000000000001" customHeight="1" x14ac:dyDescent="0.25">
      <c r="D48" s="331"/>
      <c r="E48" s="333" t="s">
        <v>734</v>
      </c>
      <c r="F48" s="329" t="s">
        <v>746</v>
      </c>
      <c r="G48" s="329" t="s">
        <v>713</v>
      </c>
      <c r="H48" s="330">
        <v>1</v>
      </c>
      <c r="I48" s="330">
        <v>90.51</v>
      </c>
      <c r="J48" s="330">
        <v>3.8</v>
      </c>
      <c r="K48" s="354">
        <f t="shared" si="2"/>
        <v>343.94</v>
      </c>
      <c r="L48" s="354"/>
      <c r="M48" s="354">
        <f t="shared" si="3"/>
        <v>51.59</v>
      </c>
      <c r="N48" s="116"/>
    </row>
    <row r="49" spans="4:14" s="30" customFormat="1" ht="17.100000000000001" customHeight="1" x14ac:dyDescent="0.25">
      <c r="D49" s="331"/>
      <c r="E49" s="333" t="s">
        <v>734</v>
      </c>
      <c r="F49" s="329" t="s">
        <v>746</v>
      </c>
      <c r="G49" s="329" t="s">
        <v>713</v>
      </c>
      <c r="H49" s="330">
        <v>1</v>
      </c>
      <c r="I49" s="330">
        <v>33.150000000000006</v>
      </c>
      <c r="J49" s="330">
        <v>3.8</v>
      </c>
      <c r="K49" s="354">
        <f t="shared" si="2"/>
        <v>125.97</v>
      </c>
      <c r="L49" s="354"/>
      <c r="M49" s="354">
        <f t="shared" si="3"/>
        <v>18.899999999999999</v>
      </c>
      <c r="N49" s="116"/>
    </row>
    <row r="50" spans="4:14" s="30" customFormat="1" ht="17.100000000000001" customHeight="1" x14ac:dyDescent="0.25">
      <c r="D50" s="331"/>
      <c r="E50" s="333" t="s">
        <v>734</v>
      </c>
      <c r="F50" s="329" t="s">
        <v>746</v>
      </c>
      <c r="G50" s="329" t="s">
        <v>713</v>
      </c>
      <c r="H50" s="330">
        <v>1</v>
      </c>
      <c r="I50" s="330">
        <v>6.98</v>
      </c>
      <c r="J50" s="330">
        <v>3.8</v>
      </c>
      <c r="K50" s="354">
        <f t="shared" si="2"/>
        <v>26.52</v>
      </c>
      <c r="L50" s="354"/>
      <c r="M50" s="354">
        <f t="shared" si="3"/>
        <v>3.98</v>
      </c>
      <c r="N50" s="116"/>
    </row>
    <row r="51" spans="4:14" s="30" customFormat="1" ht="17.100000000000001" customHeight="1" x14ac:dyDescent="0.25">
      <c r="D51" s="331"/>
      <c r="E51" s="333" t="s">
        <v>734</v>
      </c>
      <c r="F51" s="329" t="s">
        <v>746</v>
      </c>
      <c r="G51" s="329" t="s">
        <v>713</v>
      </c>
      <c r="H51" s="330">
        <v>1</v>
      </c>
      <c r="I51" s="330">
        <v>3.65</v>
      </c>
      <c r="J51" s="330">
        <v>3.8</v>
      </c>
      <c r="K51" s="354">
        <f t="shared" si="2"/>
        <v>13.87</v>
      </c>
      <c r="L51" s="354"/>
      <c r="M51" s="354">
        <f t="shared" si="3"/>
        <v>2.08</v>
      </c>
      <c r="N51" s="116"/>
    </row>
    <row r="52" spans="4:14" s="30" customFormat="1" ht="17.100000000000001" customHeight="1" x14ac:dyDescent="0.25">
      <c r="D52" s="331"/>
      <c r="E52" s="333" t="s">
        <v>734</v>
      </c>
      <c r="F52" s="329" t="s">
        <v>746</v>
      </c>
      <c r="G52" s="329" t="s">
        <v>713</v>
      </c>
      <c r="H52" s="330">
        <v>1</v>
      </c>
      <c r="I52" s="330">
        <v>3.67</v>
      </c>
      <c r="J52" s="330">
        <v>3.8</v>
      </c>
      <c r="K52" s="354">
        <f t="shared" si="2"/>
        <v>13.95</v>
      </c>
      <c r="L52" s="354"/>
      <c r="M52" s="354">
        <f t="shared" si="3"/>
        <v>2.09</v>
      </c>
      <c r="N52" s="116"/>
    </row>
    <row r="53" spans="4:14" s="30" customFormat="1" ht="17.100000000000001" customHeight="1" x14ac:dyDescent="0.25">
      <c r="D53" s="331"/>
      <c r="E53" s="333" t="s">
        <v>734</v>
      </c>
      <c r="F53" s="329" t="s">
        <v>746</v>
      </c>
      <c r="G53" s="329" t="s">
        <v>713</v>
      </c>
      <c r="H53" s="330">
        <v>1</v>
      </c>
      <c r="I53" s="330">
        <v>4.67</v>
      </c>
      <c r="J53" s="330">
        <v>3.8</v>
      </c>
      <c r="K53" s="354">
        <f t="shared" si="2"/>
        <v>17.75</v>
      </c>
      <c r="L53" s="354"/>
      <c r="M53" s="354">
        <f t="shared" si="3"/>
        <v>2.66</v>
      </c>
      <c r="N53" s="116"/>
    </row>
    <row r="54" spans="4:14" s="30" customFormat="1" ht="17.100000000000001" customHeight="1" x14ac:dyDescent="0.25">
      <c r="D54" s="331"/>
      <c r="E54" s="333" t="s">
        <v>734</v>
      </c>
      <c r="F54" s="329" t="s">
        <v>746</v>
      </c>
      <c r="G54" s="329" t="s">
        <v>713</v>
      </c>
      <c r="H54" s="330">
        <v>1</v>
      </c>
      <c r="I54" s="330">
        <v>24.68</v>
      </c>
      <c r="J54" s="330">
        <v>3.8</v>
      </c>
      <c r="K54" s="354">
        <f t="shared" si="2"/>
        <v>93.78</v>
      </c>
      <c r="L54" s="354"/>
      <c r="M54" s="354">
        <f t="shared" si="3"/>
        <v>14.07</v>
      </c>
      <c r="N54" s="116"/>
    </row>
    <row r="55" spans="4:14" s="30" customFormat="1" ht="17.100000000000001" customHeight="1" x14ac:dyDescent="0.25">
      <c r="D55" s="331"/>
      <c r="E55" s="333" t="s">
        <v>734</v>
      </c>
      <c r="F55" s="329" t="s">
        <v>746</v>
      </c>
      <c r="G55" s="329" t="s">
        <v>713</v>
      </c>
      <c r="H55" s="330">
        <v>1</v>
      </c>
      <c r="I55" s="330">
        <v>6.52</v>
      </c>
      <c r="J55" s="330">
        <v>3.8</v>
      </c>
      <c r="K55" s="354">
        <f t="shared" si="2"/>
        <v>24.78</v>
      </c>
      <c r="L55" s="354"/>
      <c r="M55" s="354">
        <f t="shared" si="3"/>
        <v>3.72</v>
      </c>
      <c r="N55" s="116"/>
    </row>
    <row r="56" spans="4:14" s="30" customFormat="1" ht="17.100000000000001" customHeight="1" x14ac:dyDescent="0.25">
      <c r="D56" s="331"/>
      <c r="E56" s="333" t="s">
        <v>734</v>
      </c>
      <c r="F56" s="329" t="s">
        <v>746</v>
      </c>
      <c r="G56" s="329" t="s">
        <v>713</v>
      </c>
      <c r="H56" s="330">
        <v>1</v>
      </c>
      <c r="I56" s="330">
        <v>1.55</v>
      </c>
      <c r="J56" s="330">
        <v>3.8</v>
      </c>
      <c r="K56" s="354">
        <f t="shared" si="2"/>
        <v>5.89</v>
      </c>
      <c r="L56" s="354"/>
      <c r="M56" s="354">
        <f t="shared" si="3"/>
        <v>0.88</v>
      </c>
      <c r="N56" s="116"/>
    </row>
    <row r="57" spans="4:14" s="30" customFormat="1" ht="17.100000000000001" customHeight="1" x14ac:dyDescent="0.25">
      <c r="D57" s="331"/>
      <c r="E57" s="333" t="s">
        <v>734</v>
      </c>
      <c r="F57" s="329" t="s">
        <v>746</v>
      </c>
      <c r="G57" s="329" t="s">
        <v>713</v>
      </c>
      <c r="H57" s="330">
        <v>1</v>
      </c>
      <c r="I57" s="330">
        <v>7.05</v>
      </c>
      <c r="J57" s="330">
        <v>3.8</v>
      </c>
      <c r="K57" s="354">
        <f t="shared" si="2"/>
        <v>26.79</v>
      </c>
      <c r="L57" s="354"/>
      <c r="M57" s="354">
        <f t="shared" si="3"/>
        <v>4.0199999999999996</v>
      </c>
      <c r="N57" s="116"/>
    </row>
    <row r="58" spans="4:14" s="30" customFormat="1" ht="17.100000000000001" customHeight="1" thickBot="1" x14ac:dyDescent="0.3">
      <c r="D58" s="339"/>
      <c r="E58" s="340" t="s">
        <v>734</v>
      </c>
      <c r="F58" s="341" t="s">
        <v>746</v>
      </c>
      <c r="G58" s="341" t="s">
        <v>713</v>
      </c>
      <c r="H58" s="342">
        <v>1</v>
      </c>
      <c r="I58" s="342">
        <v>31.99</v>
      </c>
      <c r="J58" s="342">
        <v>3.8</v>
      </c>
      <c r="K58" s="355">
        <f t="shared" si="2"/>
        <v>121.56</v>
      </c>
      <c r="L58" s="355"/>
      <c r="M58" s="355">
        <f t="shared" si="3"/>
        <v>18.23</v>
      </c>
      <c r="N58" s="116"/>
    </row>
    <row r="59" spans="4:14" s="30" customFormat="1" ht="17.100000000000001" customHeight="1" x14ac:dyDescent="0.25">
      <c r="D59" s="334"/>
      <c r="E59" s="335" t="s">
        <v>734</v>
      </c>
      <c r="F59" s="336" t="s">
        <v>747</v>
      </c>
      <c r="G59" s="336" t="s">
        <v>713</v>
      </c>
      <c r="H59" s="337">
        <v>1</v>
      </c>
      <c r="I59" s="337">
        <v>27.36</v>
      </c>
      <c r="J59" s="337">
        <v>2.72</v>
      </c>
      <c r="K59" s="356">
        <f t="shared" si="2"/>
        <v>74.42</v>
      </c>
      <c r="L59" s="356"/>
      <c r="M59" s="356">
        <f t="shared" si="3"/>
        <v>11.16</v>
      </c>
      <c r="N59" s="116"/>
    </row>
    <row r="60" spans="4:14" s="30" customFormat="1" ht="17.100000000000001" customHeight="1" x14ac:dyDescent="0.25">
      <c r="D60" s="331"/>
      <c r="E60" s="333" t="s">
        <v>734</v>
      </c>
      <c r="F60" s="329" t="s">
        <v>747</v>
      </c>
      <c r="G60" s="329" t="s">
        <v>713</v>
      </c>
      <c r="H60" s="330">
        <v>1</v>
      </c>
      <c r="I60" s="330">
        <v>27.36</v>
      </c>
      <c r="J60" s="330">
        <v>2.72</v>
      </c>
      <c r="K60" s="354">
        <f t="shared" si="2"/>
        <v>74.42</v>
      </c>
      <c r="L60" s="354"/>
      <c r="M60" s="354">
        <f t="shared" si="3"/>
        <v>11.16</v>
      </c>
      <c r="N60" s="116"/>
    </row>
    <row r="61" spans="4:14" s="30" customFormat="1" ht="17.100000000000001" customHeight="1" x14ac:dyDescent="0.25">
      <c r="D61" s="331"/>
      <c r="E61" s="333" t="s">
        <v>734</v>
      </c>
      <c r="F61" s="329" t="s">
        <v>747</v>
      </c>
      <c r="G61" s="329" t="s">
        <v>713</v>
      </c>
      <c r="H61" s="330">
        <v>1</v>
      </c>
      <c r="I61" s="330">
        <v>5.6</v>
      </c>
      <c r="J61" s="330">
        <v>2.72</v>
      </c>
      <c r="K61" s="354">
        <f t="shared" si="2"/>
        <v>15.23</v>
      </c>
      <c r="L61" s="354"/>
      <c r="M61" s="354">
        <f t="shared" si="3"/>
        <v>2.2799999999999998</v>
      </c>
      <c r="N61" s="116"/>
    </row>
    <row r="62" spans="4:14" s="30" customFormat="1" ht="17.100000000000001" customHeight="1" x14ac:dyDescent="0.25">
      <c r="D62" s="331"/>
      <c r="E62" s="333" t="s">
        <v>734</v>
      </c>
      <c r="F62" s="329" t="s">
        <v>747</v>
      </c>
      <c r="G62" s="329" t="s">
        <v>713</v>
      </c>
      <c r="H62" s="330">
        <v>1</v>
      </c>
      <c r="I62" s="330">
        <v>5.6</v>
      </c>
      <c r="J62" s="330">
        <v>2.72</v>
      </c>
      <c r="K62" s="354">
        <f t="shared" si="2"/>
        <v>15.23</v>
      </c>
      <c r="L62" s="354"/>
      <c r="M62" s="354">
        <f t="shared" si="3"/>
        <v>2.2799999999999998</v>
      </c>
      <c r="N62" s="116"/>
    </row>
    <row r="63" spans="4:14" s="30" customFormat="1" ht="17.100000000000001" customHeight="1" x14ac:dyDescent="0.25">
      <c r="D63" s="331"/>
      <c r="E63" s="333" t="s">
        <v>734</v>
      </c>
      <c r="F63" s="329" t="s">
        <v>747</v>
      </c>
      <c r="G63" s="329" t="s">
        <v>713</v>
      </c>
      <c r="H63" s="330">
        <v>1</v>
      </c>
      <c r="I63" s="330">
        <v>8.58</v>
      </c>
      <c r="J63" s="330">
        <v>2.72</v>
      </c>
      <c r="K63" s="354">
        <f t="shared" si="2"/>
        <v>23.34</v>
      </c>
      <c r="L63" s="354"/>
      <c r="M63" s="354">
        <f t="shared" si="3"/>
        <v>3.5</v>
      </c>
      <c r="N63" s="116"/>
    </row>
    <row r="64" spans="4:14" s="30" customFormat="1" ht="17.100000000000001" customHeight="1" thickBot="1" x14ac:dyDescent="0.3">
      <c r="D64" s="339"/>
      <c r="E64" s="340" t="s">
        <v>734</v>
      </c>
      <c r="F64" s="341" t="s">
        <v>747</v>
      </c>
      <c r="G64" s="341" t="s">
        <v>713</v>
      </c>
      <c r="H64" s="342">
        <v>1</v>
      </c>
      <c r="I64" s="342">
        <v>4.46</v>
      </c>
      <c r="J64" s="342">
        <v>2.72</v>
      </c>
      <c r="K64" s="355">
        <f t="shared" si="2"/>
        <v>12.13</v>
      </c>
      <c r="L64" s="355"/>
      <c r="M64" s="355">
        <f t="shared" si="3"/>
        <v>1.82</v>
      </c>
      <c r="N64" s="116"/>
    </row>
    <row r="65" spans="4:14" s="30" customFormat="1" ht="17.100000000000001" customHeight="1" x14ac:dyDescent="0.25">
      <c r="D65" s="334"/>
      <c r="E65" s="335" t="s">
        <v>734</v>
      </c>
      <c r="F65" s="336" t="s">
        <v>748</v>
      </c>
      <c r="G65" s="336" t="s">
        <v>713</v>
      </c>
      <c r="H65" s="337">
        <v>1</v>
      </c>
      <c r="I65" s="337">
        <v>9.42</v>
      </c>
      <c r="J65" s="337">
        <v>2.72</v>
      </c>
      <c r="K65" s="356">
        <f t="shared" si="2"/>
        <v>25.62</v>
      </c>
      <c r="L65" s="356"/>
      <c r="M65" s="356">
        <f t="shared" si="3"/>
        <v>3.84</v>
      </c>
      <c r="N65" s="116"/>
    </row>
    <row r="66" spans="4:14" s="30" customFormat="1" ht="17.100000000000001" customHeight="1" x14ac:dyDescent="0.25">
      <c r="D66" s="331"/>
      <c r="E66" s="333" t="s">
        <v>734</v>
      </c>
      <c r="F66" s="329" t="s">
        <v>748</v>
      </c>
      <c r="G66" s="329" t="s">
        <v>713</v>
      </c>
      <c r="H66" s="330">
        <v>1</v>
      </c>
      <c r="I66" s="330">
        <v>12.97</v>
      </c>
      <c r="J66" s="330">
        <v>2.72</v>
      </c>
      <c r="K66" s="354">
        <f t="shared" si="2"/>
        <v>35.28</v>
      </c>
      <c r="L66" s="354"/>
      <c r="M66" s="354">
        <f t="shared" si="3"/>
        <v>5.29</v>
      </c>
      <c r="N66" s="116"/>
    </row>
    <row r="67" spans="4:14" s="30" customFormat="1" ht="17.100000000000001" customHeight="1" x14ac:dyDescent="0.25">
      <c r="D67" s="331"/>
      <c r="E67" s="333" t="s">
        <v>734</v>
      </c>
      <c r="F67" s="329" t="s">
        <v>748</v>
      </c>
      <c r="G67" s="329" t="s">
        <v>713</v>
      </c>
      <c r="H67" s="330">
        <v>1</v>
      </c>
      <c r="I67" s="330">
        <v>9.5299999999999994</v>
      </c>
      <c r="J67" s="330">
        <v>2.72</v>
      </c>
      <c r="K67" s="354">
        <f t="shared" si="2"/>
        <v>25.92</v>
      </c>
      <c r="L67" s="354"/>
      <c r="M67" s="354">
        <f t="shared" si="3"/>
        <v>3.89</v>
      </c>
      <c r="N67" s="116"/>
    </row>
    <row r="68" spans="4:14" s="30" customFormat="1" ht="17.100000000000001" customHeight="1" x14ac:dyDescent="0.25">
      <c r="D68" s="331"/>
      <c r="E68" s="333" t="s">
        <v>734</v>
      </c>
      <c r="F68" s="329" t="s">
        <v>748</v>
      </c>
      <c r="G68" s="329" t="s">
        <v>713</v>
      </c>
      <c r="H68" s="330">
        <v>1</v>
      </c>
      <c r="I68" s="330">
        <v>8.02</v>
      </c>
      <c r="J68" s="330">
        <v>2.72</v>
      </c>
      <c r="K68" s="354">
        <f t="shared" si="2"/>
        <v>21.81</v>
      </c>
      <c r="L68" s="354"/>
      <c r="M68" s="354">
        <f t="shared" si="3"/>
        <v>3.27</v>
      </c>
      <c r="N68" s="116"/>
    </row>
    <row r="69" spans="4:14" s="30" customFormat="1" ht="17.100000000000001" customHeight="1" x14ac:dyDescent="0.25">
      <c r="D69" s="331"/>
      <c r="E69" s="333" t="s">
        <v>734</v>
      </c>
      <c r="F69" s="329" t="s">
        <v>748</v>
      </c>
      <c r="G69" s="329" t="s">
        <v>713</v>
      </c>
      <c r="H69" s="330">
        <v>1</v>
      </c>
      <c r="I69" s="330">
        <v>1.75</v>
      </c>
      <c r="J69" s="330">
        <v>2.72</v>
      </c>
      <c r="K69" s="354">
        <f t="shared" si="2"/>
        <v>4.76</v>
      </c>
      <c r="L69" s="354"/>
      <c r="M69" s="354">
        <f t="shared" si="3"/>
        <v>0.71</v>
      </c>
      <c r="N69" s="116"/>
    </row>
    <row r="70" spans="4:14" s="30" customFormat="1" ht="17.100000000000001" customHeight="1" x14ac:dyDescent="0.25">
      <c r="D70" s="331"/>
      <c r="E70" s="333" t="s">
        <v>734</v>
      </c>
      <c r="F70" s="329" t="s">
        <v>748</v>
      </c>
      <c r="G70" s="329" t="s">
        <v>713</v>
      </c>
      <c r="H70" s="330">
        <v>1</v>
      </c>
      <c r="I70" s="330">
        <v>5.6</v>
      </c>
      <c r="J70" s="330">
        <v>2.72</v>
      </c>
      <c r="K70" s="354">
        <f t="shared" si="2"/>
        <v>15.23</v>
      </c>
      <c r="L70" s="354"/>
      <c r="M70" s="354">
        <f t="shared" si="3"/>
        <v>2.2799999999999998</v>
      </c>
      <c r="N70" s="116"/>
    </row>
    <row r="71" spans="4:14" s="30" customFormat="1" ht="17.100000000000001" customHeight="1" x14ac:dyDescent="0.25">
      <c r="D71" s="331"/>
      <c r="E71" s="333" t="s">
        <v>734</v>
      </c>
      <c r="F71" s="329" t="s">
        <v>748</v>
      </c>
      <c r="G71" s="329" t="s">
        <v>713</v>
      </c>
      <c r="H71" s="330">
        <v>1</v>
      </c>
      <c r="I71" s="330">
        <v>9.5</v>
      </c>
      <c r="J71" s="330">
        <v>2.72</v>
      </c>
      <c r="K71" s="354">
        <f t="shared" si="2"/>
        <v>25.84</v>
      </c>
      <c r="L71" s="354"/>
      <c r="M71" s="354">
        <f t="shared" si="3"/>
        <v>3.88</v>
      </c>
      <c r="N71" s="116"/>
    </row>
    <row r="72" spans="4:14" s="30" customFormat="1" ht="17.100000000000001" customHeight="1" x14ac:dyDescent="0.25">
      <c r="D72" s="331"/>
      <c r="E72" s="333" t="s">
        <v>734</v>
      </c>
      <c r="F72" s="329" t="s">
        <v>748</v>
      </c>
      <c r="G72" s="329" t="s">
        <v>713</v>
      </c>
      <c r="H72" s="330">
        <v>1</v>
      </c>
      <c r="I72" s="330">
        <v>3.2</v>
      </c>
      <c r="J72" s="330">
        <v>2.72</v>
      </c>
      <c r="K72" s="354">
        <f t="shared" si="2"/>
        <v>8.6999999999999993</v>
      </c>
      <c r="L72" s="354"/>
      <c r="M72" s="354">
        <f t="shared" si="3"/>
        <v>1.31</v>
      </c>
      <c r="N72" s="116"/>
    </row>
    <row r="73" spans="4:14" s="30" customFormat="1" ht="17.100000000000001" customHeight="1" thickBot="1" x14ac:dyDescent="0.3">
      <c r="D73" s="339"/>
      <c r="E73" s="340" t="s">
        <v>734</v>
      </c>
      <c r="F73" s="341" t="s">
        <v>748</v>
      </c>
      <c r="G73" s="341" t="s">
        <v>713</v>
      </c>
      <c r="H73" s="342">
        <v>1</v>
      </c>
      <c r="I73" s="342">
        <v>1.32</v>
      </c>
      <c r="J73" s="342">
        <v>2.72</v>
      </c>
      <c r="K73" s="355">
        <f t="shared" si="2"/>
        <v>3.59</v>
      </c>
      <c r="L73" s="355"/>
      <c r="M73" s="355">
        <f t="shared" si="3"/>
        <v>0.54</v>
      </c>
      <c r="N73" s="116"/>
    </row>
    <row r="74" spans="4:14" s="30" customFormat="1" ht="17.100000000000001" customHeight="1" thickBot="1" x14ac:dyDescent="0.3">
      <c r="D74" s="345"/>
      <c r="E74" s="358" t="s">
        <v>734</v>
      </c>
      <c r="F74" s="346"/>
      <c r="G74" s="346" t="s">
        <v>713</v>
      </c>
      <c r="H74" s="347"/>
      <c r="I74" s="347"/>
      <c r="J74" s="347"/>
      <c r="K74" s="359">
        <v>115</v>
      </c>
      <c r="L74" s="359"/>
      <c r="M74" s="359">
        <f t="shared" si="3"/>
        <v>17.25</v>
      </c>
      <c r="N74" s="117" t="s">
        <v>797</v>
      </c>
    </row>
    <row r="75" spans="4:14" s="30" customFormat="1" ht="17.100000000000001" customHeight="1" x14ac:dyDescent="0.25">
      <c r="D75" s="334"/>
      <c r="E75" s="335" t="s">
        <v>731</v>
      </c>
      <c r="F75" s="336" t="s">
        <v>800</v>
      </c>
      <c r="G75" s="336"/>
      <c r="H75" s="337">
        <v>1</v>
      </c>
      <c r="I75" s="337">
        <v>11</v>
      </c>
      <c r="J75" s="337">
        <v>13</v>
      </c>
      <c r="K75" s="356">
        <f t="shared" ref="K75:K82" si="4">+ROUND(H75*I75*J75,2)</f>
        <v>143</v>
      </c>
      <c r="L75" s="356">
        <f>5.83*6.3</f>
        <v>36.728999999999999</v>
      </c>
      <c r="M75" s="356">
        <f t="shared" ref="M75:M82" si="5">+ROUND((K75-L75)*0.15,2)</f>
        <v>15.94</v>
      </c>
      <c r="N75" s="116"/>
    </row>
    <row r="76" spans="4:14" s="30" customFormat="1" ht="17.100000000000001" customHeight="1" x14ac:dyDescent="0.25">
      <c r="D76" s="331"/>
      <c r="E76" s="333" t="s">
        <v>731</v>
      </c>
      <c r="F76" s="329" t="s">
        <v>800</v>
      </c>
      <c r="G76" s="329"/>
      <c r="H76" s="330">
        <v>1</v>
      </c>
      <c r="I76" s="330">
        <v>11</v>
      </c>
      <c r="J76" s="330">
        <v>13</v>
      </c>
      <c r="K76" s="354">
        <f t="shared" si="4"/>
        <v>143</v>
      </c>
      <c r="L76" s="354">
        <f>5.83*6.3</f>
        <v>36.728999999999999</v>
      </c>
      <c r="M76" s="354">
        <f t="shared" si="5"/>
        <v>15.94</v>
      </c>
      <c r="N76" s="116"/>
    </row>
    <row r="77" spans="4:14" s="30" customFormat="1" ht="17.100000000000001" customHeight="1" x14ac:dyDescent="0.25">
      <c r="D77" s="331"/>
      <c r="E77" s="333" t="s">
        <v>731</v>
      </c>
      <c r="F77" s="329" t="s">
        <v>800</v>
      </c>
      <c r="G77" s="329"/>
      <c r="H77" s="330">
        <v>1</v>
      </c>
      <c r="I77" s="330">
        <v>8</v>
      </c>
      <c r="J77" s="330">
        <v>13</v>
      </c>
      <c r="K77" s="354">
        <f t="shared" si="4"/>
        <v>104</v>
      </c>
      <c r="L77" s="354">
        <f>5*6.3</f>
        <v>31.5</v>
      </c>
      <c r="M77" s="354">
        <f t="shared" si="5"/>
        <v>10.88</v>
      </c>
      <c r="N77" s="116"/>
    </row>
    <row r="78" spans="4:14" s="30" customFormat="1" ht="17.100000000000001" customHeight="1" x14ac:dyDescent="0.25">
      <c r="D78" s="331"/>
      <c r="E78" s="333" t="s">
        <v>731</v>
      </c>
      <c r="F78" s="329" t="s">
        <v>800</v>
      </c>
      <c r="G78" s="329"/>
      <c r="H78" s="330">
        <v>1</v>
      </c>
      <c r="I78" s="330">
        <v>8</v>
      </c>
      <c r="J78" s="330">
        <v>13</v>
      </c>
      <c r="K78" s="354">
        <f t="shared" si="4"/>
        <v>104</v>
      </c>
      <c r="L78" s="354">
        <f>5*6.3</f>
        <v>31.5</v>
      </c>
      <c r="M78" s="354">
        <f t="shared" si="5"/>
        <v>10.88</v>
      </c>
      <c r="N78" s="116"/>
    </row>
    <row r="79" spans="4:14" s="30" customFormat="1" ht="17.100000000000001" customHeight="1" x14ac:dyDescent="0.25">
      <c r="D79" s="331"/>
      <c r="E79" s="333" t="s">
        <v>731</v>
      </c>
      <c r="F79" s="329" t="s">
        <v>801</v>
      </c>
      <c r="G79" s="329"/>
      <c r="H79" s="330">
        <v>1</v>
      </c>
      <c r="I79" s="330">
        <v>11</v>
      </c>
      <c r="J79" s="330">
        <v>13</v>
      </c>
      <c r="K79" s="354">
        <f t="shared" si="4"/>
        <v>143</v>
      </c>
      <c r="L79" s="354">
        <v>36.728999999999999</v>
      </c>
      <c r="M79" s="354">
        <f t="shared" si="5"/>
        <v>15.94</v>
      </c>
      <c r="N79" s="116"/>
    </row>
    <row r="80" spans="4:14" s="30" customFormat="1" ht="17.100000000000001" customHeight="1" x14ac:dyDescent="0.25">
      <c r="D80" s="331"/>
      <c r="E80" s="333" t="s">
        <v>731</v>
      </c>
      <c r="F80" s="329" t="s">
        <v>801</v>
      </c>
      <c r="G80" s="329"/>
      <c r="H80" s="330">
        <v>1</v>
      </c>
      <c r="I80" s="330">
        <v>11</v>
      </c>
      <c r="J80" s="330">
        <v>13</v>
      </c>
      <c r="K80" s="354">
        <f t="shared" si="4"/>
        <v>143</v>
      </c>
      <c r="L80" s="354">
        <v>36.728999999999999</v>
      </c>
      <c r="M80" s="354">
        <f t="shared" si="5"/>
        <v>15.94</v>
      </c>
      <c r="N80" s="116"/>
    </row>
    <row r="81" spans="4:14" s="30" customFormat="1" ht="17.100000000000001" customHeight="1" x14ac:dyDescent="0.25">
      <c r="D81" s="331"/>
      <c r="E81" s="333" t="s">
        <v>731</v>
      </c>
      <c r="F81" s="329" t="s">
        <v>801</v>
      </c>
      <c r="G81" s="329"/>
      <c r="H81" s="330">
        <v>1</v>
      </c>
      <c r="I81" s="330">
        <v>8</v>
      </c>
      <c r="J81" s="330">
        <v>13</v>
      </c>
      <c r="K81" s="354">
        <f t="shared" si="4"/>
        <v>104</v>
      </c>
      <c r="L81" s="354">
        <v>31.5</v>
      </c>
      <c r="M81" s="354">
        <f t="shared" si="5"/>
        <v>10.88</v>
      </c>
      <c r="N81" s="116"/>
    </row>
    <row r="82" spans="4:14" s="30" customFormat="1" ht="17.100000000000001" customHeight="1" thickBot="1" x14ac:dyDescent="0.3">
      <c r="D82" s="339"/>
      <c r="E82" s="340" t="s">
        <v>731</v>
      </c>
      <c r="F82" s="341" t="s">
        <v>801</v>
      </c>
      <c r="G82" s="341"/>
      <c r="H82" s="342">
        <v>1</v>
      </c>
      <c r="I82" s="342">
        <v>8</v>
      </c>
      <c r="J82" s="342">
        <v>13</v>
      </c>
      <c r="K82" s="355">
        <f t="shared" si="4"/>
        <v>104</v>
      </c>
      <c r="L82" s="355">
        <v>31.5</v>
      </c>
      <c r="M82" s="355">
        <f t="shared" si="5"/>
        <v>10.88</v>
      </c>
      <c r="N82" s="116"/>
    </row>
    <row r="83" spans="4:14" s="30" customFormat="1" ht="20.100000000000001" customHeight="1" x14ac:dyDescent="0.25">
      <c r="E83" s="101"/>
      <c r="F83" s="101"/>
      <c r="I83" s="131"/>
      <c r="J83" s="131" t="s">
        <v>34</v>
      </c>
      <c r="K83" s="350">
        <f>SUM(K11:K82)</f>
        <v>5710.86</v>
      </c>
      <c r="L83" s="350">
        <f>SUM(L75:L82)</f>
        <v>272.916</v>
      </c>
      <c r="M83" s="350">
        <f>SUM(M11:M82)</f>
        <v>815.71000000000038</v>
      </c>
      <c r="N83" s="119" t="s">
        <v>92</v>
      </c>
    </row>
  </sheetData>
  <mergeCells count="2">
    <mergeCell ref="B1:O2"/>
    <mergeCell ref="B8:K8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00DF-AE7F-4D04-A493-5931DAACC83F}">
  <dimension ref="B1:T37"/>
  <sheetViews>
    <sheetView showGridLines="0" showZeros="0" view="pageBreakPreview" topLeftCell="B1" zoomScale="115" zoomScaleNormal="100" zoomScaleSheetLayoutView="115" workbookViewId="0">
      <selection activeCell="I44" sqref="I44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0.7109375" style="75" customWidth="1"/>
    <col min="6" max="6" width="12.42578125" style="100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2:20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20" s="65" customFormat="1" ht="20.100000000000001" customHeight="1" x14ac:dyDescent="0.25">
      <c r="F3" s="97"/>
    </row>
    <row r="4" spans="2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4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2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F5" s="48"/>
      <c r="M5" s="3" t="s">
        <v>17</v>
      </c>
      <c r="N5" s="4" t="str">
        <f>'DADOS DA OBRA'!$N$25</f>
        <v>02</v>
      </c>
    </row>
    <row r="6" spans="2:20" s="5" customFormat="1" ht="20.100000000000001" customHeight="1" x14ac:dyDescent="0.25">
      <c r="F6" s="48"/>
    </row>
    <row r="7" spans="2:20" s="5" customFormat="1" ht="20.100000000000001" customHeight="1" x14ac:dyDescent="0.25">
      <c r="B7" s="1" t="s">
        <v>63</v>
      </c>
      <c r="C7" s="38" t="s">
        <v>754</v>
      </c>
      <c r="F7" s="48"/>
      <c r="M7" s="3"/>
      <c r="N7" s="62"/>
    </row>
    <row r="8" spans="2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20" s="30" customFormat="1" ht="20.100000000000001" customHeight="1" x14ac:dyDescent="0.25">
      <c r="B9" s="101" t="s">
        <v>91</v>
      </c>
      <c r="C9" s="103" t="s">
        <v>758</v>
      </c>
      <c r="D9" s="30" t="s">
        <v>757</v>
      </c>
      <c r="F9" s="101"/>
      <c r="M9" s="101"/>
      <c r="N9" s="102"/>
    </row>
    <row r="10" spans="2:20" s="30" customFormat="1" ht="24" customHeight="1" x14ac:dyDescent="0.25">
      <c r="E10" s="122" t="s">
        <v>90</v>
      </c>
      <c r="F10" s="122" t="s">
        <v>98</v>
      </c>
      <c r="G10" s="122" t="s">
        <v>718</v>
      </c>
      <c r="H10" s="122" t="s">
        <v>45</v>
      </c>
      <c r="I10" s="326" t="s">
        <v>79</v>
      </c>
      <c r="J10" s="326" t="s">
        <v>81</v>
      </c>
      <c r="K10" s="326" t="s">
        <v>86</v>
      </c>
      <c r="L10" s="101"/>
      <c r="M10" s="101"/>
    </row>
    <row r="11" spans="2:20" s="30" customFormat="1" ht="17.100000000000001" customHeight="1" x14ac:dyDescent="0.25">
      <c r="D11" s="331"/>
      <c r="E11" s="333" t="s">
        <v>734</v>
      </c>
      <c r="F11" s="329" t="s">
        <v>755</v>
      </c>
      <c r="G11" s="329" t="s">
        <v>714</v>
      </c>
      <c r="H11" s="330">
        <v>1</v>
      </c>
      <c r="I11" s="330"/>
      <c r="J11" s="330"/>
      <c r="K11" s="332">
        <v>492</v>
      </c>
      <c r="L11" s="116"/>
      <c r="M11" s="116"/>
    </row>
    <row r="12" spans="2:20" s="30" customFormat="1" ht="17.100000000000001" customHeight="1" thickBot="1" x14ac:dyDescent="0.3">
      <c r="D12" s="339"/>
      <c r="E12" s="340" t="s">
        <v>734</v>
      </c>
      <c r="F12" s="341" t="s">
        <v>756</v>
      </c>
      <c r="G12" s="341" t="s">
        <v>714</v>
      </c>
      <c r="H12" s="342">
        <v>1</v>
      </c>
      <c r="I12" s="342">
        <v>112</v>
      </c>
      <c r="J12" s="342">
        <v>1</v>
      </c>
      <c r="K12" s="343">
        <f>+ROUND(H12*I12*J12,2)</f>
        <v>112</v>
      </c>
      <c r="L12" s="116"/>
      <c r="M12" s="116"/>
    </row>
    <row r="13" spans="2:20" s="30" customFormat="1" ht="20.100000000000001" customHeight="1" x14ac:dyDescent="0.25">
      <c r="E13" s="101"/>
      <c r="F13" s="101"/>
      <c r="I13" s="131"/>
      <c r="J13" s="131" t="s">
        <v>34</v>
      </c>
      <c r="K13" s="350">
        <f>SUM(K11:K12)</f>
        <v>604</v>
      </c>
      <c r="L13" s="119" t="s">
        <v>93</v>
      </c>
      <c r="M13" s="119"/>
      <c r="N13" s="119"/>
    </row>
    <row r="14" spans="2:20" ht="20.100000000000001" customHeight="1" x14ac:dyDescent="0.25"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N14" s="76"/>
    </row>
    <row r="16" spans="2:20" ht="20.100000000000001" customHeight="1" x14ac:dyDescent="0.25"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N16" s="76"/>
    </row>
    <row r="17" spans="2:14" ht="20.100000000000001" customHeight="1" x14ac:dyDescent="0.25"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N17" s="76"/>
    </row>
    <row r="18" spans="2:14" ht="20.100000000000001" customHeight="1" x14ac:dyDescent="0.25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N18" s="76"/>
    </row>
    <row r="19" spans="2:14" ht="20.100000000000001" customHeight="1" x14ac:dyDescent="0.25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N19" s="76"/>
    </row>
    <row r="20" spans="2:14" ht="20.100000000000001" customHeight="1" x14ac:dyDescent="0.25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N20" s="76"/>
    </row>
    <row r="21" spans="2:14" ht="20.100000000000001" customHeight="1" x14ac:dyDescent="0.25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N21" s="76"/>
    </row>
    <row r="22" spans="2:14" ht="20.100000000000001" customHeight="1" x14ac:dyDescent="0.25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N22" s="76"/>
    </row>
    <row r="23" spans="2:14" ht="20.100000000000001" customHeight="1" x14ac:dyDescent="0.25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N23" s="76"/>
    </row>
    <row r="24" spans="2:14" ht="20.100000000000001" customHeight="1" x14ac:dyDescent="0.25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N24" s="76"/>
    </row>
    <row r="25" spans="2:14" ht="20.100000000000001" customHeight="1" x14ac:dyDescent="0.2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N25" s="76"/>
    </row>
    <row r="26" spans="2:14" ht="20.100000000000001" customHeight="1" x14ac:dyDescent="0.25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N26" s="76"/>
    </row>
    <row r="27" spans="2:14" ht="20.100000000000001" customHeight="1" x14ac:dyDescent="0.2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N27" s="76"/>
    </row>
    <row r="28" spans="2:14" s="30" customFormat="1" ht="20.100000000000001" customHeight="1" x14ac:dyDescent="0.25">
      <c r="B28" s="101" t="s">
        <v>100</v>
      </c>
      <c r="C28" s="103">
        <v>8344</v>
      </c>
      <c r="D28" s="30" t="s">
        <v>761</v>
      </c>
      <c r="F28" s="101"/>
      <c r="M28" s="101"/>
      <c r="N28" s="102"/>
    </row>
    <row r="29" spans="2:14" s="30" customFormat="1" ht="24" customHeight="1" x14ac:dyDescent="0.25">
      <c r="E29" s="122" t="s">
        <v>90</v>
      </c>
      <c r="F29" s="122" t="s">
        <v>98</v>
      </c>
      <c r="G29" s="122" t="s">
        <v>718</v>
      </c>
      <c r="H29" s="122" t="s">
        <v>45</v>
      </c>
      <c r="I29" s="326" t="s">
        <v>79</v>
      </c>
      <c r="J29" s="326" t="s">
        <v>81</v>
      </c>
      <c r="K29" s="326" t="s">
        <v>86</v>
      </c>
      <c r="L29" s="101"/>
      <c r="M29" s="101"/>
    </row>
    <row r="30" spans="2:14" s="30" customFormat="1" ht="17.100000000000001" customHeight="1" thickBot="1" x14ac:dyDescent="0.3">
      <c r="D30" s="339"/>
      <c r="E30" s="340" t="s">
        <v>734</v>
      </c>
      <c r="F30" s="341" t="s">
        <v>755</v>
      </c>
      <c r="G30" s="341" t="s">
        <v>714</v>
      </c>
      <c r="H30" s="342">
        <v>1</v>
      </c>
      <c r="I30" s="342"/>
      <c r="J30" s="342"/>
      <c r="K30" s="343">
        <v>492</v>
      </c>
      <c r="L30" s="116"/>
      <c r="M30" s="116"/>
    </row>
    <row r="31" spans="2:14" s="30" customFormat="1" ht="20.100000000000001" customHeight="1" x14ac:dyDescent="0.25">
      <c r="E31" s="101"/>
      <c r="F31" s="101"/>
      <c r="I31" s="131"/>
      <c r="J31" s="131" t="s">
        <v>34</v>
      </c>
      <c r="K31" s="350">
        <f>SUM(K30:K30)</f>
        <v>492</v>
      </c>
      <c r="L31" s="119" t="s">
        <v>93</v>
      </c>
      <c r="M31" s="119"/>
      <c r="N31" s="119"/>
    </row>
    <row r="32" spans="2:14" ht="20.100000000000001" customHeight="1" x14ac:dyDescent="0.25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N32" s="76"/>
    </row>
    <row r="33" spans="2:14" ht="20.100000000000001" customHeight="1" x14ac:dyDescent="0.25"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N33" s="76"/>
    </row>
    <row r="34" spans="2:14" s="30" customFormat="1" ht="20.100000000000001" customHeight="1" x14ac:dyDescent="0.25">
      <c r="B34" s="101" t="s">
        <v>91</v>
      </c>
      <c r="C34" s="103" t="s">
        <v>810</v>
      </c>
      <c r="D34" s="30" t="s">
        <v>809</v>
      </c>
      <c r="F34" s="101"/>
      <c r="M34" s="101"/>
      <c r="N34" s="102"/>
    </row>
    <row r="35" spans="2:14" s="30" customFormat="1" ht="24" customHeight="1" x14ac:dyDescent="0.25">
      <c r="E35" s="122" t="s">
        <v>90</v>
      </c>
      <c r="F35" s="122" t="s">
        <v>98</v>
      </c>
      <c r="G35" s="122" t="s">
        <v>718</v>
      </c>
      <c r="H35" s="122" t="s">
        <v>45</v>
      </c>
      <c r="I35" s="326" t="s">
        <v>79</v>
      </c>
      <c r="J35" s="326" t="s">
        <v>81</v>
      </c>
      <c r="K35" s="326" t="s">
        <v>86</v>
      </c>
      <c r="L35" s="101"/>
      <c r="M35" s="101"/>
    </row>
    <row r="36" spans="2:14" s="30" customFormat="1" ht="17.100000000000001" customHeight="1" thickBot="1" x14ac:dyDescent="0.3">
      <c r="D36" s="339"/>
      <c r="E36" s="340" t="s">
        <v>806</v>
      </c>
      <c r="F36" s="341" t="s">
        <v>811</v>
      </c>
      <c r="G36" s="341"/>
      <c r="H36" s="342">
        <v>1</v>
      </c>
      <c r="I36" s="342">
        <v>38</v>
      </c>
      <c r="J36" s="342">
        <v>1.5</v>
      </c>
      <c r="K36" s="343">
        <f>+ROUND(H36*I36*J36,2)</f>
        <v>57</v>
      </c>
      <c r="L36" s="116"/>
      <c r="M36" s="116"/>
    </row>
    <row r="37" spans="2:14" s="30" customFormat="1" ht="20.100000000000001" customHeight="1" x14ac:dyDescent="0.25">
      <c r="E37" s="101"/>
      <c r="F37" s="101"/>
      <c r="I37" s="131"/>
      <c r="J37" s="131" t="s">
        <v>34</v>
      </c>
      <c r="K37" s="350">
        <f>SUM(K36:K36)</f>
        <v>57</v>
      </c>
      <c r="L37" s="119" t="s">
        <v>93</v>
      </c>
      <c r="M37" s="119"/>
      <c r="N37" s="119"/>
    </row>
  </sheetData>
  <mergeCells count="4">
    <mergeCell ref="B1:O2"/>
    <mergeCell ref="B8:K8"/>
    <mergeCell ref="B14:K14"/>
    <mergeCell ref="B33:K33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B467-F7B5-4654-8806-5DD3F81C4B0A}">
  <dimension ref="B1:T75"/>
  <sheetViews>
    <sheetView showGridLines="0" showZeros="0" view="pageBreakPreview" topLeftCell="A13" zoomScale="115" zoomScaleNormal="100" zoomScaleSheetLayoutView="115" workbookViewId="0">
      <selection activeCell="M23" sqref="M23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3.28515625" style="75" customWidth="1"/>
    <col min="6" max="6" width="12.42578125" style="100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2:20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20" s="65" customFormat="1" ht="20.100000000000001" customHeight="1" x14ac:dyDescent="0.25">
      <c r="F3" s="97"/>
    </row>
    <row r="4" spans="2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4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2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F5" s="48"/>
      <c r="M5" s="3" t="s">
        <v>17</v>
      </c>
      <c r="N5" s="4" t="str">
        <f>'DADOS DA OBRA'!$N$25</f>
        <v>02</v>
      </c>
    </row>
    <row r="6" spans="2:20" s="5" customFormat="1" ht="20.100000000000001" customHeight="1" x14ac:dyDescent="0.25">
      <c r="F6" s="48"/>
    </row>
    <row r="7" spans="2:20" s="5" customFormat="1" ht="20.100000000000001" customHeight="1" x14ac:dyDescent="0.25">
      <c r="B7" s="1" t="s">
        <v>63</v>
      </c>
      <c r="C7" s="38" t="s">
        <v>765</v>
      </c>
      <c r="F7" s="48"/>
      <c r="M7" s="3"/>
      <c r="N7" s="62"/>
    </row>
    <row r="8" spans="2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20" s="30" customFormat="1" ht="30" customHeight="1" x14ac:dyDescent="0.25">
      <c r="B9" s="101" t="s">
        <v>289</v>
      </c>
      <c r="C9" s="103">
        <v>97629</v>
      </c>
      <c r="D9" s="624" t="s">
        <v>775</v>
      </c>
      <c r="E9" s="624"/>
      <c r="F9" s="624"/>
      <c r="G9" s="624"/>
      <c r="H9" s="624"/>
      <c r="I9" s="624"/>
      <c r="J9" s="624"/>
      <c r="K9" s="624"/>
      <c r="L9" s="624"/>
      <c r="M9" s="624"/>
      <c r="N9" s="624"/>
    </row>
    <row r="10" spans="2:20" s="30" customFormat="1" ht="24" customHeight="1" x14ac:dyDescent="0.25">
      <c r="E10" s="122" t="s">
        <v>90</v>
      </c>
      <c r="F10" s="122" t="s">
        <v>98</v>
      </c>
      <c r="G10" s="122" t="s">
        <v>718</v>
      </c>
      <c r="H10" s="122" t="s">
        <v>45</v>
      </c>
      <c r="I10" s="326" t="s">
        <v>79</v>
      </c>
      <c r="J10" s="326" t="s">
        <v>805</v>
      </c>
      <c r="K10" s="326" t="s">
        <v>86</v>
      </c>
      <c r="L10" s="326" t="s">
        <v>89</v>
      </c>
      <c r="M10" s="326" t="s">
        <v>105</v>
      </c>
    </row>
    <row r="11" spans="2:20" s="30" customFormat="1" ht="17.100000000000001" customHeight="1" x14ac:dyDescent="0.25">
      <c r="D11" s="331"/>
      <c r="E11" s="333" t="s">
        <v>734</v>
      </c>
      <c r="F11" s="329" t="s">
        <v>767</v>
      </c>
      <c r="G11" s="329" t="s">
        <v>715</v>
      </c>
      <c r="H11" s="330">
        <v>1</v>
      </c>
      <c r="I11" s="330"/>
      <c r="J11" s="330"/>
      <c r="K11" s="354">
        <f>20+9.36+13.46</f>
        <v>42.82</v>
      </c>
      <c r="L11" s="354">
        <v>0.2</v>
      </c>
      <c r="M11" s="354">
        <f t="shared" ref="M11:M18" si="0">+K11*L11</f>
        <v>8.5640000000000001</v>
      </c>
    </row>
    <row r="12" spans="2:20" s="30" customFormat="1" ht="17.100000000000001" customHeight="1" x14ac:dyDescent="0.25">
      <c r="D12" s="331"/>
      <c r="E12" s="333" t="s">
        <v>734</v>
      </c>
      <c r="F12" s="329" t="s">
        <v>768</v>
      </c>
      <c r="G12" s="329" t="s">
        <v>715</v>
      </c>
      <c r="H12" s="330">
        <v>1</v>
      </c>
      <c r="I12" s="330"/>
      <c r="J12" s="330"/>
      <c r="K12" s="354">
        <f>393.03+432.04</f>
        <v>825.06999999999994</v>
      </c>
      <c r="L12" s="354">
        <v>0.2</v>
      </c>
      <c r="M12" s="354">
        <f t="shared" si="0"/>
        <v>165.01400000000001</v>
      </c>
    </row>
    <row r="13" spans="2:20" s="30" customFormat="1" ht="17.100000000000001" customHeight="1" x14ac:dyDescent="0.25">
      <c r="D13" s="331"/>
      <c r="E13" s="333" t="s">
        <v>734</v>
      </c>
      <c r="F13" s="329" t="s">
        <v>769</v>
      </c>
      <c r="G13" s="329" t="s">
        <v>715</v>
      </c>
      <c r="H13" s="330">
        <v>1</v>
      </c>
      <c r="I13" s="330"/>
      <c r="J13" s="330"/>
      <c r="K13" s="354">
        <f>20+24.13+10.08</f>
        <v>54.209999999999994</v>
      </c>
      <c r="L13" s="354">
        <v>0.2</v>
      </c>
      <c r="M13" s="354">
        <f t="shared" si="0"/>
        <v>10.841999999999999</v>
      </c>
    </row>
    <row r="14" spans="2:20" s="30" customFormat="1" ht="17.100000000000001" customHeight="1" x14ac:dyDescent="0.25">
      <c r="D14" s="331"/>
      <c r="E14" s="333" t="s">
        <v>734</v>
      </c>
      <c r="F14" s="329" t="s">
        <v>770</v>
      </c>
      <c r="G14" s="329" t="s">
        <v>715</v>
      </c>
      <c r="H14" s="330">
        <v>1</v>
      </c>
      <c r="I14" s="330"/>
      <c r="J14" s="330"/>
      <c r="K14" s="354">
        <f>706.67+377.39</f>
        <v>1084.06</v>
      </c>
      <c r="L14" s="354">
        <v>0.2</v>
      </c>
      <c r="M14" s="354">
        <f t="shared" si="0"/>
        <v>216.81200000000001</v>
      </c>
    </row>
    <row r="15" spans="2:20" s="30" customFormat="1" ht="17.100000000000001" customHeight="1" x14ac:dyDescent="0.25">
      <c r="D15" s="331"/>
      <c r="E15" s="333" t="s">
        <v>734</v>
      </c>
      <c r="F15" s="329" t="s">
        <v>771</v>
      </c>
      <c r="G15" s="329" t="s">
        <v>715</v>
      </c>
      <c r="H15" s="330">
        <v>1</v>
      </c>
      <c r="I15" s="330"/>
      <c r="J15" s="330"/>
      <c r="K15" s="354">
        <f>9.45+12.24</f>
        <v>21.689999999999998</v>
      </c>
      <c r="L15" s="354">
        <v>0.2</v>
      </c>
      <c r="M15" s="354">
        <f t="shared" si="0"/>
        <v>4.3380000000000001</v>
      </c>
    </row>
    <row r="16" spans="2:20" s="30" customFormat="1" ht="17.100000000000001" customHeight="1" x14ac:dyDescent="0.25">
      <c r="D16" s="331"/>
      <c r="E16" s="333" t="s">
        <v>734</v>
      </c>
      <c r="F16" s="329" t="s">
        <v>772</v>
      </c>
      <c r="G16" s="329" t="s">
        <v>715</v>
      </c>
      <c r="H16" s="330">
        <v>1</v>
      </c>
      <c r="I16" s="330"/>
      <c r="J16" s="330"/>
      <c r="K16" s="354">
        <v>1725.38</v>
      </c>
      <c r="L16" s="354">
        <v>0.2</v>
      </c>
      <c r="M16" s="354">
        <f t="shared" si="0"/>
        <v>345.07600000000002</v>
      </c>
    </row>
    <row r="17" spans="2:14" s="30" customFormat="1" ht="17.100000000000001" customHeight="1" x14ac:dyDescent="0.25">
      <c r="D17" s="331"/>
      <c r="E17" s="333" t="s">
        <v>734</v>
      </c>
      <c r="F17" s="329" t="s">
        <v>773</v>
      </c>
      <c r="G17" s="329" t="s">
        <v>715</v>
      </c>
      <c r="H17" s="330">
        <v>1</v>
      </c>
      <c r="I17" s="330"/>
      <c r="J17" s="330"/>
      <c r="K17" s="354">
        <v>9.9</v>
      </c>
      <c r="L17" s="354">
        <v>0.2</v>
      </c>
      <c r="M17" s="354">
        <f t="shared" si="0"/>
        <v>1.9800000000000002</v>
      </c>
    </row>
    <row r="18" spans="2:14" s="30" customFormat="1" ht="17.100000000000001" customHeight="1" thickBot="1" x14ac:dyDescent="0.3">
      <c r="D18" s="339"/>
      <c r="E18" s="340" t="s">
        <v>734</v>
      </c>
      <c r="F18" s="341" t="s">
        <v>774</v>
      </c>
      <c r="G18" s="341" t="s">
        <v>715</v>
      </c>
      <c r="H18" s="342">
        <v>1</v>
      </c>
      <c r="I18" s="342"/>
      <c r="J18" s="342"/>
      <c r="K18" s="355">
        <v>125</v>
      </c>
      <c r="L18" s="355">
        <v>0.2</v>
      </c>
      <c r="M18" s="355">
        <f t="shared" si="0"/>
        <v>25</v>
      </c>
    </row>
    <row r="19" spans="2:14" s="30" customFormat="1" ht="17.100000000000001" customHeight="1" x14ac:dyDescent="0.25">
      <c r="D19" s="331"/>
      <c r="E19" s="333" t="s">
        <v>802</v>
      </c>
      <c r="F19" s="329" t="s">
        <v>803</v>
      </c>
      <c r="G19" s="329"/>
      <c r="H19" s="330">
        <v>1</v>
      </c>
      <c r="I19" s="330">
        <v>11</v>
      </c>
      <c r="J19" s="330">
        <v>8</v>
      </c>
      <c r="K19" s="354">
        <f>+H19*I19*J19</f>
        <v>88</v>
      </c>
      <c r="L19" s="354">
        <v>0.18</v>
      </c>
      <c r="M19" s="354">
        <f t="shared" ref="M19" si="1">+K19*L19</f>
        <v>15.84</v>
      </c>
    </row>
    <row r="20" spans="2:14" s="30" customFormat="1" ht="17.100000000000001" customHeight="1" x14ac:dyDescent="0.25">
      <c r="D20" s="331"/>
      <c r="E20" s="333" t="s">
        <v>802</v>
      </c>
      <c r="F20" s="329" t="s">
        <v>804</v>
      </c>
      <c r="G20" s="329"/>
      <c r="H20" s="330">
        <v>1</v>
      </c>
      <c r="I20" s="330">
        <v>10</v>
      </c>
      <c r="J20" s="330">
        <v>5.25</v>
      </c>
      <c r="K20" s="354">
        <f t="shared" ref="K20" si="2">+H20*I20*J20</f>
        <v>52.5</v>
      </c>
      <c r="L20" s="354">
        <v>0.18</v>
      </c>
      <c r="M20" s="354">
        <f t="shared" ref="M20:M21" si="3">+K20*L20</f>
        <v>9.4499999999999993</v>
      </c>
    </row>
    <row r="21" spans="2:14" s="30" customFormat="1" ht="17.100000000000001" customHeight="1" x14ac:dyDescent="0.25">
      <c r="D21" s="331"/>
      <c r="E21" s="333" t="s">
        <v>806</v>
      </c>
      <c r="F21" s="329" t="s">
        <v>803</v>
      </c>
      <c r="G21" s="329"/>
      <c r="H21" s="330">
        <v>1</v>
      </c>
      <c r="I21" s="330">
        <v>11</v>
      </c>
      <c r="J21" s="330">
        <v>8</v>
      </c>
      <c r="K21" s="354">
        <f>+H21*I21*J21</f>
        <v>88</v>
      </c>
      <c r="L21" s="354">
        <v>0.18</v>
      </c>
      <c r="M21" s="354">
        <f t="shared" si="3"/>
        <v>15.84</v>
      </c>
    </row>
    <row r="22" spans="2:14" s="30" customFormat="1" ht="17.100000000000001" customHeight="1" thickBot="1" x14ac:dyDescent="0.3">
      <c r="D22" s="339"/>
      <c r="E22" s="340" t="s">
        <v>806</v>
      </c>
      <c r="F22" s="341" t="s">
        <v>804</v>
      </c>
      <c r="G22" s="341"/>
      <c r="H22" s="342">
        <v>1</v>
      </c>
      <c r="I22" s="342">
        <v>10</v>
      </c>
      <c r="J22" s="342">
        <v>7</v>
      </c>
      <c r="K22" s="355">
        <f t="shared" ref="K22" si="4">+H22*I22*J22</f>
        <v>70</v>
      </c>
      <c r="L22" s="355">
        <v>0.18</v>
      </c>
      <c r="M22" s="355">
        <f t="shared" ref="M22" si="5">+K22*L22</f>
        <v>12.6</v>
      </c>
    </row>
    <row r="23" spans="2:14" s="30" customFormat="1" ht="20.100000000000001" customHeight="1" x14ac:dyDescent="0.25">
      <c r="E23" s="101"/>
      <c r="F23" s="101"/>
      <c r="I23" s="131"/>
      <c r="J23" s="131" t="s">
        <v>34</v>
      </c>
      <c r="K23" s="350">
        <f>SUM(K11:K22)</f>
        <v>4186.63</v>
      </c>
      <c r="M23" s="350">
        <f>SUM(M11:M22)</f>
        <v>831.35600000000022</v>
      </c>
      <c r="N23" s="119" t="s">
        <v>92</v>
      </c>
    </row>
    <row r="24" spans="2:14" ht="20.100000000000001" customHeight="1" x14ac:dyDescent="0.2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N24" s="76"/>
    </row>
    <row r="25" spans="2:14" s="30" customFormat="1" ht="30" customHeight="1" x14ac:dyDescent="0.25">
      <c r="B25" s="101" t="s">
        <v>289</v>
      </c>
      <c r="C25" s="103">
        <v>97627</v>
      </c>
      <c r="D25" s="624" t="s">
        <v>776</v>
      </c>
      <c r="E25" s="624"/>
      <c r="F25" s="624"/>
      <c r="G25" s="624"/>
      <c r="H25" s="624"/>
      <c r="I25" s="624"/>
      <c r="J25" s="624"/>
      <c r="K25" s="624"/>
      <c r="L25" s="624"/>
      <c r="M25" s="624"/>
      <c r="N25" s="624"/>
    </row>
    <row r="26" spans="2:14" s="30" customFormat="1" ht="24" customHeight="1" x14ac:dyDescent="0.25">
      <c r="E26" s="122" t="s">
        <v>90</v>
      </c>
      <c r="F26" s="641" t="s">
        <v>98</v>
      </c>
      <c r="G26" s="641"/>
      <c r="H26" s="122" t="s">
        <v>718</v>
      </c>
      <c r="I26" s="122" t="s">
        <v>45</v>
      </c>
      <c r="J26" s="326" t="s">
        <v>79</v>
      </c>
      <c r="K26" s="326" t="s">
        <v>80</v>
      </c>
      <c r="L26" s="326" t="s">
        <v>81</v>
      </c>
      <c r="M26" s="326" t="s">
        <v>105</v>
      </c>
    </row>
    <row r="27" spans="2:14" s="30" customFormat="1" ht="17.100000000000001" customHeight="1" x14ac:dyDescent="0.25">
      <c r="D27" s="331"/>
      <c r="E27" s="333" t="s">
        <v>734</v>
      </c>
      <c r="F27" s="654" t="s">
        <v>777</v>
      </c>
      <c r="G27" s="654"/>
      <c r="H27" s="329" t="s">
        <v>715</v>
      </c>
      <c r="I27" s="329"/>
      <c r="J27" s="330">
        <f>(4*53.45)+(11*12.9)</f>
        <v>355.70000000000005</v>
      </c>
      <c r="K27" s="330">
        <v>0.21</v>
      </c>
      <c r="L27" s="330">
        <v>0.59</v>
      </c>
      <c r="M27" s="354">
        <f>+J27*K27*L27</f>
        <v>44.07123</v>
      </c>
    </row>
    <row r="28" spans="2:14" s="30" customFormat="1" ht="17.100000000000001" customHeight="1" x14ac:dyDescent="0.25">
      <c r="D28" s="331"/>
      <c r="E28" s="333" t="s">
        <v>734</v>
      </c>
      <c r="F28" s="654" t="s">
        <v>778</v>
      </c>
      <c r="G28" s="654"/>
      <c r="H28" s="329" t="s">
        <v>715</v>
      </c>
      <c r="I28" s="329"/>
      <c r="J28" s="330">
        <f>(4*53.45)+(26*12.9)</f>
        <v>549.20000000000005</v>
      </c>
      <c r="K28" s="330">
        <v>0.21</v>
      </c>
      <c r="L28" s="330">
        <v>0.59</v>
      </c>
      <c r="M28" s="354">
        <f t="shared" ref="M28:M29" si="6">+J28*K28*L28</f>
        <v>68.045879999999997</v>
      </c>
    </row>
    <row r="29" spans="2:14" s="30" customFormat="1" ht="17.100000000000001" customHeight="1" thickBot="1" x14ac:dyDescent="0.3">
      <c r="D29" s="339"/>
      <c r="E29" s="340" t="s">
        <v>734</v>
      </c>
      <c r="F29" s="655" t="s">
        <v>779</v>
      </c>
      <c r="G29" s="655"/>
      <c r="H29" s="341" t="s">
        <v>715</v>
      </c>
      <c r="I29" s="341"/>
      <c r="J29" s="342">
        <f>2*((2*4.71)+(2*13.05))</f>
        <v>71.040000000000006</v>
      </c>
      <c r="K29" s="342">
        <v>0.21</v>
      </c>
      <c r="L29" s="342">
        <v>0.59</v>
      </c>
      <c r="M29" s="355">
        <f t="shared" si="6"/>
        <v>8.801855999999999</v>
      </c>
    </row>
    <row r="30" spans="2:14" s="30" customFormat="1" ht="17.100000000000001" customHeight="1" x14ac:dyDescent="0.25">
      <c r="D30" s="331"/>
      <c r="E30" s="333" t="s">
        <v>802</v>
      </c>
      <c r="F30" s="654" t="s">
        <v>807</v>
      </c>
      <c r="G30" s="654"/>
      <c r="H30" s="329"/>
      <c r="I30" s="329">
        <v>8</v>
      </c>
      <c r="J30" s="330">
        <v>0.48</v>
      </c>
      <c r="K30" s="330">
        <v>0.48</v>
      </c>
      <c r="L30" s="330">
        <v>2.15</v>
      </c>
      <c r="M30" s="354">
        <f>+I30*J30*K30*L30</f>
        <v>3.9628799999999997</v>
      </c>
    </row>
    <row r="31" spans="2:14" s="30" customFormat="1" ht="17.100000000000001" customHeight="1" x14ac:dyDescent="0.25">
      <c r="D31" s="331"/>
      <c r="E31" s="333" t="s">
        <v>802</v>
      </c>
      <c r="F31" s="654" t="s">
        <v>808</v>
      </c>
      <c r="G31" s="654"/>
      <c r="H31" s="329"/>
      <c r="I31" s="329">
        <v>4</v>
      </c>
      <c r="J31" s="330">
        <v>0.48</v>
      </c>
      <c r="K31" s="330">
        <v>0.48</v>
      </c>
      <c r="L31" s="330">
        <v>13</v>
      </c>
      <c r="M31" s="354">
        <f t="shared" ref="M31" si="7">+I31*J31*K31*L31</f>
        <v>11.9808</v>
      </c>
    </row>
    <row r="32" spans="2:14" s="30" customFormat="1" ht="17.100000000000001" customHeight="1" x14ac:dyDescent="0.25">
      <c r="D32" s="331"/>
      <c r="E32" s="333" t="s">
        <v>806</v>
      </c>
      <c r="F32" s="654" t="s">
        <v>807</v>
      </c>
      <c r="G32" s="654"/>
      <c r="H32" s="329"/>
      <c r="I32" s="329">
        <v>8</v>
      </c>
      <c r="J32" s="330">
        <v>0.48</v>
      </c>
      <c r="K32" s="330">
        <v>0.48</v>
      </c>
      <c r="L32" s="330">
        <v>2.15</v>
      </c>
      <c r="M32" s="354">
        <f>+I32*J32*K32*L32</f>
        <v>3.9628799999999997</v>
      </c>
    </row>
    <row r="33" spans="2:14" s="30" customFormat="1" ht="17.100000000000001" customHeight="1" thickBot="1" x14ac:dyDescent="0.3">
      <c r="D33" s="339"/>
      <c r="E33" s="340" t="s">
        <v>806</v>
      </c>
      <c r="F33" s="655" t="s">
        <v>808</v>
      </c>
      <c r="G33" s="655"/>
      <c r="H33" s="341"/>
      <c r="I33" s="341">
        <v>4</v>
      </c>
      <c r="J33" s="342">
        <v>0.48</v>
      </c>
      <c r="K33" s="342">
        <v>0.48</v>
      </c>
      <c r="L33" s="342">
        <v>13</v>
      </c>
      <c r="M33" s="355">
        <f t="shared" ref="M33" si="8">+I33*J33*K33*L33</f>
        <v>11.9808</v>
      </c>
    </row>
    <row r="34" spans="2:14" s="30" customFormat="1" ht="20.100000000000001" customHeight="1" x14ac:dyDescent="0.25">
      <c r="G34" s="101"/>
      <c r="H34" s="101"/>
      <c r="K34" s="131"/>
      <c r="L34" s="131" t="s">
        <v>34</v>
      </c>
      <c r="M34" s="350">
        <f>SUM(M27:M33)</f>
        <v>152.80632599999998</v>
      </c>
      <c r="N34" s="119" t="s">
        <v>92</v>
      </c>
    </row>
    <row r="35" spans="2:14" ht="20.100000000000001" customHeight="1" x14ac:dyDescent="0.25">
      <c r="B35" s="625"/>
      <c r="C35" s="625"/>
      <c r="D35" s="625"/>
      <c r="E35" s="625"/>
      <c r="F35" s="625"/>
      <c r="G35" s="625"/>
      <c r="H35" s="625"/>
      <c r="I35" s="625"/>
      <c r="J35" s="625"/>
      <c r="K35" s="625"/>
      <c r="N35" s="76"/>
    </row>
    <row r="36" spans="2:14" s="30" customFormat="1" ht="20.100000000000001" customHeight="1" x14ac:dyDescent="0.25">
      <c r="B36" s="101" t="s">
        <v>94</v>
      </c>
      <c r="C36" s="103" t="s">
        <v>780</v>
      </c>
      <c r="D36" s="30" t="s">
        <v>781</v>
      </c>
      <c r="F36" s="101"/>
      <c r="M36" s="101"/>
      <c r="N36" s="102"/>
    </row>
    <row r="37" spans="2:14" s="30" customFormat="1" ht="17.100000000000001" customHeight="1" x14ac:dyDescent="0.25">
      <c r="E37" s="101"/>
      <c r="F37" s="101"/>
      <c r="G37" s="121"/>
      <c r="H37" s="116"/>
      <c r="I37" s="116"/>
      <c r="J37" s="351" t="s">
        <v>782</v>
      </c>
      <c r="K37" s="102">
        <v>20</v>
      </c>
      <c r="L37" s="30" t="s">
        <v>131</v>
      </c>
      <c r="M37" s="116"/>
    </row>
    <row r="38" spans="2:14" ht="17.100000000000001" customHeight="1" x14ac:dyDescent="0.25">
      <c r="J38" s="129" t="s">
        <v>752</v>
      </c>
      <c r="K38" s="357">
        <f>SUM(K37)</f>
        <v>20</v>
      </c>
      <c r="L38" s="352" t="s">
        <v>96</v>
      </c>
    </row>
    <row r="39" spans="2:14" ht="20.100000000000001" customHeight="1" x14ac:dyDescent="0.25"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N39" s="76"/>
    </row>
    <row r="40" spans="2:14" s="30" customFormat="1" ht="30" customHeight="1" x14ac:dyDescent="0.25">
      <c r="B40" s="101" t="s">
        <v>785</v>
      </c>
      <c r="C40" s="103">
        <v>1619003</v>
      </c>
      <c r="D40" s="624" t="s">
        <v>784</v>
      </c>
      <c r="E40" s="624"/>
      <c r="F40" s="624"/>
      <c r="G40" s="624"/>
      <c r="H40" s="624"/>
      <c r="I40" s="624"/>
      <c r="J40" s="624"/>
      <c r="K40" s="624"/>
      <c r="L40" s="624"/>
      <c r="M40" s="624"/>
      <c r="N40" s="624"/>
    </row>
    <row r="41" spans="2:14" s="30" customFormat="1" ht="24" customHeight="1" x14ac:dyDescent="0.25">
      <c r="C41" s="122" t="s">
        <v>90</v>
      </c>
      <c r="D41" s="657" t="s">
        <v>98</v>
      </c>
      <c r="E41" s="657"/>
      <c r="F41" s="122" t="s">
        <v>718</v>
      </c>
      <c r="G41" s="122" t="s">
        <v>45</v>
      </c>
      <c r="H41" s="326" t="s">
        <v>79</v>
      </c>
      <c r="I41" s="326" t="s">
        <v>80</v>
      </c>
      <c r="J41" s="326" t="s">
        <v>81</v>
      </c>
      <c r="K41" s="326" t="s">
        <v>86</v>
      </c>
      <c r="L41" s="326" t="s">
        <v>89</v>
      </c>
      <c r="M41" s="326" t="s">
        <v>105</v>
      </c>
    </row>
    <row r="42" spans="2:14" s="30" customFormat="1" ht="17.100000000000001" customHeight="1" x14ac:dyDescent="0.25">
      <c r="B42" s="331"/>
      <c r="C42" s="333" t="s">
        <v>734</v>
      </c>
      <c r="D42" s="654" t="s">
        <v>766</v>
      </c>
      <c r="E42" s="654"/>
      <c r="F42" s="329" t="s">
        <v>715</v>
      </c>
      <c r="G42" s="329"/>
      <c r="H42" s="330"/>
      <c r="I42" s="330"/>
      <c r="J42" s="330"/>
      <c r="K42" s="354">
        <v>1400.98</v>
      </c>
      <c r="L42" s="354">
        <v>0.1</v>
      </c>
      <c r="M42" s="354">
        <f t="shared" ref="M42" si="9">+K42*L42</f>
        <v>140.09800000000001</v>
      </c>
    </row>
    <row r="43" spans="2:14" s="30" customFormat="1" ht="17.100000000000001" customHeight="1" x14ac:dyDescent="0.25">
      <c r="B43" s="331"/>
      <c r="C43" s="333" t="s">
        <v>734</v>
      </c>
      <c r="D43" s="654" t="s">
        <v>786</v>
      </c>
      <c r="E43" s="654"/>
      <c r="F43" s="329" t="s">
        <v>715</v>
      </c>
      <c r="G43" s="329"/>
      <c r="H43" s="330">
        <f>(4*53.45)+(14*12.9)</f>
        <v>394.4</v>
      </c>
      <c r="I43" s="330">
        <v>0.21</v>
      </c>
      <c r="J43" s="330">
        <v>0.59</v>
      </c>
      <c r="K43" s="354"/>
      <c r="L43" s="354"/>
      <c r="M43" s="354">
        <f>+H43*I43*J43</f>
        <v>48.866159999999994</v>
      </c>
    </row>
    <row r="44" spans="2:14" s="30" customFormat="1" ht="17.100000000000001" customHeight="1" x14ac:dyDescent="0.25">
      <c r="B44" s="331"/>
      <c r="C44" s="333" t="s">
        <v>734</v>
      </c>
      <c r="D44" s="654" t="s">
        <v>787</v>
      </c>
      <c r="E44" s="654"/>
      <c r="F44" s="329" t="s">
        <v>715</v>
      </c>
      <c r="G44" s="329"/>
      <c r="H44" s="330">
        <f>(12*12.9)+(4*56.69)</f>
        <v>381.56</v>
      </c>
      <c r="I44" s="330">
        <v>0.27</v>
      </c>
      <c r="J44" s="330">
        <v>0.57999999999999996</v>
      </c>
      <c r="K44" s="354"/>
      <c r="L44" s="354"/>
      <c r="M44" s="354">
        <f>+H44*I44*J44</f>
        <v>59.752296000000001</v>
      </c>
    </row>
    <row r="45" spans="2:14" s="30" customFormat="1" ht="17.100000000000001" customHeight="1" x14ac:dyDescent="0.25">
      <c r="B45" s="331"/>
      <c r="C45" s="333" t="s">
        <v>734</v>
      </c>
      <c r="D45" s="654" t="s">
        <v>788</v>
      </c>
      <c r="E45" s="654"/>
      <c r="F45" s="329" t="s">
        <v>715</v>
      </c>
      <c r="G45" s="329">
        <v>15</v>
      </c>
      <c r="H45" s="330">
        <v>0.16</v>
      </c>
      <c r="I45" s="330">
        <v>0.17</v>
      </c>
      <c r="J45" s="330">
        <v>3.8</v>
      </c>
      <c r="K45" s="354"/>
      <c r="L45" s="354"/>
      <c r="M45" s="354">
        <f>+G45*H45*I45*J45</f>
        <v>1.5504</v>
      </c>
    </row>
    <row r="46" spans="2:14" s="30" customFormat="1" ht="17.100000000000001" customHeight="1" x14ac:dyDescent="0.25">
      <c r="B46" s="331"/>
      <c r="C46" s="333" t="s">
        <v>734</v>
      </c>
      <c r="D46" s="654" t="s">
        <v>788</v>
      </c>
      <c r="E46" s="654"/>
      <c r="F46" s="329" t="s">
        <v>715</v>
      </c>
      <c r="G46" s="329">
        <v>10</v>
      </c>
      <c r="H46" s="330">
        <v>0.45</v>
      </c>
      <c r="I46" s="330">
        <v>0.21</v>
      </c>
      <c r="J46" s="330">
        <v>3.8</v>
      </c>
      <c r="K46" s="354"/>
      <c r="L46" s="354"/>
      <c r="M46" s="354">
        <f t="shared" ref="M46:M51" si="10">+G46*H46*I46*J46</f>
        <v>3.5909999999999997</v>
      </c>
    </row>
    <row r="47" spans="2:14" s="30" customFormat="1" ht="17.100000000000001" customHeight="1" x14ac:dyDescent="0.25">
      <c r="B47" s="331"/>
      <c r="C47" s="333" t="s">
        <v>734</v>
      </c>
      <c r="D47" s="654" t="s">
        <v>789</v>
      </c>
      <c r="E47" s="654"/>
      <c r="F47" s="329" t="s">
        <v>715</v>
      </c>
      <c r="G47" s="329">
        <v>20</v>
      </c>
      <c r="H47" s="330">
        <v>0.54</v>
      </c>
      <c r="I47" s="330">
        <v>0.57999999999999996</v>
      </c>
      <c r="J47" s="330">
        <v>6.52</v>
      </c>
      <c r="K47" s="354"/>
      <c r="L47" s="354"/>
      <c r="M47" s="354">
        <f t="shared" si="10"/>
        <v>40.841279999999998</v>
      </c>
    </row>
    <row r="48" spans="2:14" s="30" customFormat="1" ht="17.100000000000001" customHeight="1" x14ac:dyDescent="0.25">
      <c r="B48" s="331"/>
      <c r="C48" s="333" t="s">
        <v>734</v>
      </c>
      <c r="D48" s="654" t="s">
        <v>790</v>
      </c>
      <c r="E48" s="654"/>
      <c r="F48" s="329" t="s">
        <v>715</v>
      </c>
      <c r="G48" s="329">
        <v>20</v>
      </c>
      <c r="H48" s="330">
        <v>0.8</v>
      </c>
      <c r="I48" s="330">
        <v>0.21</v>
      </c>
      <c r="J48" s="330">
        <v>11.69</v>
      </c>
      <c r="K48" s="354"/>
      <c r="L48" s="354"/>
      <c r="M48" s="354">
        <f t="shared" si="10"/>
        <v>39.278399999999998</v>
      </c>
    </row>
    <row r="49" spans="2:14" s="30" customFormat="1" ht="17.100000000000001" customHeight="1" x14ac:dyDescent="0.25">
      <c r="B49" s="331"/>
      <c r="C49" s="333" t="s">
        <v>734</v>
      </c>
      <c r="D49" s="654" t="s">
        <v>791</v>
      </c>
      <c r="E49" s="654"/>
      <c r="F49" s="329" t="s">
        <v>715</v>
      </c>
      <c r="G49" s="329">
        <v>2</v>
      </c>
      <c r="H49" s="330">
        <v>3.01</v>
      </c>
      <c r="I49" s="330">
        <v>0.51</v>
      </c>
      <c r="J49" s="330">
        <v>23.24</v>
      </c>
      <c r="K49" s="354"/>
      <c r="L49" s="354"/>
      <c r="M49" s="354">
        <f t="shared" si="10"/>
        <v>71.351447999999991</v>
      </c>
    </row>
    <row r="50" spans="2:14" s="30" customFormat="1" ht="17.100000000000001" customHeight="1" x14ac:dyDescent="0.25">
      <c r="B50" s="331"/>
      <c r="C50" s="333" t="s">
        <v>734</v>
      </c>
      <c r="D50" s="654" t="s">
        <v>792</v>
      </c>
      <c r="E50" s="654"/>
      <c r="F50" s="329" t="s">
        <v>715</v>
      </c>
      <c r="G50" s="329">
        <v>5</v>
      </c>
      <c r="H50" s="330">
        <v>0.16</v>
      </c>
      <c r="I50" s="330">
        <v>0.17</v>
      </c>
      <c r="J50" s="330">
        <v>3.8</v>
      </c>
      <c r="K50" s="354"/>
      <c r="L50" s="354"/>
      <c r="M50" s="354">
        <f t="shared" si="10"/>
        <v>0.51680000000000004</v>
      </c>
    </row>
    <row r="51" spans="2:14" s="30" customFormat="1" ht="17.100000000000001" customHeight="1" thickBot="1" x14ac:dyDescent="0.3">
      <c r="B51" s="339"/>
      <c r="C51" s="340" t="s">
        <v>734</v>
      </c>
      <c r="D51" s="655" t="s">
        <v>788</v>
      </c>
      <c r="E51" s="655"/>
      <c r="F51" s="341" t="s">
        <v>715</v>
      </c>
      <c r="G51" s="341">
        <v>8</v>
      </c>
      <c r="H51" s="342">
        <v>0.6</v>
      </c>
      <c r="I51" s="342">
        <v>0.42</v>
      </c>
      <c r="J51" s="342">
        <v>6.52</v>
      </c>
      <c r="K51" s="355"/>
      <c r="L51" s="355"/>
      <c r="M51" s="355">
        <f t="shared" si="10"/>
        <v>13.144319999999999</v>
      </c>
    </row>
    <row r="52" spans="2:14" s="30" customFormat="1" ht="17.100000000000001" customHeight="1" x14ac:dyDescent="0.25">
      <c r="B52" s="331"/>
      <c r="C52" s="333" t="s">
        <v>732</v>
      </c>
      <c r="D52" s="654" t="s">
        <v>812</v>
      </c>
      <c r="E52" s="654"/>
      <c r="F52" s="329"/>
      <c r="G52" s="329"/>
      <c r="H52" s="330"/>
      <c r="I52" s="330">
        <v>115</v>
      </c>
      <c r="J52" s="330">
        <v>8</v>
      </c>
      <c r="K52" s="354">
        <f>+I52*J52</f>
        <v>920</v>
      </c>
      <c r="L52" s="354">
        <v>0.15</v>
      </c>
      <c r="M52" s="354">
        <f t="shared" ref="M52:M53" si="11">+K52*L52</f>
        <v>138</v>
      </c>
    </row>
    <row r="53" spans="2:14" s="30" customFormat="1" ht="17.100000000000001" customHeight="1" x14ac:dyDescent="0.25">
      <c r="B53" s="331"/>
      <c r="C53" s="333" t="s">
        <v>732</v>
      </c>
      <c r="D53" s="654" t="s">
        <v>813</v>
      </c>
      <c r="E53" s="654"/>
      <c r="F53" s="329"/>
      <c r="G53" s="329"/>
      <c r="H53" s="330"/>
      <c r="I53" s="330">
        <v>115</v>
      </c>
      <c r="J53" s="330">
        <v>13.75</v>
      </c>
      <c r="K53" s="354">
        <f>+I53*J53</f>
        <v>1581.25</v>
      </c>
      <c r="L53" s="354">
        <v>0.15</v>
      </c>
      <c r="M53" s="354">
        <f t="shared" si="11"/>
        <v>237.1875</v>
      </c>
    </row>
    <row r="54" spans="2:14" s="30" customFormat="1" ht="17.100000000000001" customHeight="1" thickBot="1" x14ac:dyDescent="0.3">
      <c r="B54" s="339"/>
      <c r="C54" s="340" t="s">
        <v>732</v>
      </c>
      <c r="D54" s="655" t="s">
        <v>733</v>
      </c>
      <c r="E54" s="655"/>
      <c r="F54" s="341"/>
      <c r="G54" s="341"/>
      <c r="H54" s="342"/>
      <c r="I54" s="342">
        <v>115</v>
      </c>
      <c r="J54" s="342">
        <v>1.5</v>
      </c>
      <c r="K54" s="355">
        <f>+I54*J54</f>
        <v>172.5</v>
      </c>
      <c r="L54" s="355">
        <v>0.2</v>
      </c>
      <c r="M54" s="355">
        <f t="shared" ref="M54" si="12">+K54*L54</f>
        <v>34.5</v>
      </c>
    </row>
    <row r="55" spans="2:14" s="30" customFormat="1" ht="17.100000000000001" customHeight="1" thickBot="1" x14ac:dyDescent="0.3">
      <c r="B55" s="339"/>
      <c r="C55" s="340" t="s">
        <v>733</v>
      </c>
      <c r="D55" s="655" t="s">
        <v>820</v>
      </c>
      <c r="E55" s="655"/>
      <c r="F55" s="341"/>
      <c r="G55" s="341"/>
      <c r="H55" s="342"/>
      <c r="I55" s="342">
        <v>118</v>
      </c>
      <c r="J55" s="342">
        <v>3.5</v>
      </c>
      <c r="K55" s="355">
        <f>+I55*J55</f>
        <v>413</v>
      </c>
      <c r="L55" s="355">
        <v>0.2</v>
      </c>
      <c r="M55" s="355">
        <f t="shared" ref="M55" si="13">+K55*L55</f>
        <v>82.600000000000009</v>
      </c>
    </row>
    <row r="56" spans="2:14" s="30" customFormat="1" ht="20.100000000000001" customHeight="1" x14ac:dyDescent="0.25">
      <c r="E56" s="101"/>
      <c r="F56" s="101"/>
      <c r="I56" s="131"/>
      <c r="J56" s="131"/>
      <c r="K56" s="350"/>
      <c r="L56" s="131" t="s">
        <v>34</v>
      </c>
      <c r="M56" s="350">
        <f>SUM(M42:M55)</f>
        <v>911.277604</v>
      </c>
      <c r="N56" s="119" t="s">
        <v>92</v>
      </c>
    </row>
    <row r="57" spans="2:14" s="30" customFormat="1" ht="20.100000000000001" customHeight="1" x14ac:dyDescent="0.25">
      <c r="E57" s="101"/>
      <c r="F57" s="101"/>
      <c r="I57" s="131"/>
      <c r="J57" s="131"/>
      <c r="K57" s="350"/>
      <c r="L57" s="131"/>
      <c r="M57" s="350"/>
      <c r="N57" s="119"/>
    </row>
    <row r="58" spans="2:14" s="30" customFormat="1" ht="20.100000000000001" customHeight="1" x14ac:dyDescent="0.25">
      <c r="B58" s="101" t="s">
        <v>94</v>
      </c>
      <c r="C58" s="103" t="s">
        <v>793</v>
      </c>
      <c r="D58" s="30" t="s">
        <v>796</v>
      </c>
      <c r="F58" s="101"/>
      <c r="M58" s="101"/>
      <c r="N58" s="102"/>
    </row>
    <row r="59" spans="2:14" s="30" customFormat="1" ht="17.100000000000001" customHeight="1" x14ac:dyDescent="0.25">
      <c r="E59" s="101"/>
      <c r="F59" s="101"/>
      <c r="G59" s="121"/>
      <c r="H59" s="116"/>
      <c r="I59" s="116"/>
      <c r="J59" s="351" t="s">
        <v>794</v>
      </c>
      <c r="K59" s="102">
        <v>10</v>
      </c>
      <c r="L59" s="30" t="s">
        <v>131</v>
      </c>
      <c r="M59" s="116"/>
    </row>
    <row r="60" spans="2:14" s="30" customFormat="1" ht="17.100000000000001" customHeight="1" x14ac:dyDescent="0.25">
      <c r="E60" s="101"/>
      <c r="F60" s="101"/>
      <c r="G60" s="121"/>
      <c r="H60" s="116"/>
      <c r="I60" s="116"/>
      <c r="J60" s="351" t="s">
        <v>795</v>
      </c>
      <c r="K60" s="102">
        <v>2</v>
      </c>
      <c r="L60" s="30" t="s">
        <v>131</v>
      </c>
      <c r="M60" s="116"/>
    </row>
    <row r="61" spans="2:14" ht="17.100000000000001" customHeight="1" x14ac:dyDescent="0.25">
      <c r="J61" s="129" t="s">
        <v>752</v>
      </c>
      <c r="K61" s="357">
        <f>+K59*K60</f>
        <v>20</v>
      </c>
      <c r="L61" s="352" t="s">
        <v>96</v>
      </c>
    </row>
    <row r="62" spans="2:14" s="30" customFormat="1" ht="20.100000000000001" customHeight="1" x14ac:dyDescent="0.25">
      <c r="E62" s="101"/>
      <c r="F62" s="101"/>
      <c r="I62" s="131"/>
      <c r="J62" s="131"/>
      <c r="K62" s="350"/>
      <c r="L62" s="131"/>
      <c r="M62" s="350"/>
      <c r="N62" s="119"/>
    </row>
    <row r="63" spans="2:14" s="30" customFormat="1" ht="20.100000000000001" customHeight="1" x14ac:dyDescent="0.25">
      <c r="B63" s="101" t="s">
        <v>592</v>
      </c>
      <c r="C63" s="103" t="s">
        <v>814</v>
      </c>
      <c r="D63" s="30" t="s">
        <v>815</v>
      </c>
      <c r="F63" s="101"/>
      <c r="M63" s="101"/>
      <c r="N63" s="102"/>
    </row>
    <row r="64" spans="2:14" s="30" customFormat="1" ht="17.100000000000001" customHeight="1" x14ac:dyDescent="0.25">
      <c r="E64" s="101"/>
      <c r="F64" s="101"/>
      <c r="G64" s="121"/>
      <c r="H64" s="116"/>
      <c r="I64" s="116"/>
      <c r="J64" s="351" t="s">
        <v>816</v>
      </c>
      <c r="K64" s="102">
        <v>3</v>
      </c>
      <c r="L64" s="30" t="s">
        <v>131</v>
      </c>
      <c r="M64" s="116"/>
    </row>
    <row r="65" spans="2:14" ht="17.100000000000001" customHeight="1" x14ac:dyDescent="0.25">
      <c r="J65" s="129" t="s">
        <v>752</v>
      </c>
      <c r="K65" s="357">
        <f>SUM(K64)</f>
        <v>3</v>
      </c>
      <c r="L65" s="352" t="s">
        <v>96</v>
      </c>
    </row>
    <row r="66" spans="2:14" ht="20.100000000000001" customHeight="1" x14ac:dyDescent="0.25">
      <c r="B66" s="656"/>
      <c r="C66" s="656"/>
      <c r="D66" s="656"/>
      <c r="E66" s="656"/>
      <c r="F66" s="656"/>
      <c r="G66" s="656"/>
      <c r="H66" s="656"/>
      <c r="I66" s="656"/>
      <c r="J66" s="656"/>
      <c r="K66" s="656"/>
      <c r="N66" s="76"/>
    </row>
    <row r="75" spans="2:14" x14ac:dyDescent="0.25">
      <c r="E75" s="75" t="s">
        <v>783</v>
      </c>
    </row>
  </sheetData>
  <mergeCells count="32">
    <mergeCell ref="D54:E54"/>
    <mergeCell ref="B66:K66"/>
    <mergeCell ref="F33:G33"/>
    <mergeCell ref="F31:G31"/>
    <mergeCell ref="D52:E52"/>
    <mergeCell ref="D53:E53"/>
    <mergeCell ref="D55:E55"/>
    <mergeCell ref="D51:E51"/>
    <mergeCell ref="D44:E44"/>
    <mergeCell ref="D42:E42"/>
    <mergeCell ref="D41:E41"/>
    <mergeCell ref="D47:E47"/>
    <mergeCell ref="D48:E48"/>
    <mergeCell ref="D40:N40"/>
    <mergeCell ref="D43:E43"/>
    <mergeCell ref="D45:E45"/>
    <mergeCell ref="D46:E46"/>
    <mergeCell ref="D49:E49"/>
    <mergeCell ref="D50:E50"/>
    <mergeCell ref="F30:G30"/>
    <mergeCell ref="F32:G32"/>
    <mergeCell ref="B39:K39"/>
    <mergeCell ref="B1:O2"/>
    <mergeCell ref="B8:K8"/>
    <mergeCell ref="B35:K35"/>
    <mergeCell ref="D9:N9"/>
    <mergeCell ref="B24:K24"/>
    <mergeCell ref="D25:N25"/>
    <mergeCell ref="F26:G26"/>
    <mergeCell ref="F27:G27"/>
    <mergeCell ref="F28:G28"/>
    <mergeCell ref="F29:G29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4843-0637-47D5-97E6-9E1F871A49A8}">
  <dimension ref="B1:T21"/>
  <sheetViews>
    <sheetView showGridLines="0" showZeros="0" view="pageBreakPreview" topLeftCell="A9" zoomScale="115" zoomScaleNormal="100" zoomScaleSheetLayoutView="115" workbookViewId="0">
      <selection activeCell="K12" sqref="E10:K12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3.28515625" style="75" customWidth="1"/>
    <col min="6" max="6" width="12.42578125" style="100" customWidth="1"/>
    <col min="7" max="13" width="10.7109375" style="75" customWidth="1"/>
    <col min="14" max="14" width="12.85546875" style="77" customWidth="1"/>
    <col min="15" max="15" width="1.7109375" style="75" customWidth="1"/>
    <col min="16" max="16" width="9.140625" style="75" customWidth="1"/>
    <col min="17" max="16384" width="9.140625" style="75"/>
  </cols>
  <sheetData>
    <row r="1" spans="2:20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20" s="65" customFormat="1" ht="20.100000000000001" customHeight="1" x14ac:dyDescent="0.25">
      <c r="F3" s="97"/>
    </row>
    <row r="4" spans="2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4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2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F5" s="48"/>
      <c r="M5" s="3" t="s">
        <v>17</v>
      </c>
      <c r="N5" s="4" t="str">
        <f>'DADOS DA OBRA'!$N$25</f>
        <v>02</v>
      </c>
    </row>
    <row r="6" spans="2:20" s="5" customFormat="1" ht="20.100000000000001" customHeight="1" x14ac:dyDescent="0.25">
      <c r="F6" s="48"/>
    </row>
    <row r="7" spans="2:20" s="5" customFormat="1" ht="20.100000000000001" customHeight="1" x14ac:dyDescent="0.25">
      <c r="B7" s="1" t="s">
        <v>63</v>
      </c>
      <c r="C7" s="38" t="s">
        <v>819</v>
      </c>
      <c r="F7" s="48"/>
      <c r="M7" s="3"/>
      <c r="N7" s="62"/>
    </row>
    <row r="8" spans="2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20" s="30" customFormat="1" ht="30" customHeight="1" x14ac:dyDescent="0.25">
      <c r="B9" s="101" t="s">
        <v>91</v>
      </c>
      <c r="C9" s="103" t="s">
        <v>102</v>
      </c>
      <c r="D9" s="624" t="s">
        <v>817</v>
      </c>
      <c r="E9" s="624"/>
      <c r="F9" s="624"/>
      <c r="G9" s="624"/>
      <c r="H9" s="624"/>
      <c r="I9" s="624"/>
      <c r="J9" s="624"/>
      <c r="K9" s="624"/>
      <c r="L9" s="624"/>
      <c r="M9" s="624"/>
      <c r="N9" s="624"/>
    </row>
    <row r="10" spans="2:20" s="30" customFormat="1" ht="24" customHeight="1" x14ac:dyDescent="0.25">
      <c r="F10" s="122" t="s">
        <v>90</v>
      </c>
      <c r="G10" s="326" t="s">
        <v>79</v>
      </c>
      <c r="H10" s="326" t="s">
        <v>80</v>
      </c>
      <c r="I10" s="326" t="s">
        <v>81</v>
      </c>
      <c r="J10" s="326" t="s">
        <v>105</v>
      </c>
    </row>
    <row r="11" spans="2:20" s="30" customFormat="1" ht="17.100000000000001" customHeight="1" thickBot="1" x14ac:dyDescent="0.3">
      <c r="E11" s="339"/>
      <c r="F11" s="340" t="s">
        <v>734</v>
      </c>
      <c r="G11" s="342">
        <v>118</v>
      </c>
      <c r="H11" s="342">
        <v>6</v>
      </c>
      <c r="I11" s="342">
        <v>3.5</v>
      </c>
      <c r="J11" s="355">
        <f>+G11*H11*I11/2</f>
        <v>1239</v>
      </c>
      <c r="K11" s="30" t="s">
        <v>818</v>
      </c>
    </row>
    <row r="12" spans="2:20" s="30" customFormat="1" ht="20.100000000000001" customHeight="1" x14ac:dyDescent="0.25">
      <c r="H12" s="131"/>
      <c r="I12" s="131" t="s">
        <v>34</v>
      </c>
      <c r="J12" s="350">
        <f>SUM(J11:J11)</f>
        <v>1239</v>
      </c>
      <c r="K12" s="119" t="s">
        <v>92</v>
      </c>
    </row>
    <row r="13" spans="2:20" ht="20.100000000000001" customHeight="1" x14ac:dyDescent="0.25">
      <c r="B13" s="625"/>
      <c r="C13" s="625"/>
      <c r="D13" s="625"/>
      <c r="E13" s="625"/>
      <c r="F13" s="625"/>
      <c r="G13" s="625"/>
      <c r="H13" s="625"/>
      <c r="I13" s="625"/>
      <c r="J13" s="625"/>
      <c r="K13" s="625"/>
      <c r="N13" s="76"/>
    </row>
    <row r="21" spans="5:5" x14ac:dyDescent="0.25">
      <c r="E21" s="75" t="s">
        <v>783</v>
      </c>
    </row>
  </sheetData>
  <mergeCells count="4">
    <mergeCell ref="B13:K13"/>
    <mergeCell ref="B1:O2"/>
    <mergeCell ref="B8:K8"/>
    <mergeCell ref="D9:N9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BDD8-EBB2-4B48-A769-A828CE231C7F}">
  <dimension ref="B1:T51"/>
  <sheetViews>
    <sheetView showGridLines="0" showZeros="0" view="pageBreakPreview" topLeftCell="A22" zoomScale="115" zoomScaleNormal="100" zoomScaleSheetLayoutView="115" workbookViewId="0">
      <selection activeCell="H43" sqref="H43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3.28515625" style="75" customWidth="1"/>
    <col min="6" max="6" width="12.42578125" style="100" customWidth="1"/>
    <col min="7" max="13" width="10.7109375" style="75" customWidth="1"/>
    <col min="14" max="14" width="12.85546875" style="77" customWidth="1"/>
    <col min="15" max="15" width="1.7109375" style="75" customWidth="1"/>
    <col min="16" max="16" width="10.140625" style="75" customWidth="1"/>
    <col min="17" max="16384" width="9.140625" style="75"/>
  </cols>
  <sheetData>
    <row r="1" spans="2:20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20" s="65" customFormat="1" ht="20.100000000000001" customHeight="1" x14ac:dyDescent="0.25">
      <c r="F3" s="97"/>
    </row>
    <row r="4" spans="2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4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2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F5" s="48"/>
      <c r="M5" s="3" t="s">
        <v>17</v>
      </c>
      <c r="N5" s="4" t="str">
        <f>'DADOS DA OBRA'!$N$25</f>
        <v>02</v>
      </c>
    </row>
    <row r="6" spans="2:20" s="5" customFormat="1" ht="20.100000000000001" customHeight="1" x14ac:dyDescent="0.25">
      <c r="F6" s="48"/>
    </row>
    <row r="7" spans="2:20" s="5" customFormat="1" ht="20.100000000000001" customHeight="1" x14ac:dyDescent="0.25">
      <c r="B7" s="1" t="s">
        <v>63</v>
      </c>
      <c r="C7" s="38" t="s">
        <v>830</v>
      </c>
      <c r="F7" s="48"/>
      <c r="M7" s="3"/>
      <c r="N7" s="62"/>
    </row>
    <row r="8" spans="2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20" s="30" customFormat="1" ht="20.100000000000001" customHeight="1" x14ac:dyDescent="0.25">
      <c r="B9" s="101" t="s">
        <v>91</v>
      </c>
      <c r="C9" s="103" t="s">
        <v>832</v>
      </c>
      <c r="D9" s="30" t="s">
        <v>831</v>
      </c>
      <c r="F9" s="101"/>
      <c r="M9" s="101"/>
      <c r="N9" s="102"/>
    </row>
    <row r="10" spans="2:20" s="30" customFormat="1" ht="24" customHeight="1" x14ac:dyDescent="0.25">
      <c r="B10" s="658" t="s">
        <v>67</v>
      </c>
      <c r="C10" s="658"/>
      <c r="D10" s="658"/>
      <c r="E10" s="658"/>
      <c r="F10" s="658"/>
      <c r="G10" s="658"/>
      <c r="H10" s="325"/>
      <c r="I10" s="325" t="s">
        <v>68</v>
      </c>
      <c r="J10" s="325" t="s">
        <v>45</v>
      </c>
      <c r="K10" s="362" t="s">
        <v>89</v>
      </c>
      <c r="L10" s="362" t="s">
        <v>833</v>
      </c>
      <c r="M10" s="362" t="s">
        <v>105</v>
      </c>
    </row>
    <row r="11" spans="2:20" s="30" customFormat="1" ht="17.100000000000001" customHeight="1" x14ac:dyDescent="0.25">
      <c r="B11" s="363" t="str">
        <f>'SERVIÇOS PRELIMINARES'!D9</f>
        <v>LIMPEZA MECÂNICA DE TERRENO</v>
      </c>
      <c r="C11" s="333"/>
      <c r="D11" s="333"/>
      <c r="E11" s="333"/>
      <c r="F11" s="329"/>
      <c r="G11" s="329"/>
      <c r="H11" s="364"/>
      <c r="I11" s="364" t="s">
        <v>93</v>
      </c>
      <c r="J11" s="381">
        <f>'SERVIÇOS PRELIMINARES'!J12</f>
        <v>10000</v>
      </c>
      <c r="K11" s="354">
        <v>7.0000000000000007E-2</v>
      </c>
      <c r="L11" s="365">
        <v>0.3</v>
      </c>
      <c r="M11" s="354">
        <f>+J11*K11*(1+L11)</f>
        <v>910.00000000000023</v>
      </c>
    </row>
    <row r="12" spans="2:20" s="30" customFormat="1" ht="17.100000000000001" customHeight="1" x14ac:dyDescent="0.25">
      <c r="B12" s="363" t="str">
        <f>+'DEMOLIÇÕES - ESQUADRIAS '!D10</f>
        <v xml:space="preserve">REMOÇÃO MANUAL DE JANELA OU PORTAL COM TRANSPORTE ATÉ CAÇAMBA E CARGA	</v>
      </c>
      <c r="C12" s="333"/>
      <c r="D12" s="333"/>
      <c r="E12" s="333"/>
      <c r="F12" s="329"/>
      <c r="G12" s="329"/>
      <c r="H12" s="364"/>
      <c r="I12" s="364" t="s">
        <v>93</v>
      </c>
      <c r="J12" s="330">
        <f>'DEMOLIÇÕES - ESQUADRIAS '!K62</f>
        <v>457.98000000000008</v>
      </c>
      <c r="K12" s="354">
        <v>0.15</v>
      </c>
      <c r="L12" s="365">
        <v>0.4</v>
      </c>
      <c r="M12" s="354">
        <f>+J12*K12*(1+L12)</f>
        <v>96.175799999999995</v>
      </c>
    </row>
    <row r="13" spans="2:20" s="30" customFormat="1" ht="17.100000000000001" customHeight="1" x14ac:dyDescent="0.25">
      <c r="B13" s="363" t="str">
        <f>'DEMOLIÇÕES - ESQUADRIAS '!D9</f>
        <v>REMOÇÃO DE VIDRO (adaptado conforme Decreto Estadual 9900/2021)</v>
      </c>
      <c r="C13" s="367"/>
      <c r="D13" s="367"/>
      <c r="E13" s="367"/>
      <c r="F13" s="368"/>
      <c r="G13" s="368"/>
      <c r="H13" s="364"/>
      <c r="I13" s="364" t="s">
        <v>93</v>
      </c>
      <c r="J13" s="330">
        <f>'DEMOLIÇÕES - ESQUADRIAS '!L62</f>
        <v>375.05</v>
      </c>
      <c r="K13" s="354">
        <v>0.01</v>
      </c>
      <c r="L13" s="365">
        <v>0.4</v>
      </c>
      <c r="M13" s="354">
        <f t="shared" ref="M13:M18" si="0">+J13*K13*(1+L13)</f>
        <v>5.2507000000000001</v>
      </c>
    </row>
    <row r="14" spans="2:20" s="30" customFormat="1" ht="17.100000000000001" customHeight="1" x14ac:dyDescent="0.25">
      <c r="B14" s="363" t="str">
        <f>+'DEMOLIÇÕES - GUARDA-CORPO'!D9</f>
        <v>RETIRADA DE GRADIL, PORTÕES E GUARDA-CORPO (adaptado conforme Decreto Estadual 9900/2021)</v>
      </c>
      <c r="C14" s="367"/>
      <c r="D14" s="367"/>
      <c r="E14" s="367"/>
      <c r="F14" s="368"/>
      <c r="G14" s="368"/>
      <c r="H14" s="364"/>
      <c r="I14" s="364" t="s">
        <v>93</v>
      </c>
      <c r="J14" s="330">
        <f>+'DEMOLIÇÕES - GUARDA-CORPO'!L22</f>
        <v>424.54999999999995</v>
      </c>
      <c r="K14" s="354">
        <v>7.0000000000000007E-2</v>
      </c>
      <c r="L14" s="365">
        <v>0.4</v>
      </c>
      <c r="M14" s="354">
        <f t="shared" si="0"/>
        <v>41.605899999999998</v>
      </c>
    </row>
    <row r="15" spans="2:20" s="30" customFormat="1" ht="24.95" customHeight="1" x14ac:dyDescent="0.25">
      <c r="B15" s="659" t="str">
        <f>+'DEMOLIÇÕES - ALVENARIAS'!D9</f>
        <v xml:space="preserve">DEMOLIÇÃO MANUAL ALVENARIA TIJOLO SEM REAPROVEITAMENTO COM TRANSPORTE ATE CAÇAMBA E CARGA	</v>
      </c>
      <c r="C15" s="659"/>
      <c r="D15" s="659"/>
      <c r="E15" s="659"/>
      <c r="F15" s="659"/>
      <c r="G15" s="659"/>
      <c r="H15" s="659"/>
      <c r="I15" s="364" t="s">
        <v>92</v>
      </c>
      <c r="J15" s="330">
        <f>+'DEMOLIÇÕES - ALVENARIAS'!M83</f>
        <v>815.71000000000038</v>
      </c>
      <c r="K15" s="354"/>
      <c r="L15" s="365">
        <v>0.4</v>
      </c>
      <c r="M15" s="354">
        <f>+J15*(1+L15)</f>
        <v>1141.9940000000004</v>
      </c>
    </row>
    <row r="16" spans="2:20" s="30" customFormat="1" ht="17.100000000000001" customHeight="1" x14ac:dyDescent="0.25">
      <c r="B16" s="363" t="str">
        <f>+'DEMOLIÇÕES - COBERTURA'!D9</f>
        <v xml:space="preserve">DEMOLIÇÃO MANUAL - COBERTURA TELHA METÁLICA COM TRANSPORTE ATÉ CAÇAMBA E CARGA	</v>
      </c>
      <c r="C16" s="367"/>
      <c r="D16" s="367"/>
      <c r="E16" s="367"/>
      <c r="F16" s="368"/>
      <c r="G16" s="368"/>
      <c r="H16" s="364"/>
      <c r="I16" s="364" t="s">
        <v>93</v>
      </c>
      <c r="J16" s="330">
        <f>+'DEMOLIÇÕES - COBERTURA'!K13</f>
        <v>604</v>
      </c>
      <c r="K16" s="354">
        <v>0.05</v>
      </c>
      <c r="L16" s="365">
        <v>0.4</v>
      </c>
      <c r="M16" s="354">
        <f t="shared" si="0"/>
        <v>42.28</v>
      </c>
    </row>
    <row r="17" spans="2:16" s="30" customFormat="1" ht="24.95" customHeight="1" x14ac:dyDescent="0.25">
      <c r="B17" s="659" t="str">
        <f>+'DEMOLIÇÕES - COBERTURA'!D28</f>
        <v>DESMONTAGEM DE ESTRUTURA METÁLICA COM RETIRADA DE SOLDA E CORTE DE PEÇAS POR MEIO DE LIXADEIRA (adaptado conforme Decreto Estadual 9900/2021)</v>
      </c>
      <c r="C17" s="659"/>
      <c r="D17" s="659"/>
      <c r="E17" s="659"/>
      <c r="F17" s="659"/>
      <c r="G17" s="659"/>
      <c r="H17" s="659"/>
      <c r="I17" s="364" t="s">
        <v>93</v>
      </c>
      <c r="J17" s="330">
        <f>+'DEMOLIÇÕES - COBERTURA'!K31</f>
        <v>492</v>
      </c>
      <c r="K17" s="354">
        <v>0.2</v>
      </c>
      <c r="L17" s="365">
        <v>0.4</v>
      </c>
      <c r="M17" s="354">
        <f t="shared" si="0"/>
        <v>137.76</v>
      </c>
    </row>
    <row r="18" spans="2:16" s="30" customFormat="1" ht="17.100000000000001" customHeight="1" thickBot="1" x14ac:dyDescent="0.3">
      <c r="B18" s="369" t="str">
        <f>+'DEMOLIÇÕES - COBERTURA'!D34</f>
        <v>DEMOLIÇÃO MANUAL DE COBERTURA EM TELHA CERAMICA COM TRANSPORTE ATÉ CAÇAMBA E CARGA</v>
      </c>
      <c r="C18" s="370"/>
      <c r="D18" s="370"/>
      <c r="E18" s="370"/>
      <c r="F18" s="371"/>
      <c r="G18" s="371"/>
      <c r="H18" s="372"/>
      <c r="I18" s="372" t="s">
        <v>93</v>
      </c>
      <c r="J18" s="342">
        <f>+'DEMOLIÇÕES - COBERTURA'!K37</f>
        <v>57</v>
      </c>
      <c r="K18" s="355">
        <v>0.05</v>
      </c>
      <c r="L18" s="366">
        <v>0.4</v>
      </c>
      <c r="M18" s="355">
        <f t="shared" si="0"/>
        <v>3.9899999999999998</v>
      </c>
    </row>
    <row r="19" spans="2:16" s="30" customFormat="1" ht="20.100000000000001" customHeight="1" x14ac:dyDescent="0.25">
      <c r="E19" s="101"/>
      <c r="F19" s="101"/>
      <c r="I19" s="131"/>
      <c r="J19" s="131" t="s">
        <v>34</v>
      </c>
      <c r="K19" s="350"/>
      <c r="M19" s="350">
        <f>SUM(M11:M18)</f>
        <v>2379.0564000000004</v>
      </c>
      <c r="N19" s="119" t="s">
        <v>92</v>
      </c>
    </row>
    <row r="20" spans="2:16" ht="20.100000000000001" customHeight="1" x14ac:dyDescent="0.25">
      <c r="B20" s="625"/>
      <c r="C20" s="625"/>
      <c r="D20" s="625"/>
      <c r="E20" s="625"/>
      <c r="F20" s="625"/>
      <c r="G20" s="625"/>
      <c r="H20" s="625"/>
      <c r="I20" s="625"/>
      <c r="J20" s="625"/>
      <c r="K20" s="625"/>
      <c r="N20" s="76"/>
    </row>
    <row r="21" spans="2:16" s="30" customFormat="1" ht="20.100000000000001" customHeight="1" x14ac:dyDescent="0.25">
      <c r="B21" s="101" t="s">
        <v>91</v>
      </c>
      <c r="C21" s="103" t="s">
        <v>836</v>
      </c>
      <c r="D21" s="30" t="s">
        <v>835</v>
      </c>
      <c r="F21" s="101"/>
      <c r="M21" s="101"/>
      <c r="N21" s="102"/>
    </row>
    <row r="22" spans="2:16" s="30" customFormat="1" ht="24" customHeight="1" x14ac:dyDescent="0.25">
      <c r="B22" s="658" t="s">
        <v>67</v>
      </c>
      <c r="C22" s="658"/>
      <c r="D22" s="658"/>
      <c r="E22" s="658"/>
      <c r="F22" s="658"/>
      <c r="G22" s="658"/>
      <c r="H22" s="325"/>
      <c r="I22" s="325" t="s">
        <v>68</v>
      </c>
      <c r="J22" s="325" t="s">
        <v>45</v>
      </c>
      <c r="K22" s="362" t="s">
        <v>89</v>
      </c>
      <c r="L22" s="362" t="s">
        <v>833</v>
      </c>
      <c r="M22" s="362" t="s">
        <v>105</v>
      </c>
    </row>
    <row r="23" spans="2:16" s="30" customFormat="1" ht="24.95" customHeight="1" x14ac:dyDescent="0.25">
      <c r="B23" s="660" t="str">
        <f>'DEMOLIÇÕES - CONCRETO'!D9</f>
        <v>DEMOLIÇÃO DE LAJES, EM CONCRETO ARMADO, DE FORMA MECANIZADA COM MARTELETE, SEM REAPROVEITAMENTO. AF_09/2023 (adaptado conforme Decreto Estadual 9900/2021)</v>
      </c>
      <c r="C23" s="660"/>
      <c r="D23" s="660"/>
      <c r="E23" s="660"/>
      <c r="F23" s="660"/>
      <c r="G23" s="660"/>
      <c r="H23" s="660"/>
      <c r="I23" s="364" t="s">
        <v>92</v>
      </c>
      <c r="J23" s="330">
        <f>'DEMOLIÇÕES - CONCRETO'!M23</f>
        <v>831.35600000000022</v>
      </c>
      <c r="K23" s="354"/>
      <c r="L23" s="365">
        <v>0.35</v>
      </c>
      <c r="M23" s="354">
        <f t="shared" ref="M23:M25" si="1">+J23*(1+L23)</f>
        <v>1122.3306000000005</v>
      </c>
    </row>
    <row r="24" spans="2:16" s="30" customFormat="1" ht="24.95" customHeight="1" x14ac:dyDescent="0.25">
      <c r="B24" s="660" t="str">
        <f>'DEMOLIÇÕES - CONCRETO'!D25</f>
        <v>DEMOLIÇÃO DE PILARES E VIGAS EM CONCRETO ARMADO, DE FORMA MECANIZADA COM MARTELETE, SEM REAPROVEITAMENTO. AF_09/2023 (adaptado conforme Decreto Estadual 9900/2021)</v>
      </c>
      <c r="C24" s="660"/>
      <c r="D24" s="660"/>
      <c r="E24" s="660"/>
      <c r="F24" s="660"/>
      <c r="G24" s="660"/>
      <c r="H24" s="660"/>
      <c r="I24" s="364" t="s">
        <v>92</v>
      </c>
      <c r="J24" s="330">
        <f>+'DEMOLIÇÕES - CONCRETO'!M34</f>
        <v>152.80632599999998</v>
      </c>
      <c r="K24" s="354"/>
      <c r="L24" s="365">
        <v>0.35</v>
      </c>
      <c r="M24" s="354">
        <f t="shared" si="1"/>
        <v>206.28854010000001</v>
      </c>
    </row>
    <row r="25" spans="2:16" s="30" customFormat="1" ht="24.95" customHeight="1" thickBot="1" x14ac:dyDescent="0.3">
      <c r="B25" s="661" t="str">
        <f>+'DEMOLIÇÕES - CONCRETO'!D40</f>
        <v>DEMOLIÇÃO MECÂNICA DE CONCRETO ARMADO COM ESCAVADEIRA HIDRÁULICA (adaptado conforme Decreto Estadual 9900/2021)</v>
      </c>
      <c r="C25" s="661"/>
      <c r="D25" s="661"/>
      <c r="E25" s="661"/>
      <c r="F25" s="661"/>
      <c r="G25" s="661"/>
      <c r="H25" s="661"/>
      <c r="I25" s="372" t="s">
        <v>92</v>
      </c>
      <c r="J25" s="342">
        <f>+'DEMOLIÇÕES - CONCRETO'!M56</f>
        <v>911.277604</v>
      </c>
      <c r="K25" s="355"/>
      <c r="L25" s="366">
        <v>0.35</v>
      </c>
      <c r="M25" s="355">
        <f t="shared" si="1"/>
        <v>1230.2247654</v>
      </c>
    </row>
    <row r="26" spans="2:16" s="30" customFormat="1" ht="20.100000000000001" customHeight="1" x14ac:dyDescent="0.25">
      <c r="E26" s="101"/>
      <c r="F26" s="101"/>
      <c r="I26" s="131"/>
      <c r="J26" s="131" t="s">
        <v>34</v>
      </c>
      <c r="K26" s="350"/>
      <c r="M26" s="350">
        <f>SUM(M23:M25)</f>
        <v>2558.8439055000008</v>
      </c>
      <c r="N26" s="119" t="s">
        <v>92</v>
      </c>
      <c r="P26" s="376"/>
    </row>
    <row r="27" spans="2:16" ht="20.100000000000001" customHeight="1" x14ac:dyDescent="0.25"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N27" s="76"/>
    </row>
    <row r="28" spans="2:16" s="30" customFormat="1" ht="24.95" customHeight="1" x14ac:dyDescent="0.25">
      <c r="B28" s="373" t="s">
        <v>203</v>
      </c>
      <c r="C28" s="103">
        <v>44011</v>
      </c>
      <c r="D28" s="30" t="s">
        <v>837</v>
      </c>
      <c r="F28" s="101"/>
      <c r="M28" s="101"/>
      <c r="N28" s="102"/>
    </row>
    <row r="29" spans="2:16" s="30" customFormat="1" ht="24" customHeight="1" x14ac:dyDescent="0.25">
      <c r="B29" s="658" t="s">
        <v>67</v>
      </c>
      <c r="C29" s="658"/>
      <c r="D29" s="658"/>
      <c r="E29" s="658"/>
      <c r="F29" s="658"/>
      <c r="G29" s="658"/>
      <c r="H29" s="325"/>
      <c r="I29" s="325"/>
      <c r="J29" s="325" t="s">
        <v>68</v>
      </c>
      <c r="K29" s="325" t="s">
        <v>45</v>
      </c>
      <c r="L29" s="362" t="s">
        <v>833</v>
      </c>
      <c r="M29" s="362" t="s">
        <v>834</v>
      </c>
    </row>
    <row r="30" spans="2:16" s="30" customFormat="1" ht="17.100000000000001" customHeight="1" x14ac:dyDescent="0.25">
      <c r="B30" s="363" t="str">
        <f>D21</f>
        <v xml:space="preserve">CARGA MECANIZADA	</v>
      </c>
      <c r="C30" s="367"/>
      <c r="D30" s="367"/>
      <c r="E30" s="367"/>
      <c r="F30" s="368"/>
      <c r="G30" s="368"/>
      <c r="H30" s="364"/>
      <c r="I30" s="364"/>
      <c r="J30" s="364" t="s">
        <v>92</v>
      </c>
      <c r="K30" s="354">
        <f>+M26</f>
        <v>2558.8439055000008</v>
      </c>
      <c r="L30" s="374">
        <v>136</v>
      </c>
      <c r="M30" s="354">
        <f>+K30*L30</f>
        <v>348002.77114800009</v>
      </c>
    </row>
    <row r="31" spans="2:16" s="30" customFormat="1" ht="20.100000000000001" customHeight="1" x14ac:dyDescent="0.25">
      <c r="E31" s="101"/>
      <c r="F31" s="101"/>
      <c r="I31" s="131"/>
      <c r="J31" s="131" t="s">
        <v>34</v>
      </c>
      <c r="K31" s="350"/>
      <c r="M31" s="350">
        <f>SUM(M30:M30)</f>
        <v>348002.77114800009</v>
      </c>
      <c r="N31" s="119" t="s">
        <v>838</v>
      </c>
    </row>
    <row r="32" spans="2:16" ht="20.100000000000001" customHeight="1" x14ac:dyDescent="0.25">
      <c r="B32" s="625"/>
      <c r="C32" s="625"/>
      <c r="D32" s="625"/>
      <c r="E32" s="625"/>
      <c r="F32" s="625"/>
      <c r="G32" s="625"/>
      <c r="H32" s="625"/>
      <c r="I32" s="625"/>
      <c r="J32" s="625"/>
      <c r="K32" s="625"/>
      <c r="N32" s="76"/>
    </row>
    <row r="33" spans="2:14" ht="20.100000000000001" customHeight="1" x14ac:dyDescent="0.25">
      <c r="B33" s="120"/>
      <c r="C33" s="120"/>
      <c r="D33" s="120"/>
      <c r="E33" s="120"/>
      <c r="F33" s="120"/>
      <c r="G33" s="120"/>
      <c r="H33" s="125" t="s">
        <v>840</v>
      </c>
      <c r="I33" s="120"/>
      <c r="J33" s="120"/>
      <c r="K33" s="120"/>
      <c r="N33" s="76"/>
    </row>
    <row r="34" spans="2:14" ht="20.100000000000001" customHeight="1" x14ac:dyDescent="0.25">
      <c r="B34" s="120"/>
      <c r="C34" s="120"/>
      <c r="D34" s="120"/>
      <c r="E34" s="120"/>
      <c r="F34" s="120"/>
      <c r="G34" s="120"/>
      <c r="H34" s="375" t="s">
        <v>839</v>
      </c>
      <c r="I34" s="120"/>
      <c r="J34" s="120"/>
      <c r="K34" s="120"/>
      <c r="N34" s="76"/>
    </row>
    <row r="35" spans="2:14" ht="20.100000000000001" customHeight="1" x14ac:dyDescent="0.25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N35" s="76"/>
    </row>
    <row r="36" spans="2:14" ht="20.100000000000001" customHeight="1" x14ac:dyDescent="0.25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N36" s="76"/>
    </row>
    <row r="37" spans="2:14" ht="20.100000000000001" customHeight="1" x14ac:dyDescent="0.25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N37" s="76"/>
    </row>
    <row r="38" spans="2:14" ht="20.100000000000001" customHeight="1" x14ac:dyDescent="0.25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N38" s="76"/>
    </row>
    <row r="39" spans="2:14" ht="20.100000000000001" customHeight="1" x14ac:dyDescent="0.25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N39" s="76"/>
    </row>
    <row r="40" spans="2:14" ht="20.100000000000001" customHeight="1" x14ac:dyDescent="0.25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N40" s="76"/>
    </row>
    <row r="41" spans="2:14" ht="20.100000000000001" customHeight="1" x14ac:dyDescent="0.25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N41" s="76"/>
    </row>
    <row r="42" spans="2:14" ht="20.100000000000001" customHeight="1" x14ac:dyDescent="0.25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N42" s="76"/>
    </row>
    <row r="43" spans="2:14" ht="20.100000000000001" customHeight="1" x14ac:dyDescent="0.25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N43" s="76"/>
    </row>
    <row r="44" spans="2:14" ht="20.100000000000001" customHeight="1" x14ac:dyDescent="0.25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N44" s="76"/>
    </row>
    <row r="51" spans="5:5" x14ac:dyDescent="0.25">
      <c r="E51" s="75" t="s">
        <v>783</v>
      </c>
    </row>
  </sheetData>
  <mergeCells count="13">
    <mergeCell ref="B1:O2"/>
    <mergeCell ref="B8:K8"/>
    <mergeCell ref="B32:K32"/>
    <mergeCell ref="B10:G10"/>
    <mergeCell ref="B17:H17"/>
    <mergeCell ref="B15:H15"/>
    <mergeCell ref="B20:K20"/>
    <mergeCell ref="B22:G22"/>
    <mergeCell ref="B23:H23"/>
    <mergeCell ref="B24:H24"/>
    <mergeCell ref="B25:H25"/>
    <mergeCell ref="B27:K27"/>
    <mergeCell ref="B29:G29"/>
  </mergeCells>
  <phoneticPr fontId="46" type="noConversion"/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8422-FA2C-4566-B6F1-D38E04F4F762}">
  <dimension ref="B1:T15"/>
  <sheetViews>
    <sheetView showGridLines="0" showZeros="0" view="pageBreakPreview" zoomScale="115" zoomScaleNormal="100" zoomScaleSheetLayoutView="115" workbookViewId="0">
      <selection activeCell="Q10" sqref="Q10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5" width="13.28515625" style="75" customWidth="1"/>
    <col min="6" max="6" width="12.42578125" style="100" customWidth="1"/>
    <col min="7" max="13" width="10.7109375" style="75" customWidth="1"/>
    <col min="14" max="14" width="12.85546875" style="77" customWidth="1"/>
    <col min="15" max="15" width="1.7109375" style="75" customWidth="1"/>
    <col min="16" max="16" width="10.140625" style="75" customWidth="1"/>
    <col min="17" max="16384" width="9.140625" style="75"/>
  </cols>
  <sheetData>
    <row r="1" spans="2:20" s="65" customFormat="1" ht="20.100000000000001" customHeight="1" x14ac:dyDescent="0.25">
      <c r="B1" s="437" t="s">
        <v>76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2:20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20" s="65" customFormat="1" ht="20.100000000000001" customHeight="1" x14ac:dyDescent="0.25">
      <c r="F3" s="97"/>
    </row>
    <row r="4" spans="2:20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E4" s="2"/>
      <c r="F4" s="4"/>
      <c r="G4" s="2"/>
      <c r="H4" s="2"/>
      <c r="I4" s="2"/>
      <c r="J4" s="2"/>
      <c r="K4" s="2"/>
      <c r="M4" s="3" t="s">
        <v>62</v>
      </c>
      <c r="N4" s="4" t="str">
        <f>+'DADOS DA OBRA'!$N$22</f>
        <v>18/11/2024</v>
      </c>
      <c r="Q4" s="31"/>
      <c r="R4" s="31"/>
      <c r="S4" s="32"/>
      <c r="T4" s="32"/>
    </row>
    <row r="5" spans="2:20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F5" s="48"/>
      <c r="M5" s="3" t="s">
        <v>17</v>
      </c>
      <c r="N5" s="4" t="str">
        <f>'DADOS DA OBRA'!$N$25</f>
        <v>02</v>
      </c>
    </row>
    <row r="6" spans="2:20" s="5" customFormat="1" ht="20.100000000000001" customHeight="1" x14ac:dyDescent="0.25">
      <c r="F6" s="48"/>
    </row>
    <row r="7" spans="2:20" s="5" customFormat="1" ht="20.100000000000001" customHeight="1" x14ac:dyDescent="0.25">
      <c r="B7" s="1" t="s">
        <v>63</v>
      </c>
      <c r="C7" s="38" t="s">
        <v>843</v>
      </c>
      <c r="F7" s="48"/>
      <c r="M7" s="3"/>
      <c r="N7" s="62"/>
    </row>
    <row r="8" spans="2:20" ht="20.100000000000001" customHeight="1" x14ac:dyDescent="0.25">
      <c r="B8" s="625"/>
      <c r="C8" s="625"/>
      <c r="D8" s="625"/>
      <c r="E8" s="625"/>
      <c r="F8" s="625"/>
      <c r="G8" s="625"/>
      <c r="H8" s="625"/>
      <c r="I8" s="625"/>
      <c r="J8" s="625"/>
      <c r="K8" s="625"/>
      <c r="N8" s="76"/>
    </row>
    <row r="9" spans="2:20" s="30" customFormat="1" ht="20.100000000000001" customHeight="1" x14ac:dyDescent="0.25">
      <c r="B9" s="101" t="s">
        <v>100</v>
      </c>
      <c r="C9" s="103">
        <v>10039</v>
      </c>
      <c r="D9" s="30" t="s">
        <v>844</v>
      </c>
      <c r="F9" s="101"/>
      <c r="M9" s="101"/>
      <c r="N9" s="102"/>
    </row>
    <row r="10" spans="2:20" s="30" customFormat="1" ht="24" customHeight="1" x14ac:dyDescent="0.25">
      <c r="B10" s="658" t="s">
        <v>67</v>
      </c>
      <c r="C10" s="658"/>
      <c r="D10" s="658"/>
      <c r="E10" s="658"/>
      <c r="F10" s="658"/>
      <c r="G10" s="658"/>
      <c r="H10" s="325"/>
      <c r="I10" s="325"/>
      <c r="J10" s="325" t="s">
        <v>68</v>
      </c>
      <c r="K10" s="325" t="s">
        <v>45</v>
      </c>
      <c r="L10" s="362" t="s">
        <v>841</v>
      </c>
      <c r="M10" s="362" t="s">
        <v>105</v>
      </c>
    </row>
    <row r="11" spans="2:20" s="30" customFormat="1" ht="24.95" customHeight="1" x14ac:dyDescent="0.25">
      <c r="B11" s="660" t="str">
        <f>'DEMOLIÇÕES - CONCRETO'!D9</f>
        <v>DEMOLIÇÃO DE LAJES, EM CONCRETO ARMADO, DE FORMA MECANIZADA COM MARTELETE, SEM REAPROVEITAMENTO. AF_09/2023 (adaptado conforme Decreto Estadual 9900/2021)</v>
      </c>
      <c r="C11" s="660"/>
      <c r="D11" s="660"/>
      <c r="E11" s="660"/>
      <c r="F11" s="660"/>
      <c r="G11" s="660"/>
      <c r="H11" s="660"/>
      <c r="I11" s="364"/>
      <c r="J11" s="364" t="s">
        <v>92</v>
      </c>
      <c r="K11" s="330">
        <f>'DEMOLIÇÕES - CONCRETO'!M23</f>
        <v>831.35600000000022</v>
      </c>
      <c r="L11" s="377">
        <v>2.5</v>
      </c>
      <c r="M11" s="354">
        <f>+K11*L11</f>
        <v>2078.3900000000003</v>
      </c>
    </row>
    <row r="12" spans="2:20" s="30" customFormat="1" ht="24.95" customHeight="1" x14ac:dyDescent="0.25">
      <c r="B12" s="660" t="str">
        <f>'DEMOLIÇÕES - CONCRETO'!D25</f>
        <v>DEMOLIÇÃO DE PILARES E VIGAS EM CONCRETO ARMADO, DE FORMA MECANIZADA COM MARTELETE, SEM REAPROVEITAMENTO. AF_09/2023 (adaptado conforme Decreto Estadual 9900/2021)</v>
      </c>
      <c r="C12" s="660"/>
      <c r="D12" s="660"/>
      <c r="E12" s="660"/>
      <c r="F12" s="660"/>
      <c r="G12" s="660"/>
      <c r="H12" s="660"/>
      <c r="I12" s="364"/>
      <c r="J12" s="364" t="s">
        <v>92</v>
      </c>
      <c r="K12" s="330">
        <f>+'DEMOLIÇÕES - CONCRETO'!M34</f>
        <v>152.80632599999998</v>
      </c>
      <c r="L12" s="377">
        <v>2.5</v>
      </c>
      <c r="M12" s="354">
        <f t="shared" ref="M12:M13" si="0">+K12*L12</f>
        <v>382.01581499999998</v>
      </c>
    </row>
    <row r="13" spans="2:20" s="30" customFormat="1" ht="24.95" customHeight="1" thickBot="1" x14ac:dyDescent="0.3">
      <c r="B13" s="661" t="str">
        <f>+'DEMOLIÇÕES - CONCRETO'!D40</f>
        <v>DEMOLIÇÃO MECÂNICA DE CONCRETO ARMADO COM ESCAVADEIRA HIDRÁULICA (adaptado conforme Decreto Estadual 9900/2021)</v>
      </c>
      <c r="C13" s="661"/>
      <c r="D13" s="661"/>
      <c r="E13" s="661"/>
      <c r="F13" s="661"/>
      <c r="G13" s="661"/>
      <c r="H13" s="661"/>
      <c r="I13" s="372"/>
      <c r="J13" s="372" t="s">
        <v>92</v>
      </c>
      <c r="K13" s="342">
        <f>+'DEMOLIÇÕES - CONCRETO'!M56</f>
        <v>911.277604</v>
      </c>
      <c r="L13" s="378">
        <v>2.5</v>
      </c>
      <c r="M13" s="355">
        <f t="shared" si="0"/>
        <v>2278.1940100000002</v>
      </c>
    </row>
    <row r="14" spans="2:20" s="30" customFormat="1" ht="20.100000000000001" customHeight="1" x14ac:dyDescent="0.25">
      <c r="E14" s="101"/>
      <c r="F14" s="101"/>
      <c r="I14" s="131"/>
      <c r="J14" s="131" t="s">
        <v>34</v>
      </c>
      <c r="K14" s="350"/>
      <c r="M14" s="350">
        <f>SUM(M11:M13)</f>
        <v>4738.5998250000002</v>
      </c>
      <c r="N14" s="119" t="s">
        <v>842</v>
      </c>
      <c r="P14" s="376"/>
    </row>
    <row r="15" spans="2:20" ht="20.100000000000001" customHeight="1" x14ac:dyDescent="0.25"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N15" s="76"/>
    </row>
  </sheetData>
  <mergeCells count="7">
    <mergeCell ref="B13:H13"/>
    <mergeCell ref="B15:K15"/>
    <mergeCell ref="B1:O2"/>
    <mergeCell ref="B8:K8"/>
    <mergeCell ref="B10:G10"/>
    <mergeCell ref="B11:H11"/>
    <mergeCell ref="B12:H12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92" orientation="landscape" r:id="rId1"/>
  <headerFooter>
    <oddHeader>&amp;L&amp;G</oddHeader>
    <oddFooter>&amp;L&amp;"Arial Narrow,Normal"&amp;10&amp;A
&amp;F&amp;R&amp;"Arial Narrow,Normal"&amp;10&amp;P de &amp;N</oddFooter>
  </headerFooter>
  <colBreaks count="1" manualBreakCount="1">
    <brk id="16" max="1048575" man="1"/>
  </col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B5D1-F1E2-4591-815E-C8849BAFF35F}">
  <dimension ref="B1:U27"/>
  <sheetViews>
    <sheetView showGridLines="0" showZeros="0" view="pageBreakPreview" zoomScaleNormal="100" zoomScaleSheetLayoutView="100" workbookViewId="0">
      <selection activeCell="X15" sqref="X15"/>
    </sheetView>
  </sheetViews>
  <sheetFormatPr defaultColWidth="9.140625" defaultRowHeight="13.5" x14ac:dyDescent="0.25"/>
  <cols>
    <col min="1" max="1" width="1.7109375" style="75" customWidth="1"/>
    <col min="2" max="2" width="9.140625" style="75" customWidth="1"/>
    <col min="3" max="3" width="11" style="75" customWidth="1"/>
    <col min="4" max="4" width="9.7109375" style="75" bestFit="1" customWidth="1"/>
    <col min="5" max="14" width="10.7109375" style="75" customWidth="1"/>
    <col min="15" max="15" width="10.7109375" style="77" customWidth="1"/>
    <col min="16" max="16" width="1.7109375" style="75" customWidth="1"/>
    <col min="17" max="17" width="9.140625" style="75" customWidth="1"/>
    <col min="18" max="16384" width="9.140625" style="75"/>
  </cols>
  <sheetData>
    <row r="1" spans="2:21" s="65" customFormat="1" ht="20.100000000000001" customHeight="1" x14ac:dyDescent="0.25"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2:21" s="65" customFormat="1" ht="20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2:21" s="65" customFormat="1" ht="20.100000000000001" customHeight="1" x14ac:dyDescent="0.25"/>
    <row r="4" spans="2:21" s="5" customFormat="1" ht="20.100000000000001" customHeight="1" x14ac:dyDescent="0.25">
      <c r="B4" s="1"/>
      <c r="C4" s="2"/>
      <c r="E4" s="2"/>
      <c r="F4" s="2"/>
      <c r="G4" s="2"/>
      <c r="H4" s="2"/>
      <c r="I4" s="2"/>
      <c r="J4" s="2"/>
      <c r="K4" s="2"/>
      <c r="L4" s="2"/>
      <c r="N4" s="3"/>
      <c r="O4" s="4"/>
      <c r="R4" s="31"/>
      <c r="S4" s="31"/>
      <c r="T4" s="32"/>
      <c r="U4" s="32"/>
    </row>
    <row r="5" spans="2:21" s="5" customFormat="1" ht="20.100000000000001" customHeight="1" x14ac:dyDescent="0.25">
      <c r="B5" s="1"/>
      <c r="C5" s="2"/>
      <c r="N5" s="3"/>
      <c r="O5" s="4"/>
    </row>
    <row r="6" spans="2:21" s="5" customFormat="1" ht="20.100000000000001" customHeight="1" x14ac:dyDescent="0.25"/>
    <row r="7" spans="2:21" s="5" customFormat="1" ht="20.100000000000001" customHeight="1" x14ac:dyDescent="0.25">
      <c r="B7" s="1"/>
      <c r="C7" s="38"/>
      <c r="N7" s="3"/>
      <c r="O7" s="62"/>
    </row>
    <row r="8" spans="2:21" s="63" customFormat="1" ht="20.100000000000001" customHeight="1" x14ac:dyDescent="0.25">
      <c r="B8" s="50"/>
      <c r="C8" s="51"/>
      <c r="D8" s="9"/>
      <c r="E8" s="9"/>
      <c r="F8" s="9"/>
      <c r="G8" s="10"/>
      <c r="H8" s="10"/>
      <c r="I8" s="10"/>
      <c r="J8" s="10"/>
      <c r="K8" s="9"/>
      <c r="M8" s="10"/>
      <c r="N8" s="10"/>
    </row>
    <row r="9" spans="2:21" ht="20.100000000000001" customHeight="1" x14ac:dyDescent="0.25">
      <c r="B9" s="125"/>
      <c r="C9" s="452" t="s">
        <v>711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76"/>
    </row>
    <row r="10" spans="2:21" ht="20.100000000000001" customHeight="1" x14ac:dyDescent="0.25">
      <c r="B10" s="12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76"/>
    </row>
    <row r="11" spans="2:21" ht="20.100000000000001" customHeight="1" x14ac:dyDescent="0.25">
      <c r="B11" s="125"/>
      <c r="C11" s="125"/>
      <c r="D11" s="128"/>
      <c r="E11" s="127"/>
      <c r="F11" s="125"/>
      <c r="G11" s="125"/>
      <c r="H11" s="125"/>
      <c r="I11" s="125"/>
      <c r="J11" s="125"/>
      <c r="K11" s="125"/>
      <c r="L11" s="128"/>
      <c r="M11" s="127"/>
      <c r="N11" s="125"/>
      <c r="O11" s="76"/>
    </row>
    <row r="12" spans="2:21" ht="20.100000000000001" customHeight="1" x14ac:dyDescent="0.25">
      <c r="B12" s="125"/>
      <c r="C12" s="125"/>
      <c r="D12" s="128"/>
      <c r="E12" s="127"/>
      <c r="F12" s="125"/>
      <c r="G12" s="125"/>
      <c r="H12" s="125"/>
      <c r="I12" s="125"/>
      <c r="J12" s="125"/>
      <c r="K12" s="125"/>
      <c r="L12" s="128"/>
      <c r="M12" s="127"/>
      <c r="N12" s="125"/>
      <c r="O12" s="76"/>
    </row>
    <row r="13" spans="2:21" ht="20.100000000000001" customHeight="1" x14ac:dyDescent="0.25">
      <c r="B13" s="125"/>
      <c r="C13" s="125"/>
      <c r="D13" s="128"/>
      <c r="E13" s="127"/>
      <c r="F13" s="125"/>
      <c r="G13" s="125"/>
      <c r="H13" s="125"/>
      <c r="I13" s="125"/>
      <c r="J13" s="125"/>
      <c r="K13" s="125"/>
      <c r="L13" s="128"/>
      <c r="M13" s="127"/>
      <c r="N13" s="125"/>
      <c r="O13" s="76"/>
    </row>
    <row r="14" spans="2:21" ht="20.100000000000001" customHeight="1" x14ac:dyDescent="0.25">
      <c r="B14" s="125"/>
      <c r="C14" s="125"/>
      <c r="D14" s="128"/>
      <c r="E14" s="127"/>
      <c r="F14" s="125"/>
      <c r="G14" s="125"/>
      <c r="H14" s="125"/>
      <c r="I14" s="125"/>
      <c r="J14" s="125"/>
      <c r="K14" s="125"/>
      <c r="L14" s="128"/>
      <c r="M14" s="127"/>
      <c r="N14" s="125"/>
      <c r="O14" s="76"/>
    </row>
    <row r="15" spans="2:21" ht="20.100000000000001" customHeight="1" x14ac:dyDescent="0.25">
      <c r="B15" s="125"/>
      <c r="C15" s="120"/>
      <c r="D15" s="129"/>
      <c r="E15" s="130"/>
      <c r="F15" s="120"/>
      <c r="G15" s="125"/>
      <c r="H15" s="125"/>
      <c r="I15" s="125"/>
      <c r="J15" s="125"/>
      <c r="K15" s="120"/>
      <c r="L15" s="129"/>
      <c r="M15" s="130"/>
      <c r="N15" s="120"/>
      <c r="O15" s="76"/>
    </row>
    <row r="16" spans="2:21" s="63" customFormat="1" ht="20.100000000000001" customHeight="1" x14ac:dyDescent="0.25">
      <c r="B16" s="50"/>
      <c r="C16" s="51"/>
      <c r="D16" s="9"/>
      <c r="E16" s="9"/>
      <c r="F16" s="9"/>
      <c r="G16" s="10"/>
      <c r="H16" s="10"/>
      <c r="I16" s="10"/>
      <c r="J16" s="10"/>
      <c r="K16" s="9"/>
      <c r="M16" s="10"/>
      <c r="N16" s="10"/>
    </row>
    <row r="17" spans="2:15" ht="20.100000000000001" customHeight="1" x14ac:dyDescent="0.25">
      <c r="B17" s="125"/>
      <c r="C17" s="126"/>
      <c r="D17" s="125"/>
      <c r="E17" s="125"/>
      <c r="F17" s="125"/>
      <c r="G17" s="125"/>
      <c r="H17" s="125"/>
      <c r="I17" s="125"/>
      <c r="J17" s="125"/>
      <c r="K17" s="100"/>
      <c r="L17" s="125"/>
      <c r="M17" s="125"/>
      <c r="N17" s="125"/>
      <c r="O17" s="76"/>
    </row>
    <row r="18" spans="2:15" ht="20.100000000000001" customHeight="1" x14ac:dyDescent="0.25">
      <c r="B18" s="125"/>
      <c r="C18" s="125"/>
      <c r="D18" s="128"/>
      <c r="E18" s="127"/>
      <c r="F18" s="125"/>
      <c r="G18" s="125"/>
      <c r="H18" s="125"/>
      <c r="I18" s="125"/>
      <c r="J18" s="125"/>
      <c r="K18" s="125"/>
      <c r="L18" s="128"/>
      <c r="M18" s="127"/>
      <c r="N18" s="125"/>
      <c r="O18" s="76"/>
    </row>
    <row r="19" spans="2:15" ht="20.100000000000001" customHeight="1" x14ac:dyDescent="0.25">
      <c r="B19" s="125"/>
      <c r="C19" s="125"/>
      <c r="D19" s="128"/>
      <c r="E19" s="127"/>
      <c r="F19" s="125"/>
      <c r="G19" s="125"/>
      <c r="H19" s="125"/>
      <c r="I19" s="125"/>
      <c r="J19" s="125"/>
      <c r="K19" s="125"/>
      <c r="L19" s="128"/>
      <c r="M19" s="127"/>
      <c r="N19" s="125"/>
      <c r="O19" s="76"/>
    </row>
    <row r="20" spans="2:15" ht="20.100000000000001" customHeight="1" x14ac:dyDescent="0.25">
      <c r="B20" s="125"/>
      <c r="C20" s="125"/>
      <c r="D20" s="128"/>
      <c r="E20" s="127"/>
      <c r="F20" s="125"/>
      <c r="G20" s="125"/>
      <c r="H20" s="125"/>
      <c r="I20" s="125"/>
      <c r="J20" s="125"/>
      <c r="K20" s="125"/>
      <c r="L20" s="128"/>
      <c r="M20" s="127"/>
      <c r="N20" s="125"/>
      <c r="O20" s="76"/>
    </row>
    <row r="21" spans="2:15" ht="20.100000000000001" customHeight="1" x14ac:dyDescent="0.25">
      <c r="B21" s="125"/>
      <c r="C21" s="125"/>
      <c r="D21" s="128"/>
      <c r="E21" s="127"/>
      <c r="F21" s="125"/>
      <c r="G21" s="125"/>
      <c r="H21" s="125"/>
      <c r="I21" s="125"/>
      <c r="J21" s="125"/>
      <c r="K21" s="125"/>
      <c r="L21" s="128"/>
      <c r="M21" s="127"/>
      <c r="N21" s="125"/>
      <c r="O21" s="76"/>
    </row>
    <row r="22" spans="2:15" ht="20.100000000000001" customHeight="1" x14ac:dyDescent="0.25">
      <c r="B22" s="125"/>
      <c r="C22" s="125"/>
      <c r="D22" s="128"/>
      <c r="E22" s="127"/>
      <c r="F22" s="125"/>
      <c r="G22" s="125"/>
      <c r="H22" s="125"/>
      <c r="I22" s="125"/>
      <c r="J22" s="125"/>
      <c r="K22" s="125"/>
      <c r="L22" s="128"/>
      <c r="M22" s="127"/>
      <c r="N22" s="125"/>
      <c r="O22" s="76"/>
    </row>
    <row r="23" spans="2:15" ht="20.100000000000001" customHeight="1" x14ac:dyDescent="0.25">
      <c r="B23" s="125"/>
      <c r="C23" s="120"/>
      <c r="D23" s="129"/>
      <c r="E23" s="130"/>
      <c r="F23" s="120"/>
      <c r="G23" s="125"/>
      <c r="H23" s="125"/>
      <c r="I23" s="125"/>
      <c r="J23" s="125"/>
      <c r="K23" s="120"/>
      <c r="L23" s="129"/>
      <c r="M23" s="130"/>
      <c r="N23" s="120"/>
      <c r="O23" s="76"/>
    </row>
    <row r="24" spans="2:15" s="63" customFormat="1" ht="20.100000000000001" customHeight="1" x14ac:dyDescent="0.25">
      <c r="B24" s="50"/>
      <c r="C24" s="51"/>
      <c r="D24" s="9"/>
      <c r="E24" s="9"/>
      <c r="F24" s="9"/>
      <c r="G24" s="10"/>
      <c r="H24" s="10"/>
      <c r="I24" s="10"/>
      <c r="J24" s="10"/>
      <c r="K24" s="9"/>
      <c r="M24" s="10"/>
      <c r="N24" s="10"/>
    </row>
    <row r="25" spans="2:15" ht="20.100000000000001" customHeight="1" x14ac:dyDescent="0.25">
      <c r="B25" s="125"/>
      <c r="C25" s="126"/>
      <c r="D25" s="125"/>
      <c r="E25" s="125"/>
      <c r="F25" s="125"/>
      <c r="G25" s="125"/>
      <c r="H25" s="125"/>
      <c r="I25" s="125"/>
      <c r="J25" s="125"/>
      <c r="K25" s="100"/>
      <c r="L25" s="125"/>
      <c r="M25" s="125"/>
      <c r="N25" s="125"/>
      <c r="O25" s="76"/>
    </row>
    <row r="26" spans="2:15" ht="20.100000000000001" customHeight="1" x14ac:dyDescent="0.25">
      <c r="B26" s="125"/>
      <c r="C26" s="125"/>
      <c r="D26" s="128"/>
      <c r="E26" s="127"/>
      <c r="F26" s="125"/>
      <c r="G26" s="125"/>
      <c r="H26" s="125"/>
      <c r="I26" s="125"/>
      <c r="J26" s="125"/>
      <c r="K26" s="125"/>
      <c r="L26" s="128"/>
      <c r="M26" s="127"/>
      <c r="N26" s="125"/>
      <c r="O26" s="76"/>
    </row>
    <row r="27" spans="2:15" ht="20.100000000000001" customHeight="1" x14ac:dyDescent="0.25">
      <c r="B27" s="125"/>
      <c r="C27" s="120"/>
      <c r="D27" s="129"/>
      <c r="E27" s="130"/>
      <c r="F27" s="120"/>
      <c r="G27" s="125"/>
      <c r="H27" s="125"/>
      <c r="I27" s="125"/>
      <c r="J27" s="125"/>
      <c r="K27" s="120"/>
      <c r="L27" s="129"/>
      <c r="M27" s="130"/>
      <c r="N27" s="120"/>
      <c r="O27" s="76"/>
    </row>
  </sheetData>
  <mergeCells count="2">
    <mergeCell ref="B1:P2"/>
    <mergeCell ref="C9:N10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89" orientation="landscape" r:id="rId1"/>
  <headerFooter>
    <oddHeader>&amp;L&amp;G</oddHeader>
    <oddFooter xml:space="preserve">&amp;L&amp;"Arial Narrow,Normal"&amp;10&amp;A
&amp;F&amp;R&amp;"Arial Narrow,Normal"&amp;10 190 de 191
</oddFooter>
  </headerFooter>
  <colBreaks count="1" manualBreakCount="1">
    <brk id="17" max="1048575" man="1"/>
  </col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B6F9-ABF7-45C8-9B92-E3D60D153E3D}">
  <dimension ref="A1:AC72"/>
  <sheetViews>
    <sheetView showGridLines="0" showZeros="0" view="pageBreakPreview" zoomScale="85" zoomScaleNormal="100" zoomScaleSheetLayoutView="85" workbookViewId="0">
      <selection activeCell="D27" sqref="D27"/>
    </sheetView>
  </sheetViews>
  <sheetFormatPr defaultColWidth="0" defaultRowHeight="12.75" customHeight="1" zeroHeight="1" x14ac:dyDescent="0.25"/>
  <cols>
    <col min="1" max="1" width="0.85546875" style="82" customWidth="1"/>
    <col min="2" max="2" width="9.85546875" style="82" customWidth="1"/>
    <col min="3" max="3" width="40.140625" style="82" customWidth="1"/>
    <col min="4" max="4" width="10.5703125" style="293" customWidth="1"/>
    <col min="5" max="5" width="10.7109375" style="82" customWidth="1"/>
    <col min="6" max="7" width="13.140625" style="82" customWidth="1"/>
    <col min="8" max="8" width="10.7109375" style="82" customWidth="1"/>
    <col min="9" max="9" width="12" style="82" customWidth="1"/>
    <col min="10" max="10" width="12.42578125" style="82" customWidth="1"/>
    <col min="11" max="11" width="10.7109375" style="82" customWidth="1"/>
    <col min="12" max="12" width="11.28515625" style="82" bestFit="1" customWidth="1"/>
    <col min="13" max="13" width="11.42578125" style="82" customWidth="1"/>
    <col min="14" max="14" width="10.7109375" style="82" customWidth="1"/>
    <col min="15" max="15" width="11.28515625" style="82" customWidth="1"/>
    <col min="16" max="17" width="12.5703125" style="82" customWidth="1"/>
    <col min="18" max="18" width="0.85546875" style="82" customWidth="1"/>
    <col min="19" max="256" width="9.140625" style="82" customWidth="1"/>
    <col min="257" max="257" width="0.85546875" style="82" customWidth="1"/>
    <col min="258" max="258" width="9.85546875" style="82" customWidth="1"/>
    <col min="259" max="259" width="40.140625" style="82" customWidth="1"/>
    <col min="260" max="260" width="10.5703125" style="82" customWidth="1"/>
    <col min="261" max="261" width="10.7109375" style="82" customWidth="1"/>
    <col min="262" max="263" width="13.140625" style="82" customWidth="1"/>
    <col min="264" max="264" width="10.7109375" style="82" customWidth="1"/>
    <col min="265" max="265" width="12" style="82" customWidth="1"/>
    <col min="266" max="266" width="12.42578125" style="82" customWidth="1"/>
    <col min="267" max="267" width="10.7109375" style="82" customWidth="1"/>
    <col min="268" max="268" width="11.28515625" style="82" bestFit="1" customWidth="1"/>
    <col min="269" max="269" width="11.42578125" style="82" customWidth="1"/>
    <col min="270" max="270" width="10.7109375" style="82" customWidth="1"/>
    <col min="271" max="271" width="11.28515625" style="82" customWidth="1"/>
    <col min="272" max="273" width="12.5703125" style="82" customWidth="1"/>
    <col min="274" max="274" width="0.85546875" style="82" customWidth="1"/>
    <col min="275" max="512" width="0" style="82" hidden="1"/>
    <col min="513" max="513" width="0.85546875" style="82" customWidth="1"/>
    <col min="514" max="514" width="9.85546875" style="82" customWidth="1"/>
    <col min="515" max="515" width="40.140625" style="82" customWidth="1"/>
    <col min="516" max="516" width="10.5703125" style="82" customWidth="1"/>
    <col min="517" max="517" width="10.7109375" style="82" customWidth="1"/>
    <col min="518" max="519" width="13.140625" style="82" customWidth="1"/>
    <col min="520" max="520" width="10.7109375" style="82" customWidth="1"/>
    <col min="521" max="521" width="12" style="82" customWidth="1"/>
    <col min="522" max="522" width="12.42578125" style="82" customWidth="1"/>
    <col min="523" max="523" width="10.7109375" style="82" customWidth="1"/>
    <col min="524" max="524" width="11.28515625" style="82" bestFit="1" customWidth="1"/>
    <col min="525" max="525" width="11.42578125" style="82" customWidth="1"/>
    <col min="526" max="526" width="10.7109375" style="82" customWidth="1"/>
    <col min="527" max="527" width="11.28515625" style="82" customWidth="1"/>
    <col min="528" max="529" width="12.5703125" style="82" customWidth="1"/>
    <col min="530" max="530" width="0.85546875" style="82" customWidth="1"/>
    <col min="531" max="768" width="0" style="82" hidden="1"/>
    <col min="769" max="769" width="0.85546875" style="82" customWidth="1"/>
    <col min="770" max="770" width="9.85546875" style="82" customWidth="1"/>
    <col min="771" max="771" width="40.140625" style="82" customWidth="1"/>
    <col min="772" max="772" width="10.5703125" style="82" customWidth="1"/>
    <col min="773" max="773" width="10.7109375" style="82" customWidth="1"/>
    <col min="774" max="775" width="13.140625" style="82" customWidth="1"/>
    <col min="776" max="776" width="10.7109375" style="82" customWidth="1"/>
    <col min="777" max="777" width="12" style="82" customWidth="1"/>
    <col min="778" max="778" width="12.42578125" style="82" customWidth="1"/>
    <col min="779" max="779" width="10.7109375" style="82" customWidth="1"/>
    <col min="780" max="780" width="11.28515625" style="82" bestFit="1" customWidth="1"/>
    <col min="781" max="781" width="11.42578125" style="82" customWidth="1"/>
    <col min="782" max="782" width="10.7109375" style="82" customWidth="1"/>
    <col min="783" max="783" width="11.28515625" style="82" customWidth="1"/>
    <col min="784" max="785" width="12.5703125" style="82" customWidth="1"/>
    <col min="786" max="786" width="0.85546875" style="82" customWidth="1"/>
    <col min="787" max="1024" width="0" style="82" hidden="1"/>
    <col min="1025" max="1025" width="0.85546875" style="82" customWidth="1"/>
    <col min="1026" max="1026" width="9.85546875" style="82" customWidth="1"/>
    <col min="1027" max="1027" width="40.140625" style="82" customWidth="1"/>
    <col min="1028" max="1028" width="10.5703125" style="82" customWidth="1"/>
    <col min="1029" max="1029" width="10.7109375" style="82" customWidth="1"/>
    <col min="1030" max="1031" width="13.140625" style="82" customWidth="1"/>
    <col min="1032" max="1032" width="10.7109375" style="82" customWidth="1"/>
    <col min="1033" max="1033" width="12" style="82" customWidth="1"/>
    <col min="1034" max="1034" width="12.42578125" style="82" customWidth="1"/>
    <col min="1035" max="1035" width="10.7109375" style="82" customWidth="1"/>
    <col min="1036" max="1036" width="11.28515625" style="82" bestFit="1" customWidth="1"/>
    <col min="1037" max="1037" width="11.42578125" style="82" customWidth="1"/>
    <col min="1038" max="1038" width="10.7109375" style="82" customWidth="1"/>
    <col min="1039" max="1039" width="11.28515625" style="82" customWidth="1"/>
    <col min="1040" max="1041" width="12.5703125" style="82" customWidth="1"/>
    <col min="1042" max="1042" width="0.85546875" style="82" customWidth="1"/>
    <col min="1043" max="1280" width="0" style="82" hidden="1"/>
    <col min="1281" max="1281" width="0.85546875" style="82" customWidth="1"/>
    <col min="1282" max="1282" width="9.85546875" style="82" customWidth="1"/>
    <col min="1283" max="1283" width="40.140625" style="82" customWidth="1"/>
    <col min="1284" max="1284" width="10.5703125" style="82" customWidth="1"/>
    <col min="1285" max="1285" width="10.7109375" style="82" customWidth="1"/>
    <col min="1286" max="1287" width="13.140625" style="82" customWidth="1"/>
    <col min="1288" max="1288" width="10.7109375" style="82" customWidth="1"/>
    <col min="1289" max="1289" width="12" style="82" customWidth="1"/>
    <col min="1290" max="1290" width="12.42578125" style="82" customWidth="1"/>
    <col min="1291" max="1291" width="10.7109375" style="82" customWidth="1"/>
    <col min="1292" max="1292" width="11.28515625" style="82" bestFit="1" customWidth="1"/>
    <col min="1293" max="1293" width="11.42578125" style="82" customWidth="1"/>
    <col min="1294" max="1294" width="10.7109375" style="82" customWidth="1"/>
    <col min="1295" max="1295" width="11.28515625" style="82" customWidth="1"/>
    <col min="1296" max="1297" width="12.5703125" style="82" customWidth="1"/>
    <col min="1298" max="1298" width="0.85546875" style="82" customWidth="1"/>
    <col min="1299" max="1536" width="0" style="82" hidden="1"/>
    <col min="1537" max="1537" width="0.85546875" style="82" customWidth="1"/>
    <col min="1538" max="1538" width="9.85546875" style="82" customWidth="1"/>
    <col min="1539" max="1539" width="40.140625" style="82" customWidth="1"/>
    <col min="1540" max="1540" width="10.5703125" style="82" customWidth="1"/>
    <col min="1541" max="1541" width="10.7109375" style="82" customWidth="1"/>
    <col min="1542" max="1543" width="13.140625" style="82" customWidth="1"/>
    <col min="1544" max="1544" width="10.7109375" style="82" customWidth="1"/>
    <col min="1545" max="1545" width="12" style="82" customWidth="1"/>
    <col min="1546" max="1546" width="12.42578125" style="82" customWidth="1"/>
    <col min="1547" max="1547" width="10.7109375" style="82" customWidth="1"/>
    <col min="1548" max="1548" width="11.28515625" style="82" bestFit="1" customWidth="1"/>
    <col min="1549" max="1549" width="11.42578125" style="82" customWidth="1"/>
    <col min="1550" max="1550" width="10.7109375" style="82" customWidth="1"/>
    <col min="1551" max="1551" width="11.28515625" style="82" customWidth="1"/>
    <col min="1552" max="1553" width="12.5703125" style="82" customWidth="1"/>
    <col min="1554" max="1554" width="0.85546875" style="82" customWidth="1"/>
    <col min="1555" max="1792" width="0" style="82" hidden="1"/>
    <col min="1793" max="1793" width="0.85546875" style="82" customWidth="1"/>
    <col min="1794" max="1794" width="9.85546875" style="82" customWidth="1"/>
    <col min="1795" max="1795" width="40.140625" style="82" customWidth="1"/>
    <col min="1796" max="1796" width="10.5703125" style="82" customWidth="1"/>
    <col min="1797" max="1797" width="10.7109375" style="82" customWidth="1"/>
    <col min="1798" max="1799" width="13.140625" style="82" customWidth="1"/>
    <col min="1800" max="1800" width="10.7109375" style="82" customWidth="1"/>
    <col min="1801" max="1801" width="12" style="82" customWidth="1"/>
    <col min="1802" max="1802" width="12.42578125" style="82" customWidth="1"/>
    <col min="1803" max="1803" width="10.7109375" style="82" customWidth="1"/>
    <col min="1804" max="1804" width="11.28515625" style="82" bestFit="1" customWidth="1"/>
    <col min="1805" max="1805" width="11.42578125" style="82" customWidth="1"/>
    <col min="1806" max="1806" width="10.7109375" style="82" customWidth="1"/>
    <col min="1807" max="1807" width="11.28515625" style="82" customWidth="1"/>
    <col min="1808" max="1809" width="12.5703125" style="82" customWidth="1"/>
    <col min="1810" max="1810" width="0.85546875" style="82" customWidth="1"/>
    <col min="1811" max="2048" width="0" style="82" hidden="1"/>
    <col min="2049" max="2049" width="0.85546875" style="82" customWidth="1"/>
    <col min="2050" max="2050" width="9.85546875" style="82" customWidth="1"/>
    <col min="2051" max="2051" width="40.140625" style="82" customWidth="1"/>
    <col min="2052" max="2052" width="10.5703125" style="82" customWidth="1"/>
    <col min="2053" max="2053" width="10.7109375" style="82" customWidth="1"/>
    <col min="2054" max="2055" width="13.140625" style="82" customWidth="1"/>
    <col min="2056" max="2056" width="10.7109375" style="82" customWidth="1"/>
    <col min="2057" max="2057" width="12" style="82" customWidth="1"/>
    <col min="2058" max="2058" width="12.42578125" style="82" customWidth="1"/>
    <col min="2059" max="2059" width="10.7109375" style="82" customWidth="1"/>
    <col min="2060" max="2060" width="11.28515625" style="82" bestFit="1" customWidth="1"/>
    <col min="2061" max="2061" width="11.42578125" style="82" customWidth="1"/>
    <col min="2062" max="2062" width="10.7109375" style="82" customWidth="1"/>
    <col min="2063" max="2063" width="11.28515625" style="82" customWidth="1"/>
    <col min="2064" max="2065" width="12.5703125" style="82" customWidth="1"/>
    <col min="2066" max="2066" width="0.85546875" style="82" customWidth="1"/>
    <col min="2067" max="2304" width="0" style="82" hidden="1"/>
    <col min="2305" max="2305" width="0.85546875" style="82" customWidth="1"/>
    <col min="2306" max="2306" width="9.85546875" style="82" customWidth="1"/>
    <col min="2307" max="2307" width="40.140625" style="82" customWidth="1"/>
    <col min="2308" max="2308" width="10.5703125" style="82" customWidth="1"/>
    <col min="2309" max="2309" width="10.7109375" style="82" customWidth="1"/>
    <col min="2310" max="2311" width="13.140625" style="82" customWidth="1"/>
    <col min="2312" max="2312" width="10.7109375" style="82" customWidth="1"/>
    <col min="2313" max="2313" width="12" style="82" customWidth="1"/>
    <col min="2314" max="2314" width="12.42578125" style="82" customWidth="1"/>
    <col min="2315" max="2315" width="10.7109375" style="82" customWidth="1"/>
    <col min="2316" max="2316" width="11.28515625" style="82" bestFit="1" customWidth="1"/>
    <col min="2317" max="2317" width="11.42578125" style="82" customWidth="1"/>
    <col min="2318" max="2318" width="10.7109375" style="82" customWidth="1"/>
    <col min="2319" max="2319" width="11.28515625" style="82" customWidth="1"/>
    <col min="2320" max="2321" width="12.5703125" style="82" customWidth="1"/>
    <col min="2322" max="2322" width="0.85546875" style="82" customWidth="1"/>
    <col min="2323" max="2560" width="0" style="82" hidden="1"/>
    <col min="2561" max="2561" width="0.85546875" style="82" customWidth="1"/>
    <col min="2562" max="2562" width="9.85546875" style="82" customWidth="1"/>
    <col min="2563" max="2563" width="40.140625" style="82" customWidth="1"/>
    <col min="2564" max="2564" width="10.5703125" style="82" customWidth="1"/>
    <col min="2565" max="2565" width="10.7109375" style="82" customWidth="1"/>
    <col min="2566" max="2567" width="13.140625" style="82" customWidth="1"/>
    <col min="2568" max="2568" width="10.7109375" style="82" customWidth="1"/>
    <col min="2569" max="2569" width="12" style="82" customWidth="1"/>
    <col min="2570" max="2570" width="12.42578125" style="82" customWidth="1"/>
    <col min="2571" max="2571" width="10.7109375" style="82" customWidth="1"/>
    <col min="2572" max="2572" width="11.28515625" style="82" bestFit="1" customWidth="1"/>
    <col min="2573" max="2573" width="11.42578125" style="82" customWidth="1"/>
    <col min="2574" max="2574" width="10.7109375" style="82" customWidth="1"/>
    <col min="2575" max="2575" width="11.28515625" style="82" customWidth="1"/>
    <col min="2576" max="2577" width="12.5703125" style="82" customWidth="1"/>
    <col min="2578" max="2578" width="0.85546875" style="82" customWidth="1"/>
    <col min="2579" max="2816" width="0" style="82" hidden="1"/>
    <col min="2817" max="2817" width="0.85546875" style="82" customWidth="1"/>
    <col min="2818" max="2818" width="9.85546875" style="82" customWidth="1"/>
    <col min="2819" max="2819" width="40.140625" style="82" customWidth="1"/>
    <col min="2820" max="2820" width="10.5703125" style="82" customWidth="1"/>
    <col min="2821" max="2821" width="10.7109375" style="82" customWidth="1"/>
    <col min="2822" max="2823" width="13.140625" style="82" customWidth="1"/>
    <col min="2824" max="2824" width="10.7109375" style="82" customWidth="1"/>
    <col min="2825" max="2825" width="12" style="82" customWidth="1"/>
    <col min="2826" max="2826" width="12.42578125" style="82" customWidth="1"/>
    <col min="2827" max="2827" width="10.7109375" style="82" customWidth="1"/>
    <col min="2828" max="2828" width="11.28515625" style="82" bestFit="1" customWidth="1"/>
    <col min="2829" max="2829" width="11.42578125" style="82" customWidth="1"/>
    <col min="2830" max="2830" width="10.7109375" style="82" customWidth="1"/>
    <col min="2831" max="2831" width="11.28515625" style="82" customWidth="1"/>
    <col min="2832" max="2833" width="12.5703125" style="82" customWidth="1"/>
    <col min="2834" max="2834" width="0.85546875" style="82" customWidth="1"/>
    <col min="2835" max="3072" width="0" style="82" hidden="1"/>
    <col min="3073" max="3073" width="0.85546875" style="82" customWidth="1"/>
    <col min="3074" max="3074" width="9.85546875" style="82" customWidth="1"/>
    <col min="3075" max="3075" width="40.140625" style="82" customWidth="1"/>
    <col min="3076" max="3076" width="10.5703125" style="82" customWidth="1"/>
    <col min="3077" max="3077" width="10.7109375" style="82" customWidth="1"/>
    <col min="3078" max="3079" width="13.140625" style="82" customWidth="1"/>
    <col min="3080" max="3080" width="10.7109375" style="82" customWidth="1"/>
    <col min="3081" max="3081" width="12" style="82" customWidth="1"/>
    <col min="3082" max="3082" width="12.42578125" style="82" customWidth="1"/>
    <col min="3083" max="3083" width="10.7109375" style="82" customWidth="1"/>
    <col min="3084" max="3084" width="11.28515625" style="82" bestFit="1" customWidth="1"/>
    <col min="3085" max="3085" width="11.42578125" style="82" customWidth="1"/>
    <col min="3086" max="3086" width="10.7109375" style="82" customWidth="1"/>
    <col min="3087" max="3087" width="11.28515625" style="82" customWidth="1"/>
    <col min="3088" max="3089" width="12.5703125" style="82" customWidth="1"/>
    <col min="3090" max="3090" width="0.85546875" style="82" customWidth="1"/>
    <col min="3091" max="3328" width="0" style="82" hidden="1"/>
    <col min="3329" max="3329" width="0.85546875" style="82" customWidth="1"/>
    <col min="3330" max="3330" width="9.85546875" style="82" customWidth="1"/>
    <col min="3331" max="3331" width="40.140625" style="82" customWidth="1"/>
    <col min="3332" max="3332" width="10.5703125" style="82" customWidth="1"/>
    <col min="3333" max="3333" width="10.7109375" style="82" customWidth="1"/>
    <col min="3334" max="3335" width="13.140625" style="82" customWidth="1"/>
    <col min="3336" max="3336" width="10.7109375" style="82" customWidth="1"/>
    <col min="3337" max="3337" width="12" style="82" customWidth="1"/>
    <col min="3338" max="3338" width="12.42578125" style="82" customWidth="1"/>
    <col min="3339" max="3339" width="10.7109375" style="82" customWidth="1"/>
    <col min="3340" max="3340" width="11.28515625" style="82" bestFit="1" customWidth="1"/>
    <col min="3341" max="3341" width="11.42578125" style="82" customWidth="1"/>
    <col min="3342" max="3342" width="10.7109375" style="82" customWidth="1"/>
    <col min="3343" max="3343" width="11.28515625" style="82" customWidth="1"/>
    <col min="3344" max="3345" width="12.5703125" style="82" customWidth="1"/>
    <col min="3346" max="3346" width="0.85546875" style="82" customWidth="1"/>
    <col min="3347" max="3584" width="0" style="82" hidden="1"/>
    <col min="3585" max="3585" width="0.85546875" style="82" customWidth="1"/>
    <col min="3586" max="3586" width="9.85546875" style="82" customWidth="1"/>
    <col min="3587" max="3587" width="40.140625" style="82" customWidth="1"/>
    <col min="3588" max="3588" width="10.5703125" style="82" customWidth="1"/>
    <col min="3589" max="3589" width="10.7109375" style="82" customWidth="1"/>
    <col min="3590" max="3591" width="13.140625" style="82" customWidth="1"/>
    <col min="3592" max="3592" width="10.7109375" style="82" customWidth="1"/>
    <col min="3593" max="3593" width="12" style="82" customWidth="1"/>
    <col min="3594" max="3594" width="12.42578125" style="82" customWidth="1"/>
    <col min="3595" max="3595" width="10.7109375" style="82" customWidth="1"/>
    <col min="3596" max="3596" width="11.28515625" style="82" bestFit="1" customWidth="1"/>
    <col min="3597" max="3597" width="11.42578125" style="82" customWidth="1"/>
    <col min="3598" max="3598" width="10.7109375" style="82" customWidth="1"/>
    <col min="3599" max="3599" width="11.28515625" style="82" customWidth="1"/>
    <col min="3600" max="3601" width="12.5703125" style="82" customWidth="1"/>
    <col min="3602" max="3602" width="0.85546875" style="82" customWidth="1"/>
    <col min="3603" max="3840" width="0" style="82" hidden="1"/>
    <col min="3841" max="3841" width="0.85546875" style="82" customWidth="1"/>
    <col min="3842" max="3842" width="9.85546875" style="82" customWidth="1"/>
    <col min="3843" max="3843" width="40.140625" style="82" customWidth="1"/>
    <col min="3844" max="3844" width="10.5703125" style="82" customWidth="1"/>
    <col min="3845" max="3845" width="10.7109375" style="82" customWidth="1"/>
    <col min="3846" max="3847" width="13.140625" style="82" customWidth="1"/>
    <col min="3848" max="3848" width="10.7109375" style="82" customWidth="1"/>
    <col min="3849" max="3849" width="12" style="82" customWidth="1"/>
    <col min="3850" max="3850" width="12.42578125" style="82" customWidth="1"/>
    <col min="3851" max="3851" width="10.7109375" style="82" customWidth="1"/>
    <col min="3852" max="3852" width="11.28515625" style="82" bestFit="1" customWidth="1"/>
    <col min="3853" max="3853" width="11.42578125" style="82" customWidth="1"/>
    <col min="3854" max="3854" width="10.7109375" style="82" customWidth="1"/>
    <col min="3855" max="3855" width="11.28515625" style="82" customWidth="1"/>
    <col min="3856" max="3857" width="12.5703125" style="82" customWidth="1"/>
    <col min="3858" max="3858" width="0.85546875" style="82" customWidth="1"/>
    <col min="3859" max="4096" width="0" style="82" hidden="1"/>
    <col min="4097" max="4097" width="0.85546875" style="82" customWidth="1"/>
    <col min="4098" max="4098" width="9.85546875" style="82" customWidth="1"/>
    <col min="4099" max="4099" width="40.140625" style="82" customWidth="1"/>
    <col min="4100" max="4100" width="10.5703125" style="82" customWidth="1"/>
    <col min="4101" max="4101" width="10.7109375" style="82" customWidth="1"/>
    <col min="4102" max="4103" width="13.140625" style="82" customWidth="1"/>
    <col min="4104" max="4104" width="10.7109375" style="82" customWidth="1"/>
    <col min="4105" max="4105" width="12" style="82" customWidth="1"/>
    <col min="4106" max="4106" width="12.42578125" style="82" customWidth="1"/>
    <col min="4107" max="4107" width="10.7109375" style="82" customWidth="1"/>
    <col min="4108" max="4108" width="11.28515625" style="82" bestFit="1" customWidth="1"/>
    <col min="4109" max="4109" width="11.42578125" style="82" customWidth="1"/>
    <col min="4110" max="4110" width="10.7109375" style="82" customWidth="1"/>
    <col min="4111" max="4111" width="11.28515625" style="82" customWidth="1"/>
    <col min="4112" max="4113" width="12.5703125" style="82" customWidth="1"/>
    <col min="4114" max="4114" width="0.85546875" style="82" customWidth="1"/>
    <col min="4115" max="4352" width="0" style="82" hidden="1"/>
    <col min="4353" max="4353" width="0.85546875" style="82" customWidth="1"/>
    <col min="4354" max="4354" width="9.85546875" style="82" customWidth="1"/>
    <col min="4355" max="4355" width="40.140625" style="82" customWidth="1"/>
    <col min="4356" max="4356" width="10.5703125" style="82" customWidth="1"/>
    <col min="4357" max="4357" width="10.7109375" style="82" customWidth="1"/>
    <col min="4358" max="4359" width="13.140625" style="82" customWidth="1"/>
    <col min="4360" max="4360" width="10.7109375" style="82" customWidth="1"/>
    <col min="4361" max="4361" width="12" style="82" customWidth="1"/>
    <col min="4362" max="4362" width="12.42578125" style="82" customWidth="1"/>
    <col min="4363" max="4363" width="10.7109375" style="82" customWidth="1"/>
    <col min="4364" max="4364" width="11.28515625" style="82" bestFit="1" customWidth="1"/>
    <col min="4365" max="4365" width="11.42578125" style="82" customWidth="1"/>
    <col min="4366" max="4366" width="10.7109375" style="82" customWidth="1"/>
    <col min="4367" max="4367" width="11.28515625" style="82" customWidth="1"/>
    <col min="4368" max="4369" width="12.5703125" style="82" customWidth="1"/>
    <col min="4370" max="4370" width="0.85546875" style="82" customWidth="1"/>
    <col min="4371" max="4608" width="0" style="82" hidden="1"/>
    <col min="4609" max="4609" width="0.85546875" style="82" customWidth="1"/>
    <col min="4610" max="4610" width="9.85546875" style="82" customWidth="1"/>
    <col min="4611" max="4611" width="40.140625" style="82" customWidth="1"/>
    <col min="4612" max="4612" width="10.5703125" style="82" customWidth="1"/>
    <col min="4613" max="4613" width="10.7109375" style="82" customWidth="1"/>
    <col min="4614" max="4615" width="13.140625" style="82" customWidth="1"/>
    <col min="4616" max="4616" width="10.7109375" style="82" customWidth="1"/>
    <col min="4617" max="4617" width="12" style="82" customWidth="1"/>
    <col min="4618" max="4618" width="12.42578125" style="82" customWidth="1"/>
    <col min="4619" max="4619" width="10.7109375" style="82" customWidth="1"/>
    <col min="4620" max="4620" width="11.28515625" style="82" bestFit="1" customWidth="1"/>
    <col min="4621" max="4621" width="11.42578125" style="82" customWidth="1"/>
    <col min="4622" max="4622" width="10.7109375" style="82" customWidth="1"/>
    <col min="4623" max="4623" width="11.28515625" style="82" customWidth="1"/>
    <col min="4624" max="4625" width="12.5703125" style="82" customWidth="1"/>
    <col min="4626" max="4626" width="0.85546875" style="82" customWidth="1"/>
    <col min="4627" max="4864" width="0" style="82" hidden="1"/>
    <col min="4865" max="4865" width="0.85546875" style="82" customWidth="1"/>
    <col min="4866" max="4866" width="9.85546875" style="82" customWidth="1"/>
    <col min="4867" max="4867" width="40.140625" style="82" customWidth="1"/>
    <col min="4868" max="4868" width="10.5703125" style="82" customWidth="1"/>
    <col min="4869" max="4869" width="10.7109375" style="82" customWidth="1"/>
    <col min="4870" max="4871" width="13.140625" style="82" customWidth="1"/>
    <col min="4872" max="4872" width="10.7109375" style="82" customWidth="1"/>
    <col min="4873" max="4873" width="12" style="82" customWidth="1"/>
    <col min="4874" max="4874" width="12.42578125" style="82" customWidth="1"/>
    <col min="4875" max="4875" width="10.7109375" style="82" customWidth="1"/>
    <col min="4876" max="4876" width="11.28515625" style="82" bestFit="1" customWidth="1"/>
    <col min="4877" max="4877" width="11.42578125" style="82" customWidth="1"/>
    <col min="4878" max="4878" width="10.7109375" style="82" customWidth="1"/>
    <col min="4879" max="4879" width="11.28515625" style="82" customWidth="1"/>
    <col min="4880" max="4881" width="12.5703125" style="82" customWidth="1"/>
    <col min="4882" max="4882" width="0.85546875" style="82" customWidth="1"/>
    <col min="4883" max="5120" width="0" style="82" hidden="1"/>
    <col min="5121" max="5121" width="0.85546875" style="82" customWidth="1"/>
    <col min="5122" max="5122" width="9.85546875" style="82" customWidth="1"/>
    <col min="5123" max="5123" width="40.140625" style="82" customWidth="1"/>
    <col min="5124" max="5124" width="10.5703125" style="82" customWidth="1"/>
    <col min="5125" max="5125" width="10.7109375" style="82" customWidth="1"/>
    <col min="5126" max="5127" width="13.140625" style="82" customWidth="1"/>
    <col min="5128" max="5128" width="10.7109375" style="82" customWidth="1"/>
    <col min="5129" max="5129" width="12" style="82" customWidth="1"/>
    <col min="5130" max="5130" width="12.42578125" style="82" customWidth="1"/>
    <col min="5131" max="5131" width="10.7109375" style="82" customWidth="1"/>
    <col min="5132" max="5132" width="11.28515625" style="82" bestFit="1" customWidth="1"/>
    <col min="5133" max="5133" width="11.42578125" style="82" customWidth="1"/>
    <col min="5134" max="5134" width="10.7109375" style="82" customWidth="1"/>
    <col min="5135" max="5135" width="11.28515625" style="82" customWidth="1"/>
    <col min="5136" max="5137" width="12.5703125" style="82" customWidth="1"/>
    <col min="5138" max="5138" width="0.85546875" style="82" customWidth="1"/>
    <col min="5139" max="5376" width="0" style="82" hidden="1"/>
    <col min="5377" max="5377" width="0.85546875" style="82" customWidth="1"/>
    <col min="5378" max="5378" width="9.85546875" style="82" customWidth="1"/>
    <col min="5379" max="5379" width="40.140625" style="82" customWidth="1"/>
    <col min="5380" max="5380" width="10.5703125" style="82" customWidth="1"/>
    <col min="5381" max="5381" width="10.7109375" style="82" customWidth="1"/>
    <col min="5382" max="5383" width="13.140625" style="82" customWidth="1"/>
    <col min="5384" max="5384" width="10.7109375" style="82" customWidth="1"/>
    <col min="5385" max="5385" width="12" style="82" customWidth="1"/>
    <col min="5386" max="5386" width="12.42578125" style="82" customWidth="1"/>
    <col min="5387" max="5387" width="10.7109375" style="82" customWidth="1"/>
    <col min="5388" max="5388" width="11.28515625" style="82" bestFit="1" customWidth="1"/>
    <col min="5389" max="5389" width="11.42578125" style="82" customWidth="1"/>
    <col min="5390" max="5390" width="10.7109375" style="82" customWidth="1"/>
    <col min="5391" max="5391" width="11.28515625" style="82" customWidth="1"/>
    <col min="5392" max="5393" width="12.5703125" style="82" customWidth="1"/>
    <col min="5394" max="5394" width="0.85546875" style="82" customWidth="1"/>
    <col min="5395" max="5632" width="0" style="82" hidden="1"/>
    <col min="5633" max="5633" width="0.85546875" style="82" customWidth="1"/>
    <col min="5634" max="5634" width="9.85546875" style="82" customWidth="1"/>
    <col min="5635" max="5635" width="40.140625" style="82" customWidth="1"/>
    <col min="5636" max="5636" width="10.5703125" style="82" customWidth="1"/>
    <col min="5637" max="5637" width="10.7109375" style="82" customWidth="1"/>
    <col min="5638" max="5639" width="13.140625" style="82" customWidth="1"/>
    <col min="5640" max="5640" width="10.7109375" style="82" customWidth="1"/>
    <col min="5641" max="5641" width="12" style="82" customWidth="1"/>
    <col min="5642" max="5642" width="12.42578125" style="82" customWidth="1"/>
    <col min="5643" max="5643" width="10.7109375" style="82" customWidth="1"/>
    <col min="5644" max="5644" width="11.28515625" style="82" bestFit="1" customWidth="1"/>
    <col min="5645" max="5645" width="11.42578125" style="82" customWidth="1"/>
    <col min="5646" max="5646" width="10.7109375" style="82" customWidth="1"/>
    <col min="5647" max="5647" width="11.28515625" style="82" customWidth="1"/>
    <col min="5648" max="5649" width="12.5703125" style="82" customWidth="1"/>
    <col min="5650" max="5650" width="0.85546875" style="82" customWidth="1"/>
    <col min="5651" max="5888" width="0" style="82" hidden="1"/>
    <col min="5889" max="5889" width="0.85546875" style="82" customWidth="1"/>
    <col min="5890" max="5890" width="9.85546875" style="82" customWidth="1"/>
    <col min="5891" max="5891" width="40.140625" style="82" customWidth="1"/>
    <col min="5892" max="5892" width="10.5703125" style="82" customWidth="1"/>
    <col min="5893" max="5893" width="10.7109375" style="82" customWidth="1"/>
    <col min="5894" max="5895" width="13.140625" style="82" customWidth="1"/>
    <col min="5896" max="5896" width="10.7109375" style="82" customWidth="1"/>
    <col min="5897" max="5897" width="12" style="82" customWidth="1"/>
    <col min="5898" max="5898" width="12.42578125" style="82" customWidth="1"/>
    <col min="5899" max="5899" width="10.7109375" style="82" customWidth="1"/>
    <col min="5900" max="5900" width="11.28515625" style="82" bestFit="1" customWidth="1"/>
    <col min="5901" max="5901" width="11.42578125" style="82" customWidth="1"/>
    <col min="5902" max="5902" width="10.7109375" style="82" customWidth="1"/>
    <col min="5903" max="5903" width="11.28515625" style="82" customWidth="1"/>
    <col min="5904" max="5905" width="12.5703125" style="82" customWidth="1"/>
    <col min="5906" max="5906" width="0.85546875" style="82" customWidth="1"/>
    <col min="5907" max="6144" width="0" style="82" hidden="1"/>
    <col min="6145" max="6145" width="0.85546875" style="82" customWidth="1"/>
    <col min="6146" max="6146" width="9.85546875" style="82" customWidth="1"/>
    <col min="6147" max="6147" width="40.140625" style="82" customWidth="1"/>
    <col min="6148" max="6148" width="10.5703125" style="82" customWidth="1"/>
    <col min="6149" max="6149" width="10.7109375" style="82" customWidth="1"/>
    <col min="6150" max="6151" width="13.140625" style="82" customWidth="1"/>
    <col min="6152" max="6152" width="10.7109375" style="82" customWidth="1"/>
    <col min="6153" max="6153" width="12" style="82" customWidth="1"/>
    <col min="6154" max="6154" width="12.42578125" style="82" customWidth="1"/>
    <col min="6155" max="6155" width="10.7109375" style="82" customWidth="1"/>
    <col min="6156" max="6156" width="11.28515625" style="82" bestFit="1" customWidth="1"/>
    <col min="6157" max="6157" width="11.42578125" style="82" customWidth="1"/>
    <col min="6158" max="6158" width="10.7109375" style="82" customWidth="1"/>
    <col min="6159" max="6159" width="11.28515625" style="82" customWidth="1"/>
    <col min="6160" max="6161" width="12.5703125" style="82" customWidth="1"/>
    <col min="6162" max="6162" width="0.85546875" style="82" customWidth="1"/>
    <col min="6163" max="6400" width="0" style="82" hidden="1"/>
    <col min="6401" max="6401" width="0.85546875" style="82" customWidth="1"/>
    <col min="6402" max="6402" width="9.85546875" style="82" customWidth="1"/>
    <col min="6403" max="6403" width="40.140625" style="82" customWidth="1"/>
    <col min="6404" max="6404" width="10.5703125" style="82" customWidth="1"/>
    <col min="6405" max="6405" width="10.7109375" style="82" customWidth="1"/>
    <col min="6406" max="6407" width="13.140625" style="82" customWidth="1"/>
    <col min="6408" max="6408" width="10.7109375" style="82" customWidth="1"/>
    <col min="6409" max="6409" width="12" style="82" customWidth="1"/>
    <col min="6410" max="6410" width="12.42578125" style="82" customWidth="1"/>
    <col min="6411" max="6411" width="10.7109375" style="82" customWidth="1"/>
    <col min="6412" max="6412" width="11.28515625" style="82" bestFit="1" customWidth="1"/>
    <col min="6413" max="6413" width="11.42578125" style="82" customWidth="1"/>
    <col min="6414" max="6414" width="10.7109375" style="82" customWidth="1"/>
    <col min="6415" max="6415" width="11.28515625" style="82" customWidth="1"/>
    <col min="6416" max="6417" width="12.5703125" style="82" customWidth="1"/>
    <col min="6418" max="6418" width="0.85546875" style="82" customWidth="1"/>
    <col min="6419" max="6656" width="0" style="82" hidden="1"/>
    <col min="6657" max="6657" width="0.85546875" style="82" customWidth="1"/>
    <col min="6658" max="6658" width="9.85546875" style="82" customWidth="1"/>
    <col min="6659" max="6659" width="40.140625" style="82" customWidth="1"/>
    <col min="6660" max="6660" width="10.5703125" style="82" customWidth="1"/>
    <col min="6661" max="6661" width="10.7109375" style="82" customWidth="1"/>
    <col min="6662" max="6663" width="13.140625" style="82" customWidth="1"/>
    <col min="6664" max="6664" width="10.7109375" style="82" customWidth="1"/>
    <col min="6665" max="6665" width="12" style="82" customWidth="1"/>
    <col min="6666" max="6666" width="12.42578125" style="82" customWidth="1"/>
    <col min="6667" max="6667" width="10.7109375" style="82" customWidth="1"/>
    <col min="6668" max="6668" width="11.28515625" style="82" bestFit="1" customWidth="1"/>
    <col min="6669" max="6669" width="11.42578125" style="82" customWidth="1"/>
    <col min="6670" max="6670" width="10.7109375" style="82" customWidth="1"/>
    <col min="6671" max="6671" width="11.28515625" style="82" customWidth="1"/>
    <col min="6672" max="6673" width="12.5703125" style="82" customWidth="1"/>
    <col min="6674" max="6674" width="0.85546875" style="82" customWidth="1"/>
    <col min="6675" max="6912" width="0" style="82" hidden="1"/>
    <col min="6913" max="6913" width="0.85546875" style="82" customWidth="1"/>
    <col min="6914" max="6914" width="9.85546875" style="82" customWidth="1"/>
    <col min="6915" max="6915" width="40.140625" style="82" customWidth="1"/>
    <col min="6916" max="6916" width="10.5703125" style="82" customWidth="1"/>
    <col min="6917" max="6917" width="10.7109375" style="82" customWidth="1"/>
    <col min="6918" max="6919" width="13.140625" style="82" customWidth="1"/>
    <col min="6920" max="6920" width="10.7109375" style="82" customWidth="1"/>
    <col min="6921" max="6921" width="12" style="82" customWidth="1"/>
    <col min="6922" max="6922" width="12.42578125" style="82" customWidth="1"/>
    <col min="6923" max="6923" width="10.7109375" style="82" customWidth="1"/>
    <col min="6924" max="6924" width="11.28515625" style="82" bestFit="1" customWidth="1"/>
    <col min="6925" max="6925" width="11.42578125" style="82" customWidth="1"/>
    <col min="6926" max="6926" width="10.7109375" style="82" customWidth="1"/>
    <col min="6927" max="6927" width="11.28515625" style="82" customWidth="1"/>
    <col min="6928" max="6929" width="12.5703125" style="82" customWidth="1"/>
    <col min="6930" max="6930" width="0.85546875" style="82" customWidth="1"/>
    <col min="6931" max="7168" width="0" style="82" hidden="1"/>
    <col min="7169" max="7169" width="0.85546875" style="82" customWidth="1"/>
    <col min="7170" max="7170" width="9.85546875" style="82" customWidth="1"/>
    <col min="7171" max="7171" width="40.140625" style="82" customWidth="1"/>
    <col min="7172" max="7172" width="10.5703125" style="82" customWidth="1"/>
    <col min="7173" max="7173" width="10.7109375" style="82" customWidth="1"/>
    <col min="7174" max="7175" width="13.140625" style="82" customWidth="1"/>
    <col min="7176" max="7176" width="10.7109375" style="82" customWidth="1"/>
    <col min="7177" max="7177" width="12" style="82" customWidth="1"/>
    <col min="7178" max="7178" width="12.42578125" style="82" customWidth="1"/>
    <col min="7179" max="7179" width="10.7109375" style="82" customWidth="1"/>
    <col min="7180" max="7180" width="11.28515625" style="82" bestFit="1" customWidth="1"/>
    <col min="7181" max="7181" width="11.42578125" style="82" customWidth="1"/>
    <col min="7182" max="7182" width="10.7109375" style="82" customWidth="1"/>
    <col min="7183" max="7183" width="11.28515625" style="82" customWidth="1"/>
    <col min="7184" max="7185" width="12.5703125" style="82" customWidth="1"/>
    <col min="7186" max="7186" width="0.85546875" style="82" customWidth="1"/>
    <col min="7187" max="7424" width="0" style="82" hidden="1"/>
    <col min="7425" max="7425" width="0.85546875" style="82" customWidth="1"/>
    <col min="7426" max="7426" width="9.85546875" style="82" customWidth="1"/>
    <col min="7427" max="7427" width="40.140625" style="82" customWidth="1"/>
    <col min="7428" max="7428" width="10.5703125" style="82" customWidth="1"/>
    <col min="7429" max="7429" width="10.7109375" style="82" customWidth="1"/>
    <col min="7430" max="7431" width="13.140625" style="82" customWidth="1"/>
    <col min="7432" max="7432" width="10.7109375" style="82" customWidth="1"/>
    <col min="7433" max="7433" width="12" style="82" customWidth="1"/>
    <col min="7434" max="7434" width="12.42578125" style="82" customWidth="1"/>
    <col min="7435" max="7435" width="10.7109375" style="82" customWidth="1"/>
    <col min="7436" max="7436" width="11.28515625" style="82" bestFit="1" customWidth="1"/>
    <col min="7437" max="7437" width="11.42578125" style="82" customWidth="1"/>
    <col min="7438" max="7438" width="10.7109375" style="82" customWidth="1"/>
    <col min="7439" max="7439" width="11.28515625" style="82" customWidth="1"/>
    <col min="7440" max="7441" width="12.5703125" style="82" customWidth="1"/>
    <col min="7442" max="7442" width="0.85546875" style="82" customWidth="1"/>
    <col min="7443" max="7680" width="0" style="82" hidden="1"/>
    <col min="7681" max="7681" width="0.85546875" style="82" customWidth="1"/>
    <col min="7682" max="7682" width="9.85546875" style="82" customWidth="1"/>
    <col min="7683" max="7683" width="40.140625" style="82" customWidth="1"/>
    <col min="7684" max="7684" width="10.5703125" style="82" customWidth="1"/>
    <col min="7685" max="7685" width="10.7109375" style="82" customWidth="1"/>
    <col min="7686" max="7687" width="13.140625" style="82" customWidth="1"/>
    <col min="7688" max="7688" width="10.7109375" style="82" customWidth="1"/>
    <col min="7689" max="7689" width="12" style="82" customWidth="1"/>
    <col min="7690" max="7690" width="12.42578125" style="82" customWidth="1"/>
    <col min="7691" max="7691" width="10.7109375" style="82" customWidth="1"/>
    <col min="7692" max="7692" width="11.28515625" style="82" bestFit="1" customWidth="1"/>
    <col min="7693" max="7693" width="11.42578125" style="82" customWidth="1"/>
    <col min="7694" max="7694" width="10.7109375" style="82" customWidth="1"/>
    <col min="7695" max="7695" width="11.28515625" style="82" customWidth="1"/>
    <col min="7696" max="7697" width="12.5703125" style="82" customWidth="1"/>
    <col min="7698" max="7698" width="0.85546875" style="82" customWidth="1"/>
    <col min="7699" max="7936" width="0" style="82" hidden="1"/>
    <col min="7937" max="7937" width="0.85546875" style="82" customWidth="1"/>
    <col min="7938" max="7938" width="9.85546875" style="82" customWidth="1"/>
    <col min="7939" max="7939" width="40.140625" style="82" customWidth="1"/>
    <col min="7940" max="7940" width="10.5703125" style="82" customWidth="1"/>
    <col min="7941" max="7941" width="10.7109375" style="82" customWidth="1"/>
    <col min="7942" max="7943" width="13.140625" style="82" customWidth="1"/>
    <col min="7944" max="7944" width="10.7109375" style="82" customWidth="1"/>
    <col min="7945" max="7945" width="12" style="82" customWidth="1"/>
    <col min="7946" max="7946" width="12.42578125" style="82" customWidth="1"/>
    <col min="7947" max="7947" width="10.7109375" style="82" customWidth="1"/>
    <col min="7948" max="7948" width="11.28515625" style="82" bestFit="1" customWidth="1"/>
    <col min="7949" max="7949" width="11.42578125" style="82" customWidth="1"/>
    <col min="7950" max="7950" width="10.7109375" style="82" customWidth="1"/>
    <col min="7951" max="7951" width="11.28515625" style="82" customWidth="1"/>
    <col min="7952" max="7953" width="12.5703125" style="82" customWidth="1"/>
    <col min="7954" max="7954" width="0.85546875" style="82" customWidth="1"/>
    <col min="7955" max="8192" width="0" style="82" hidden="1"/>
    <col min="8193" max="8193" width="0.85546875" style="82" customWidth="1"/>
    <col min="8194" max="8194" width="9.85546875" style="82" customWidth="1"/>
    <col min="8195" max="8195" width="40.140625" style="82" customWidth="1"/>
    <col min="8196" max="8196" width="10.5703125" style="82" customWidth="1"/>
    <col min="8197" max="8197" width="10.7109375" style="82" customWidth="1"/>
    <col min="8198" max="8199" width="13.140625" style="82" customWidth="1"/>
    <col min="8200" max="8200" width="10.7109375" style="82" customWidth="1"/>
    <col min="8201" max="8201" width="12" style="82" customWidth="1"/>
    <col min="8202" max="8202" width="12.42578125" style="82" customWidth="1"/>
    <col min="8203" max="8203" width="10.7109375" style="82" customWidth="1"/>
    <col min="8204" max="8204" width="11.28515625" style="82" bestFit="1" customWidth="1"/>
    <col min="8205" max="8205" width="11.42578125" style="82" customWidth="1"/>
    <col min="8206" max="8206" width="10.7109375" style="82" customWidth="1"/>
    <col min="8207" max="8207" width="11.28515625" style="82" customWidth="1"/>
    <col min="8208" max="8209" width="12.5703125" style="82" customWidth="1"/>
    <col min="8210" max="8210" width="0.85546875" style="82" customWidth="1"/>
    <col min="8211" max="8448" width="0" style="82" hidden="1"/>
    <col min="8449" max="8449" width="0.85546875" style="82" customWidth="1"/>
    <col min="8450" max="8450" width="9.85546875" style="82" customWidth="1"/>
    <col min="8451" max="8451" width="40.140625" style="82" customWidth="1"/>
    <col min="8452" max="8452" width="10.5703125" style="82" customWidth="1"/>
    <col min="8453" max="8453" width="10.7109375" style="82" customWidth="1"/>
    <col min="8454" max="8455" width="13.140625" style="82" customWidth="1"/>
    <col min="8456" max="8456" width="10.7109375" style="82" customWidth="1"/>
    <col min="8457" max="8457" width="12" style="82" customWidth="1"/>
    <col min="8458" max="8458" width="12.42578125" style="82" customWidth="1"/>
    <col min="8459" max="8459" width="10.7109375" style="82" customWidth="1"/>
    <col min="8460" max="8460" width="11.28515625" style="82" bestFit="1" customWidth="1"/>
    <col min="8461" max="8461" width="11.42578125" style="82" customWidth="1"/>
    <col min="8462" max="8462" width="10.7109375" style="82" customWidth="1"/>
    <col min="8463" max="8463" width="11.28515625" style="82" customWidth="1"/>
    <col min="8464" max="8465" width="12.5703125" style="82" customWidth="1"/>
    <col min="8466" max="8466" width="0.85546875" style="82" customWidth="1"/>
    <col min="8467" max="8704" width="0" style="82" hidden="1"/>
    <col min="8705" max="8705" width="0.85546875" style="82" customWidth="1"/>
    <col min="8706" max="8706" width="9.85546875" style="82" customWidth="1"/>
    <col min="8707" max="8707" width="40.140625" style="82" customWidth="1"/>
    <col min="8708" max="8708" width="10.5703125" style="82" customWidth="1"/>
    <col min="8709" max="8709" width="10.7109375" style="82" customWidth="1"/>
    <col min="8710" max="8711" width="13.140625" style="82" customWidth="1"/>
    <col min="8712" max="8712" width="10.7109375" style="82" customWidth="1"/>
    <col min="8713" max="8713" width="12" style="82" customWidth="1"/>
    <col min="8714" max="8714" width="12.42578125" style="82" customWidth="1"/>
    <col min="8715" max="8715" width="10.7109375" style="82" customWidth="1"/>
    <col min="8716" max="8716" width="11.28515625" style="82" bestFit="1" customWidth="1"/>
    <col min="8717" max="8717" width="11.42578125" style="82" customWidth="1"/>
    <col min="8718" max="8718" width="10.7109375" style="82" customWidth="1"/>
    <col min="8719" max="8719" width="11.28515625" style="82" customWidth="1"/>
    <col min="8720" max="8721" width="12.5703125" style="82" customWidth="1"/>
    <col min="8722" max="8722" width="0.85546875" style="82" customWidth="1"/>
    <col min="8723" max="8960" width="0" style="82" hidden="1"/>
    <col min="8961" max="8961" width="0.85546875" style="82" customWidth="1"/>
    <col min="8962" max="8962" width="9.85546875" style="82" customWidth="1"/>
    <col min="8963" max="8963" width="40.140625" style="82" customWidth="1"/>
    <col min="8964" max="8964" width="10.5703125" style="82" customWidth="1"/>
    <col min="8965" max="8965" width="10.7109375" style="82" customWidth="1"/>
    <col min="8966" max="8967" width="13.140625" style="82" customWidth="1"/>
    <col min="8968" max="8968" width="10.7109375" style="82" customWidth="1"/>
    <col min="8969" max="8969" width="12" style="82" customWidth="1"/>
    <col min="8970" max="8970" width="12.42578125" style="82" customWidth="1"/>
    <col min="8971" max="8971" width="10.7109375" style="82" customWidth="1"/>
    <col min="8972" max="8972" width="11.28515625" style="82" bestFit="1" customWidth="1"/>
    <col min="8973" max="8973" width="11.42578125" style="82" customWidth="1"/>
    <col min="8974" max="8974" width="10.7109375" style="82" customWidth="1"/>
    <col min="8975" max="8975" width="11.28515625" style="82" customWidth="1"/>
    <col min="8976" max="8977" width="12.5703125" style="82" customWidth="1"/>
    <col min="8978" max="8978" width="0.85546875" style="82" customWidth="1"/>
    <col min="8979" max="9216" width="0" style="82" hidden="1"/>
    <col min="9217" max="9217" width="0.85546875" style="82" customWidth="1"/>
    <col min="9218" max="9218" width="9.85546875" style="82" customWidth="1"/>
    <col min="9219" max="9219" width="40.140625" style="82" customWidth="1"/>
    <col min="9220" max="9220" width="10.5703125" style="82" customWidth="1"/>
    <col min="9221" max="9221" width="10.7109375" style="82" customWidth="1"/>
    <col min="9222" max="9223" width="13.140625" style="82" customWidth="1"/>
    <col min="9224" max="9224" width="10.7109375" style="82" customWidth="1"/>
    <col min="9225" max="9225" width="12" style="82" customWidth="1"/>
    <col min="9226" max="9226" width="12.42578125" style="82" customWidth="1"/>
    <col min="9227" max="9227" width="10.7109375" style="82" customWidth="1"/>
    <col min="9228" max="9228" width="11.28515625" style="82" bestFit="1" customWidth="1"/>
    <col min="9229" max="9229" width="11.42578125" style="82" customWidth="1"/>
    <col min="9230" max="9230" width="10.7109375" style="82" customWidth="1"/>
    <col min="9231" max="9231" width="11.28515625" style="82" customWidth="1"/>
    <col min="9232" max="9233" width="12.5703125" style="82" customWidth="1"/>
    <col min="9234" max="9234" width="0.85546875" style="82" customWidth="1"/>
    <col min="9235" max="9472" width="0" style="82" hidden="1"/>
    <col min="9473" max="9473" width="0.85546875" style="82" customWidth="1"/>
    <col min="9474" max="9474" width="9.85546875" style="82" customWidth="1"/>
    <col min="9475" max="9475" width="40.140625" style="82" customWidth="1"/>
    <col min="9476" max="9476" width="10.5703125" style="82" customWidth="1"/>
    <col min="9477" max="9477" width="10.7109375" style="82" customWidth="1"/>
    <col min="9478" max="9479" width="13.140625" style="82" customWidth="1"/>
    <col min="9480" max="9480" width="10.7109375" style="82" customWidth="1"/>
    <col min="9481" max="9481" width="12" style="82" customWidth="1"/>
    <col min="9482" max="9482" width="12.42578125" style="82" customWidth="1"/>
    <col min="9483" max="9483" width="10.7109375" style="82" customWidth="1"/>
    <col min="9484" max="9484" width="11.28515625" style="82" bestFit="1" customWidth="1"/>
    <col min="9485" max="9485" width="11.42578125" style="82" customWidth="1"/>
    <col min="9486" max="9486" width="10.7109375" style="82" customWidth="1"/>
    <col min="9487" max="9487" width="11.28515625" style="82" customWidth="1"/>
    <col min="9488" max="9489" width="12.5703125" style="82" customWidth="1"/>
    <col min="9490" max="9490" width="0.85546875" style="82" customWidth="1"/>
    <col min="9491" max="9728" width="0" style="82" hidden="1"/>
    <col min="9729" max="9729" width="0.85546875" style="82" customWidth="1"/>
    <col min="9730" max="9730" width="9.85546875" style="82" customWidth="1"/>
    <col min="9731" max="9731" width="40.140625" style="82" customWidth="1"/>
    <col min="9732" max="9732" width="10.5703125" style="82" customWidth="1"/>
    <col min="9733" max="9733" width="10.7109375" style="82" customWidth="1"/>
    <col min="9734" max="9735" width="13.140625" style="82" customWidth="1"/>
    <col min="9736" max="9736" width="10.7109375" style="82" customWidth="1"/>
    <col min="9737" max="9737" width="12" style="82" customWidth="1"/>
    <col min="9738" max="9738" width="12.42578125" style="82" customWidth="1"/>
    <col min="9739" max="9739" width="10.7109375" style="82" customWidth="1"/>
    <col min="9740" max="9740" width="11.28515625" style="82" bestFit="1" customWidth="1"/>
    <col min="9741" max="9741" width="11.42578125" style="82" customWidth="1"/>
    <col min="9742" max="9742" width="10.7109375" style="82" customWidth="1"/>
    <col min="9743" max="9743" width="11.28515625" style="82" customWidth="1"/>
    <col min="9744" max="9745" width="12.5703125" style="82" customWidth="1"/>
    <col min="9746" max="9746" width="0.85546875" style="82" customWidth="1"/>
    <col min="9747" max="9984" width="0" style="82" hidden="1"/>
    <col min="9985" max="9985" width="0.85546875" style="82" customWidth="1"/>
    <col min="9986" max="9986" width="9.85546875" style="82" customWidth="1"/>
    <col min="9987" max="9987" width="40.140625" style="82" customWidth="1"/>
    <col min="9988" max="9988" width="10.5703125" style="82" customWidth="1"/>
    <col min="9989" max="9989" width="10.7109375" style="82" customWidth="1"/>
    <col min="9990" max="9991" width="13.140625" style="82" customWidth="1"/>
    <col min="9992" max="9992" width="10.7109375" style="82" customWidth="1"/>
    <col min="9993" max="9993" width="12" style="82" customWidth="1"/>
    <col min="9994" max="9994" width="12.42578125" style="82" customWidth="1"/>
    <col min="9995" max="9995" width="10.7109375" style="82" customWidth="1"/>
    <col min="9996" max="9996" width="11.28515625" style="82" bestFit="1" customWidth="1"/>
    <col min="9997" max="9997" width="11.42578125" style="82" customWidth="1"/>
    <col min="9998" max="9998" width="10.7109375" style="82" customWidth="1"/>
    <col min="9999" max="9999" width="11.28515625" style="82" customWidth="1"/>
    <col min="10000" max="10001" width="12.5703125" style="82" customWidth="1"/>
    <col min="10002" max="10002" width="0.85546875" style="82" customWidth="1"/>
    <col min="10003" max="10240" width="0" style="82" hidden="1"/>
    <col min="10241" max="10241" width="0.85546875" style="82" customWidth="1"/>
    <col min="10242" max="10242" width="9.85546875" style="82" customWidth="1"/>
    <col min="10243" max="10243" width="40.140625" style="82" customWidth="1"/>
    <col min="10244" max="10244" width="10.5703125" style="82" customWidth="1"/>
    <col min="10245" max="10245" width="10.7109375" style="82" customWidth="1"/>
    <col min="10246" max="10247" width="13.140625" style="82" customWidth="1"/>
    <col min="10248" max="10248" width="10.7109375" style="82" customWidth="1"/>
    <col min="10249" max="10249" width="12" style="82" customWidth="1"/>
    <col min="10250" max="10250" width="12.42578125" style="82" customWidth="1"/>
    <col min="10251" max="10251" width="10.7109375" style="82" customWidth="1"/>
    <col min="10252" max="10252" width="11.28515625" style="82" bestFit="1" customWidth="1"/>
    <col min="10253" max="10253" width="11.42578125" style="82" customWidth="1"/>
    <col min="10254" max="10254" width="10.7109375" style="82" customWidth="1"/>
    <col min="10255" max="10255" width="11.28515625" style="82" customWidth="1"/>
    <col min="10256" max="10257" width="12.5703125" style="82" customWidth="1"/>
    <col min="10258" max="10258" width="0.85546875" style="82" customWidth="1"/>
    <col min="10259" max="10496" width="0" style="82" hidden="1"/>
    <col min="10497" max="10497" width="0.85546875" style="82" customWidth="1"/>
    <col min="10498" max="10498" width="9.85546875" style="82" customWidth="1"/>
    <col min="10499" max="10499" width="40.140625" style="82" customWidth="1"/>
    <col min="10500" max="10500" width="10.5703125" style="82" customWidth="1"/>
    <col min="10501" max="10501" width="10.7109375" style="82" customWidth="1"/>
    <col min="10502" max="10503" width="13.140625" style="82" customWidth="1"/>
    <col min="10504" max="10504" width="10.7109375" style="82" customWidth="1"/>
    <col min="10505" max="10505" width="12" style="82" customWidth="1"/>
    <col min="10506" max="10506" width="12.42578125" style="82" customWidth="1"/>
    <col min="10507" max="10507" width="10.7109375" style="82" customWidth="1"/>
    <col min="10508" max="10508" width="11.28515625" style="82" bestFit="1" customWidth="1"/>
    <col min="10509" max="10509" width="11.42578125" style="82" customWidth="1"/>
    <col min="10510" max="10510" width="10.7109375" style="82" customWidth="1"/>
    <col min="10511" max="10511" width="11.28515625" style="82" customWidth="1"/>
    <col min="10512" max="10513" width="12.5703125" style="82" customWidth="1"/>
    <col min="10514" max="10514" width="0.85546875" style="82" customWidth="1"/>
    <col min="10515" max="10752" width="0" style="82" hidden="1"/>
    <col min="10753" max="10753" width="0.85546875" style="82" customWidth="1"/>
    <col min="10754" max="10754" width="9.85546875" style="82" customWidth="1"/>
    <col min="10755" max="10755" width="40.140625" style="82" customWidth="1"/>
    <col min="10756" max="10756" width="10.5703125" style="82" customWidth="1"/>
    <col min="10757" max="10757" width="10.7109375" style="82" customWidth="1"/>
    <col min="10758" max="10759" width="13.140625" style="82" customWidth="1"/>
    <col min="10760" max="10760" width="10.7109375" style="82" customWidth="1"/>
    <col min="10761" max="10761" width="12" style="82" customWidth="1"/>
    <col min="10762" max="10762" width="12.42578125" style="82" customWidth="1"/>
    <col min="10763" max="10763" width="10.7109375" style="82" customWidth="1"/>
    <col min="10764" max="10764" width="11.28515625" style="82" bestFit="1" customWidth="1"/>
    <col min="10765" max="10765" width="11.42578125" style="82" customWidth="1"/>
    <col min="10766" max="10766" width="10.7109375" style="82" customWidth="1"/>
    <col min="10767" max="10767" width="11.28515625" style="82" customWidth="1"/>
    <col min="10768" max="10769" width="12.5703125" style="82" customWidth="1"/>
    <col min="10770" max="10770" width="0.85546875" style="82" customWidth="1"/>
    <col min="10771" max="11008" width="0" style="82" hidden="1"/>
    <col min="11009" max="11009" width="0.85546875" style="82" customWidth="1"/>
    <col min="11010" max="11010" width="9.85546875" style="82" customWidth="1"/>
    <col min="11011" max="11011" width="40.140625" style="82" customWidth="1"/>
    <col min="11012" max="11012" width="10.5703125" style="82" customWidth="1"/>
    <col min="11013" max="11013" width="10.7109375" style="82" customWidth="1"/>
    <col min="11014" max="11015" width="13.140625" style="82" customWidth="1"/>
    <col min="11016" max="11016" width="10.7109375" style="82" customWidth="1"/>
    <col min="11017" max="11017" width="12" style="82" customWidth="1"/>
    <col min="11018" max="11018" width="12.42578125" style="82" customWidth="1"/>
    <col min="11019" max="11019" width="10.7109375" style="82" customWidth="1"/>
    <col min="11020" max="11020" width="11.28515625" style="82" bestFit="1" customWidth="1"/>
    <col min="11021" max="11021" width="11.42578125" style="82" customWidth="1"/>
    <col min="11022" max="11022" width="10.7109375" style="82" customWidth="1"/>
    <col min="11023" max="11023" width="11.28515625" style="82" customWidth="1"/>
    <col min="11024" max="11025" width="12.5703125" style="82" customWidth="1"/>
    <col min="11026" max="11026" width="0.85546875" style="82" customWidth="1"/>
    <col min="11027" max="11264" width="0" style="82" hidden="1"/>
    <col min="11265" max="11265" width="0.85546875" style="82" customWidth="1"/>
    <col min="11266" max="11266" width="9.85546875" style="82" customWidth="1"/>
    <col min="11267" max="11267" width="40.140625" style="82" customWidth="1"/>
    <col min="11268" max="11268" width="10.5703125" style="82" customWidth="1"/>
    <col min="11269" max="11269" width="10.7109375" style="82" customWidth="1"/>
    <col min="11270" max="11271" width="13.140625" style="82" customWidth="1"/>
    <col min="11272" max="11272" width="10.7109375" style="82" customWidth="1"/>
    <col min="11273" max="11273" width="12" style="82" customWidth="1"/>
    <col min="11274" max="11274" width="12.42578125" style="82" customWidth="1"/>
    <col min="11275" max="11275" width="10.7109375" style="82" customWidth="1"/>
    <col min="11276" max="11276" width="11.28515625" style="82" bestFit="1" customWidth="1"/>
    <col min="11277" max="11277" width="11.42578125" style="82" customWidth="1"/>
    <col min="11278" max="11278" width="10.7109375" style="82" customWidth="1"/>
    <col min="11279" max="11279" width="11.28515625" style="82" customWidth="1"/>
    <col min="11280" max="11281" width="12.5703125" style="82" customWidth="1"/>
    <col min="11282" max="11282" width="0.85546875" style="82" customWidth="1"/>
    <col min="11283" max="11520" width="0" style="82" hidden="1"/>
    <col min="11521" max="11521" width="0.85546875" style="82" customWidth="1"/>
    <col min="11522" max="11522" width="9.85546875" style="82" customWidth="1"/>
    <col min="11523" max="11523" width="40.140625" style="82" customWidth="1"/>
    <col min="11524" max="11524" width="10.5703125" style="82" customWidth="1"/>
    <col min="11525" max="11525" width="10.7109375" style="82" customWidth="1"/>
    <col min="11526" max="11527" width="13.140625" style="82" customWidth="1"/>
    <col min="11528" max="11528" width="10.7109375" style="82" customWidth="1"/>
    <col min="11529" max="11529" width="12" style="82" customWidth="1"/>
    <col min="11530" max="11530" width="12.42578125" style="82" customWidth="1"/>
    <col min="11531" max="11531" width="10.7109375" style="82" customWidth="1"/>
    <col min="11532" max="11532" width="11.28515625" style="82" bestFit="1" customWidth="1"/>
    <col min="11533" max="11533" width="11.42578125" style="82" customWidth="1"/>
    <col min="11534" max="11534" width="10.7109375" style="82" customWidth="1"/>
    <col min="11535" max="11535" width="11.28515625" style="82" customWidth="1"/>
    <col min="11536" max="11537" width="12.5703125" style="82" customWidth="1"/>
    <col min="11538" max="11538" width="0.85546875" style="82" customWidth="1"/>
    <col min="11539" max="11776" width="0" style="82" hidden="1"/>
    <col min="11777" max="11777" width="0.85546875" style="82" customWidth="1"/>
    <col min="11778" max="11778" width="9.85546875" style="82" customWidth="1"/>
    <col min="11779" max="11779" width="40.140625" style="82" customWidth="1"/>
    <col min="11780" max="11780" width="10.5703125" style="82" customWidth="1"/>
    <col min="11781" max="11781" width="10.7109375" style="82" customWidth="1"/>
    <col min="11782" max="11783" width="13.140625" style="82" customWidth="1"/>
    <col min="11784" max="11784" width="10.7109375" style="82" customWidth="1"/>
    <col min="11785" max="11785" width="12" style="82" customWidth="1"/>
    <col min="11786" max="11786" width="12.42578125" style="82" customWidth="1"/>
    <col min="11787" max="11787" width="10.7109375" style="82" customWidth="1"/>
    <col min="11788" max="11788" width="11.28515625" style="82" bestFit="1" customWidth="1"/>
    <col min="11789" max="11789" width="11.42578125" style="82" customWidth="1"/>
    <col min="11790" max="11790" width="10.7109375" style="82" customWidth="1"/>
    <col min="11791" max="11791" width="11.28515625" style="82" customWidth="1"/>
    <col min="11792" max="11793" width="12.5703125" style="82" customWidth="1"/>
    <col min="11794" max="11794" width="0.85546875" style="82" customWidth="1"/>
    <col min="11795" max="12032" width="0" style="82" hidden="1"/>
    <col min="12033" max="12033" width="0.85546875" style="82" customWidth="1"/>
    <col min="12034" max="12034" width="9.85546875" style="82" customWidth="1"/>
    <col min="12035" max="12035" width="40.140625" style="82" customWidth="1"/>
    <col min="12036" max="12036" width="10.5703125" style="82" customWidth="1"/>
    <col min="12037" max="12037" width="10.7109375" style="82" customWidth="1"/>
    <col min="12038" max="12039" width="13.140625" style="82" customWidth="1"/>
    <col min="12040" max="12040" width="10.7109375" style="82" customWidth="1"/>
    <col min="12041" max="12041" width="12" style="82" customWidth="1"/>
    <col min="12042" max="12042" width="12.42578125" style="82" customWidth="1"/>
    <col min="12043" max="12043" width="10.7109375" style="82" customWidth="1"/>
    <col min="12044" max="12044" width="11.28515625" style="82" bestFit="1" customWidth="1"/>
    <col min="12045" max="12045" width="11.42578125" style="82" customWidth="1"/>
    <col min="12046" max="12046" width="10.7109375" style="82" customWidth="1"/>
    <col min="12047" max="12047" width="11.28515625" style="82" customWidth="1"/>
    <col min="12048" max="12049" width="12.5703125" style="82" customWidth="1"/>
    <col min="12050" max="12050" width="0.85546875" style="82" customWidth="1"/>
    <col min="12051" max="12288" width="0" style="82" hidden="1"/>
    <col min="12289" max="12289" width="0.85546875" style="82" customWidth="1"/>
    <col min="12290" max="12290" width="9.85546875" style="82" customWidth="1"/>
    <col min="12291" max="12291" width="40.140625" style="82" customWidth="1"/>
    <col min="12292" max="12292" width="10.5703125" style="82" customWidth="1"/>
    <col min="12293" max="12293" width="10.7109375" style="82" customWidth="1"/>
    <col min="12294" max="12295" width="13.140625" style="82" customWidth="1"/>
    <col min="12296" max="12296" width="10.7109375" style="82" customWidth="1"/>
    <col min="12297" max="12297" width="12" style="82" customWidth="1"/>
    <col min="12298" max="12298" width="12.42578125" style="82" customWidth="1"/>
    <col min="12299" max="12299" width="10.7109375" style="82" customWidth="1"/>
    <col min="12300" max="12300" width="11.28515625" style="82" bestFit="1" customWidth="1"/>
    <col min="12301" max="12301" width="11.42578125" style="82" customWidth="1"/>
    <col min="12302" max="12302" width="10.7109375" style="82" customWidth="1"/>
    <col min="12303" max="12303" width="11.28515625" style="82" customWidth="1"/>
    <col min="12304" max="12305" width="12.5703125" style="82" customWidth="1"/>
    <col min="12306" max="12306" width="0.85546875" style="82" customWidth="1"/>
    <col min="12307" max="12544" width="0" style="82" hidden="1"/>
    <col min="12545" max="12545" width="0.85546875" style="82" customWidth="1"/>
    <col min="12546" max="12546" width="9.85546875" style="82" customWidth="1"/>
    <col min="12547" max="12547" width="40.140625" style="82" customWidth="1"/>
    <col min="12548" max="12548" width="10.5703125" style="82" customWidth="1"/>
    <col min="12549" max="12549" width="10.7109375" style="82" customWidth="1"/>
    <col min="12550" max="12551" width="13.140625" style="82" customWidth="1"/>
    <col min="12552" max="12552" width="10.7109375" style="82" customWidth="1"/>
    <col min="12553" max="12553" width="12" style="82" customWidth="1"/>
    <col min="12554" max="12554" width="12.42578125" style="82" customWidth="1"/>
    <col min="12555" max="12555" width="10.7109375" style="82" customWidth="1"/>
    <col min="12556" max="12556" width="11.28515625" style="82" bestFit="1" customWidth="1"/>
    <col min="12557" max="12557" width="11.42578125" style="82" customWidth="1"/>
    <col min="12558" max="12558" width="10.7109375" style="82" customWidth="1"/>
    <col min="12559" max="12559" width="11.28515625" style="82" customWidth="1"/>
    <col min="12560" max="12561" width="12.5703125" style="82" customWidth="1"/>
    <col min="12562" max="12562" width="0.85546875" style="82" customWidth="1"/>
    <col min="12563" max="12800" width="0" style="82" hidden="1"/>
    <col min="12801" max="12801" width="0.85546875" style="82" customWidth="1"/>
    <col min="12802" max="12802" width="9.85546875" style="82" customWidth="1"/>
    <col min="12803" max="12803" width="40.140625" style="82" customWidth="1"/>
    <col min="12804" max="12804" width="10.5703125" style="82" customWidth="1"/>
    <col min="12805" max="12805" width="10.7109375" style="82" customWidth="1"/>
    <col min="12806" max="12807" width="13.140625" style="82" customWidth="1"/>
    <col min="12808" max="12808" width="10.7109375" style="82" customWidth="1"/>
    <col min="12809" max="12809" width="12" style="82" customWidth="1"/>
    <col min="12810" max="12810" width="12.42578125" style="82" customWidth="1"/>
    <col min="12811" max="12811" width="10.7109375" style="82" customWidth="1"/>
    <col min="12812" max="12812" width="11.28515625" style="82" bestFit="1" customWidth="1"/>
    <col min="12813" max="12813" width="11.42578125" style="82" customWidth="1"/>
    <col min="12814" max="12814" width="10.7109375" style="82" customWidth="1"/>
    <col min="12815" max="12815" width="11.28515625" style="82" customWidth="1"/>
    <col min="12816" max="12817" width="12.5703125" style="82" customWidth="1"/>
    <col min="12818" max="12818" width="0.85546875" style="82" customWidth="1"/>
    <col min="12819" max="13056" width="0" style="82" hidden="1"/>
    <col min="13057" max="13057" width="0.85546875" style="82" customWidth="1"/>
    <col min="13058" max="13058" width="9.85546875" style="82" customWidth="1"/>
    <col min="13059" max="13059" width="40.140625" style="82" customWidth="1"/>
    <col min="13060" max="13060" width="10.5703125" style="82" customWidth="1"/>
    <col min="13061" max="13061" width="10.7109375" style="82" customWidth="1"/>
    <col min="13062" max="13063" width="13.140625" style="82" customWidth="1"/>
    <col min="13064" max="13064" width="10.7109375" style="82" customWidth="1"/>
    <col min="13065" max="13065" width="12" style="82" customWidth="1"/>
    <col min="13066" max="13066" width="12.42578125" style="82" customWidth="1"/>
    <col min="13067" max="13067" width="10.7109375" style="82" customWidth="1"/>
    <col min="13068" max="13068" width="11.28515625" style="82" bestFit="1" customWidth="1"/>
    <col min="13069" max="13069" width="11.42578125" style="82" customWidth="1"/>
    <col min="13070" max="13070" width="10.7109375" style="82" customWidth="1"/>
    <col min="13071" max="13071" width="11.28515625" style="82" customWidth="1"/>
    <col min="13072" max="13073" width="12.5703125" style="82" customWidth="1"/>
    <col min="13074" max="13074" width="0.85546875" style="82" customWidth="1"/>
    <col min="13075" max="13312" width="0" style="82" hidden="1"/>
    <col min="13313" max="13313" width="0.85546875" style="82" customWidth="1"/>
    <col min="13314" max="13314" width="9.85546875" style="82" customWidth="1"/>
    <col min="13315" max="13315" width="40.140625" style="82" customWidth="1"/>
    <col min="13316" max="13316" width="10.5703125" style="82" customWidth="1"/>
    <col min="13317" max="13317" width="10.7109375" style="82" customWidth="1"/>
    <col min="13318" max="13319" width="13.140625" style="82" customWidth="1"/>
    <col min="13320" max="13320" width="10.7109375" style="82" customWidth="1"/>
    <col min="13321" max="13321" width="12" style="82" customWidth="1"/>
    <col min="13322" max="13322" width="12.42578125" style="82" customWidth="1"/>
    <col min="13323" max="13323" width="10.7109375" style="82" customWidth="1"/>
    <col min="13324" max="13324" width="11.28515625" style="82" bestFit="1" customWidth="1"/>
    <col min="13325" max="13325" width="11.42578125" style="82" customWidth="1"/>
    <col min="13326" max="13326" width="10.7109375" style="82" customWidth="1"/>
    <col min="13327" max="13327" width="11.28515625" style="82" customWidth="1"/>
    <col min="13328" max="13329" width="12.5703125" style="82" customWidth="1"/>
    <col min="13330" max="13330" width="0.85546875" style="82" customWidth="1"/>
    <col min="13331" max="13568" width="0" style="82" hidden="1"/>
    <col min="13569" max="13569" width="0.85546875" style="82" customWidth="1"/>
    <col min="13570" max="13570" width="9.85546875" style="82" customWidth="1"/>
    <col min="13571" max="13571" width="40.140625" style="82" customWidth="1"/>
    <col min="13572" max="13572" width="10.5703125" style="82" customWidth="1"/>
    <col min="13573" max="13573" width="10.7109375" style="82" customWidth="1"/>
    <col min="13574" max="13575" width="13.140625" style="82" customWidth="1"/>
    <col min="13576" max="13576" width="10.7109375" style="82" customWidth="1"/>
    <col min="13577" max="13577" width="12" style="82" customWidth="1"/>
    <col min="13578" max="13578" width="12.42578125" style="82" customWidth="1"/>
    <col min="13579" max="13579" width="10.7109375" style="82" customWidth="1"/>
    <col min="13580" max="13580" width="11.28515625" style="82" bestFit="1" customWidth="1"/>
    <col min="13581" max="13581" width="11.42578125" style="82" customWidth="1"/>
    <col min="13582" max="13582" width="10.7109375" style="82" customWidth="1"/>
    <col min="13583" max="13583" width="11.28515625" style="82" customWidth="1"/>
    <col min="13584" max="13585" width="12.5703125" style="82" customWidth="1"/>
    <col min="13586" max="13586" width="0.85546875" style="82" customWidth="1"/>
    <col min="13587" max="13824" width="0" style="82" hidden="1"/>
    <col min="13825" max="13825" width="0.85546875" style="82" customWidth="1"/>
    <col min="13826" max="13826" width="9.85546875" style="82" customWidth="1"/>
    <col min="13827" max="13827" width="40.140625" style="82" customWidth="1"/>
    <col min="13828" max="13828" width="10.5703125" style="82" customWidth="1"/>
    <col min="13829" max="13829" width="10.7109375" style="82" customWidth="1"/>
    <col min="13830" max="13831" width="13.140625" style="82" customWidth="1"/>
    <col min="13832" max="13832" width="10.7109375" style="82" customWidth="1"/>
    <col min="13833" max="13833" width="12" style="82" customWidth="1"/>
    <col min="13834" max="13834" width="12.42578125" style="82" customWidth="1"/>
    <col min="13835" max="13835" width="10.7109375" style="82" customWidth="1"/>
    <col min="13836" max="13836" width="11.28515625" style="82" bestFit="1" customWidth="1"/>
    <col min="13837" max="13837" width="11.42578125" style="82" customWidth="1"/>
    <col min="13838" max="13838" width="10.7109375" style="82" customWidth="1"/>
    <col min="13839" max="13839" width="11.28515625" style="82" customWidth="1"/>
    <col min="13840" max="13841" width="12.5703125" style="82" customWidth="1"/>
    <col min="13842" max="13842" width="0.85546875" style="82" customWidth="1"/>
    <col min="13843" max="14080" width="0" style="82" hidden="1"/>
    <col min="14081" max="14081" width="0.85546875" style="82" customWidth="1"/>
    <col min="14082" max="14082" width="9.85546875" style="82" customWidth="1"/>
    <col min="14083" max="14083" width="40.140625" style="82" customWidth="1"/>
    <col min="14084" max="14084" width="10.5703125" style="82" customWidth="1"/>
    <col min="14085" max="14085" width="10.7109375" style="82" customWidth="1"/>
    <col min="14086" max="14087" width="13.140625" style="82" customWidth="1"/>
    <col min="14088" max="14088" width="10.7109375" style="82" customWidth="1"/>
    <col min="14089" max="14089" width="12" style="82" customWidth="1"/>
    <col min="14090" max="14090" width="12.42578125" style="82" customWidth="1"/>
    <col min="14091" max="14091" width="10.7109375" style="82" customWidth="1"/>
    <col min="14092" max="14092" width="11.28515625" style="82" bestFit="1" customWidth="1"/>
    <col min="14093" max="14093" width="11.42578125" style="82" customWidth="1"/>
    <col min="14094" max="14094" width="10.7109375" style="82" customWidth="1"/>
    <col min="14095" max="14095" width="11.28515625" style="82" customWidth="1"/>
    <col min="14096" max="14097" width="12.5703125" style="82" customWidth="1"/>
    <col min="14098" max="14098" width="0.85546875" style="82" customWidth="1"/>
    <col min="14099" max="14336" width="0" style="82" hidden="1"/>
    <col min="14337" max="14337" width="0.85546875" style="82" customWidth="1"/>
    <col min="14338" max="14338" width="9.85546875" style="82" customWidth="1"/>
    <col min="14339" max="14339" width="40.140625" style="82" customWidth="1"/>
    <col min="14340" max="14340" width="10.5703125" style="82" customWidth="1"/>
    <col min="14341" max="14341" width="10.7109375" style="82" customWidth="1"/>
    <col min="14342" max="14343" width="13.140625" style="82" customWidth="1"/>
    <col min="14344" max="14344" width="10.7109375" style="82" customWidth="1"/>
    <col min="14345" max="14345" width="12" style="82" customWidth="1"/>
    <col min="14346" max="14346" width="12.42578125" style="82" customWidth="1"/>
    <col min="14347" max="14347" width="10.7109375" style="82" customWidth="1"/>
    <col min="14348" max="14348" width="11.28515625" style="82" bestFit="1" customWidth="1"/>
    <col min="14349" max="14349" width="11.42578125" style="82" customWidth="1"/>
    <col min="14350" max="14350" width="10.7109375" style="82" customWidth="1"/>
    <col min="14351" max="14351" width="11.28515625" style="82" customWidth="1"/>
    <col min="14352" max="14353" width="12.5703125" style="82" customWidth="1"/>
    <col min="14354" max="14354" width="0.85546875" style="82" customWidth="1"/>
    <col min="14355" max="14592" width="0" style="82" hidden="1"/>
    <col min="14593" max="14593" width="0.85546875" style="82" customWidth="1"/>
    <col min="14594" max="14594" width="9.85546875" style="82" customWidth="1"/>
    <col min="14595" max="14595" width="40.140625" style="82" customWidth="1"/>
    <col min="14596" max="14596" width="10.5703125" style="82" customWidth="1"/>
    <col min="14597" max="14597" width="10.7109375" style="82" customWidth="1"/>
    <col min="14598" max="14599" width="13.140625" style="82" customWidth="1"/>
    <col min="14600" max="14600" width="10.7109375" style="82" customWidth="1"/>
    <col min="14601" max="14601" width="12" style="82" customWidth="1"/>
    <col min="14602" max="14602" width="12.42578125" style="82" customWidth="1"/>
    <col min="14603" max="14603" width="10.7109375" style="82" customWidth="1"/>
    <col min="14604" max="14604" width="11.28515625" style="82" bestFit="1" customWidth="1"/>
    <col min="14605" max="14605" width="11.42578125" style="82" customWidth="1"/>
    <col min="14606" max="14606" width="10.7109375" style="82" customWidth="1"/>
    <col min="14607" max="14607" width="11.28515625" style="82" customWidth="1"/>
    <col min="14608" max="14609" width="12.5703125" style="82" customWidth="1"/>
    <col min="14610" max="14610" width="0.85546875" style="82" customWidth="1"/>
    <col min="14611" max="14848" width="0" style="82" hidden="1"/>
    <col min="14849" max="14849" width="0.85546875" style="82" customWidth="1"/>
    <col min="14850" max="14850" width="9.85546875" style="82" customWidth="1"/>
    <col min="14851" max="14851" width="40.140625" style="82" customWidth="1"/>
    <col min="14852" max="14852" width="10.5703125" style="82" customWidth="1"/>
    <col min="14853" max="14853" width="10.7109375" style="82" customWidth="1"/>
    <col min="14854" max="14855" width="13.140625" style="82" customWidth="1"/>
    <col min="14856" max="14856" width="10.7109375" style="82" customWidth="1"/>
    <col min="14857" max="14857" width="12" style="82" customWidth="1"/>
    <col min="14858" max="14858" width="12.42578125" style="82" customWidth="1"/>
    <col min="14859" max="14859" width="10.7109375" style="82" customWidth="1"/>
    <col min="14860" max="14860" width="11.28515625" style="82" bestFit="1" customWidth="1"/>
    <col min="14861" max="14861" width="11.42578125" style="82" customWidth="1"/>
    <col min="14862" max="14862" width="10.7109375" style="82" customWidth="1"/>
    <col min="14863" max="14863" width="11.28515625" style="82" customWidth="1"/>
    <col min="14864" max="14865" width="12.5703125" style="82" customWidth="1"/>
    <col min="14866" max="14866" width="0.85546875" style="82" customWidth="1"/>
    <col min="14867" max="15104" width="0" style="82" hidden="1"/>
    <col min="15105" max="15105" width="0.85546875" style="82" customWidth="1"/>
    <col min="15106" max="15106" width="9.85546875" style="82" customWidth="1"/>
    <col min="15107" max="15107" width="40.140625" style="82" customWidth="1"/>
    <col min="15108" max="15108" width="10.5703125" style="82" customWidth="1"/>
    <col min="15109" max="15109" width="10.7109375" style="82" customWidth="1"/>
    <col min="15110" max="15111" width="13.140625" style="82" customWidth="1"/>
    <col min="15112" max="15112" width="10.7109375" style="82" customWidth="1"/>
    <col min="15113" max="15113" width="12" style="82" customWidth="1"/>
    <col min="15114" max="15114" width="12.42578125" style="82" customWidth="1"/>
    <col min="15115" max="15115" width="10.7109375" style="82" customWidth="1"/>
    <col min="15116" max="15116" width="11.28515625" style="82" bestFit="1" customWidth="1"/>
    <col min="15117" max="15117" width="11.42578125" style="82" customWidth="1"/>
    <col min="15118" max="15118" width="10.7109375" style="82" customWidth="1"/>
    <col min="15119" max="15119" width="11.28515625" style="82" customWidth="1"/>
    <col min="15120" max="15121" width="12.5703125" style="82" customWidth="1"/>
    <col min="15122" max="15122" width="0.85546875" style="82" customWidth="1"/>
    <col min="15123" max="15360" width="0" style="82" hidden="1"/>
    <col min="15361" max="15361" width="0.85546875" style="82" customWidth="1"/>
    <col min="15362" max="15362" width="9.85546875" style="82" customWidth="1"/>
    <col min="15363" max="15363" width="40.140625" style="82" customWidth="1"/>
    <col min="15364" max="15364" width="10.5703125" style="82" customWidth="1"/>
    <col min="15365" max="15365" width="10.7109375" style="82" customWidth="1"/>
    <col min="15366" max="15367" width="13.140625" style="82" customWidth="1"/>
    <col min="15368" max="15368" width="10.7109375" style="82" customWidth="1"/>
    <col min="15369" max="15369" width="12" style="82" customWidth="1"/>
    <col min="15370" max="15370" width="12.42578125" style="82" customWidth="1"/>
    <col min="15371" max="15371" width="10.7109375" style="82" customWidth="1"/>
    <col min="15372" max="15372" width="11.28515625" style="82" bestFit="1" customWidth="1"/>
    <col min="15373" max="15373" width="11.42578125" style="82" customWidth="1"/>
    <col min="15374" max="15374" width="10.7109375" style="82" customWidth="1"/>
    <col min="15375" max="15375" width="11.28515625" style="82" customWidth="1"/>
    <col min="15376" max="15377" width="12.5703125" style="82" customWidth="1"/>
    <col min="15378" max="15378" width="0.85546875" style="82" customWidth="1"/>
    <col min="15379" max="15616" width="0" style="82" hidden="1"/>
    <col min="15617" max="15617" width="0.85546875" style="82" customWidth="1"/>
    <col min="15618" max="15618" width="9.85546875" style="82" customWidth="1"/>
    <col min="15619" max="15619" width="40.140625" style="82" customWidth="1"/>
    <col min="15620" max="15620" width="10.5703125" style="82" customWidth="1"/>
    <col min="15621" max="15621" width="10.7109375" style="82" customWidth="1"/>
    <col min="15622" max="15623" width="13.140625" style="82" customWidth="1"/>
    <col min="15624" max="15624" width="10.7109375" style="82" customWidth="1"/>
    <col min="15625" max="15625" width="12" style="82" customWidth="1"/>
    <col min="15626" max="15626" width="12.42578125" style="82" customWidth="1"/>
    <col min="15627" max="15627" width="10.7109375" style="82" customWidth="1"/>
    <col min="15628" max="15628" width="11.28515625" style="82" bestFit="1" customWidth="1"/>
    <col min="15629" max="15629" width="11.42578125" style="82" customWidth="1"/>
    <col min="15630" max="15630" width="10.7109375" style="82" customWidth="1"/>
    <col min="15631" max="15631" width="11.28515625" style="82" customWidth="1"/>
    <col min="15632" max="15633" width="12.5703125" style="82" customWidth="1"/>
    <col min="15634" max="15634" width="0.85546875" style="82" customWidth="1"/>
    <col min="15635" max="15872" width="0" style="82" hidden="1"/>
    <col min="15873" max="15873" width="0.85546875" style="82" customWidth="1"/>
    <col min="15874" max="15874" width="9.85546875" style="82" customWidth="1"/>
    <col min="15875" max="15875" width="40.140625" style="82" customWidth="1"/>
    <col min="15876" max="15876" width="10.5703125" style="82" customWidth="1"/>
    <col min="15877" max="15877" width="10.7109375" style="82" customWidth="1"/>
    <col min="15878" max="15879" width="13.140625" style="82" customWidth="1"/>
    <col min="15880" max="15880" width="10.7109375" style="82" customWidth="1"/>
    <col min="15881" max="15881" width="12" style="82" customWidth="1"/>
    <col min="15882" max="15882" width="12.42578125" style="82" customWidth="1"/>
    <col min="15883" max="15883" width="10.7109375" style="82" customWidth="1"/>
    <col min="15884" max="15884" width="11.28515625" style="82" bestFit="1" customWidth="1"/>
    <col min="15885" max="15885" width="11.42578125" style="82" customWidth="1"/>
    <col min="15886" max="15886" width="10.7109375" style="82" customWidth="1"/>
    <col min="15887" max="15887" width="11.28515625" style="82" customWidth="1"/>
    <col min="15888" max="15889" width="12.5703125" style="82" customWidth="1"/>
    <col min="15890" max="15890" width="0.85546875" style="82" customWidth="1"/>
    <col min="15891" max="16128" width="0" style="82" hidden="1"/>
    <col min="16129" max="16129" width="0.85546875" style="82" customWidth="1"/>
    <col min="16130" max="16130" width="9.85546875" style="82" customWidth="1"/>
    <col min="16131" max="16131" width="40.140625" style="82" customWidth="1"/>
    <col min="16132" max="16132" width="10.5703125" style="82" customWidth="1"/>
    <col min="16133" max="16133" width="10.7109375" style="82" customWidth="1"/>
    <col min="16134" max="16135" width="13.140625" style="82" customWidth="1"/>
    <col min="16136" max="16136" width="10.7109375" style="82" customWidth="1"/>
    <col min="16137" max="16137" width="12" style="82" customWidth="1"/>
    <col min="16138" max="16138" width="12.42578125" style="82" customWidth="1"/>
    <col min="16139" max="16139" width="10.7109375" style="82" customWidth="1"/>
    <col min="16140" max="16140" width="11.28515625" style="82" bestFit="1" customWidth="1"/>
    <col min="16141" max="16141" width="11.42578125" style="82" customWidth="1"/>
    <col min="16142" max="16142" width="10.7109375" style="82" customWidth="1"/>
    <col min="16143" max="16143" width="11.28515625" style="82" customWidth="1"/>
    <col min="16144" max="16145" width="12.5703125" style="82" customWidth="1"/>
    <col min="16146" max="16146" width="0.85546875" style="82" customWidth="1"/>
    <col min="16147" max="16384" width="0" style="82" hidden="1"/>
  </cols>
  <sheetData>
    <row r="1" spans="1:29" s="11" customFormat="1" ht="20.100000000000001" customHeight="1" x14ac:dyDescent="0.25">
      <c r="A1" s="65"/>
      <c r="B1" s="437" t="s">
        <v>692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115"/>
      <c r="S1" s="115"/>
      <c r="T1" s="115"/>
      <c r="U1" s="115"/>
      <c r="V1" s="115"/>
      <c r="W1" s="115"/>
      <c r="X1" s="115"/>
      <c r="Y1" s="65"/>
      <c r="Z1" s="65"/>
      <c r="AA1" s="65"/>
      <c r="AB1" s="65"/>
      <c r="AC1" s="65"/>
    </row>
    <row r="2" spans="1:29" s="11" customFormat="1" ht="20.100000000000001" customHeight="1" x14ac:dyDescent="0.25">
      <c r="A2" s="65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115"/>
      <c r="S2" s="115"/>
      <c r="T2" s="115"/>
      <c r="U2" s="115"/>
      <c r="V2" s="115"/>
      <c r="W2" s="115"/>
      <c r="X2" s="115"/>
      <c r="Y2" s="65"/>
      <c r="Z2" s="65"/>
      <c r="AA2" s="65"/>
      <c r="AB2" s="65"/>
      <c r="AC2" s="65"/>
    </row>
    <row r="3" spans="1:29" s="11" customFormat="1" ht="20.100000000000001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97"/>
      <c r="Y3" s="65"/>
      <c r="Z3" s="65"/>
      <c r="AA3" s="65"/>
      <c r="AB3" s="65"/>
      <c r="AC3" s="65"/>
    </row>
    <row r="4" spans="1:29" s="5" customFormat="1" ht="20.100000000000001" customHeight="1" x14ac:dyDescent="0.25">
      <c r="B4" s="1" t="s">
        <v>16</v>
      </c>
      <c r="C4" s="2" t="str">
        <f>'DADOS DA OBRA'!$B$13</f>
        <v>Demolição do Estádio Ulisses Jayme, em Pirenópolis-GO, e Destinação Final de Resíduos de Construção.</v>
      </c>
      <c r="D4" s="1"/>
      <c r="E4" s="1"/>
      <c r="F4" s="1"/>
      <c r="G4" s="1"/>
      <c r="H4" s="1"/>
      <c r="I4" s="1"/>
      <c r="M4" s="2"/>
      <c r="N4" s="2"/>
      <c r="O4" s="3" t="s">
        <v>62</v>
      </c>
      <c r="P4" s="4" t="str">
        <f>+'DADOS DA OBRA'!$N$22</f>
        <v>18/11/2024</v>
      </c>
      <c r="Q4" s="2"/>
      <c r="R4" s="2"/>
      <c r="S4" s="2"/>
      <c r="T4" s="2"/>
      <c r="X4" s="48"/>
      <c r="Z4" s="31"/>
      <c r="AA4" s="31"/>
      <c r="AB4" s="32"/>
      <c r="AC4" s="32"/>
    </row>
    <row r="5" spans="1:29" s="5" customFormat="1" ht="20.100000000000001" customHeight="1" x14ac:dyDescent="0.25">
      <c r="B5" s="1" t="s">
        <v>18</v>
      </c>
      <c r="C5" s="2" t="str">
        <f>+""&amp;'DADOS DA OBRA'!$B$16&amp;", "&amp;'DADOS DA OBRA'!$B$19&amp;", "&amp;'DADOS DA OBRA'!$J$19&amp;", "&amp;'DADOS DA OBRA'!$P$19</f>
        <v xml:space="preserve"> R. 21 de Abril, 10 , Vila Anduzeiro, Pirenópolis, GO</v>
      </c>
      <c r="D5" s="1"/>
      <c r="E5" s="1"/>
      <c r="F5" s="1"/>
      <c r="G5" s="1"/>
      <c r="H5" s="1"/>
      <c r="I5" s="1"/>
      <c r="O5" s="3" t="s">
        <v>17</v>
      </c>
      <c r="P5" s="4" t="str">
        <f>'DADOS DA OBRA'!$N$25</f>
        <v>02</v>
      </c>
      <c r="X5" s="48"/>
    </row>
    <row r="6" spans="1:29" s="5" customFormat="1" ht="20.100000000000001" customHeight="1" x14ac:dyDescent="0.25">
      <c r="X6" s="48"/>
    </row>
    <row r="7" spans="1:29" s="5" customFormat="1" ht="20.100000000000001" customHeight="1" x14ac:dyDescent="0.25">
      <c r="B7" s="1" t="s">
        <v>63</v>
      </c>
      <c r="C7" s="38" t="s">
        <v>821</v>
      </c>
      <c r="D7" s="1"/>
      <c r="E7" s="1"/>
      <c r="F7" s="1"/>
      <c r="G7" s="1"/>
      <c r="H7" s="1"/>
      <c r="I7" s="1"/>
      <c r="O7" s="3"/>
      <c r="P7" s="62"/>
      <c r="X7" s="48"/>
    </row>
    <row r="8" spans="1:29" s="8" customFormat="1" ht="20.100000000000001" customHeight="1" thickBot="1" x14ac:dyDescent="0.3">
      <c r="A8" s="63"/>
      <c r="B8" s="50"/>
      <c r="C8" s="50"/>
      <c r="D8" s="50"/>
      <c r="E8" s="50"/>
      <c r="F8" s="50"/>
      <c r="G8" s="50"/>
      <c r="H8" s="50"/>
      <c r="I8" s="50"/>
      <c r="J8" s="51"/>
      <c r="K8" s="9"/>
      <c r="L8" s="9"/>
      <c r="M8" s="9"/>
      <c r="N8" s="10"/>
      <c r="O8" s="10"/>
      <c r="P8" s="9"/>
      <c r="Q8" s="63"/>
      <c r="R8" s="63"/>
      <c r="S8" s="63"/>
      <c r="T8" s="63"/>
      <c r="U8" s="63"/>
      <c r="V8" s="63"/>
      <c r="W8" s="63"/>
      <c r="X8" s="80"/>
      <c r="Y8" s="63"/>
      <c r="Z8" s="63"/>
      <c r="AA8" s="63"/>
      <c r="AB8" s="63"/>
      <c r="AC8" s="63"/>
    </row>
    <row r="9" spans="1:29" x14ac:dyDescent="0.25">
      <c r="B9" s="669" t="s">
        <v>20</v>
      </c>
      <c r="C9" s="672" t="s">
        <v>629</v>
      </c>
      <c r="D9" s="294" t="s">
        <v>693</v>
      </c>
      <c r="E9" s="662" t="s">
        <v>822</v>
      </c>
      <c r="F9" s="663"/>
      <c r="G9" s="664"/>
      <c r="H9" s="662" t="s">
        <v>825</v>
      </c>
      <c r="I9" s="663"/>
      <c r="J9" s="664"/>
      <c r="K9" s="662" t="s">
        <v>827</v>
      </c>
      <c r="L9" s="663"/>
      <c r="M9" s="664"/>
      <c r="N9" s="662"/>
      <c r="O9" s="663"/>
      <c r="P9" s="664"/>
      <c r="Q9" s="682" t="s">
        <v>694</v>
      </c>
    </row>
    <row r="10" spans="1:29" x14ac:dyDescent="0.25">
      <c r="B10" s="670"/>
      <c r="C10" s="673"/>
      <c r="D10" s="295" t="s">
        <v>695</v>
      </c>
      <c r="E10" s="668"/>
      <c r="F10" s="666"/>
      <c r="G10" s="667"/>
      <c r="H10" s="668"/>
      <c r="I10" s="666"/>
      <c r="J10" s="667"/>
      <c r="K10" s="668"/>
      <c r="L10" s="666"/>
      <c r="M10" s="667"/>
      <c r="N10" s="668"/>
      <c r="O10" s="666"/>
      <c r="P10" s="667"/>
      <c r="Q10" s="683"/>
    </row>
    <row r="11" spans="1:29" x14ac:dyDescent="0.25">
      <c r="B11" s="670"/>
      <c r="C11" s="673"/>
      <c r="D11" s="295" t="s">
        <v>696</v>
      </c>
      <c r="E11" s="665"/>
      <c r="F11" s="666"/>
      <c r="G11" s="667"/>
      <c r="H11" s="668"/>
      <c r="I11" s="666"/>
      <c r="J11" s="667"/>
      <c r="K11" s="668"/>
      <c r="L11" s="666"/>
      <c r="M11" s="667"/>
      <c r="N11" s="668"/>
      <c r="O11" s="666"/>
      <c r="P11" s="667"/>
      <c r="Q11" s="683"/>
    </row>
    <row r="12" spans="1:29" x14ac:dyDescent="0.25">
      <c r="B12" s="670"/>
      <c r="C12" s="673"/>
      <c r="D12" s="295" t="s">
        <v>697</v>
      </c>
      <c r="E12" s="668" t="s">
        <v>823</v>
      </c>
      <c r="F12" s="666"/>
      <c r="G12" s="667"/>
      <c r="H12" s="668" t="s">
        <v>826</v>
      </c>
      <c r="I12" s="666"/>
      <c r="J12" s="667"/>
      <c r="K12" s="668" t="s">
        <v>698</v>
      </c>
      <c r="L12" s="666"/>
      <c r="M12" s="667"/>
      <c r="N12" s="668"/>
      <c r="O12" s="666"/>
      <c r="P12" s="667"/>
      <c r="Q12" s="683"/>
    </row>
    <row r="13" spans="1:29" s="293" customFormat="1" ht="13.5" thickBot="1" x14ac:dyDescent="0.3">
      <c r="B13" s="671"/>
      <c r="C13" s="674"/>
      <c r="D13" s="296" t="s">
        <v>699</v>
      </c>
      <c r="E13" s="297" t="s">
        <v>700</v>
      </c>
      <c r="F13" s="298" t="s">
        <v>701</v>
      </c>
      <c r="G13" s="299" t="s">
        <v>702</v>
      </c>
      <c r="H13" s="297" t="s">
        <v>700</v>
      </c>
      <c r="I13" s="298" t="s">
        <v>701</v>
      </c>
      <c r="J13" s="299" t="s">
        <v>702</v>
      </c>
      <c r="K13" s="297" t="s">
        <v>700</v>
      </c>
      <c r="L13" s="298" t="s">
        <v>701</v>
      </c>
      <c r="M13" s="299" t="s">
        <v>702</v>
      </c>
      <c r="N13" s="297" t="s">
        <v>700</v>
      </c>
      <c r="O13" s="298" t="s">
        <v>701</v>
      </c>
      <c r="P13" s="299" t="s">
        <v>702</v>
      </c>
      <c r="Q13" s="683"/>
    </row>
    <row r="14" spans="1:29" ht="38.25" x14ac:dyDescent="0.25">
      <c r="B14" s="300">
        <v>1</v>
      </c>
      <c r="C14" s="301" t="s">
        <v>824</v>
      </c>
      <c r="D14" s="302" t="s">
        <v>131</v>
      </c>
      <c r="E14" s="303">
        <v>20</v>
      </c>
      <c r="F14" s="304">
        <f>115650/E14</f>
        <v>5782.5</v>
      </c>
      <c r="G14" s="305">
        <f>+E14*F14</f>
        <v>115650</v>
      </c>
      <c r="H14" s="306">
        <f>+E14</f>
        <v>20</v>
      </c>
      <c r="I14" s="304">
        <f>103600/H14</f>
        <v>5180</v>
      </c>
      <c r="J14" s="305">
        <f>+H14*I14</f>
        <v>103600</v>
      </c>
      <c r="K14" s="306"/>
      <c r="L14" s="304"/>
      <c r="M14" s="305">
        <f>+K14*L14</f>
        <v>0</v>
      </c>
      <c r="N14" s="306"/>
      <c r="O14" s="304"/>
      <c r="P14" s="305">
        <f>+N14*O14</f>
        <v>0</v>
      </c>
      <c r="Q14" s="361">
        <f>+IF(O29="MÉDIA",AVERAGE(Q37),IF(O29="MEDIANA",MEDIAN(Q38)))</f>
        <v>5481.25</v>
      </c>
    </row>
    <row r="15" spans="1:29" ht="15" x14ac:dyDescent="0.25">
      <c r="B15" s="300"/>
      <c r="C15" s="301"/>
      <c r="D15" s="302"/>
      <c r="E15" s="303"/>
      <c r="F15" s="304"/>
      <c r="G15" s="305"/>
      <c r="H15" s="306"/>
      <c r="I15" s="304"/>
      <c r="J15" s="305"/>
      <c r="K15" s="306"/>
      <c r="L15" s="304"/>
      <c r="M15" s="305"/>
      <c r="N15" s="306"/>
      <c r="O15" s="304"/>
      <c r="P15" s="305"/>
      <c r="Q15" s="308"/>
    </row>
    <row r="16" spans="1:29" ht="15" x14ac:dyDescent="0.25">
      <c r="B16" s="300"/>
      <c r="C16" s="301"/>
      <c r="D16" s="302"/>
      <c r="E16" s="303"/>
      <c r="F16" s="304"/>
      <c r="G16" s="305"/>
      <c r="H16" s="307"/>
      <c r="I16" s="304"/>
      <c r="J16" s="305"/>
      <c r="K16" s="307"/>
      <c r="L16" s="304"/>
      <c r="M16" s="305"/>
      <c r="N16" s="303"/>
      <c r="O16" s="304"/>
      <c r="P16" s="305"/>
      <c r="Q16" s="308"/>
    </row>
    <row r="17" spans="2:17" ht="15.75" thickBot="1" x14ac:dyDescent="0.3">
      <c r="B17" s="300"/>
      <c r="C17" s="301"/>
      <c r="D17" s="302"/>
      <c r="E17" s="303"/>
      <c r="F17" s="304"/>
      <c r="G17" s="305"/>
      <c r="H17" s="306"/>
      <c r="I17" s="304"/>
      <c r="J17" s="305"/>
      <c r="K17" s="306"/>
      <c r="L17" s="304"/>
      <c r="M17" s="305"/>
      <c r="N17" s="306"/>
      <c r="O17" s="304"/>
      <c r="P17" s="305"/>
      <c r="Q17" s="309"/>
    </row>
    <row r="18" spans="2:17" ht="13.5" thickBot="1" x14ac:dyDescent="0.3">
      <c r="B18" s="677" t="s">
        <v>703</v>
      </c>
      <c r="C18" s="678"/>
      <c r="D18" s="678"/>
      <c r="E18" s="679">
        <f>SUM(G14:G17)</f>
        <v>115650</v>
      </c>
      <c r="F18" s="680"/>
      <c r="G18" s="681"/>
      <c r="H18" s="679">
        <f>SUM(J14:J17)</f>
        <v>103600</v>
      </c>
      <c r="I18" s="680"/>
      <c r="J18" s="681"/>
      <c r="K18" s="679">
        <f>SUM(M14:M17)</f>
        <v>0</v>
      </c>
      <c r="L18" s="680"/>
      <c r="M18" s="681"/>
      <c r="N18" s="679">
        <f>SUM(P14:P17)</f>
        <v>0</v>
      </c>
      <c r="O18" s="680"/>
      <c r="P18" s="681"/>
    </row>
    <row r="19" spans="2:17" hidden="1" x14ac:dyDescent="0.25">
      <c r="O19" s="83"/>
    </row>
    <row r="20" spans="2:17" x14ac:dyDescent="0.25"/>
    <row r="21" spans="2:17" x14ac:dyDescent="0.25"/>
    <row r="22" spans="2:17" x14ac:dyDescent="0.25"/>
    <row r="23" spans="2:17" ht="18" x14ac:dyDescent="0.25">
      <c r="C23" s="310" t="s">
        <v>704</v>
      </c>
      <c r="N23" s="675"/>
      <c r="O23" s="675"/>
      <c r="P23" s="675"/>
      <c r="Q23" s="311"/>
    </row>
    <row r="24" spans="2:17" ht="15.75" x14ac:dyDescent="0.25">
      <c r="C24" s="312" t="s">
        <v>705</v>
      </c>
      <c r="D24" s="313">
        <v>2</v>
      </c>
    </row>
    <row r="25" spans="2:17" ht="16.5" x14ac:dyDescent="0.25">
      <c r="C25" s="67"/>
      <c r="D25" s="314"/>
      <c r="N25" s="676"/>
      <c r="O25" s="676"/>
      <c r="P25" s="676"/>
      <c r="Q25" s="360"/>
    </row>
    <row r="26" spans="2:17" ht="16.5" x14ac:dyDescent="0.25">
      <c r="D26" s="314"/>
    </row>
    <row r="27" spans="2:17" ht="16.5" x14ac:dyDescent="0.25">
      <c r="C27" s="67"/>
      <c r="D27" s="316">
        <f>AVERAGE(F14,I14,L14)</f>
        <v>5481.25</v>
      </c>
      <c r="H27" s="312" t="s">
        <v>1120</v>
      </c>
    </row>
    <row r="28" spans="2:17" ht="16.5" x14ac:dyDescent="0.25">
      <c r="D28" s="314"/>
    </row>
    <row r="29" spans="2:17" ht="16.5" x14ac:dyDescent="0.25">
      <c r="C29" s="67"/>
      <c r="D29" s="314"/>
      <c r="N29" s="319" t="s">
        <v>706</v>
      </c>
      <c r="O29" s="315" t="str">
        <f t="array" ref="O29">_xlfn.IFS(D34&lt;0.25,"MÉDIA",D34&gt;=0.25,"MEDIANA")</f>
        <v>MÉDIA</v>
      </c>
    </row>
    <row r="30" spans="2:17" ht="16.5" x14ac:dyDescent="0.25">
      <c r="C30" s="67" t="s">
        <v>707</v>
      </c>
      <c r="D30" s="316">
        <f>STDEVP(F14,I14,L14)</f>
        <v>301.25</v>
      </c>
      <c r="N30" s="83"/>
    </row>
    <row r="31" spans="2:17" ht="16.5" x14ac:dyDescent="0.25">
      <c r="C31" s="67"/>
      <c r="D31" s="314"/>
    </row>
    <row r="32" spans="2:17" ht="16.5" x14ac:dyDescent="0.25">
      <c r="C32" s="67"/>
      <c r="D32" s="317"/>
    </row>
    <row r="33" spans="3:17" ht="16.5" x14ac:dyDescent="0.25">
      <c r="C33" s="67"/>
      <c r="D33" s="317"/>
    </row>
    <row r="34" spans="3:17" ht="15" x14ac:dyDescent="0.25">
      <c r="D34" s="318">
        <f>D30/D27</f>
        <v>5.4960091220068417E-2</v>
      </c>
    </row>
    <row r="35" spans="3:17" x14ac:dyDescent="0.25"/>
    <row r="36" spans="3:17" x14ac:dyDescent="0.25"/>
    <row r="37" spans="3:17" x14ac:dyDescent="0.25">
      <c r="P37" s="82" t="s">
        <v>101</v>
      </c>
      <c r="Q37" s="83">
        <f>AVERAGE(F14,I14,L14)</f>
        <v>5481.25</v>
      </c>
    </row>
    <row r="38" spans="3:17" x14ac:dyDescent="0.25">
      <c r="P38" s="82" t="s">
        <v>828</v>
      </c>
      <c r="Q38" s="83">
        <f>+MEDIAN(F14,I14,L14)</f>
        <v>5481.25</v>
      </c>
    </row>
    <row r="39" spans="3:17" x14ac:dyDescent="0.25"/>
    <row r="40" spans="3:17" x14ac:dyDescent="0.25"/>
    <row r="41" spans="3:17" x14ac:dyDescent="0.25"/>
    <row r="42" spans="3:17" x14ac:dyDescent="0.25"/>
    <row r="43" spans="3:17" x14ac:dyDescent="0.25"/>
    <row r="44" spans="3:17" x14ac:dyDescent="0.25"/>
    <row r="45" spans="3:17" x14ac:dyDescent="0.25"/>
    <row r="46" spans="3:17" x14ac:dyDescent="0.25"/>
    <row r="47" spans="3:17" x14ac:dyDescent="0.25"/>
    <row r="48" spans="3:17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</sheetData>
  <mergeCells count="27">
    <mergeCell ref="N23:P23"/>
    <mergeCell ref="N25:P25"/>
    <mergeCell ref="B1:Q2"/>
    <mergeCell ref="K12:M12"/>
    <mergeCell ref="N12:P12"/>
    <mergeCell ref="B18:D18"/>
    <mergeCell ref="E18:G18"/>
    <mergeCell ref="H18:J18"/>
    <mergeCell ref="K18:M18"/>
    <mergeCell ref="N18:P18"/>
    <mergeCell ref="Q9:Q13"/>
    <mergeCell ref="E10:G10"/>
    <mergeCell ref="H10:J10"/>
    <mergeCell ref="K10:M10"/>
    <mergeCell ref="N10:P10"/>
    <mergeCell ref="N9:P9"/>
    <mergeCell ref="H12:J12"/>
    <mergeCell ref="B9:B13"/>
    <mergeCell ref="C9:C13"/>
    <mergeCell ref="E9:G9"/>
    <mergeCell ref="H9:J9"/>
    <mergeCell ref="E12:G12"/>
    <mergeCell ref="K9:M9"/>
    <mergeCell ref="E11:G11"/>
    <mergeCell ref="H11:J11"/>
    <mergeCell ref="K11:M11"/>
    <mergeCell ref="N11:P11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63" orientation="landscape" r:id="rId1"/>
  <headerFooter>
    <oddHeader>&amp;L&amp;G</oddHeader>
    <oddFooter>&amp;L&amp;"Arial Narrow,Normal"&amp;10&amp;A
&amp;F&amp;R&amp;"Arial Narrow,Normal"&amp;10 191 de 191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2156E2C64EAC4288D1C4C998CE28F9" ma:contentTypeVersion="0" ma:contentTypeDescription="Crie um novo documento." ma:contentTypeScope="" ma:versionID="2b6865b6910ca1b9a9fc223af4f1e8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5243C-103E-46E3-8531-12C0F3956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FAE452-36B1-4419-AF9A-915F7049E0E6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1A0806-27C7-48D2-874B-E1231DFD03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34</vt:i4>
      </vt:variant>
      <vt:variant>
        <vt:lpstr>Intervalos Nomeados</vt:lpstr>
      </vt:variant>
      <vt:variant>
        <vt:i4>62</vt:i4>
      </vt:variant>
    </vt:vector>
  </HeadingPairs>
  <TitlesOfParts>
    <vt:vector size="96" baseType="lpstr">
      <vt:lpstr>DADOS DA OBRA</vt:lpstr>
      <vt:lpstr>CAPA - ORÇAMENTO</vt:lpstr>
      <vt:lpstr>CAPA - VANTAJOSIDADE</vt:lpstr>
      <vt:lpstr>VANTAJOSIDADE</vt:lpstr>
      <vt:lpstr>CAPA - ORÇAMENTO (SD)</vt:lpstr>
      <vt:lpstr>ORÇAMENTO RESUMO (SD)</vt:lpstr>
      <vt:lpstr>ORÇAMENTO SINTÉTICO (SD)</vt:lpstr>
      <vt:lpstr>CRONOGRAMA (SD)</vt:lpstr>
      <vt:lpstr>CURVA ABC DE SERVIÇOS (SD)</vt:lpstr>
      <vt:lpstr>COMPOSIÇÕES (SD)</vt:lpstr>
      <vt:lpstr>BDI NORMAL (SD) </vt:lpstr>
      <vt:lpstr>BDI DIFERENCIADO (SD) </vt:lpstr>
      <vt:lpstr>ENCARGOS SOCIAIS</vt:lpstr>
      <vt:lpstr>CAPA - ORÇAMENTO CD</vt:lpstr>
      <vt:lpstr>ORÇAMENTO SINTÉTICO (CD)</vt:lpstr>
      <vt:lpstr>BDI NORMAL (CD)</vt:lpstr>
      <vt:lpstr>BDI DIFERENCIADO (CD)</vt:lpstr>
      <vt:lpstr>CAPA - MEMORIAL DE CÁLCULO</vt:lpstr>
      <vt:lpstr>RESUMO LEVTO</vt:lpstr>
      <vt:lpstr>ADMINISTRAÇÃO LOCAL</vt:lpstr>
      <vt:lpstr>CANTEIRO</vt:lpstr>
      <vt:lpstr>EQUIPAMENTOS</vt:lpstr>
      <vt:lpstr>SEGURANÇA DO TRABALHO</vt:lpstr>
      <vt:lpstr>SERVIÇOS PRELIMINARES</vt:lpstr>
      <vt:lpstr>DEMOLIÇÕES - ESQUADRIAS </vt:lpstr>
      <vt:lpstr>DEMOLIÇÕES - GUARDA-CORPO</vt:lpstr>
      <vt:lpstr>DEMOLIÇÕES - ALVENARIAS</vt:lpstr>
      <vt:lpstr>DEMOLIÇÕES - COBERTURA</vt:lpstr>
      <vt:lpstr>DEMOLIÇÕES - CONCRETO</vt:lpstr>
      <vt:lpstr>DEMOLIÇÕES - MOVIMENTO DE TERRA</vt:lpstr>
      <vt:lpstr>DEMOLIÇÕES - TRANSPORTES</vt:lpstr>
      <vt:lpstr>DEMOLIÇÕES - RESÍDUOS</vt:lpstr>
      <vt:lpstr>CAPA - MAPA DE COTAÇÕES</vt:lpstr>
      <vt:lpstr>COT-CORTE DE PILAR</vt:lpstr>
      <vt:lpstr>'ADMINISTRAÇÃO LOCAL'!Area_de_impressao</vt:lpstr>
      <vt:lpstr>'BDI DIFERENCIADO (CD)'!Area_de_impressao</vt:lpstr>
      <vt:lpstr>'BDI DIFERENCIADO (SD) '!Area_de_impressao</vt:lpstr>
      <vt:lpstr>'BDI NORMAL (CD)'!Area_de_impressao</vt:lpstr>
      <vt:lpstr>'BDI NORMAL (SD) '!Area_de_impressao</vt:lpstr>
      <vt:lpstr>CANTEIRO!Area_de_impressao</vt:lpstr>
      <vt:lpstr>'CAPA - MAPA DE COTAÇÕES'!Area_de_impressao</vt:lpstr>
      <vt:lpstr>'CAPA - MEMORIAL DE CÁLCULO'!Area_de_impressao</vt:lpstr>
      <vt:lpstr>'CAPA - ORÇAMENTO'!Area_de_impressao</vt:lpstr>
      <vt:lpstr>'CAPA - ORÇAMENTO (SD)'!Area_de_impressao</vt:lpstr>
      <vt:lpstr>'CAPA - ORÇAMENTO CD'!Area_de_impressao</vt:lpstr>
      <vt:lpstr>'CAPA - VANTAJOSIDADE'!Area_de_impressao</vt:lpstr>
      <vt:lpstr>'COT-CORTE DE PILAR'!Area_de_impressao</vt:lpstr>
      <vt:lpstr>'CRONOGRAMA (SD)'!Area_de_impressao</vt:lpstr>
      <vt:lpstr>'DADOS DA OBRA'!Area_de_impressao</vt:lpstr>
      <vt:lpstr>'DEMOLIÇÕES - ALVENARIAS'!Area_de_impressao</vt:lpstr>
      <vt:lpstr>'DEMOLIÇÕES - COBERTURA'!Area_de_impressao</vt:lpstr>
      <vt:lpstr>'DEMOLIÇÕES - CONCRETO'!Area_de_impressao</vt:lpstr>
      <vt:lpstr>'DEMOLIÇÕES - ESQUADRIAS '!Area_de_impressao</vt:lpstr>
      <vt:lpstr>'DEMOLIÇÕES - GUARDA-CORPO'!Area_de_impressao</vt:lpstr>
      <vt:lpstr>'DEMOLIÇÕES - MOVIMENTO DE TERRA'!Area_de_impressao</vt:lpstr>
      <vt:lpstr>'DEMOLIÇÕES - RESÍDUOS'!Area_de_impressao</vt:lpstr>
      <vt:lpstr>'DEMOLIÇÕES - TRANSPORTES'!Area_de_impressao</vt:lpstr>
      <vt:lpstr>'ENCARGOS SOCIAIS'!Area_de_impressao</vt:lpstr>
      <vt:lpstr>EQUIPAMENTOS!Area_de_impressao</vt:lpstr>
      <vt:lpstr>'ORÇAMENTO RESUMO (SD)'!Area_de_impressao</vt:lpstr>
      <vt:lpstr>'ORÇAMENTO SINTÉTICO (CD)'!Area_de_impressao</vt:lpstr>
      <vt:lpstr>'ORÇAMENTO SINTÉTICO (SD)'!Area_de_impressao</vt:lpstr>
      <vt:lpstr>'RESUMO LEVTO'!Area_de_impressao</vt:lpstr>
      <vt:lpstr>'SEGURANÇA DO TRABALHO'!Area_de_impressao</vt:lpstr>
      <vt:lpstr>'SERVIÇOS PRELIMINARES'!Area_de_impressao</vt:lpstr>
      <vt:lpstr>VANTAJOSIDADE!Area_de_impressao</vt:lpstr>
      <vt:lpstr>'ADMINISTRAÇÃO LOCAL'!Titulos_de_impressao</vt:lpstr>
      <vt:lpstr>'BDI DIFERENCIADO (CD)'!Titulos_de_impressao</vt:lpstr>
      <vt:lpstr>'BDI DIFERENCIADO (SD) '!Titulos_de_impressao</vt:lpstr>
      <vt:lpstr>'BDI NORMAL (CD)'!Titulos_de_impressao</vt:lpstr>
      <vt:lpstr>'BDI NORMAL (SD) '!Titulos_de_impressao</vt:lpstr>
      <vt:lpstr>CANTEIRO!Titulos_de_impressao</vt:lpstr>
      <vt:lpstr>'CAPA - MAPA DE COTAÇÕES'!Titulos_de_impressao</vt:lpstr>
      <vt:lpstr>'CAPA - MEMORIAL DE CÁLCULO'!Titulos_de_impressao</vt:lpstr>
      <vt:lpstr>'CAPA - ORÇAMENTO'!Titulos_de_impressao</vt:lpstr>
      <vt:lpstr>'CAPA - ORÇAMENTO (SD)'!Titulos_de_impressao</vt:lpstr>
      <vt:lpstr>'CAPA - ORÇAMENTO CD'!Titulos_de_impressao</vt:lpstr>
      <vt:lpstr>'CAPA - VANTAJOSIDADE'!Titulos_de_impressao</vt:lpstr>
      <vt:lpstr>'COMPOSIÇÕES (SD)'!Titulos_de_impressao</vt:lpstr>
      <vt:lpstr>'CRONOGRAMA (SD)'!Titulos_de_impressao</vt:lpstr>
      <vt:lpstr>'CURVA ABC DE SERVIÇOS (SD)'!Titulos_de_impressao</vt:lpstr>
      <vt:lpstr>'DEMOLIÇÕES - ALVENARIAS'!Titulos_de_impressao</vt:lpstr>
      <vt:lpstr>'DEMOLIÇÕES - COBERTURA'!Titulos_de_impressao</vt:lpstr>
      <vt:lpstr>'DEMOLIÇÕES - CONCRETO'!Titulos_de_impressao</vt:lpstr>
      <vt:lpstr>'DEMOLIÇÕES - ESQUADRIAS '!Titulos_de_impressao</vt:lpstr>
      <vt:lpstr>'DEMOLIÇÕES - GUARDA-CORPO'!Titulos_de_impressao</vt:lpstr>
      <vt:lpstr>'DEMOLIÇÕES - MOVIMENTO DE TERRA'!Titulos_de_impressao</vt:lpstr>
      <vt:lpstr>'DEMOLIÇÕES - RESÍDUOS'!Titulos_de_impressao</vt:lpstr>
      <vt:lpstr>'DEMOLIÇÕES - TRANSPORTES'!Titulos_de_impressao</vt:lpstr>
      <vt:lpstr>EQUIPAMENTOS!Titulos_de_impressao</vt:lpstr>
      <vt:lpstr>'ORÇAMENTO SINTÉTICO (CD)'!Titulos_de_impressao</vt:lpstr>
      <vt:lpstr>'ORÇAMENTO SINTÉTICO (SD)'!Titulos_de_impressao</vt:lpstr>
      <vt:lpstr>'RESUMO LEVTO'!Titulos_de_impressao</vt:lpstr>
      <vt:lpstr>'SEGURANÇA DO TRABALHO'!Titulos_de_impressao</vt:lpstr>
      <vt:lpstr>'SERVIÇOS PRELIMINARES'!Titulos_de_impressao</vt:lpstr>
      <vt:lpstr>VANTAJOSIDADE!Titulos_de_impressao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Alves Silva</dc:creator>
  <cp:keywords/>
  <dc:description/>
  <cp:lastModifiedBy>Said Elias Jorge Junior</cp:lastModifiedBy>
  <cp:revision/>
  <cp:lastPrinted>2024-11-18T14:40:03Z</cp:lastPrinted>
  <dcterms:created xsi:type="dcterms:W3CDTF">2012-03-26T12:45:23Z</dcterms:created>
  <dcterms:modified xsi:type="dcterms:W3CDTF">2024-11-18T18:21:10Z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0x010100AE2156E2C64EAC4288D1C4C998CE28F9</vt:lpwstr>
  </property>
</Properties>
</file>