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/>
  <xr:revisionPtr revIDLastSave="0" documentId="8_{966E3483-1A2B-415D-8BB5-9A88E8374C4C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Analítica - Imóveis Estaduais" sheetId="1" r:id="rId1"/>
    <sheet name="APOIO" sheetId="7" state="hidden" r:id="rId2"/>
    <sheet name="Sintética 2022" sheetId="8" state="hidden" r:id="rId3"/>
    <sheet name="Arquivo para SCG" sheetId="9" state="hidden" r:id="rId4"/>
  </sheets>
  <definedNames>
    <definedName name="_xlnm._FilterDatabase" localSheetId="3" hidden="1">'Arquivo para SCG'!$A$1:$F$126</definedName>
    <definedName name="Z_220F4180_4357_4C6A_9191_EDCC6F7A16B9_.wvu.FilterData" localSheetId="0" hidden="1">'Analítica - Imóveis Estaduais'!#REF!</definedName>
    <definedName name="Z_7CF1E3CC_3C52_4F64_B147_B60CDED09F39_.wvu.FilterData" localSheetId="0" hidden="1">'Analítica - Imóveis Estaduais'!#REF!</definedName>
    <definedName name="Z_A5E84A00_DAF7_48F4_A761_EB443A432800_.wvu.FilterData" localSheetId="0" hidden="1">'Analítica - Imóveis Estaduais'!#REF!</definedName>
    <definedName name="Z_E5BE32A5_1473_4D07_82C5_006E6EB28646_.wvu.FilterData" localSheetId="0" hidden="1">'Analítica - Imóveis Estaduais'!#REF!</definedName>
  </definedNames>
  <calcPr calcId="191028"/>
  <customWorkbookViews>
    <customWorkbookView name="VER" guid="{220F4180-4357-4C6A-9191-EDCC6F7A16B9}" maximized="1" windowWidth="0" windowHeight="0" activeSheetId="0"/>
    <customWorkbookView name="Conferência" guid="{A5E84A00-DAF7-48F4-A761-EB443A432800}" maximized="1" windowWidth="0" windowHeight="0" activeSheetId="0"/>
    <customWorkbookView name="ÓRGÃOS" guid="{FFD9E5A1-36CF-4F5A-B9DC-7DA6B7B4B706}" maximized="1" windowWidth="0" windowHeight="0" activeSheetId="0"/>
    <customWorkbookView name="Filtro 1" guid="{E5BE32A5-1473-4D07-82C5-006E6EB28646}" maximized="1" windowWidth="0" windowHeight="0" activeSheetId="0"/>
    <customWorkbookView name="Filtro 2" guid="{7CF1E3CC-3C52-4F64-B147-B60CDED09F39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0" i="9" l="1"/>
  <c r="D129" i="9"/>
  <c r="C129" i="9"/>
  <c r="A129" i="9"/>
  <c r="D128" i="9"/>
  <c r="C128" i="9"/>
  <c r="A128" i="9"/>
  <c r="D127" i="9"/>
  <c r="C127" i="9"/>
  <c r="A127" i="9"/>
  <c r="D126" i="9"/>
  <c r="C126" i="9"/>
  <c r="A126" i="9"/>
  <c r="D125" i="9"/>
  <c r="C125" i="9"/>
  <c r="A125" i="9"/>
  <c r="D124" i="9"/>
  <c r="C124" i="9"/>
  <c r="A124" i="9"/>
  <c r="D123" i="9"/>
  <c r="C123" i="9"/>
  <c r="A123" i="9"/>
  <c r="D122" i="9"/>
  <c r="C122" i="9"/>
  <c r="A122" i="9"/>
  <c r="D121" i="9"/>
  <c r="C121" i="9"/>
  <c r="A121" i="9"/>
  <c r="D120" i="9"/>
  <c r="C120" i="9"/>
  <c r="A120" i="9"/>
  <c r="D119" i="9"/>
  <c r="C119" i="9"/>
  <c r="A119" i="9"/>
  <c r="D118" i="9"/>
  <c r="C118" i="9"/>
  <c r="A118" i="9"/>
  <c r="D117" i="9"/>
  <c r="C117" i="9"/>
  <c r="A117" i="9"/>
  <c r="D116" i="9"/>
  <c r="C116" i="9"/>
  <c r="A116" i="9"/>
  <c r="D115" i="9"/>
  <c r="C115" i="9"/>
  <c r="A115" i="9"/>
  <c r="D114" i="9"/>
  <c r="C114" i="9"/>
  <c r="A114" i="9"/>
  <c r="D113" i="9"/>
  <c r="C113" i="9"/>
  <c r="A113" i="9"/>
  <c r="D112" i="9"/>
  <c r="C112" i="9"/>
  <c r="A112" i="9"/>
  <c r="D111" i="9"/>
  <c r="C111" i="9"/>
  <c r="A111" i="9"/>
  <c r="D110" i="9"/>
  <c r="C110" i="9"/>
  <c r="A110" i="9"/>
  <c r="D109" i="9"/>
  <c r="C109" i="9"/>
  <c r="A109" i="9"/>
  <c r="D108" i="9"/>
  <c r="C108" i="9"/>
  <c r="A108" i="9"/>
  <c r="D107" i="9"/>
  <c r="C107" i="9"/>
  <c r="A107" i="9"/>
  <c r="D106" i="9"/>
  <c r="C106" i="9"/>
  <c r="A106" i="9"/>
  <c r="D105" i="9"/>
  <c r="C105" i="9"/>
  <c r="A105" i="9"/>
  <c r="D104" i="9"/>
  <c r="C104" i="9"/>
  <c r="A104" i="9"/>
  <c r="D103" i="9"/>
  <c r="C103" i="9"/>
  <c r="A103" i="9"/>
  <c r="D102" i="9"/>
  <c r="C102" i="9"/>
  <c r="A102" i="9"/>
  <c r="D101" i="9"/>
  <c r="C101" i="9"/>
  <c r="A101" i="9"/>
  <c r="D100" i="9"/>
  <c r="C100" i="9"/>
  <c r="A100" i="9"/>
  <c r="D99" i="9"/>
  <c r="C99" i="9"/>
  <c r="A99" i="9"/>
  <c r="D98" i="9"/>
  <c r="C98" i="9"/>
  <c r="A98" i="9"/>
  <c r="D97" i="9"/>
  <c r="C97" i="9"/>
  <c r="A97" i="9"/>
  <c r="D96" i="9"/>
  <c r="C96" i="9"/>
  <c r="A96" i="9"/>
  <c r="D95" i="9"/>
  <c r="C95" i="9"/>
  <c r="A95" i="9"/>
  <c r="D94" i="9"/>
  <c r="C94" i="9"/>
  <c r="A94" i="9"/>
  <c r="D93" i="9"/>
  <c r="C93" i="9"/>
  <c r="A93" i="9"/>
  <c r="D92" i="9"/>
  <c r="C92" i="9"/>
  <c r="A92" i="9"/>
  <c r="D91" i="9"/>
  <c r="C91" i="9"/>
  <c r="A91" i="9"/>
  <c r="D90" i="9"/>
  <c r="C90" i="9"/>
  <c r="A90" i="9"/>
  <c r="D89" i="9"/>
  <c r="C89" i="9"/>
  <c r="A89" i="9"/>
  <c r="D88" i="9"/>
  <c r="C88" i="9"/>
  <c r="A88" i="9"/>
  <c r="D87" i="9"/>
  <c r="C87" i="9"/>
  <c r="A87" i="9"/>
  <c r="D86" i="9"/>
  <c r="C86" i="9"/>
  <c r="A86" i="9"/>
  <c r="D85" i="9"/>
  <c r="C85" i="9"/>
  <c r="A85" i="9"/>
  <c r="D84" i="9"/>
  <c r="C84" i="9"/>
  <c r="A84" i="9"/>
  <c r="D83" i="9"/>
  <c r="C83" i="9"/>
  <c r="A83" i="9"/>
  <c r="D82" i="9"/>
  <c r="C82" i="9"/>
  <c r="A82" i="9"/>
  <c r="D81" i="9"/>
  <c r="C81" i="9"/>
  <c r="A81" i="9"/>
  <c r="D80" i="9"/>
  <c r="C80" i="9"/>
  <c r="A80" i="9"/>
  <c r="D79" i="9"/>
  <c r="C79" i="9"/>
  <c r="A79" i="9"/>
  <c r="D78" i="9"/>
  <c r="C78" i="9"/>
  <c r="A78" i="9"/>
  <c r="D77" i="9"/>
  <c r="C77" i="9"/>
  <c r="A77" i="9"/>
  <c r="D76" i="9"/>
  <c r="C76" i="9"/>
  <c r="A76" i="9"/>
  <c r="D75" i="9"/>
  <c r="C75" i="9"/>
  <c r="A75" i="9"/>
  <c r="D74" i="9"/>
  <c r="C74" i="9"/>
  <c r="A74" i="9"/>
  <c r="D73" i="9"/>
  <c r="C73" i="9"/>
  <c r="A73" i="9"/>
  <c r="D72" i="9"/>
  <c r="C72" i="9"/>
  <c r="A72" i="9"/>
  <c r="D71" i="9"/>
  <c r="C71" i="9"/>
  <c r="A71" i="9"/>
  <c r="D70" i="9"/>
  <c r="C70" i="9"/>
  <c r="A70" i="9"/>
  <c r="D69" i="9"/>
  <c r="C69" i="9"/>
  <c r="A69" i="9"/>
  <c r="D68" i="9"/>
  <c r="C68" i="9"/>
  <c r="A68" i="9"/>
  <c r="D67" i="9"/>
  <c r="C67" i="9"/>
  <c r="A67" i="9"/>
  <c r="D66" i="9"/>
  <c r="C66" i="9"/>
  <c r="A66" i="9"/>
  <c r="D65" i="9"/>
  <c r="C65" i="9"/>
  <c r="A65" i="9"/>
  <c r="D64" i="9"/>
  <c r="C64" i="9"/>
  <c r="A64" i="9"/>
  <c r="D63" i="9"/>
  <c r="C63" i="9"/>
  <c r="A63" i="9"/>
  <c r="D62" i="9"/>
  <c r="C62" i="9"/>
  <c r="A62" i="9"/>
  <c r="D61" i="9"/>
  <c r="C61" i="9"/>
  <c r="A61" i="9"/>
  <c r="D60" i="9"/>
  <c r="C60" i="9"/>
  <c r="A60" i="9"/>
  <c r="D59" i="9"/>
  <c r="C59" i="9"/>
  <c r="A59" i="9"/>
  <c r="D58" i="9"/>
  <c r="C58" i="9"/>
  <c r="A58" i="9"/>
  <c r="D57" i="9"/>
  <c r="C57" i="9"/>
  <c r="A57" i="9"/>
  <c r="D56" i="9"/>
  <c r="C56" i="9"/>
  <c r="A56" i="9"/>
  <c r="D55" i="9"/>
  <c r="C55" i="9"/>
  <c r="A55" i="9"/>
  <c r="D54" i="9"/>
  <c r="C54" i="9"/>
  <c r="A54" i="9"/>
  <c r="D53" i="9"/>
  <c r="C53" i="9"/>
  <c r="A53" i="9"/>
  <c r="D52" i="9"/>
  <c r="C52" i="9"/>
  <c r="A52" i="9"/>
  <c r="D51" i="9"/>
  <c r="C51" i="9"/>
  <c r="A51" i="9"/>
  <c r="D50" i="9"/>
  <c r="C50" i="9"/>
  <c r="A50" i="9"/>
  <c r="D49" i="9"/>
  <c r="C49" i="9"/>
  <c r="A49" i="9"/>
  <c r="D48" i="9"/>
  <c r="C48" i="9"/>
  <c r="A48" i="9"/>
  <c r="D47" i="9"/>
  <c r="C47" i="9"/>
  <c r="A47" i="9"/>
  <c r="D46" i="9"/>
  <c r="C46" i="9"/>
  <c r="A46" i="9"/>
  <c r="D45" i="9"/>
  <c r="C45" i="9"/>
  <c r="A45" i="9"/>
  <c r="D44" i="9"/>
  <c r="C44" i="9"/>
  <c r="A44" i="9"/>
  <c r="D43" i="9"/>
  <c r="C43" i="9"/>
  <c r="A43" i="9"/>
  <c r="D42" i="9"/>
  <c r="C42" i="9"/>
  <c r="A42" i="9"/>
  <c r="D41" i="9"/>
  <c r="C41" i="9"/>
  <c r="A41" i="9"/>
  <c r="D40" i="9"/>
  <c r="C40" i="9"/>
  <c r="A40" i="9"/>
  <c r="D39" i="9"/>
  <c r="C39" i="9"/>
  <c r="A39" i="9"/>
  <c r="D38" i="9"/>
  <c r="C38" i="9"/>
  <c r="A38" i="9"/>
  <c r="D37" i="9"/>
  <c r="C37" i="9"/>
  <c r="A37" i="9"/>
  <c r="D36" i="9"/>
  <c r="C36" i="9"/>
  <c r="A36" i="9"/>
  <c r="D35" i="9"/>
  <c r="C35" i="9"/>
  <c r="A35" i="9"/>
  <c r="D34" i="9"/>
  <c r="C34" i="9"/>
  <c r="A34" i="9"/>
  <c r="D33" i="9"/>
  <c r="C33" i="9"/>
  <c r="A33" i="9"/>
  <c r="D32" i="9"/>
  <c r="C32" i="9"/>
  <c r="A32" i="9"/>
  <c r="D31" i="9"/>
  <c r="C31" i="9"/>
  <c r="A31" i="9"/>
  <c r="D30" i="9"/>
  <c r="C30" i="9"/>
  <c r="A30" i="9"/>
  <c r="D29" i="9"/>
  <c r="C29" i="9"/>
  <c r="A29" i="9"/>
  <c r="D28" i="9"/>
  <c r="C28" i="9"/>
  <c r="A28" i="9"/>
  <c r="D27" i="9"/>
  <c r="C27" i="9"/>
  <c r="A27" i="9"/>
  <c r="D26" i="9"/>
  <c r="C26" i="9"/>
  <c r="A26" i="9"/>
  <c r="D25" i="9"/>
  <c r="C25" i="9"/>
  <c r="A25" i="9"/>
  <c r="D24" i="9"/>
  <c r="C24" i="9"/>
  <c r="A24" i="9"/>
  <c r="D23" i="9"/>
  <c r="C23" i="9"/>
  <c r="A23" i="9"/>
  <c r="D22" i="9"/>
  <c r="C22" i="9"/>
  <c r="A22" i="9"/>
  <c r="D21" i="9"/>
  <c r="C21" i="9"/>
  <c r="A21" i="9"/>
  <c r="D20" i="9"/>
  <c r="C20" i="9"/>
  <c r="A20" i="9"/>
  <c r="D19" i="9"/>
  <c r="C19" i="9"/>
  <c r="A19" i="9"/>
  <c r="D18" i="9"/>
  <c r="C18" i="9"/>
  <c r="A18" i="9"/>
  <c r="D17" i="9"/>
  <c r="C17" i="9"/>
  <c r="A17" i="9"/>
  <c r="D16" i="9"/>
  <c r="C16" i="9"/>
  <c r="A16" i="9"/>
  <c r="D15" i="9"/>
  <c r="C15" i="9"/>
  <c r="A15" i="9"/>
  <c r="D14" i="9"/>
  <c r="C14" i="9"/>
  <c r="A14" i="9"/>
  <c r="D13" i="9"/>
  <c r="C13" i="9"/>
  <c r="A13" i="9"/>
  <c r="D12" i="9"/>
  <c r="C12" i="9"/>
  <c r="A12" i="9"/>
  <c r="D11" i="9"/>
  <c r="C11" i="9"/>
  <c r="A11" i="9"/>
  <c r="D10" i="9"/>
  <c r="C10" i="9"/>
  <c r="A10" i="9"/>
  <c r="D9" i="9"/>
  <c r="C9" i="9"/>
  <c r="A9" i="9"/>
  <c r="D8" i="9"/>
  <c r="C8" i="9"/>
  <c r="A8" i="9"/>
  <c r="D7" i="9"/>
  <c r="C7" i="9"/>
  <c r="A7" i="9"/>
  <c r="D6" i="9"/>
  <c r="C6" i="9"/>
  <c r="A6" i="9"/>
  <c r="D5" i="9"/>
  <c r="C5" i="9"/>
  <c r="A5" i="9"/>
  <c r="D4" i="9"/>
  <c r="C4" i="9"/>
  <c r="A4" i="9"/>
  <c r="D3" i="9"/>
  <c r="C3" i="9"/>
  <c r="A3" i="9"/>
  <c r="D2" i="9"/>
  <c r="C2" i="9"/>
  <c r="A2" i="9"/>
  <c r="G11" i="8"/>
  <c r="F11" i="8"/>
  <c r="E11" i="8"/>
  <c r="D11" i="8"/>
  <c r="C11" i="8"/>
  <c r="B11" i="8"/>
  <c r="A11" i="8"/>
  <c r="G10" i="8"/>
  <c r="F10" i="8"/>
  <c r="E10" i="8"/>
  <c r="D10" i="8"/>
  <c r="C10" i="8"/>
  <c r="B10" i="8"/>
  <c r="A10" i="8"/>
  <c r="G9" i="8"/>
  <c r="F9" i="8"/>
  <c r="E9" i="8"/>
  <c r="D9" i="8"/>
  <c r="C9" i="8"/>
  <c r="B9" i="8"/>
  <c r="A9" i="8"/>
  <c r="G8" i="8"/>
  <c r="F8" i="8"/>
  <c r="E8" i="8"/>
  <c r="D8" i="8"/>
  <c r="C8" i="8"/>
  <c r="B8" i="8"/>
  <c r="A8" i="8"/>
  <c r="G7" i="8"/>
  <c r="F7" i="8"/>
  <c r="E7" i="8"/>
  <c r="D7" i="8"/>
  <c r="C7" i="8"/>
  <c r="B7" i="8"/>
  <c r="A7" i="8"/>
  <c r="G6" i="8"/>
  <c r="F6" i="8"/>
  <c r="E6" i="8"/>
  <c r="D6" i="8"/>
  <c r="C6" i="8"/>
  <c r="B6" i="8"/>
  <c r="A6" i="8"/>
  <c r="G5" i="8"/>
  <c r="F5" i="8"/>
  <c r="E5" i="8"/>
  <c r="D5" i="8"/>
  <c r="C5" i="8"/>
  <c r="B5" i="8"/>
  <c r="A5" i="8"/>
  <c r="G4" i="8"/>
  <c r="F4" i="8"/>
  <c r="D4" i="8"/>
  <c r="C4" i="8"/>
  <c r="B4" i="8"/>
  <c r="A4" i="8"/>
  <c r="G3" i="8"/>
  <c r="F3" i="8"/>
  <c r="D3" i="8"/>
  <c r="C3" i="8"/>
  <c r="B3" i="8"/>
  <c r="A3" i="8"/>
  <c r="G2" i="8"/>
  <c r="F2" i="8"/>
  <c r="D2" i="8"/>
  <c r="C2" i="8"/>
  <c r="B2" i="8"/>
  <c r="A2" i="8"/>
  <c r="G1" i="8"/>
  <c r="F1" i="8"/>
  <c r="E1" i="8"/>
  <c r="D1" i="8"/>
  <c r="C1" i="8"/>
  <c r="B1" i="8"/>
  <c r="A1" i="8"/>
</calcChain>
</file>

<file path=xl/sharedStrings.xml><?xml version="1.0" encoding="utf-8"?>
<sst xmlns="http://schemas.openxmlformats.org/spreadsheetml/2006/main" count="1187" uniqueCount="724">
  <si>
    <t>Município</t>
  </si>
  <si>
    <t xml:space="preserve"> Denominação do Imóvel</t>
  </si>
  <si>
    <t xml:space="preserve"> Endereço do Imóvel</t>
  </si>
  <si>
    <t>Área da Certidão
(m² ou ha)</t>
  </si>
  <si>
    <t>Matrícula/ Transcrição</t>
  </si>
  <si>
    <t>Valor Inventário 2022 (TCE)</t>
  </si>
  <si>
    <t>São Domingos</t>
  </si>
  <si>
    <t>Parque Estadual  Terra Ronca</t>
  </si>
  <si>
    <t>São Domingos-GO</t>
  </si>
  <si>
    <t>79,50 alqs</t>
  </si>
  <si>
    <t>147,5700 ha</t>
  </si>
  <si>
    <t>23 alqs</t>
  </si>
  <si>
    <t>55 alqs</t>
  </si>
  <si>
    <t>34,00 alqs</t>
  </si>
  <si>
    <t>231,6176 ha</t>
  </si>
  <si>
    <t>1.311,9638 ha</t>
  </si>
  <si>
    <t>2.020,2108 ha</t>
  </si>
  <si>
    <t>968,2416 ha</t>
  </si>
  <si>
    <t>210,0654 ha</t>
  </si>
  <si>
    <t>366,4059  ha</t>
  </si>
  <si>
    <t>181,9390 ha</t>
  </si>
  <si>
    <t>1.074.5905 ha</t>
  </si>
  <si>
    <t>65,8812 ha</t>
  </si>
  <si>
    <t>Goianápolis</t>
  </si>
  <si>
    <t>Parque Estadual Altamiro de Moura Pacheco</t>
  </si>
  <si>
    <t>Rodovia BR 060, Goianápolis-GO</t>
  </si>
  <si>
    <t>232.9493 ha</t>
  </si>
  <si>
    <t>29,5847 ha</t>
  </si>
  <si>
    <t>Aproximadamente 4.550,00m² ou 7 litros</t>
  </si>
  <si>
    <t>2.020,2108  ha</t>
  </si>
  <si>
    <t>111,3200 ha</t>
  </si>
  <si>
    <t>691,9939 ha</t>
  </si>
  <si>
    <t>05 alqs</t>
  </si>
  <si>
    <t>91,9527 ha</t>
  </si>
  <si>
    <t>Amorinópolis</t>
  </si>
  <si>
    <t>Barragem - Parque Ecológico Balbino - Parque Batista Custodio - Ocupação Irregular</t>
  </si>
  <si>
    <t>Rua 01 ou Rua Humberto de Campos, s/nº, Amorinópolis-GO</t>
  </si>
  <si>
    <t>2 alqs 32 lts</t>
  </si>
  <si>
    <t>18,1154 ha</t>
  </si>
  <si>
    <t>10,7206 ha</t>
  </si>
  <si>
    <t>3,2065 ha</t>
  </si>
  <si>
    <t>Guarani de Goiás</t>
  </si>
  <si>
    <t>Parque Estadual Terra Ronca</t>
  </si>
  <si>
    <t>Fazenda Chapadinha, Guarani de Goiás-GO</t>
  </si>
  <si>
    <t>1.219,6800 ha</t>
  </si>
  <si>
    <t>Terezópolis de Goiás</t>
  </si>
  <si>
    <t>Barragem João Leite</t>
  </si>
  <si>
    <t>BR - 153, Zona Rural, Terezópolis de Goiás-GO</t>
  </si>
  <si>
    <t>40,8265 ha</t>
  </si>
  <si>
    <t>70,6925 ha</t>
  </si>
  <si>
    <t>952,0751 ha</t>
  </si>
  <si>
    <t>187,4242 ha</t>
  </si>
  <si>
    <t>157,9578  ha</t>
  </si>
  <si>
    <t>460,5732 ha</t>
  </si>
  <si>
    <t>358,4827 ha</t>
  </si>
  <si>
    <t>03 alqs</t>
  </si>
  <si>
    <t>Corumbá de Goiás</t>
  </si>
  <si>
    <t>Parque Estadual dos Pirineus</t>
  </si>
  <si>
    <t>Fazenda Lavras do Abade, Corumbá de Goiás-GO</t>
  </si>
  <si>
    <t>80,1625 ha</t>
  </si>
  <si>
    <t>13 alqs</t>
  </si>
  <si>
    <t>247,9459 ha</t>
  </si>
  <si>
    <t>517,8800 ha</t>
  </si>
  <si>
    <t>165,5277 ha</t>
  </si>
  <si>
    <t>443,8984 ha</t>
  </si>
  <si>
    <t>02 alqs</t>
  </si>
  <si>
    <t>68 alqs</t>
  </si>
  <si>
    <t>363.0000 ha</t>
  </si>
  <si>
    <t>215,3155 ha</t>
  </si>
  <si>
    <t>165,3913 ha</t>
  </si>
  <si>
    <t>Fazenda Serra Dourada, Guarani de Goiás-GO</t>
  </si>
  <si>
    <t>102,5230  ha</t>
  </si>
  <si>
    <t>56,8000 ha</t>
  </si>
  <si>
    <t>307,80 ha</t>
  </si>
  <si>
    <t>225,5636 ha</t>
  </si>
  <si>
    <t>65,0000 ha</t>
  </si>
  <si>
    <t>29,0400 ha</t>
  </si>
  <si>
    <t>75,0478 ha</t>
  </si>
  <si>
    <t>10000,00</t>
  </si>
  <si>
    <t>Caldas Novas</t>
  </si>
  <si>
    <t>Parque Estadual Serra de Caldas-PESCAN</t>
  </si>
  <si>
    <t>Caldas Novas-GO</t>
  </si>
  <si>
    <t>0,00</t>
  </si>
  <si>
    <t>255,5491 ha</t>
  </si>
  <si>
    <t>Goiânia</t>
  </si>
  <si>
    <t>Ocupação Irregular - Morro da Serrinha</t>
  </si>
  <si>
    <t>Rua 1.112, Setor Serrinha, Goiânia-GO</t>
  </si>
  <si>
    <t>26056,10</t>
  </si>
  <si>
    <t>Água Limpa</t>
  </si>
  <si>
    <t>Parque Estadual Mata Atlântica</t>
  </si>
  <si>
    <t>Fazenda Corumbá, Água Limpa-GO</t>
  </si>
  <si>
    <t>203,2800 ha</t>
  </si>
  <si>
    <t>62,9200 ha</t>
  </si>
  <si>
    <t>4.172,9431 ha</t>
  </si>
  <si>
    <t>Pirenópolis</t>
  </si>
  <si>
    <t>Rod. Parque Est. dos Pirineus, Pirenópolis - GO</t>
  </si>
  <si>
    <t>18 alqs</t>
  </si>
  <si>
    <t>423,5867 ha</t>
  </si>
  <si>
    <t>263,8295 ha</t>
  </si>
  <si>
    <t>886,2517 ha</t>
  </si>
  <si>
    <t>200,3191 ha</t>
  </si>
  <si>
    <t>13,3000 ha</t>
  </si>
  <si>
    <t>1.117,7407 ha</t>
  </si>
  <si>
    <t>159,8903 ha</t>
  </si>
  <si>
    <t>24 alqs</t>
  </si>
  <si>
    <t>1.314,3349 ha</t>
  </si>
  <si>
    <t>56,7642 ha</t>
  </si>
  <si>
    <t>150,4445 ha</t>
  </si>
  <si>
    <t>457,6292 ha</t>
  </si>
  <si>
    <t>106,9971 ha</t>
  </si>
  <si>
    <t>123,2394 ha</t>
  </si>
  <si>
    <t>53,7899 ha</t>
  </si>
  <si>
    <t>126,6544 ha</t>
  </si>
  <si>
    <t>67,9933 ha</t>
  </si>
  <si>
    <t>61,7280 ha</t>
  </si>
  <si>
    <t>100,8265 ha</t>
  </si>
  <si>
    <t>49,6100 ha</t>
  </si>
  <si>
    <t>427,3340 ha</t>
  </si>
  <si>
    <t>97,9766 ha</t>
  </si>
  <si>
    <t>193,8921 ha</t>
  </si>
  <si>
    <t>74,5002 ha</t>
  </si>
  <si>
    <t>605,3821 ha</t>
  </si>
  <si>
    <t>322,6201 ha</t>
  </si>
  <si>
    <t>113,7670 ha</t>
  </si>
  <si>
    <t>146,9728 ha</t>
  </si>
  <si>
    <t>326,1871 ha</t>
  </si>
  <si>
    <t>38,1683 ha</t>
  </si>
  <si>
    <t>132,9556 ha</t>
  </si>
  <si>
    <t>234,9020 ha</t>
  </si>
  <si>
    <t>35,4777 ha</t>
  </si>
  <si>
    <t>183,8332 ha</t>
  </si>
  <si>
    <t>186,5867 ha</t>
  </si>
  <si>
    <t>1.976,7596 ha</t>
  </si>
  <si>
    <t>Fazenda Betel/Buriti Sozinho, Corumbá de Goiás-GO</t>
  </si>
  <si>
    <t>6 alqs</t>
  </si>
  <si>
    <t>375.97.33  ha</t>
  </si>
  <si>
    <t>256,0806 ha</t>
  </si>
  <si>
    <t>232,0557  ha</t>
  </si>
  <si>
    <t>522,9695 ha</t>
  </si>
  <si>
    <t>89,8356 ha</t>
  </si>
  <si>
    <t>Fazenda Esperimos, Pirenópolis-GO</t>
  </si>
  <si>
    <t>162,2000 ha</t>
  </si>
  <si>
    <t>São João d'Aliança</t>
  </si>
  <si>
    <t>Área Alagada - Barragem Projeto Flores de Goiás</t>
  </si>
  <si>
    <t>Fazenda Vale do Paranã, São João D'Aliança-GO</t>
  </si>
  <si>
    <t>430,6617 ha</t>
  </si>
  <si>
    <t>SEMAD</t>
  </si>
  <si>
    <t>11º Avenida, Qd. 94, Lt. 20, Setor Leste Universitário, Goiânia-GO</t>
  </si>
  <si>
    <t>681,25</t>
  </si>
  <si>
    <t>Quirinópolis</t>
  </si>
  <si>
    <t>Área alagada - Barragem São Simão/CEMIG</t>
  </si>
  <si>
    <t>Fazenda Mateira (Antiga Paranaiguara), Paranaiguara-GO</t>
  </si>
  <si>
    <t>20 alqs</t>
  </si>
  <si>
    <t>Senador Canedo</t>
  </si>
  <si>
    <t>Implantação de projeto florestal - com ocupações irregulares</t>
  </si>
  <si>
    <t>Colônia Santa Marta, Senador Canedo-GO</t>
  </si>
  <si>
    <t>83,1951 ha</t>
  </si>
  <si>
    <t>3.997,8400 ha</t>
  </si>
  <si>
    <t>32,5000 ha</t>
  </si>
  <si>
    <t>Abadia de Goiás</t>
  </si>
  <si>
    <t>Parque Estadual Telma Ortegal</t>
  </si>
  <si>
    <t>Fazenda Poções  ou Dourados, Abadia de Goiás - GO</t>
  </si>
  <si>
    <t>53,282294 ha</t>
  </si>
  <si>
    <t>72717,44</t>
  </si>
  <si>
    <t>17 alqs</t>
  </si>
  <si>
    <t>42,5 ha</t>
  </si>
  <si>
    <t>Alto Paraíso de Goiás</t>
  </si>
  <si>
    <t>Unidade de Conservação Ambiental  - Serra Geral do Paranã</t>
  </si>
  <si>
    <t>GO - 239, Zona Rural, Alto Paraíso de Goiás-GO</t>
  </si>
  <si>
    <t>2.668,7883 ha
(Remanescente)</t>
  </si>
  <si>
    <t>32,0659 ha</t>
  </si>
  <si>
    <t>Área Alagada Barragem João Leite</t>
  </si>
  <si>
    <t>Terezópolis de Goiás-GO</t>
  </si>
  <si>
    <t>Fazenda Esperimos, Corumbá de Goiás-GO</t>
  </si>
  <si>
    <t>20,3000 ha</t>
  </si>
  <si>
    <t>Chácaras e lotes Votorantim, Corumbá de Goiás-GO</t>
  </si>
  <si>
    <t>102,9055 ha</t>
  </si>
  <si>
    <t>2,6124 ha</t>
  </si>
  <si>
    <t>7,4906 ha</t>
  </si>
  <si>
    <t>105,9580 ha</t>
  </si>
  <si>
    <t>São Francisco de Goiás</t>
  </si>
  <si>
    <t>Parque Ecológico da Serra de Jaraguá</t>
  </si>
  <si>
    <t>BR 070, Á 4,00 km de distância da BR 153, São Francisco de Goiás-GO</t>
  </si>
  <si>
    <t>3,7772 ha</t>
  </si>
  <si>
    <t>Nerópolis</t>
  </si>
  <si>
    <t>Nerópolis-GO</t>
  </si>
  <si>
    <t>30,2597 ha</t>
  </si>
  <si>
    <t>Fazenda Lavras o Abade, Pirenópolis-GO</t>
  </si>
  <si>
    <t>2,0570 ha</t>
  </si>
  <si>
    <t>Fazenda Lavras do Abade, Pirenópolis-GO</t>
  </si>
  <si>
    <t>17,8475 ha</t>
  </si>
  <si>
    <t>Fazenda Arrudas(Estrela da Manhã), Pirenópolis-GO</t>
  </si>
  <si>
    <t>10,1806 ha</t>
  </si>
  <si>
    <t>Margem Direita do Rio das Almas, Pirenópolis-GO</t>
  </si>
  <si>
    <t>8,9422 ha</t>
  </si>
  <si>
    <t>Lavras do Abade, Pirenópolis-GO</t>
  </si>
  <si>
    <t>160,6346 ha</t>
  </si>
  <si>
    <t>341,4023 ha</t>
  </si>
  <si>
    <t>188,5054 ha</t>
  </si>
  <si>
    <t>Unidade de Conservação Ambiental (Parque Serra Geral Paranã)</t>
  </si>
  <si>
    <t>Fazenda Ribeirão, GO - 116, Zona Rural, São João D'Aliança-GO</t>
  </si>
  <si>
    <t>3.425,7710 ha</t>
  </si>
  <si>
    <t>Ocupação Irregular - Área Alagada</t>
  </si>
  <si>
    <t>Fazenda Saco dos Porcos e Pindorama Baixa, São João D'Aliança-GO</t>
  </si>
  <si>
    <t>1.338,93217 ha</t>
  </si>
  <si>
    <t>12,9230 ha</t>
  </si>
  <si>
    <t>20,4806 ha</t>
  </si>
  <si>
    <t>Cocalzinho de Goiás</t>
  </si>
  <si>
    <t>Fazenda Votorantim, Cocalzinho de Goiás-GO</t>
  </si>
  <si>
    <t>5,4546 ha</t>
  </si>
  <si>
    <t>46,1466 ha</t>
  </si>
  <si>
    <t>Parque Ecológico Altamiro de Moura Pacheco</t>
  </si>
  <si>
    <t>Fazenda Retiro-BR153, Goiânia-GO</t>
  </si>
  <si>
    <t>63250,60</t>
  </si>
  <si>
    <t>34333,17</t>
  </si>
  <si>
    <t>Jaraguá</t>
  </si>
  <si>
    <t>Parque Estadual da Serra de Jaraguá</t>
  </si>
  <si>
    <t>Serra de Jaraguá, Jaraguá-GO</t>
  </si>
  <si>
    <t>43,37,87 ha</t>
  </si>
  <si>
    <t>Goianápolis-GO</t>
  </si>
  <si>
    <t>8,2281 ha</t>
  </si>
  <si>
    <t>BR - 153, Zona Rural, Nerópolis-GO</t>
  </si>
  <si>
    <t>207,1160 ha</t>
  </si>
  <si>
    <t>Paraúna</t>
  </si>
  <si>
    <t>Parque Estadual Serra das Galés</t>
  </si>
  <si>
    <t>Parque Estadual Serra das Galés, Paraúna - GO</t>
  </si>
  <si>
    <t>3997,00</t>
  </si>
  <si>
    <t>24,3221 ha</t>
  </si>
  <si>
    <t>48400,00</t>
  </si>
  <si>
    <t>490.4750  ha</t>
  </si>
  <si>
    <t xml:space="preserve"> Centro de reabilitação e manutenção de animais silvestres do Estado de Goiás - SEMAD</t>
  </si>
  <si>
    <t xml:space="preserve">  Av. Ubirajara Berocan Leite, s/nº, Chácara Retiro,
Goiânia-GO</t>
  </si>
  <si>
    <t>681.137,77 (Remanescente)</t>
  </si>
  <si>
    <t>234.7268 ha</t>
  </si>
  <si>
    <t>Goiás</t>
  </si>
  <si>
    <t>Parque das Acácias</t>
  </si>
  <si>
    <t>GO-070, Parque das Acácias, Goiás - GO</t>
  </si>
  <si>
    <t>34970,00</t>
  </si>
  <si>
    <t>100066,91</t>
  </si>
  <si>
    <t>01,7865 ha</t>
  </si>
  <si>
    <t>23.248048  ha</t>
  </si>
  <si>
    <t>78.0895 ha</t>
  </si>
  <si>
    <t>59,31,51,64  ha</t>
  </si>
  <si>
    <t>295.7455  ha</t>
  </si>
  <si>
    <t>48,4100 ha</t>
  </si>
  <si>
    <t>Parque Estadual Serra de Jaraguá</t>
  </si>
  <si>
    <t xml:space="preserve">Zona Rural, Acesso a rampa de voô livre,  Jaraguá-GO </t>
  </si>
  <si>
    <t>124,1244ha</t>
  </si>
  <si>
    <t>Zona Rural, Acesso a rampa de voô livre,  Jaraguá-GO</t>
  </si>
  <si>
    <t>107,5028 ha</t>
  </si>
  <si>
    <t>570,00</t>
  </si>
  <si>
    <t>71298,48</t>
  </si>
  <si>
    <t>Área Inundada Barragem João Leite</t>
  </si>
  <si>
    <t>Rodovia BR 153, Goiânia-GO</t>
  </si>
  <si>
    <t>39,9300  ha</t>
  </si>
  <si>
    <t>45,5506  ha</t>
  </si>
  <si>
    <t>167,0686 ha</t>
  </si>
  <si>
    <t>11,3009 ha</t>
  </si>
  <si>
    <t>103,0701 ha</t>
  </si>
  <si>
    <t>Centro de reabilitação e manutenção de animais silvestres do Estado de Goiás - SEMAD</t>
  </si>
  <si>
    <t>Avenida Ubirajara Berocan Leite,Setor Jaó, Goiânia – GO</t>
  </si>
  <si>
    <t>Fazenda Dois Irmãos</t>
  </si>
  <si>
    <t>13,3655 ha</t>
  </si>
  <si>
    <t>https://docs.google.com/spreadsheets/d/1zwtmvbEVCGELYcqtI3O8G3JVCSb0rXTuxCizsqFeKmM/edit#gid=0</t>
  </si>
  <si>
    <t>Código do Órgão</t>
  </si>
  <si>
    <t>Confimação de Propriedade</t>
  </si>
  <si>
    <t>Descrição do Código Associado (De acordo com o Plano de Contas)</t>
  </si>
  <si>
    <t>Código Associado (de acordo com o Plano de contas)</t>
  </si>
  <si>
    <t>Código Patrimonial de Depreciação</t>
  </si>
  <si>
    <t>Realizou reavaliação?</t>
  </si>
  <si>
    <t>CRI</t>
  </si>
  <si>
    <t>Tipo do Imóvel</t>
  </si>
  <si>
    <t>Ocupação/ Edificação do Terreno</t>
  </si>
  <si>
    <t>SIM</t>
  </si>
  <si>
    <t>IMÓVEIS RESIDENCIAIS - USO ESPECIAL</t>
  </si>
  <si>
    <t>1.2.3.2.1.01.01.01.00</t>
  </si>
  <si>
    <t>1.2.3.8.1.02.01.01.01</t>
  </si>
  <si>
    <t>Urbano</t>
  </si>
  <si>
    <t>Edificado</t>
  </si>
  <si>
    <t>NÃO</t>
  </si>
  <si>
    <t>SALAS E ESCRITÓRIOS - USO ESPECIAL</t>
  </si>
  <si>
    <t>1.2.3.2.1.01.02.01.00</t>
  </si>
  <si>
    <t>1.2.3.8.1.02.01.02.01</t>
  </si>
  <si>
    <t>Abadiânia</t>
  </si>
  <si>
    <t>1ªCRI</t>
  </si>
  <si>
    <t>Rural</t>
  </si>
  <si>
    <t>Não Edificado</t>
  </si>
  <si>
    <t>FORMULA CODIGO PATRIMONIO =PROCV($AC2;APOIO!$D:$E;2;FALSO)</t>
  </si>
  <si>
    <t>EDIFICIOS - USO ESPECIAL</t>
  </si>
  <si>
    <t>1.2.3.2.1.01.03.01.00</t>
  </si>
  <si>
    <t>1.2.3.8.1.02.01.03.01</t>
  </si>
  <si>
    <t>Acreúna</t>
  </si>
  <si>
    <t>2ªCRI</t>
  </si>
  <si>
    <t>Imóvel não localizado</t>
  </si>
  <si>
    <t>TERRENOS - USO ESPECIAL</t>
  </si>
  <si>
    <t>1.2.3.2.1.01.04.01.00</t>
  </si>
  <si>
    <t>1.2.3.8.1.02.01.04.01</t>
  </si>
  <si>
    <t>Adelândia</t>
  </si>
  <si>
    <t>3ªCRI</t>
  </si>
  <si>
    <t>Não Consta</t>
  </si>
  <si>
    <t>IMÓVEIS ESTADUAIS</t>
  </si>
  <si>
    <t>ARMAZÉNS - USO ESPECIAL</t>
  </si>
  <si>
    <t>1.2.3.2.1.01.05.01.00</t>
  </si>
  <si>
    <t>1.2.3.8.1.02.01.05.01</t>
  </si>
  <si>
    <t>Água Fria de Goiás</t>
  </si>
  <si>
    <t>4ªCRI</t>
  </si>
  <si>
    <t xml:space="preserve"> Ocupação Desordenada</t>
  </si>
  <si>
    <t>IMÓVEIS RECEBIDOS EM CESSÃO</t>
  </si>
  <si>
    <t>GALPÕES - USO ESPECIAL</t>
  </si>
  <si>
    <t>1.2.3.2.1.01.05.02.00</t>
  </si>
  <si>
    <t>1.2.3.8.1.02.01.05.02</t>
  </si>
  <si>
    <t>Edificação em ruína</t>
  </si>
  <si>
    <t xml:space="preserve">IMÓVEIS PRÓPRIOS </t>
  </si>
  <si>
    <t>QUARTÉIS - USO ESPECIAL</t>
  </si>
  <si>
    <t>1.2.3.2.1.01.06.01.00</t>
  </si>
  <si>
    <t>1.2.3.8.1.02.01.00.01</t>
  </si>
  <si>
    <t>Águas Lindas de Goiás</t>
  </si>
  <si>
    <t>IMÓVEIS PRÓPRIOS CEDIDOS</t>
  </si>
  <si>
    <t>AEROPORTOS - USO ESPECIAL</t>
  </si>
  <si>
    <t>1.2.3.2.1.01.07.01.00</t>
  </si>
  <si>
    <t>1.2.3.8.1.02.01.07.01</t>
  </si>
  <si>
    <t>Alexânia</t>
  </si>
  <si>
    <t>ESTAÇÕES - USO ESPECIAL</t>
  </si>
  <si>
    <t>1.2.3.2.1.01.07.02.00</t>
  </si>
  <si>
    <t>1.2.3.8.1.02.01.07.02</t>
  </si>
  <si>
    <t>Aloândia</t>
  </si>
  <si>
    <t>AERÓDROMOS - USO ESPECIAL</t>
  </si>
  <si>
    <t>1.2.3.2.1.01.07.03.00</t>
  </si>
  <si>
    <t>1.2.3.8.1.02.01.07.03</t>
  </si>
  <si>
    <t>Alto Horizonte</t>
  </si>
  <si>
    <t>ESCOLAS - USO ESPECIAL</t>
  </si>
  <si>
    <t>1.2.3.2.1.01.08.01.00</t>
  </si>
  <si>
    <t>1.2.3.8.1.02.01.08.01</t>
  </si>
  <si>
    <t>REPRESAS - USO ESPECIAL</t>
  </si>
  <si>
    <t>1.2.3.2.1.01.09.01.00</t>
  </si>
  <si>
    <t>1.2.3.8.1.02.01.09.01</t>
  </si>
  <si>
    <t>Alvorada do Norte</t>
  </si>
  <si>
    <t>AÇUDES - USO ESPECIAL</t>
  </si>
  <si>
    <t>1.2.3.2.1.01.09.02.00</t>
  </si>
  <si>
    <t>1.2.3.8.1.02.01.09.02</t>
  </si>
  <si>
    <t>Amaralina</t>
  </si>
  <si>
    <t>FAZENDAS - USO ESPECIAL</t>
  </si>
  <si>
    <t>1.2.3.2.1.01.10.01.00</t>
  </si>
  <si>
    <t>1.2.3.8.1.02.01.10.01</t>
  </si>
  <si>
    <t>Americano do Brasil</t>
  </si>
  <si>
    <t>PARQUES - USO ESPECIAL</t>
  </si>
  <si>
    <t>1.2.3.2.1.01.10.02.00</t>
  </si>
  <si>
    <t>1.2.3.8.1.02.01.10.02</t>
  </si>
  <si>
    <t>RESERVAS - USO ESPECIAL</t>
  </si>
  <si>
    <t>1.2.3.2.1.01.10.03.00</t>
  </si>
  <si>
    <t>1.2.3.8.1.02.01.10.03</t>
  </si>
  <si>
    <t>Anápolis</t>
  </si>
  <si>
    <t>CLUBES - USO ESPECIAL</t>
  </si>
  <si>
    <t>1.2.3.2.1.01.11.01.00</t>
  </si>
  <si>
    <t>1.2.3.8.1.02.01.11.01</t>
  </si>
  <si>
    <t>Anhanguera</t>
  </si>
  <si>
    <t>ESTÁDIOS - USO ESPECIAL</t>
  </si>
  <si>
    <t>1.2.3.2.1.01.11.02.00</t>
  </si>
  <si>
    <t>1.2.3.8.1.02.01.11.02</t>
  </si>
  <si>
    <t>Anicuns</t>
  </si>
  <si>
    <t>TEATROS - USO ESPECIAL</t>
  </si>
  <si>
    <t>1.2.3.2.1.01.11.03.00</t>
  </si>
  <si>
    <t>1.2.3.8.1.02.01.11.03</t>
  </si>
  <si>
    <t>Aparecida de Goiânia</t>
  </si>
  <si>
    <t>CENTRO DE EVENTOS - USO ESPECIAL</t>
  </si>
  <si>
    <t>1.2.3.2.1.01.11.04.00</t>
  </si>
  <si>
    <t>1.2.3.8.1.02.01.11.04</t>
  </si>
  <si>
    <t>Aparecida do Rio Doce</t>
  </si>
  <si>
    <t>GINÁSIOS - USO ESPECIAL</t>
  </si>
  <si>
    <t>1.2.3.2.1.01.11.05.00</t>
  </si>
  <si>
    <t>1.2.3.8.1.02.01.11.05</t>
  </si>
  <si>
    <t>Aporé</t>
  </si>
  <si>
    <t>CENTRO ESPORTIVO / CAMPO DE FUTEBOL - USO ESPECIAL</t>
  </si>
  <si>
    <t>1.2.3.2.1.01.11.06.00</t>
  </si>
  <si>
    <t>1.2.3.8.1.02.01.11.06</t>
  </si>
  <si>
    <t>Araçu</t>
  </si>
  <si>
    <t>MUSEUS - USO ESPECIAL</t>
  </si>
  <si>
    <t>1.2.3.2.1.01.13.01.00</t>
  </si>
  <si>
    <t>1.2.3.8.1.02.01.13.01</t>
  </si>
  <si>
    <t>Aragarças</t>
  </si>
  <si>
    <t>PALÁCIOS - USO ESPECIAL</t>
  </si>
  <si>
    <t>1.2.3.2.1.01.13.02.00</t>
  </si>
  <si>
    <t>1.2.3.8.1.02.01.13.02</t>
  </si>
  <si>
    <t>Aragoiânia</t>
  </si>
  <si>
    <t>LABORATÓRIOS - USO ESPECIAL</t>
  </si>
  <si>
    <t>1.2.3.2.1.01.14.01.00</t>
  </si>
  <si>
    <t>1.2.3.8.1.02.01.14.01</t>
  </si>
  <si>
    <t>Araguapaz</t>
  </si>
  <si>
    <t>OBSERVATÓRIOS - USO ESPECIAL</t>
  </si>
  <si>
    <t>1.2.3.2.1.01.14.02.00</t>
  </si>
  <si>
    <t>1.2.3.8.1.02.01.14.02</t>
  </si>
  <si>
    <t>Arenópolis</t>
  </si>
  <si>
    <t>HOSPITAIS - USO ESPECIAL</t>
  </si>
  <si>
    <t>1.2.3.2.1.01.15.01.00</t>
  </si>
  <si>
    <t>1.2.3.8.1.02.01.15.01</t>
  </si>
  <si>
    <t>Aruanã</t>
  </si>
  <si>
    <t>UNIDADES DE SAÚDE - USO ESPECIAL</t>
  </si>
  <si>
    <t>1.2.3.2.1.01.15.02.00</t>
  </si>
  <si>
    <t>1.2.3.8.1.02.01.15.02</t>
  </si>
  <si>
    <t>Aurilândia</t>
  </si>
  <si>
    <t>HOTÉIS - USO ESPECIAL</t>
  </si>
  <si>
    <t>1.2.3.2.1.01.16.01.00</t>
  </si>
  <si>
    <t>1.2.3.8.1.02.01.16.01</t>
  </si>
  <si>
    <t>Avelinópolis</t>
  </si>
  <si>
    <t>PRESÍDIOS - USO ESPECIAL</t>
  </si>
  <si>
    <t>1.2.3.2.1.01.17.01.00</t>
  </si>
  <si>
    <t>1.2.3.8.1.02.01.17.01</t>
  </si>
  <si>
    <t>Baliza</t>
  </si>
  <si>
    <t>DELEGACIAS - USO ESPECIAL</t>
  </si>
  <si>
    <t>1.2.3.2.1.01.17.02.00</t>
  </si>
  <si>
    <t>1.2.3.8.1.02.01.17.02</t>
  </si>
  <si>
    <t>Barro Alto</t>
  </si>
  <si>
    <t>COMPLEXOS/FÁBRICAS/USINAS - USO ESPECIAL</t>
  </si>
  <si>
    <t>1.2.3.2.1.01.19.01.00</t>
  </si>
  <si>
    <t>1.2.3.8.1.02.01.19.01</t>
  </si>
  <si>
    <t>Bela Vista de Goiás</t>
  </si>
  <si>
    <t>OUTROS IMÓVEIS PARA FINS INDUSTRIAIS - SCP - USO ESPECIAL</t>
  </si>
  <si>
    <t>1.2.3.2.1.01.19.90.00</t>
  </si>
  <si>
    <t>1.2.3.8.1.02.01.19.90</t>
  </si>
  <si>
    <t>Belém - PA</t>
  </si>
  <si>
    <t>ESTACIONAMENTOS E GARAGENS - USO ESPECIAL</t>
  </si>
  <si>
    <t>1.2.3.2.1.01.21.01.00</t>
  </si>
  <si>
    <t>1.2.3.8.1.02.01.21.01</t>
  </si>
  <si>
    <t>Bom Jardim de Goiás</t>
  </si>
  <si>
    <t>POSTOS DE FISCALIZAÇÃO - USO ESPECIAL</t>
  </si>
  <si>
    <t>1.2.3.2.1.01.22.01.00</t>
  </si>
  <si>
    <t>1.2.3.8.1.02.01.22.01</t>
  </si>
  <si>
    <t>Bom Jesus de Goiás</t>
  </si>
  <si>
    <t>DELEGACIA FISCAL - USO ESPECIAL</t>
  </si>
  <si>
    <t>1.2.3.2.1.01.22.02.00</t>
  </si>
  <si>
    <t>1.2.3.8.1.02.01.22.02</t>
  </si>
  <si>
    <t>Bonfinópolis</t>
  </si>
  <si>
    <t>OUTROS BENS IMÓVEIS DE USO ESPECIAL - USO ESPECIAL</t>
  </si>
  <si>
    <t>1.2.3.2.1.01.98.00.00</t>
  </si>
  <si>
    <t>1.2.3.8.1.02.01.98.00</t>
  </si>
  <si>
    <t>Bonópolis</t>
  </si>
  <si>
    <t>DESAPROPRIAÇÃO DE IMÓVEIS PARA FINS DE INTERESSE PÚBLICO - USO ESPECIAL</t>
  </si>
  <si>
    <t>1.2.3.2.1.01.98.01.00</t>
  </si>
  <si>
    <t>1.2.3.8.1.02.01.98.01</t>
  </si>
  <si>
    <t>Brasília</t>
  </si>
  <si>
    <t>OBRAS E INSTALAÇÕES - USO ESPECIAL</t>
  </si>
  <si>
    <t>1.2.3.2.1.01.98.02.00</t>
  </si>
  <si>
    <t>1.2.3.8.1.02.01.98.02</t>
  </si>
  <si>
    <t>Brazabrantes</t>
  </si>
  <si>
    <t>TERMINAIS RODOVIÁRIOS E HIDROVIÁRIOS - SCP - USO ESPECIAL</t>
  </si>
  <si>
    <t>1.2.3.2.1.01.98.03.00</t>
  </si>
  <si>
    <t>1.2.3.8.1.02.01.98.03</t>
  </si>
  <si>
    <t>Britânia</t>
  </si>
  <si>
    <t>OUTRAS EDIFICAÇÕES - USO ESPECIAL</t>
  </si>
  <si>
    <t>1.2.3.2.1.01.98.09.00</t>
  </si>
  <si>
    <t>1.2.3.8.1.02.01.98.09</t>
  </si>
  <si>
    <t>Buriti Alegre</t>
  </si>
  <si>
    <t>OUTROS BENS IMÓVEIS - USO ESPECIAL</t>
  </si>
  <si>
    <t>1.2.3.2.1.01.98.10.00</t>
  </si>
  <si>
    <t>1.2.3.8.1.02.01.98.10</t>
  </si>
  <si>
    <t>Buriti de Goiás</t>
  </si>
  <si>
    <t>EDIFICIOS - DOMINICAIS</t>
  </si>
  <si>
    <t>1.2.3.2.1.04.01.01.00</t>
  </si>
  <si>
    <t>1.2.3.8.1.02.04.01.01</t>
  </si>
  <si>
    <t>Buritinópolis</t>
  </si>
  <si>
    <t>APARTAMENTOS - DOMINICAIS</t>
  </si>
  <si>
    <t>1.2.3.2.1.04.02.01.00</t>
  </si>
  <si>
    <t>1.2.3.8.1.02.04.02.01</t>
  </si>
  <si>
    <t>Cabeceiras</t>
  </si>
  <si>
    <t>CASAS - DOMINICAIS</t>
  </si>
  <si>
    <t>1.2.3.2.1.04.04.01.00</t>
  </si>
  <si>
    <t>1.2.3.8.1.02.04.04.01</t>
  </si>
  <si>
    <t>Cachoeira Alta</t>
  </si>
  <si>
    <t>GARAGENS E ESTACIONAMENTOS - DOMINICAIS</t>
  </si>
  <si>
    <t>1.2.3.2.1.04.07.01.00</t>
  </si>
  <si>
    <t>1.2.3.8.1.02.04.07.01</t>
  </si>
  <si>
    <t>Cachoeira de Goiás</t>
  </si>
  <si>
    <t>FAZENDAS - DOMINICAIS</t>
  </si>
  <si>
    <t>1.2.3.2.1.04.08.01.00</t>
  </si>
  <si>
    <t>1.2.3.8.1.02.04.08.01</t>
  </si>
  <si>
    <t>Cachoeira Dourada</t>
  </si>
  <si>
    <t>GALPÕES - DOMINICAIS</t>
  </si>
  <si>
    <t>1.2.3.2.1.04.09.01.00</t>
  </si>
  <si>
    <t>1.2.3.8.1.02.04.09.01</t>
  </si>
  <si>
    <t>Caçu</t>
  </si>
  <si>
    <t>SALAS - DOMINICAIS</t>
  </si>
  <si>
    <t>1.2.3.2.1.04.12.01.00</t>
  </si>
  <si>
    <t>1.2.3.8.1.02.04.12.01</t>
  </si>
  <si>
    <t>Caiapônia</t>
  </si>
  <si>
    <t>TERRENOS - DOMINICAIS</t>
  </si>
  <si>
    <t>1.2.3.2.1.04.13.01.00</t>
  </si>
  <si>
    <t>1.2.3.8.1.02.04.13.01</t>
  </si>
  <si>
    <t>LOTES - DOMINICAIS</t>
  </si>
  <si>
    <t>1.2.3.2.1.04.14.01.00</t>
  </si>
  <si>
    <t>1.2.3.8.1.02.04.14.01</t>
  </si>
  <si>
    <t>Caldazinha</t>
  </si>
  <si>
    <t>GLEBAS URBANAS - DOMINICAIS</t>
  </si>
  <si>
    <t>1.2.3.2.1.04.16.01.00</t>
  </si>
  <si>
    <t>1.2.3.8.1.02.04.16.01</t>
  </si>
  <si>
    <t>Campestre de Goiás</t>
  </si>
  <si>
    <t>GLEBAS RURAIS - DOMINICAIS</t>
  </si>
  <si>
    <t>1.2.3.2.1.04.18.01.00</t>
  </si>
  <si>
    <t>1.2.3.8.1.02.04.18.01</t>
  </si>
  <si>
    <t>Campinaçu</t>
  </si>
  <si>
    <t>RUAS - USO COMUM DO POVO</t>
  </si>
  <si>
    <t>1.2.3.2.1.05.01.01.00</t>
  </si>
  <si>
    <t>1.2.3.8.1.02.05.03.01</t>
  </si>
  <si>
    <t>Campinorte</t>
  </si>
  <si>
    <t>PRAÇAS - USO COMUM DO POVO</t>
  </si>
  <si>
    <t>1.2.3.2.1.05.02.01.00</t>
  </si>
  <si>
    <t>1.2.3.8.1.02.05.04.01</t>
  </si>
  <si>
    <t>Campo Alegre de Goiás</t>
  </si>
  <si>
    <t>ESTRADAS - USO COMUM DO POVO</t>
  </si>
  <si>
    <t>1.2.3.2.1.05.03.01.00</t>
  </si>
  <si>
    <t>Campo Limpo de Goiás</t>
  </si>
  <si>
    <t>PONTES - USO COMUM DO POVO</t>
  </si>
  <si>
    <t>1.2.3.2.1.05.04.01.00</t>
  </si>
  <si>
    <t>Campos Belos</t>
  </si>
  <si>
    <t>VIADUTOS - USO COMUM DO POVO</t>
  </si>
  <si>
    <t>1.2.3.2.1.05.05.01.00</t>
  </si>
  <si>
    <t>1.2.3.8.1.02.05.05.01</t>
  </si>
  <si>
    <t>Campos Verdes</t>
  </si>
  <si>
    <t>SISTEMAS DE ESGOTO E/OU DE ABASTECIMENTO DE ÁGUA - USO COMUM DO POVO</t>
  </si>
  <si>
    <t>1.2.3.2.1.05.06.01.00</t>
  </si>
  <si>
    <t>Carmo do Rio Verde</t>
  </si>
  <si>
    <t>SISTEMAS DE ABASTECIMETNO DE ENERGIA - USO COUMUM DO POVO</t>
  </si>
  <si>
    <t>1.2.3.2.1.05.07.01.00</t>
  </si>
  <si>
    <t>Castelândia</t>
  </si>
  <si>
    <t>REDES DE TELECOMUNICAÇÕES - USO COMUM DO POVO</t>
  </si>
  <si>
    <t>1.2.3.2.1.05.08.01.00</t>
  </si>
  <si>
    <t>Catalão</t>
  </si>
  <si>
    <t>MONUMENTOS  E PRÉDIOS HISTÓRICOS - USO COMUM DO POVO</t>
  </si>
  <si>
    <t>1.2.3.2.1.05.09.01.00</t>
  </si>
  <si>
    <t>1.2.3.8.1.02.05.09.01</t>
  </si>
  <si>
    <t>Caturaí</t>
  </si>
  <si>
    <t>OUTROS BENS DE USO COMUM DO POVO</t>
  </si>
  <si>
    <t>1.2.3.2.1.05.99.00.00</t>
  </si>
  <si>
    <t>Cavalcante</t>
  </si>
  <si>
    <t xml:space="preserve">BENS IMÓVEIS NÃO LOCALIZADOS </t>
  </si>
  <si>
    <t>1.2.3.2.1.99.05.01.00</t>
  </si>
  <si>
    <t>Ceres</t>
  </si>
  <si>
    <t xml:space="preserve">BENS IMÓVEIS PARA ALIENAÇÃO </t>
  </si>
  <si>
    <t>1.2.3.2.1.99.06.01.00</t>
  </si>
  <si>
    <t>Cezarina</t>
  </si>
  <si>
    <t xml:space="preserve">BENS IMÓVEIS COM OCUPAÇÃO IRREGULAR </t>
  </si>
  <si>
    <t>1.2.3.2.1.99.99.03.00</t>
  </si>
  <si>
    <t>Chapadão do Céu</t>
  </si>
  <si>
    <t>BENS IMÓVEIS PARA DOAÇÃO</t>
  </si>
  <si>
    <t>1.2.3.2.1.99.99.04.00</t>
  </si>
  <si>
    <t>OBRAS EM ANDAMENTO</t>
  </si>
  <si>
    <t>1.2.3.2.1.06.01.01.00</t>
  </si>
  <si>
    <t>1.2.3.8.1.02.06.01.01</t>
  </si>
  <si>
    <t>OUTRAS OBRAS EM INSTALAÇÕES</t>
  </si>
  <si>
    <t>1.2.3.2.1.99.99.01.00</t>
  </si>
  <si>
    <t>Cidade Ocidental</t>
  </si>
  <si>
    <t>ESTUDOS E PROJETOS DE EDIFICAÇÕES - SCP</t>
  </si>
  <si>
    <t>1.2.3.2.1.06.01.02.00</t>
  </si>
  <si>
    <t>1.2.3.8.1.02.06.01.02</t>
  </si>
  <si>
    <t>Colinas do Sul</t>
  </si>
  <si>
    <t>Córrego do Ouro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</si>
  <si>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</si>
  <si>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</si>
  <si>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</si>
  <si>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</si>
  <si>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</si>
  <si>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</si>
  <si>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</si>
  <si>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</si>
  <si>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</si>
  <si>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</si>
  <si>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</si>
  <si>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</si>
  <si>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</si>
  <si>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</si>
  <si>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</si>
  <si>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</si>
  <si>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</si>
  <si>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</si>
  <si>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</si>
  <si>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</si>
  <si>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</si>
  <si>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</si>
  <si>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Goiandira</t>
  </si>
  <si>
    <t>Goianésia</t>
  </si>
  <si>
    <t>Goianira</t>
  </si>
  <si>
    <t>Goiatuba</t>
  </si>
  <si>
    <t>Gouvelândia</t>
  </si>
  <si>
    <t>Guapó</t>
  </si>
  <si>
    <t>Guaraíta</t>
  </si>
  <si>
    <t>Guarinos</t>
  </si>
  <si>
    <t>Heitoraí</t>
  </si>
  <si>
    <t>Hidrolândia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</si>
  <si>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</si>
  <si>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</si>
  <si>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</si>
  <si>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</si>
  <si>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</si>
  <si>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</si>
  <si>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</si>
  <si>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</si>
  <si>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</si>
  <si>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</si>
  <si>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</si>
  <si>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</si>
  <si>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</si>
  <si>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</si>
  <si>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</si>
  <si>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</si>
  <si>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</si>
  <si>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</si>
  <si>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</si>
  <si>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</si>
  <si>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</si>
  <si>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Jataí</t>
  </si>
  <si>
    <t>Jaupaci</t>
  </si>
  <si>
    <t>Jesúpolis</t>
  </si>
  <si>
    <t>Joviânia</t>
  </si>
  <si>
    <t>Jussara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</si>
  <si>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</si>
  <si>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</si>
  <si>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</si>
  <si>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</si>
  <si>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</si>
  <si>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</si>
  <si>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</si>
  <si>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</si>
  <si>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</si>
  <si>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</si>
  <si>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</si>
  <si>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</si>
  <si>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</si>
  <si>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</si>
  <si>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</si>
  <si>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</si>
  <si>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</si>
  <si>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Morrinhos</t>
  </si>
  <si>
    <t>Morro Agudo de Goiás</t>
  </si>
  <si>
    <t>Mossâmedes</t>
  </si>
  <si>
    <t>Mozarlândia</t>
  </si>
  <si>
    <t>Mundo Novo</t>
  </si>
  <si>
    <t>Mutunópolis</t>
  </si>
  <si>
    <t>Nazário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</si>
  <si>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</si>
  <si>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</si>
  <si>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</si>
  <si>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</si>
  <si>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</si>
  <si>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</si>
  <si>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</si>
  <si>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</si>
  <si>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</si>
  <si>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</si>
  <si>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</si>
  <si>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</si>
  <si>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</si>
  <si>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</si>
  <si>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</si>
  <si>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</si>
  <si>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</si>
  <si>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</si>
  <si>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</si>
  <si>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</si>
  <si>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</si>
  <si>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Perolândia</t>
  </si>
  <si>
    <t>Petrolina de Goiás</t>
  </si>
  <si>
    <t>Pilar de Goiás</t>
  </si>
  <si>
    <t>Piracanjuba</t>
  </si>
  <si>
    <t>Piranhas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</si>
  <si>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</si>
  <si>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</si>
  <si>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</si>
  <si>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</si>
  <si>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</si>
  <si>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</si>
  <si>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</si>
  <si>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</si>
  <si>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Rialma</t>
  </si>
  <si>
    <t>Rianápolis</t>
  </si>
  <si>
    <t>Rio de Janeiro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</si>
  <si>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</si>
  <si>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</si>
  <si>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</si>
  <si>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</si>
  <si>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</si>
  <si>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</si>
  <si>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</si>
  <si>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</si>
  <si>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</si>
  <si>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</si>
  <si>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</si>
  <si>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</si>
  <si>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</si>
  <si>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</si>
  <si>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</si>
  <si>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</si>
  <si>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</si>
  <si>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João da Paraúna</t>
  </si>
  <si>
    <t>São Luis de Montes Belos</t>
  </si>
  <si>
    <t>São Luiz do Norte</t>
  </si>
  <si>
    <t>São Miguel do Araguaia</t>
  </si>
  <si>
    <t>São Miguel do Passa Quatro</t>
  </si>
  <si>
    <t>São Patrício</t>
  </si>
  <si>
    <t>São Simão</t>
  </si>
  <si>
    <t>Serranópolis</t>
  </si>
  <si>
    <t>Silvânia</t>
  </si>
  <si>
    <t>Simolândia</t>
  </si>
  <si>
    <t>Sitio D'Abadia</t>
  </si>
  <si>
    <t>Taquaral de Goiás</t>
  </si>
  <si>
    <t>Teresina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</si>
  <si>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</si>
  <si>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</si>
  <si>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</si>
  <si>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</si>
  <si>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</si>
  <si>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</si>
  <si>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</si>
  <si>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</si>
  <si>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</si>
  <si>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</si>
  <si>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</si>
  <si>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</si>
  <si>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</si>
  <si>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</si>
  <si>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</si>
  <si>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Conta Patrimonial</t>
  </si>
  <si>
    <t>Data</t>
  </si>
  <si>
    <r>
      <rPr>
        <b/>
        <sz val="11"/>
        <color rgb="FFFFFFFF"/>
        <rFont val="Calibri"/>
      </rPr>
      <t>Valor Inventário 2022</t>
    </r>
    <r>
      <rPr>
        <b/>
        <sz val="11"/>
        <color rgb="FFFFFFFF"/>
        <rFont val="Calibri"/>
      </rPr>
      <t xml:space="preserve"> (TCE)</t>
    </r>
  </si>
  <si>
    <t>Ano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</si>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</sst>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[$R$ -416]#,##0.00"/>
    <numFmt numFmtId="167" formatCode="_-&quot;R$&quot;\ * #,##0.00_-;\-&quot;R$&quot;\ * #,##0.00_-;_-&quot;R$&quot;\ * &quot;-&quot;??_-;_-@"/>
    <numFmt numFmtId="170" formatCode="d/m/yyyy"/>
  </numFmts>
  <fonts count="14">
    <font>
      <sz val="10"/>
      <color rgb="FF000000"/>
      <name val="Arial"/>
      <scheme val="minor"/>
    </font>
    <font>
      <b/>
      <sz val="11"/>
      <color rgb="FFFFFFFF"/>
      <name val="Calibri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theme="1"/>
      <name val="Arial"/>
    </font>
    <font>
      <sz val="11"/>
      <color theme="1"/>
      <name val="Calibri"/>
    </font>
    <font>
      <sz val="11"/>
      <color rgb="FF000000"/>
      <name val="Calibri"/>
    </font>
    <font>
      <b/>
      <sz val="11"/>
      <color theme="1"/>
      <name val="Calibri"/>
    </font>
    <font>
      <b/>
      <sz val="10"/>
      <color theme="1"/>
      <name val="Arial"/>
      <scheme val="minor"/>
    </font>
    <font>
      <b/>
      <sz val="11"/>
      <color rgb="FF000000"/>
      <name val="Calibri"/>
    </font>
    <font>
      <u/>
      <sz val="11"/>
      <color rgb="FF008000"/>
      <name val="Inconsolata"/>
    </font>
    <font>
      <sz val="11"/>
      <color rgb="FF000000"/>
      <name val="Inconsolata"/>
    </font>
    <font>
      <b/>
      <sz val="11"/>
      <color theme="0"/>
      <name val="Calibri"/>
    </font>
    <font>
      <u/>
      <sz val="10"/>
      <color theme="10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0563C1"/>
        <bgColor rgb="FF0563C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0">
    <xf numFmtId="0" fontId="0" fillId="0" borderId="0" xfId="0"/>
    <xf numFmtId="165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11" fillId="4" borderId="1" xfId="0" applyFont="1" applyFill="1" applyBorder="1"/>
    <xf numFmtId="0" fontId="2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/>
    <xf numFmtId="0" fontId="4" fillId="6" borderId="1" xfId="0" applyFont="1" applyFill="1" applyBorder="1" applyAlignment="1">
      <alignment horizontal="left" wrapText="1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wrapText="1"/>
    </xf>
    <xf numFmtId="0" fontId="4" fillId="7" borderId="1" xfId="0" applyFont="1" applyFill="1" applyBorder="1" applyAlignment="1">
      <alignment wrapText="1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/>
    <xf numFmtId="0" fontId="4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/>
    <xf numFmtId="0" fontId="4" fillId="10" borderId="1" xfId="0" applyFont="1" applyFill="1" applyBorder="1" applyAlignment="1">
      <alignment wrapText="1"/>
    </xf>
    <xf numFmtId="0" fontId="4" fillId="10" borderId="1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165" fontId="2" fillId="0" borderId="1" xfId="0" applyNumberFormat="1" applyFont="1" applyBorder="1"/>
    <xf numFmtId="165" fontId="12" fillId="2" borderId="1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7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4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13" fillId="0" borderId="0" xfId="1"/>
    <xf numFmtId="0" fontId="0" fillId="0" borderId="0" xfId="0" applyAlignme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175"/>
  <sheetViews>
    <sheetView tabSelected="1" topLeftCell="A168" workbookViewId="0">
      <selection activeCell="E188" sqref="E188"/>
    </sheetView>
  </sheetViews>
  <sheetFormatPr defaultColWidth="12.5703125" defaultRowHeight="12.75"/>
  <cols>
    <col min="1" max="1" width="14" style="65" customWidth="1"/>
    <col min="2" max="2" width="24.85546875" style="65" customWidth="1"/>
    <col min="3" max="3" width="26" style="65" customWidth="1"/>
    <col min="4" max="4" width="14.7109375" style="65" customWidth="1"/>
    <col min="5" max="5" width="14" style="65" customWidth="1"/>
    <col min="6" max="6" width="18" style="65" customWidth="1"/>
  </cols>
  <sheetData>
    <row r="1" spans="1:6" ht="60.75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7" t="s">
        <v>5</v>
      </c>
    </row>
    <row r="2" spans="1:6" ht="24">
      <c r="A2" s="42" t="s">
        <v>6</v>
      </c>
      <c r="B2" s="42" t="s">
        <v>7</v>
      </c>
      <c r="C2" s="43" t="s">
        <v>8</v>
      </c>
      <c r="D2" s="42" t="s">
        <v>9</v>
      </c>
      <c r="E2" s="44">
        <v>40</v>
      </c>
      <c r="F2" s="45">
        <v>906156.9</v>
      </c>
    </row>
    <row r="3" spans="1:6" ht="24">
      <c r="A3" s="42" t="s">
        <v>6</v>
      </c>
      <c r="B3" s="42" t="s">
        <v>7</v>
      </c>
      <c r="C3" s="43" t="s">
        <v>8</v>
      </c>
      <c r="D3" s="42" t="s">
        <v>10</v>
      </c>
      <c r="E3" s="44">
        <v>52</v>
      </c>
      <c r="F3" s="46">
        <v>347527.35</v>
      </c>
    </row>
    <row r="4" spans="1:6" ht="24">
      <c r="A4" s="42" t="s">
        <v>6</v>
      </c>
      <c r="B4" s="42" t="s">
        <v>7</v>
      </c>
      <c r="C4" s="43" t="s">
        <v>8</v>
      </c>
      <c r="D4" s="42" t="s">
        <v>11</v>
      </c>
      <c r="E4" s="44">
        <v>53</v>
      </c>
      <c r="F4" s="46">
        <v>262158.59999999998</v>
      </c>
    </row>
    <row r="5" spans="1:6" ht="24">
      <c r="A5" s="42" t="s">
        <v>6</v>
      </c>
      <c r="B5" s="42" t="s">
        <v>7</v>
      </c>
      <c r="C5" s="43" t="s">
        <v>8</v>
      </c>
      <c r="D5" s="42" t="s">
        <v>12</v>
      </c>
      <c r="E5" s="44">
        <v>54</v>
      </c>
      <c r="F5" s="46">
        <v>702228.03</v>
      </c>
    </row>
    <row r="6" spans="1:6" ht="24">
      <c r="A6" s="42" t="s">
        <v>6</v>
      </c>
      <c r="B6" s="42" t="s">
        <v>7</v>
      </c>
      <c r="C6" s="43" t="s">
        <v>8</v>
      </c>
      <c r="D6" s="42" t="s">
        <v>13</v>
      </c>
      <c r="E6" s="44">
        <v>69</v>
      </c>
      <c r="F6" s="46">
        <v>387538.8</v>
      </c>
    </row>
    <row r="7" spans="1:6" ht="24">
      <c r="A7" s="42" t="s">
        <v>6</v>
      </c>
      <c r="B7" s="42" t="s">
        <v>7</v>
      </c>
      <c r="C7" s="43" t="s">
        <v>8</v>
      </c>
      <c r="D7" s="42" t="s">
        <v>14</v>
      </c>
      <c r="E7" s="44">
        <v>73</v>
      </c>
      <c r="F7" s="46">
        <v>545459.44999999995</v>
      </c>
    </row>
    <row r="8" spans="1:6" ht="24">
      <c r="A8" s="42" t="s">
        <v>6</v>
      </c>
      <c r="B8" s="47" t="s">
        <v>7</v>
      </c>
      <c r="C8" s="43" t="s">
        <v>8</v>
      </c>
      <c r="D8" s="42" t="s">
        <v>15</v>
      </c>
      <c r="E8" s="44">
        <v>101</v>
      </c>
      <c r="F8" s="46">
        <v>3089674.75</v>
      </c>
    </row>
    <row r="9" spans="1:6" ht="24">
      <c r="A9" s="42" t="s">
        <v>6</v>
      </c>
      <c r="B9" s="42" t="s">
        <v>7</v>
      </c>
      <c r="C9" s="43" t="s">
        <v>8</v>
      </c>
      <c r="D9" s="42" t="s">
        <v>16</v>
      </c>
      <c r="E9" s="44">
        <v>107</v>
      </c>
      <c r="F9" s="46">
        <v>4696058.4000000004</v>
      </c>
    </row>
    <row r="10" spans="1:6" ht="24">
      <c r="A10" s="42" t="s">
        <v>6</v>
      </c>
      <c r="B10" s="42" t="s">
        <v>7</v>
      </c>
      <c r="C10" s="43" t="s">
        <v>8</v>
      </c>
      <c r="D10" s="42" t="s">
        <v>17</v>
      </c>
      <c r="E10" s="44">
        <v>124</v>
      </c>
      <c r="F10" s="46">
        <v>2564595</v>
      </c>
    </row>
    <row r="11" spans="1:6" ht="24">
      <c r="A11" s="42" t="s">
        <v>6</v>
      </c>
      <c r="B11" s="42" t="s">
        <v>7</v>
      </c>
      <c r="C11" s="43" t="s">
        <v>8</v>
      </c>
      <c r="D11" s="42" t="s">
        <v>18</v>
      </c>
      <c r="E11" s="44">
        <v>131</v>
      </c>
      <c r="F11" s="46">
        <v>487273.05</v>
      </c>
    </row>
    <row r="12" spans="1:6" ht="24">
      <c r="A12" s="42" t="s">
        <v>6</v>
      </c>
      <c r="B12" s="42" t="s">
        <v>7</v>
      </c>
      <c r="C12" s="43" t="s">
        <v>8</v>
      </c>
      <c r="D12" s="42" t="s">
        <v>19</v>
      </c>
      <c r="E12" s="44">
        <v>134</v>
      </c>
      <c r="F12" s="46">
        <v>862885.19</v>
      </c>
    </row>
    <row r="13" spans="1:6" ht="24">
      <c r="A13" s="42" t="s">
        <v>6</v>
      </c>
      <c r="B13" s="42" t="s">
        <v>7</v>
      </c>
      <c r="C13" s="43" t="s">
        <v>8</v>
      </c>
      <c r="D13" s="42" t="s">
        <v>20</v>
      </c>
      <c r="E13" s="44">
        <v>136</v>
      </c>
      <c r="F13" s="46">
        <v>2668248.21</v>
      </c>
    </row>
    <row r="14" spans="1:6" ht="24">
      <c r="A14" s="42" t="s">
        <v>6</v>
      </c>
      <c r="B14" s="42" t="s">
        <v>7</v>
      </c>
      <c r="C14" s="43" t="s">
        <v>8</v>
      </c>
      <c r="D14" s="42" t="s">
        <v>21</v>
      </c>
      <c r="E14" s="44">
        <v>148</v>
      </c>
      <c r="F14" s="46">
        <v>2530660.63</v>
      </c>
    </row>
    <row r="15" spans="1:6" ht="24">
      <c r="A15" s="42" t="s">
        <v>6</v>
      </c>
      <c r="B15" s="42" t="s">
        <v>7</v>
      </c>
      <c r="C15" s="43" t="s">
        <v>8</v>
      </c>
      <c r="D15" s="42" t="s">
        <v>22</v>
      </c>
      <c r="E15" s="44">
        <v>168</v>
      </c>
      <c r="F15" s="46">
        <v>193769.4</v>
      </c>
    </row>
    <row r="16" spans="1:6" ht="24">
      <c r="A16" s="42" t="s">
        <v>23</v>
      </c>
      <c r="B16" s="42" t="s">
        <v>24</v>
      </c>
      <c r="C16" s="43" t="s">
        <v>25</v>
      </c>
      <c r="D16" s="42" t="s">
        <v>26</v>
      </c>
      <c r="E16" s="44">
        <v>172</v>
      </c>
      <c r="F16" s="46">
        <v>1570991.42</v>
      </c>
    </row>
    <row r="17" spans="1:6" ht="24">
      <c r="A17" s="42" t="s">
        <v>6</v>
      </c>
      <c r="B17" s="42" t="s">
        <v>7</v>
      </c>
      <c r="C17" s="43" t="s">
        <v>8</v>
      </c>
      <c r="D17" s="42" t="s">
        <v>27</v>
      </c>
      <c r="E17" s="44">
        <v>276</v>
      </c>
      <c r="F17" s="46">
        <v>69671.97</v>
      </c>
    </row>
    <row r="18" spans="1:6" ht="60">
      <c r="A18" s="42" t="s">
        <v>23</v>
      </c>
      <c r="B18" s="42" t="s">
        <v>24</v>
      </c>
      <c r="C18" s="43" t="s">
        <v>25</v>
      </c>
      <c r="D18" s="42" t="s">
        <v>28</v>
      </c>
      <c r="E18" s="44">
        <v>306</v>
      </c>
      <c r="F18" s="46">
        <v>1441.35</v>
      </c>
    </row>
    <row r="19" spans="1:6" ht="24">
      <c r="A19" s="42" t="s">
        <v>6</v>
      </c>
      <c r="B19" s="42" t="s">
        <v>7</v>
      </c>
      <c r="C19" s="43" t="s">
        <v>8</v>
      </c>
      <c r="D19" s="42" t="s">
        <v>29</v>
      </c>
      <c r="E19" s="44">
        <v>324</v>
      </c>
      <c r="F19" s="46">
        <v>4757596.43</v>
      </c>
    </row>
    <row r="20" spans="1:6" ht="24">
      <c r="A20" s="42" t="s">
        <v>6</v>
      </c>
      <c r="B20" s="42" t="s">
        <v>7</v>
      </c>
      <c r="C20" s="43" t="s">
        <v>8</v>
      </c>
      <c r="D20" s="42" t="s">
        <v>30</v>
      </c>
      <c r="E20" s="44">
        <v>381</v>
      </c>
      <c r="F20" s="46">
        <v>262158.59999999998</v>
      </c>
    </row>
    <row r="21" spans="1:6" ht="24">
      <c r="A21" s="42" t="s">
        <v>6</v>
      </c>
      <c r="B21" s="42" t="s">
        <v>7</v>
      </c>
      <c r="C21" s="43" t="s">
        <v>8</v>
      </c>
      <c r="D21" s="42" t="s">
        <v>31</v>
      </c>
      <c r="E21" s="44">
        <v>387</v>
      </c>
      <c r="F21" s="46">
        <v>1431328.97</v>
      </c>
    </row>
    <row r="22" spans="1:6" ht="24">
      <c r="A22" s="42" t="s">
        <v>6</v>
      </c>
      <c r="B22" s="42" t="s">
        <v>7</v>
      </c>
      <c r="C22" s="43" t="s">
        <v>8</v>
      </c>
      <c r="D22" s="42" t="s">
        <v>32</v>
      </c>
      <c r="E22" s="44">
        <v>399</v>
      </c>
      <c r="F22" s="46">
        <v>56991</v>
      </c>
    </row>
    <row r="23" spans="1:6" ht="24">
      <c r="A23" s="42" t="s">
        <v>6</v>
      </c>
      <c r="B23" s="42" t="s">
        <v>7</v>
      </c>
      <c r="C23" s="43" t="s">
        <v>8</v>
      </c>
      <c r="D23" s="42" t="s">
        <v>33</v>
      </c>
      <c r="E23" s="44">
        <v>418</v>
      </c>
      <c r="F23" s="46">
        <v>216548.61</v>
      </c>
    </row>
    <row r="24" spans="1:6" ht="48">
      <c r="A24" s="42" t="s">
        <v>34</v>
      </c>
      <c r="B24" s="42" t="s">
        <v>35</v>
      </c>
      <c r="C24" s="43" t="s">
        <v>36</v>
      </c>
      <c r="D24" s="42" t="s">
        <v>37</v>
      </c>
      <c r="E24" s="44">
        <v>423</v>
      </c>
      <c r="F24" s="46">
        <v>144000</v>
      </c>
    </row>
    <row r="25" spans="1:6" ht="48">
      <c r="A25" s="42" t="s">
        <v>34</v>
      </c>
      <c r="B25" s="42" t="s">
        <v>35</v>
      </c>
      <c r="C25" s="43" t="s">
        <v>36</v>
      </c>
      <c r="D25" s="42" t="s">
        <v>38</v>
      </c>
      <c r="E25" s="44">
        <v>424</v>
      </c>
      <c r="F25" s="46">
        <v>224571.07</v>
      </c>
    </row>
    <row r="26" spans="1:6" ht="48">
      <c r="A26" s="42" t="s">
        <v>34</v>
      </c>
      <c r="B26" s="42" t="s">
        <v>35</v>
      </c>
      <c r="C26" s="43" t="s">
        <v>36</v>
      </c>
      <c r="D26" s="42" t="s">
        <v>39</v>
      </c>
      <c r="E26" s="44">
        <v>425</v>
      </c>
      <c r="F26" s="46">
        <v>132900</v>
      </c>
    </row>
    <row r="27" spans="1:6" ht="48">
      <c r="A27" s="42" t="s">
        <v>34</v>
      </c>
      <c r="B27" s="42" t="s">
        <v>35</v>
      </c>
      <c r="C27" s="43" t="s">
        <v>36</v>
      </c>
      <c r="D27" s="42" t="s">
        <v>40</v>
      </c>
      <c r="E27" s="44">
        <v>426</v>
      </c>
      <c r="F27" s="46">
        <v>39750</v>
      </c>
    </row>
    <row r="28" spans="1:6" ht="24">
      <c r="A28" s="42" t="s">
        <v>6</v>
      </c>
      <c r="B28" s="42" t="s">
        <v>7</v>
      </c>
      <c r="C28" s="43" t="s">
        <v>8</v>
      </c>
      <c r="D28" s="42" t="s">
        <v>32</v>
      </c>
      <c r="E28" s="44">
        <v>433</v>
      </c>
      <c r="F28" s="46">
        <v>56991</v>
      </c>
    </row>
    <row r="29" spans="1:6" ht="24">
      <c r="A29" s="42" t="s">
        <v>41</v>
      </c>
      <c r="B29" s="42" t="s">
        <v>42</v>
      </c>
      <c r="C29" s="43" t="s">
        <v>43</v>
      </c>
      <c r="D29" s="42" t="s">
        <v>44</v>
      </c>
      <c r="E29" s="44">
        <v>450</v>
      </c>
      <c r="F29" s="46">
        <v>5637791.0099999998</v>
      </c>
    </row>
    <row r="30" spans="1:6" ht="24">
      <c r="A30" s="42" t="s">
        <v>45</v>
      </c>
      <c r="B30" s="42" t="s">
        <v>46</v>
      </c>
      <c r="C30" s="43" t="s">
        <v>47</v>
      </c>
      <c r="D30" s="42" t="s">
        <v>48</v>
      </c>
      <c r="E30" s="44">
        <v>462</v>
      </c>
      <c r="F30" s="46">
        <v>108614.32</v>
      </c>
    </row>
    <row r="31" spans="1:6" ht="24">
      <c r="A31" s="42" t="s">
        <v>45</v>
      </c>
      <c r="B31" s="42" t="s">
        <v>46</v>
      </c>
      <c r="C31" s="43" t="s">
        <v>47</v>
      </c>
      <c r="D31" s="42" t="s">
        <v>49</v>
      </c>
      <c r="E31" s="44">
        <v>463</v>
      </c>
      <c r="F31" s="46">
        <v>188069.46</v>
      </c>
    </row>
    <row r="32" spans="1:6" ht="24">
      <c r="A32" s="42" t="s">
        <v>6</v>
      </c>
      <c r="B32" s="42" t="s">
        <v>7</v>
      </c>
      <c r="C32" s="43" t="s">
        <v>8</v>
      </c>
      <c r="D32" s="42" t="s">
        <v>50</v>
      </c>
      <c r="E32" s="44">
        <v>472</v>
      </c>
      <c r="F32" s="46">
        <v>2242136.86</v>
      </c>
    </row>
    <row r="33" spans="1:6" ht="24">
      <c r="A33" s="42" t="s">
        <v>6</v>
      </c>
      <c r="B33" s="42" t="s">
        <v>7</v>
      </c>
      <c r="C33" s="43" t="s">
        <v>8</v>
      </c>
      <c r="D33" s="42" t="s">
        <v>51</v>
      </c>
      <c r="E33" s="44">
        <v>480</v>
      </c>
      <c r="F33" s="46">
        <v>455928</v>
      </c>
    </row>
    <row r="34" spans="1:6" ht="24">
      <c r="A34" s="42" t="s">
        <v>6</v>
      </c>
      <c r="B34" s="42" t="s">
        <v>7</v>
      </c>
      <c r="C34" s="43" t="s">
        <v>8</v>
      </c>
      <c r="D34" s="42" t="s">
        <v>52</v>
      </c>
      <c r="E34" s="44">
        <v>484</v>
      </c>
      <c r="F34" s="46">
        <v>371990.62</v>
      </c>
    </row>
    <row r="35" spans="1:6" ht="24">
      <c r="A35" s="42" t="s">
        <v>6</v>
      </c>
      <c r="B35" s="42" t="s">
        <v>7</v>
      </c>
      <c r="C35" s="43" t="s">
        <v>8</v>
      </c>
      <c r="D35" s="42" t="s">
        <v>53</v>
      </c>
      <c r="E35" s="44">
        <v>494</v>
      </c>
      <c r="F35" s="46">
        <v>1084649.8899999999</v>
      </c>
    </row>
    <row r="36" spans="1:6" ht="24">
      <c r="A36" s="42" t="s">
        <v>6</v>
      </c>
      <c r="B36" s="42" t="s">
        <v>7</v>
      </c>
      <c r="C36" s="43" t="s">
        <v>8</v>
      </c>
      <c r="D36" s="42" t="s">
        <v>54</v>
      </c>
      <c r="E36" s="44">
        <v>495</v>
      </c>
      <c r="F36" s="46">
        <v>798973.08</v>
      </c>
    </row>
    <row r="37" spans="1:6" ht="24">
      <c r="A37" s="42" t="s">
        <v>6</v>
      </c>
      <c r="B37" s="42" t="s">
        <v>7</v>
      </c>
      <c r="C37" s="43" t="s">
        <v>8</v>
      </c>
      <c r="D37" s="42" t="s">
        <v>55</v>
      </c>
      <c r="E37" s="44">
        <v>515</v>
      </c>
      <c r="F37" s="46">
        <v>34194.6</v>
      </c>
    </row>
    <row r="38" spans="1:6" ht="24">
      <c r="A38" s="42" t="s">
        <v>56</v>
      </c>
      <c r="B38" s="42" t="s">
        <v>57</v>
      </c>
      <c r="C38" s="43" t="s">
        <v>58</v>
      </c>
      <c r="D38" s="42" t="s">
        <v>59</v>
      </c>
      <c r="E38" s="44">
        <v>529</v>
      </c>
      <c r="F38" s="46">
        <v>213263.33</v>
      </c>
    </row>
    <row r="39" spans="1:6" ht="24">
      <c r="A39" s="42" t="s">
        <v>6</v>
      </c>
      <c r="B39" s="42" t="s">
        <v>7</v>
      </c>
      <c r="C39" s="43" t="s">
        <v>8</v>
      </c>
      <c r="D39" s="42" t="s">
        <v>60</v>
      </c>
      <c r="E39" s="44">
        <v>556</v>
      </c>
      <c r="F39" s="46">
        <v>148176.6</v>
      </c>
    </row>
    <row r="40" spans="1:6" ht="24">
      <c r="A40" s="42" t="s">
        <v>6</v>
      </c>
      <c r="B40" s="42" t="s">
        <v>7</v>
      </c>
      <c r="C40" s="43" t="s">
        <v>8</v>
      </c>
      <c r="D40" s="42" t="s">
        <v>61</v>
      </c>
      <c r="E40" s="44">
        <v>562</v>
      </c>
      <c r="F40" s="46">
        <v>723422.04</v>
      </c>
    </row>
    <row r="41" spans="1:6" ht="24">
      <c r="A41" s="42" t="s">
        <v>6</v>
      </c>
      <c r="B41" s="42" t="s">
        <v>7</v>
      </c>
      <c r="C41" s="43" t="s">
        <v>8</v>
      </c>
      <c r="D41" s="42" t="s">
        <v>62</v>
      </c>
      <c r="E41" s="44">
        <v>581</v>
      </c>
      <c r="F41" s="46">
        <v>1219607.3999999999</v>
      </c>
    </row>
    <row r="42" spans="1:6" ht="24">
      <c r="A42" s="42" t="s">
        <v>6</v>
      </c>
      <c r="B42" s="42" t="s">
        <v>7</v>
      </c>
      <c r="C42" s="43" t="s">
        <v>8</v>
      </c>
      <c r="D42" s="42" t="s">
        <v>63</v>
      </c>
      <c r="E42" s="44">
        <v>586</v>
      </c>
      <c r="F42" s="46">
        <v>389817.73</v>
      </c>
    </row>
    <row r="43" spans="1:6" ht="24">
      <c r="A43" s="42" t="s">
        <v>6</v>
      </c>
      <c r="B43" s="42" t="s">
        <v>7</v>
      </c>
      <c r="C43" s="43" t="s">
        <v>8</v>
      </c>
      <c r="D43" s="42" t="s">
        <v>64</v>
      </c>
      <c r="E43" s="44">
        <v>588</v>
      </c>
      <c r="F43" s="46">
        <v>1265200.2</v>
      </c>
    </row>
    <row r="44" spans="1:6" ht="24">
      <c r="A44" s="42" t="s">
        <v>6</v>
      </c>
      <c r="B44" s="42" t="s">
        <v>7</v>
      </c>
      <c r="C44" s="43" t="s">
        <v>8</v>
      </c>
      <c r="D44" s="42" t="s">
        <v>65</v>
      </c>
      <c r="E44" s="44">
        <v>619</v>
      </c>
      <c r="F44" s="46">
        <v>22796.400000000001</v>
      </c>
    </row>
    <row r="45" spans="1:6" ht="24">
      <c r="A45" s="42" t="s">
        <v>6</v>
      </c>
      <c r="B45" s="42" t="s">
        <v>7</v>
      </c>
      <c r="C45" s="43" t="s">
        <v>8</v>
      </c>
      <c r="D45" s="42" t="s">
        <v>66</v>
      </c>
      <c r="E45" s="44">
        <v>643</v>
      </c>
      <c r="F45" s="46">
        <v>775077.6</v>
      </c>
    </row>
    <row r="46" spans="1:6" ht="24">
      <c r="A46" s="42" t="s">
        <v>41</v>
      </c>
      <c r="B46" s="42" t="s">
        <v>42</v>
      </c>
      <c r="C46" s="43" t="s">
        <v>43</v>
      </c>
      <c r="D46" s="42" t="s">
        <v>67</v>
      </c>
      <c r="E46" s="44">
        <v>650</v>
      </c>
      <c r="F46" s="46">
        <v>1688309.37</v>
      </c>
    </row>
    <row r="47" spans="1:6" ht="24">
      <c r="A47" s="42" t="s">
        <v>6</v>
      </c>
      <c r="B47" s="42" t="s">
        <v>7</v>
      </c>
      <c r="C47" s="43" t="s">
        <v>8</v>
      </c>
      <c r="D47" s="42" t="s">
        <v>68</v>
      </c>
      <c r="E47" s="44">
        <v>675</v>
      </c>
      <c r="F47" s="46">
        <v>244909.4</v>
      </c>
    </row>
    <row r="48" spans="1:6" ht="24">
      <c r="A48" s="42" t="s">
        <v>6</v>
      </c>
      <c r="B48" s="42" t="s">
        <v>7</v>
      </c>
      <c r="C48" s="43" t="s">
        <v>8</v>
      </c>
      <c r="D48" s="42" t="s">
        <v>69</v>
      </c>
      <c r="E48" s="44">
        <v>701</v>
      </c>
      <c r="F48" s="46">
        <v>389496.51</v>
      </c>
    </row>
    <row r="49" spans="1:6" ht="24">
      <c r="A49" s="42" t="s">
        <v>41</v>
      </c>
      <c r="B49" s="42" t="s">
        <v>42</v>
      </c>
      <c r="C49" s="43" t="s">
        <v>70</v>
      </c>
      <c r="D49" s="42" t="s">
        <v>71</v>
      </c>
      <c r="E49" s="44">
        <v>711</v>
      </c>
      <c r="F49" s="46">
        <v>476833.45</v>
      </c>
    </row>
    <row r="50" spans="1:6" ht="24">
      <c r="A50" s="42" t="s">
        <v>6</v>
      </c>
      <c r="B50" s="42" t="s">
        <v>7</v>
      </c>
      <c r="C50" s="43" t="s">
        <v>8</v>
      </c>
      <c r="D50" s="42" t="s">
        <v>72</v>
      </c>
      <c r="E50" s="44">
        <v>715</v>
      </c>
      <c r="F50" s="46">
        <v>138474</v>
      </c>
    </row>
    <row r="51" spans="1:6" ht="24">
      <c r="A51" s="42" t="s">
        <v>6</v>
      </c>
      <c r="B51" s="42" t="s">
        <v>7</v>
      </c>
      <c r="C51" s="43" t="s">
        <v>8</v>
      </c>
      <c r="D51" s="42" t="s">
        <v>73</v>
      </c>
      <c r="E51" s="44">
        <v>716</v>
      </c>
      <c r="F51" s="46">
        <v>724869</v>
      </c>
    </row>
    <row r="52" spans="1:6" ht="24">
      <c r="A52" s="42" t="s">
        <v>6</v>
      </c>
      <c r="B52" s="42" t="s">
        <v>7</v>
      </c>
      <c r="C52" s="43" t="s">
        <v>8</v>
      </c>
      <c r="D52" s="42" t="s">
        <v>74</v>
      </c>
      <c r="E52" s="44">
        <v>717</v>
      </c>
      <c r="F52" s="46">
        <v>532230</v>
      </c>
    </row>
    <row r="53" spans="1:6" ht="24">
      <c r="A53" s="42" t="s">
        <v>6</v>
      </c>
      <c r="B53" s="42" t="s">
        <v>7</v>
      </c>
      <c r="C53" s="43" t="s">
        <v>8</v>
      </c>
      <c r="D53" s="42" t="s">
        <v>75</v>
      </c>
      <c r="E53" s="44">
        <v>725</v>
      </c>
      <c r="F53" s="46">
        <v>2355</v>
      </c>
    </row>
    <row r="54" spans="1:6" ht="24">
      <c r="A54" s="42" t="s">
        <v>6</v>
      </c>
      <c r="B54" s="42" t="s">
        <v>7</v>
      </c>
      <c r="C54" s="43" t="s">
        <v>8</v>
      </c>
      <c r="D54" s="42" t="s">
        <v>76</v>
      </c>
      <c r="E54" s="44">
        <v>737</v>
      </c>
      <c r="F54" s="46">
        <v>68389.2</v>
      </c>
    </row>
    <row r="55" spans="1:6" ht="24">
      <c r="A55" s="42" t="s">
        <v>6</v>
      </c>
      <c r="B55" s="42" t="s">
        <v>7</v>
      </c>
      <c r="C55" s="43" t="s">
        <v>8</v>
      </c>
      <c r="D55" s="42" t="s">
        <v>77</v>
      </c>
      <c r="E55" s="44">
        <v>751</v>
      </c>
      <c r="F55" s="46">
        <v>181335</v>
      </c>
    </row>
    <row r="56" spans="1:6" ht="24">
      <c r="A56" s="42" t="s">
        <v>6</v>
      </c>
      <c r="B56" s="42" t="s">
        <v>7</v>
      </c>
      <c r="C56" s="43" t="s">
        <v>8</v>
      </c>
      <c r="D56" s="42" t="s">
        <v>76</v>
      </c>
      <c r="E56" s="44">
        <v>752</v>
      </c>
      <c r="F56" s="46">
        <v>68389.2</v>
      </c>
    </row>
    <row r="57" spans="1:6" ht="24">
      <c r="A57" s="42" t="s">
        <v>6</v>
      </c>
      <c r="B57" s="42" t="s">
        <v>7</v>
      </c>
      <c r="C57" s="43" t="s">
        <v>8</v>
      </c>
      <c r="D57" s="42" t="s">
        <v>78</v>
      </c>
      <c r="E57" s="44">
        <v>756</v>
      </c>
      <c r="F57" s="46">
        <v>2355</v>
      </c>
    </row>
    <row r="58" spans="1:6" ht="24">
      <c r="A58" s="42" t="s">
        <v>79</v>
      </c>
      <c r="B58" s="42" t="s">
        <v>80</v>
      </c>
      <c r="C58" s="43" t="s">
        <v>81</v>
      </c>
      <c r="D58" s="42" t="s">
        <v>82</v>
      </c>
      <c r="E58" s="44">
        <v>810</v>
      </c>
      <c r="F58" s="46">
        <v>72873031.859999999</v>
      </c>
    </row>
    <row r="59" spans="1:6" ht="24">
      <c r="A59" s="42" t="s">
        <v>6</v>
      </c>
      <c r="B59" s="42" t="s">
        <v>7</v>
      </c>
      <c r="C59" s="43" t="s">
        <v>8</v>
      </c>
      <c r="D59" s="42" t="s">
        <v>83</v>
      </c>
      <c r="E59" s="44">
        <v>851</v>
      </c>
      <c r="F59" s="46">
        <v>601818.13</v>
      </c>
    </row>
    <row r="60" spans="1:6" ht="24">
      <c r="A60" s="42" t="s">
        <v>84</v>
      </c>
      <c r="B60" s="42" t="s">
        <v>85</v>
      </c>
      <c r="C60" s="43" t="s">
        <v>86</v>
      </c>
      <c r="D60" s="42" t="s">
        <v>87</v>
      </c>
      <c r="E60" s="44">
        <v>951</v>
      </c>
      <c r="F60" s="46">
        <v>3282259.5</v>
      </c>
    </row>
    <row r="61" spans="1:6" ht="24">
      <c r="A61" s="42" t="s">
        <v>88</v>
      </c>
      <c r="B61" s="42" t="s">
        <v>89</v>
      </c>
      <c r="C61" s="43" t="s">
        <v>90</v>
      </c>
      <c r="D61" s="42" t="s">
        <v>91</v>
      </c>
      <c r="E61" s="44">
        <v>964</v>
      </c>
      <c r="F61" s="46">
        <v>1354657.92</v>
      </c>
    </row>
    <row r="62" spans="1:6" ht="24">
      <c r="A62" s="42" t="s">
        <v>88</v>
      </c>
      <c r="B62" s="42" t="s">
        <v>89</v>
      </c>
      <c r="C62" s="43" t="s">
        <v>90</v>
      </c>
      <c r="D62" s="42" t="s">
        <v>92</v>
      </c>
      <c r="E62" s="44">
        <v>966</v>
      </c>
      <c r="F62" s="46">
        <v>419298.88</v>
      </c>
    </row>
    <row r="63" spans="1:6" ht="24">
      <c r="A63" s="42" t="s">
        <v>6</v>
      </c>
      <c r="B63" s="42" t="s">
        <v>7</v>
      </c>
      <c r="C63" s="43" t="s">
        <v>8</v>
      </c>
      <c r="D63" s="42" t="s">
        <v>93</v>
      </c>
      <c r="E63" s="44">
        <v>1251</v>
      </c>
      <c r="F63" s="46">
        <v>9827281</v>
      </c>
    </row>
    <row r="64" spans="1:6" ht="24">
      <c r="A64" s="42" t="s">
        <v>94</v>
      </c>
      <c r="B64" s="42" t="s">
        <v>57</v>
      </c>
      <c r="C64" s="43" t="s">
        <v>95</v>
      </c>
      <c r="D64" s="42" t="s">
        <v>96</v>
      </c>
      <c r="E64" s="44">
        <v>1356</v>
      </c>
      <c r="F64" s="46">
        <v>300317.15999999997</v>
      </c>
    </row>
    <row r="65" spans="1:6" ht="24">
      <c r="A65" s="42" t="s">
        <v>6</v>
      </c>
      <c r="B65" s="42" t="s">
        <v>7</v>
      </c>
      <c r="C65" s="43" t="s">
        <v>8</v>
      </c>
      <c r="D65" s="42" t="s">
        <v>97</v>
      </c>
      <c r="E65" s="44">
        <v>1399</v>
      </c>
      <c r="F65" s="46">
        <v>997546.68</v>
      </c>
    </row>
    <row r="66" spans="1:6" ht="24">
      <c r="A66" s="42" t="s">
        <v>6</v>
      </c>
      <c r="B66" s="42" t="s">
        <v>7</v>
      </c>
      <c r="C66" s="43" t="s">
        <v>8</v>
      </c>
      <c r="D66" s="42" t="s">
        <v>98</v>
      </c>
      <c r="E66" s="44">
        <v>1426</v>
      </c>
      <c r="F66" s="46">
        <v>621318.47</v>
      </c>
    </row>
    <row r="67" spans="1:6" ht="24">
      <c r="A67" s="42" t="s">
        <v>6</v>
      </c>
      <c r="B67" s="42" t="s">
        <v>7</v>
      </c>
      <c r="C67" s="43" t="s">
        <v>8</v>
      </c>
      <c r="D67" s="42" t="s">
        <v>99</v>
      </c>
      <c r="E67" s="44">
        <v>1441</v>
      </c>
      <c r="F67" s="46">
        <v>2087122.75</v>
      </c>
    </row>
    <row r="68" spans="1:6" ht="24">
      <c r="A68" s="42" t="s">
        <v>6</v>
      </c>
      <c r="B68" s="42" t="s">
        <v>7</v>
      </c>
      <c r="C68" s="43" t="s">
        <v>8</v>
      </c>
      <c r="D68" s="42" t="s">
        <v>100</v>
      </c>
      <c r="E68" s="44">
        <v>1450</v>
      </c>
      <c r="F68" s="46">
        <v>471751.48</v>
      </c>
    </row>
    <row r="69" spans="1:6" ht="24">
      <c r="A69" s="42" t="s">
        <v>6</v>
      </c>
      <c r="B69" s="42" t="s">
        <v>7</v>
      </c>
      <c r="C69" s="43" t="s">
        <v>8</v>
      </c>
      <c r="D69" s="42" t="s">
        <v>101</v>
      </c>
      <c r="E69" s="44">
        <v>1451</v>
      </c>
      <c r="F69" s="46">
        <v>31321.5</v>
      </c>
    </row>
    <row r="70" spans="1:6" ht="24">
      <c r="A70" s="42" t="s">
        <v>6</v>
      </c>
      <c r="B70" s="42" t="s">
        <v>7</v>
      </c>
      <c r="C70" s="43" t="s">
        <v>8</v>
      </c>
      <c r="D70" s="42" t="s">
        <v>102</v>
      </c>
      <c r="E70" s="44">
        <v>1452</v>
      </c>
      <c r="F70" s="46">
        <v>2621586</v>
      </c>
    </row>
    <row r="71" spans="1:6" ht="24">
      <c r="A71" s="42" t="s">
        <v>6</v>
      </c>
      <c r="B71" s="42" t="s">
        <v>7</v>
      </c>
      <c r="C71" s="43" t="s">
        <v>8</v>
      </c>
      <c r="D71" s="42" t="s">
        <v>103</v>
      </c>
      <c r="E71" s="44">
        <v>1455</v>
      </c>
      <c r="F71" s="46">
        <v>376541.66</v>
      </c>
    </row>
    <row r="72" spans="1:6" ht="24">
      <c r="A72" s="42" t="s">
        <v>6</v>
      </c>
      <c r="B72" s="42" t="s">
        <v>7</v>
      </c>
      <c r="C72" s="43" t="s">
        <v>8</v>
      </c>
      <c r="D72" s="42" t="s">
        <v>104</v>
      </c>
      <c r="E72" s="44">
        <v>1456</v>
      </c>
      <c r="F72" s="46">
        <v>273556.8</v>
      </c>
    </row>
    <row r="73" spans="1:6" ht="24">
      <c r="A73" s="42" t="s">
        <v>6</v>
      </c>
      <c r="B73" s="42" t="s">
        <v>7</v>
      </c>
      <c r="C73" s="43" t="s">
        <v>8</v>
      </c>
      <c r="D73" s="42" t="s">
        <v>105</v>
      </c>
      <c r="E73" s="44">
        <v>1460</v>
      </c>
      <c r="F73" s="46">
        <v>3095258.69</v>
      </c>
    </row>
    <row r="74" spans="1:6" ht="24">
      <c r="A74" s="42" t="s">
        <v>6</v>
      </c>
      <c r="B74" s="42" t="s">
        <v>7</v>
      </c>
      <c r="C74" s="43" t="s">
        <v>8</v>
      </c>
      <c r="D74" s="42" t="s">
        <v>106</v>
      </c>
      <c r="E74" s="44">
        <v>1461</v>
      </c>
      <c r="F74" s="46">
        <v>133679.69</v>
      </c>
    </row>
    <row r="75" spans="1:6" ht="24">
      <c r="A75" s="42" t="s">
        <v>6</v>
      </c>
      <c r="B75" s="42" t="s">
        <v>7</v>
      </c>
      <c r="C75" s="43" t="s">
        <v>8</v>
      </c>
      <c r="D75" s="42" t="s">
        <v>107</v>
      </c>
      <c r="E75" s="44">
        <v>1463</v>
      </c>
      <c r="F75" s="46">
        <v>354296.8</v>
      </c>
    </row>
    <row r="76" spans="1:6" ht="24">
      <c r="A76" s="42" t="s">
        <v>6</v>
      </c>
      <c r="B76" s="42" t="s">
        <v>7</v>
      </c>
      <c r="C76" s="43" t="s">
        <v>8</v>
      </c>
      <c r="D76" s="42" t="s">
        <v>108</v>
      </c>
      <c r="E76" s="44">
        <v>1473</v>
      </c>
      <c r="F76" s="46">
        <v>977619.38</v>
      </c>
    </row>
    <row r="77" spans="1:6" ht="24">
      <c r="A77" s="42" t="s">
        <v>6</v>
      </c>
      <c r="B77" s="42" t="s">
        <v>7</v>
      </c>
      <c r="C77" s="43" t="s">
        <v>8</v>
      </c>
      <c r="D77" s="42" t="s">
        <v>109</v>
      </c>
      <c r="E77" s="44">
        <v>1478</v>
      </c>
      <c r="F77" s="46">
        <v>251978.17</v>
      </c>
    </row>
    <row r="78" spans="1:6" ht="24">
      <c r="A78" s="42" t="s">
        <v>6</v>
      </c>
      <c r="B78" s="42" t="s">
        <v>7</v>
      </c>
      <c r="C78" s="43" t="s">
        <v>8</v>
      </c>
      <c r="D78" s="42" t="s">
        <v>110</v>
      </c>
      <c r="E78" s="44">
        <v>1479</v>
      </c>
      <c r="F78" s="46">
        <v>275535</v>
      </c>
    </row>
    <row r="79" spans="1:6" ht="24">
      <c r="A79" s="42" t="s">
        <v>6</v>
      </c>
      <c r="B79" s="42" t="s">
        <v>7</v>
      </c>
      <c r="C79" s="43" t="s">
        <v>8</v>
      </c>
      <c r="D79" s="42" t="s">
        <v>111</v>
      </c>
      <c r="E79" s="44">
        <v>1480</v>
      </c>
      <c r="F79" s="46">
        <v>134093.70000000001</v>
      </c>
    </row>
    <row r="80" spans="1:6" ht="24">
      <c r="A80" s="42" t="s">
        <v>6</v>
      </c>
      <c r="B80" s="42" t="s">
        <v>7</v>
      </c>
      <c r="C80" s="43" t="s">
        <v>8</v>
      </c>
      <c r="D80" s="42" t="s">
        <v>112</v>
      </c>
      <c r="E80" s="44">
        <v>1481</v>
      </c>
      <c r="F80" s="46">
        <v>298271.11</v>
      </c>
    </row>
    <row r="81" spans="1:6" ht="24">
      <c r="A81" s="42" t="s">
        <v>6</v>
      </c>
      <c r="B81" s="42" t="s">
        <v>7</v>
      </c>
      <c r="C81" s="43" t="s">
        <v>8</v>
      </c>
      <c r="D81" s="42" t="s">
        <v>113</v>
      </c>
      <c r="E81" s="44">
        <v>1482</v>
      </c>
      <c r="F81" s="46">
        <v>160124.22</v>
      </c>
    </row>
    <row r="82" spans="1:6" ht="24">
      <c r="A82" s="42" t="s">
        <v>6</v>
      </c>
      <c r="B82" s="42" t="s">
        <v>7</v>
      </c>
      <c r="C82" s="43" t="s">
        <v>8</v>
      </c>
      <c r="D82" s="42" t="s">
        <v>114</v>
      </c>
      <c r="E82" s="44">
        <v>1490</v>
      </c>
      <c r="F82" s="46">
        <v>144333.24</v>
      </c>
    </row>
    <row r="83" spans="1:6" ht="24">
      <c r="A83" s="42" t="s">
        <v>6</v>
      </c>
      <c r="B83" s="42" t="s">
        <v>7</v>
      </c>
      <c r="C83" s="43" t="s">
        <v>8</v>
      </c>
      <c r="D83" s="42" t="s">
        <v>115</v>
      </c>
      <c r="E83" s="44">
        <v>1503</v>
      </c>
      <c r="F83" s="46">
        <v>243807.5</v>
      </c>
    </row>
    <row r="84" spans="1:6" ht="24">
      <c r="A84" s="42" t="s">
        <v>6</v>
      </c>
      <c r="B84" s="42" t="s">
        <v>7</v>
      </c>
      <c r="C84" s="43" t="s">
        <v>8</v>
      </c>
      <c r="D84" s="42" t="s">
        <v>116</v>
      </c>
      <c r="E84" s="44">
        <v>1504</v>
      </c>
      <c r="F84" s="46">
        <v>116831.55</v>
      </c>
    </row>
    <row r="85" spans="1:6" ht="24">
      <c r="A85" s="42" t="s">
        <v>6</v>
      </c>
      <c r="B85" s="42" t="s">
        <v>7</v>
      </c>
      <c r="C85" s="43" t="s">
        <v>8</v>
      </c>
      <c r="D85" s="42" t="s">
        <v>117</v>
      </c>
      <c r="E85" s="44">
        <v>1557</v>
      </c>
      <c r="F85" s="46">
        <v>1006371.57</v>
      </c>
    </row>
    <row r="86" spans="1:6" ht="24">
      <c r="A86" s="42" t="s">
        <v>6</v>
      </c>
      <c r="B86" s="42" t="s">
        <v>7</v>
      </c>
      <c r="C86" s="43" t="s">
        <v>8</v>
      </c>
      <c r="D86" s="42" t="s">
        <v>118</v>
      </c>
      <c r="E86" s="44">
        <v>1570</v>
      </c>
      <c r="F86" s="46">
        <v>230734.89</v>
      </c>
    </row>
    <row r="87" spans="1:6" ht="24">
      <c r="A87" s="42" t="s">
        <v>6</v>
      </c>
      <c r="B87" s="42" t="s">
        <v>7</v>
      </c>
      <c r="C87" s="43" t="s">
        <v>8</v>
      </c>
      <c r="D87" s="42" t="s">
        <v>119</v>
      </c>
      <c r="E87" s="44">
        <v>1572</v>
      </c>
      <c r="F87" s="46">
        <v>455362.8</v>
      </c>
    </row>
    <row r="88" spans="1:6" ht="24">
      <c r="A88" s="42" t="s">
        <v>6</v>
      </c>
      <c r="B88" s="42" t="s">
        <v>7</v>
      </c>
      <c r="C88" s="43" t="s">
        <v>8</v>
      </c>
      <c r="D88" s="42" t="s">
        <v>120</v>
      </c>
      <c r="E88" s="44">
        <v>1583</v>
      </c>
      <c r="F88" s="46">
        <v>175447.97</v>
      </c>
    </row>
    <row r="89" spans="1:6" ht="24">
      <c r="A89" s="42" t="s">
        <v>6</v>
      </c>
      <c r="B89" s="42" t="s">
        <v>7</v>
      </c>
      <c r="C89" s="43" t="s">
        <v>8</v>
      </c>
      <c r="D89" s="42" t="s">
        <v>121</v>
      </c>
      <c r="E89" s="44">
        <v>1584</v>
      </c>
      <c r="F89" s="46">
        <v>1425674.85</v>
      </c>
    </row>
    <row r="90" spans="1:6" ht="24">
      <c r="A90" s="42" t="s">
        <v>6</v>
      </c>
      <c r="B90" s="42" t="s">
        <v>7</v>
      </c>
      <c r="C90" s="43" t="s">
        <v>8</v>
      </c>
      <c r="D90" s="42" t="s">
        <v>122</v>
      </c>
      <c r="E90" s="44">
        <v>1625</v>
      </c>
      <c r="F90" s="46">
        <v>947133.9</v>
      </c>
    </row>
    <row r="91" spans="1:6" ht="24">
      <c r="A91" s="42" t="s">
        <v>6</v>
      </c>
      <c r="B91" s="42" t="s">
        <v>7</v>
      </c>
      <c r="C91" s="43" t="s">
        <v>8</v>
      </c>
      <c r="D91" s="42" t="s">
        <v>65</v>
      </c>
      <c r="E91" s="44">
        <v>1630</v>
      </c>
      <c r="F91" s="46">
        <v>22796.400000000001</v>
      </c>
    </row>
    <row r="92" spans="1:6" ht="24">
      <c r="A92" s="42" t="s">
        <v>6</v>
      </c>
      <c r="B92" s="42" t="s">
        <v>7</v>
      </c>
      <c r="C92" s="43" t="s">
        <v>8</v>
      </c>
      <c r="D92" s="42" t="s">
        <v>123</v>
      </c>
      <c r="E92" s="44">
        <v>1644</v>
      </c>
      <c r="F92" s="46">
        <v>267450.28999999998</v>
      </c>
    </row>
    <row r="93" spans="1:6" ht="24">
      <c r="A93" s="42" t="s">
        <v>6</v>
      </c>
      <c r="B93" s="42" t="s">
        <v>7</v>
      </c>
      <c r="C93" s="43" t="s">
        <v>8</v>
      </c>
      <c r="D93" s="42" t="s">
        <v>124</v>
      </c>
      <c r="E93" s="44">
        <v>1649</v>
      </c>
      <c r="F93" s="46">
        <v>346120.94</v>
      </c>
    </row>
    <row r="94" spans="1:6" ht="24">
      <c r="A94" s="42" t="s">
        <v>6</v>
      </c>
      <c r="B94" s="42" t="s">
        <v>7</v>
      </c>
      <c r="C94" s="43" t="s">
        <v>8</v>
      </c>
      <c r="D94" s="42" t="s">
        <v>125</v>
      </c>
      <c r="E94" s="44">
        <v>1662</v>
      </c>
      <c r="F94" s="46">
        <v>768170.62</v>
      </c>
    </row>
    <row r="95" spans="1:6" ht="24">
      <c r="A95" s="42" t="s">
        <v>6</v>
      </c>
      <c r="B95" s="42" t="s">
        <v>7</v>
      </c>
      <c r="C95" s="43" t="s">
        <v>8</v>
      </c>
      <c r="D95" s="42" t="s">
        <v>126</v>
      </c>
      <c r="E95" s="44">
        <v>1669</v>
      </c>
      <c r="F95" s="46">
        <v>85176.35</v>
      </c>
    </row>
    <row r="96" spans="1:6" ht="24">
      <c r="A96" s="42" t="s">
        <v>6</v>
      </c>
      <c r="B96" s="42" t="s">
        <v>7</v>
      </c>
      <c r="C96" s="43" t="s">
        <v>8</v>
      </c>
      <c r="D96" s="42" t="s">
        <v>127</v>
      </c>
      <c r="E96" s="44">
        <v>1673</v>
      </c>
      <c r="F96" s="46">
        <v>313110.44</v>
      </c>
    </row>
    <row r="97" spans="1:6" ht="24">
      <c r="A97" s="42" t="s">
        <v>6</v>
      </c>
      <c r="B97" s="42" t="s">
        <v>7</v>
      </c>
      <c r="C97" s="43" t="s">
        <v>8</v>
      </c>
      <c r="D97" s="42" t="s">
        <v>128</v>
      </c>
      <c r="E97" s="44">
        <v>1674</v>
      </c>
      <c r="F97" s="46">
        <v>553194.21</v>
      </c>
    </row>
    <row r="98" spans="1:6" ht="24">
      <c r="A98" s="42" t="s">
        <v>6</v>
      </c>
      <c r="B98" s="42" t="s">
        <v>7</v>
      </c>
      <c r="C98" s="43" t="s">
        <v>8</v>
      </c>
      <c r="D98" s="42" t="s">
        <v>129</v>
      </c>
      <c r="E98" s="44">
        <v>1675</v>
      </c>
      <c r="F98" s="46">
        <v>83549.98</v>
      </c>
    </row>
    <row r="99" spans="1:6" ht="24">
      <c r="A99" s="42" t="s">
        <v>6</v>
      </c>
      <c r="B99" s="42" t="s">
        <v>7</v>
      </c>
      <c r="C99" s="43" t="s">
        <v>8</v>
      </c>
      <c r="D99" s="42" t="s">
        <v>130</v>
      </c>
      <c r="E99" s="44">
        <v>1678</v>
      </c>
      <c r="F99" s="46">
        <v>1139820</v>
      </c>
    </row>
    <row r="100" spans="1:6" ht="24">
      <c r="A100" s="42" t="s">
        <v>6</v>
      </c>
      <c r="B100" s="42" t="s">
        <v>7</v>
      </c>
      <c r="C100" s="43" t="s">
        <v>8</v>
      </c>
      <c r="D100" s="42" t="s">
        <v>131</v>
      </c>
      <c r="E100" s="44">
        <v>1691</v>
      </c>
      <c r="F100" s="46">
        <v>439411.68</v>
      </c>
    </row>
    <row r="101" spans="1:6" ht="24">
      <c r="A101" s="42" t="s">
        <v>6</v>
      </c>
      <c r="B101" s="42" t="s">
        <v>7</v>
      </c>
      <c r="C101" s="43" t="s">
        <v>8</v>
      </c>
      <c r="D101" s="42" t="s">
        <v>132</v>
      </c>
      <c r="E101" s="44">
        <v>1696</v>
      </c>
      <c r="F101" s="46">
        <v>4655268.8600000003</v>
      </c>
    </row>
    <row r="102" spans="1:6" ht="24">
      <c r="A102" s="42" t="s">
        <v>56</v>
      </c>
      <c r="B102" s="42" t="s">
        <v>57</v>
      </c>
      <c r="C102" s="43" t="s">
        <v>133</v>
      </c>
      <c r="D102" s="42" t="s">
        <v>134</v>
      </c>
      <c r="E102" s="44">
        <v>1700</v>
      </c>
      <c r="F102" s="46">
        <v>77257.66</v>
      </c>
    </row>
    <row r="103" spans="1:6" ht="24">
      <c r="A103" s="42" t="s">
        <v>6</v>
      </c>
      <c r="B103" s="42" t="s">
        <v>7</v>
      </c>
      <c r="C103" s="43" t="s">
        <v>8</v>
      </c>
      <c r="D103" s="42" t="s">
        <v>135</v>
      </c>
      <c r="E103" s="44">
        <v>1732</v>
      </c>
      <c r="F103" s="46">
        <v>885417.12</v>
      </c>
    </row>
    <row r="104" spans="1:6" ht="24">
      <c r="A104" s="42" t="s">
        <v>6</v>
      </c>
      <c r="B104" s="42" t="s">
        <v>7</v>
      </c>
      <c r="C104" s="43" t="s">
        <v>8</v>
      </c>
      <c r="D104" s="42" t="s">
        <v>136</v>
      </c>
      <c r="E104" s="44">
        <v>1733</v>
      </c>
      <c r="F104" s="46">
        <v>603069.81000000006</v>
      </c>
    </row>
    <row r="105" spans="1:6" ht="24">
      <c r="A105" s="42" t="s">
        <v>6</v>
      </c>
      <c r="B105" s="42" t="s">
        <v>7</v>
      </c>
      <c r="C105" s="43" t="s">
        <v>8</v>
      </c>
      <c r="D105" s="42" t="s">
        <v>137</v>
      </c>
      <c r="E105" s="44">
        <v>1757</v>
      </c>
      <c r="F105" s="46">
        <v>546491.17000000004</v>
      </c>
    </row>
    <row r="106" spans="1:6" ht="24">
      <c r="A106" s="42" t="s">
        <v>6</v>
      </c>
      <c r="B106" s="42" t="s">
        <v>7</v>
      </c>
      <c r="C106" s="43" t="s">
        <v>8</v>
      </c>
      <c r="D106" s="42" t="s">
        <v>138</v>
      </c>
      <c r="E106" s="44">
        <v>1834</v>
      </c>
      <c r="F106" s="46">
        <v>1277714.67</v>
      </c>
    </row>
    <row r="107" spans="1:6" ht="24">
      <c r="A107" s="42" t="s">
        <v>6</v>
      </c>
      <c r="B107" s="42" t="s">
        <v>7</v>
      </c>
      <c r="C107" s="43" t="s">
        <v>8</v>
      </c>
      <c r="D107" s="42" t="s">
        <v>139</v>
      </c>
      <c r="E107" s="44">
        <v>1850</v>
      </c>
      <c r="F107" s="46">
        <v>211562.84</v>
      </c>
    </row>
    <row r="108" spans="1:6" ht="24">
      <c r="A108" s="42" t="s">
        <v>94</v>
      </c>
      <c r="B108" s="42" t="s">
        <v>57</v>
      </c>
      <c r="C108" s="43" t="s">
        <v>140</v>
      </c>
      <c r="D108" s="42" t="s">
        <v>141</v>
      </c>
      <c r="E108" s="44">
        <v>2350</v>
      </c>
      <c r="F108" s="46">
        <v>451779.59</v>
      </c>
    </row>
    <row r="109" spans="1:6" ht="24">
      <c r="A109" s="42" t="s">
        <v>142</v>
      </c>
      <c r="B109" s="42" t="s">
        <v>143</v>
      </c>
      <c r="C109" s="43" t="s">
        <v>144</v>
      </c>
      <c r="D109" s="42" t="s">
        <v>145</v>
      </c>
      <c r="E109" s="44">
        <v>2595</v>
      </c>
      <c r="F109" s="46">
        <v>1014208.3</v>
      </c>
    </row>
    <row r="110" spans="1:6" ht="36">
      <c r="A110" s="42" t="s">
        <v>84</v>
      </c>
      <c r="B110" s="42" t="s">
        <v>146</v>
      </c>
      <c r="C110" s="43" t="s">
        <v>147</v>
      </c>
      <c r="D110" s="42" t="s">
        <v>148</v>
      </c>
      <c r="E110" s="44">
        <v>2680</v>
      </c>
      <c r="F110" s="46">
        <v>942083.53</v>
      </c>
    </row>
    <row r="111" spans="1:6" ht="45.75">
      <c r="A111" s="48" t="s">
        <v>149</v>
      </c>
      <c r="B111" s="49" t="s">
        <v>150</v>
      </c>
      <c r="C111" s="49" t="s">
        <v>151</v>
      </c>
      <c r="D111" s="42" t="s">
        <v>152</v>
      </c>
      <c r="E111" s="48">
        <v>2779</v>
      </c>
      <c r="F111" s="46"/>
    </row>
    <row r="112" spans="1:6" ht="36">
      <c r="A112" s="42" t="s">
        <v>153</v>
      </c>
      <c r="B112" s="50" t="s">
        <v>154</v>
      </c>
      <c r="C112" s="43" t="s">
        <v>155</v>
      </c>
      <c r="D112" s="42" t="s">
        <v>156</v>
      </c>
      <c r="E112" s="44">
        <v>2912</v>
      </c>
      <c r="F112" s="46">
        <v>10944805</v>
      </c>
    </row>
    <row r="113" spans="1:6" ht="24">
      <c r="A113" s="42" t="s">
        <v>23</v>
      </c>
      <c r="B113" s="42" t="s">
        <v>24</v>
      </c>
      <c r="C113" s="43" t="s">
        <v>25</v>
      </c>
      <c r="D113" s="42" t="s">
        <v>157</v>
      </c>
      <c r="E113" s="44">
        <v>3011</v>
      </c>
      <c r="F113" s="46">
        <v>12802931</v>
      </c>
    </row>
    <row r="114" spans="1:6" ht="24">
      <c r="A114" s="42" t="s">
        <v>94</v>
      </c>
      <c r="B114" s="42" t="s">
        <v>57</v>
      </c>
      <c r="C114" s="43" t="s">
        <v>140</v>
      </c>
      <c r="D114" s="42" t="s">
        <v>158</v>
      </c>
      <c r="E114" s="44">
        <v>3176</v>
      </c>
      <c r="F114" s="46">
        <v>90523.04</v>
      </c>
    </row>
    <row r="115" spans="1:6" ht="36">
      <c r="A115" s="42" t="s">
        <v>159</v>
      </c>
      <c r="B115" s="42" t="s">
        <v>160</v>
      </c>
      <c r="C115" s="43" t="s">
        <v>161</v>
      </c>
      <c r="D115" s="42" t="s">
        <v>162</v>
      </c>
      <c r="E115" s="44">
        <v>3289</v>
      </c>
      <c r="F115" s="46">
        <v>4213696</v>
      </c>
    </row>
    <row r="116" spans="1:6" ht="36">
      <c r="A116" s="42" t="s">
        <v>159</v>
      </c>
      <c r="B116" s="42" t="s">
        <v>160</v>
      </c>
      <c r="C116" s="43" t="s">
        <v>161</v>
      </c>
      <c r="D116" s="42" t="s">
        <v>163</v>
      </c>
      <c r="E116" s="44">
        <v>3291</v>
      </c>
      <c r="F116" s="46">
        <v>1454348.8</v>
      </c>
    </row>
    <row r="117" spans="1:6" ht="24">
      <c r="A117" s="42" t="s">
        <v>23</v>
      </c>
      <c r="B117" s="42" t="s">
        <v>24</v>
      </c>
      <c r="C117" s="43" t="s">
        <v>25</v>
      </c>
      <c r="D117" s="42" t="s">
        <v>164</v>
      </c>
      <c r="E117" s="44">
        <v>3621</v>
      </c>
      <c r="F117" s="46">
        <v>263542.84000000003</v>
      </c>
    </row>
    <row r="118" spans="1:6" ht="24">
      <c r="A118" s="42" t="s">
        <v>23</v>
      </c>
      <c r="B118" s="42" t="s">
        <v>24</v>
      </c>
      <c r="C118" s="43" t="s">
        <v>25</v>
      </c>
      <c r="D118" s="42" t="s">
        <v>165</v>
      </c>
      <c r="E118" s="44">
        <v>3622</v>
      </c>
      <c r="F118" s="46">
        <v>136127.5</v>
      </c>
    </row>
    <row r="119" spans="1:6" ht="48">
      <c r="A119" s="42" t="s">
        <v>166</v>
      </c>
      <c r="B119" s="42" t="s">
        <v>167</v>
      </c>
      <c r="C119" s="43" t="s">
        <v>168</v>
      </c>
      <c r="D119" s="42" t="s">
        <v>169</v>
      </c>
      <c r="E119" s="44">
        <v>3847</v>
      </c>
      <c r="F119" s="46">
        <v>5219234.6900000004</v>
      </c>
    </row>
    <row r="120" spans="1:6" ht="24">
      <c r="A120" s="42" t="s">
        <v>23</v>
      </c>
      <c r="B120" s="42" t="s">
        <v>24</v>
      </c>
      <c r="C120" s="43" t="s">
        <v>25</v>
      </c>
      <c r="D120" s="42" t="s">
        <v>170</v>
      </c>
      <c r="E120" s="44">
        <v>4161</v>
      </c>
      <c r="F120" s="46">
        <v>102707.07</v>
      </c>
    </row>
    <row r="121" spans="1:6" ht="24">
      <c r="A121" s="42" t="s">
        <v>45</v>
      </c>
      <c r="B121" s="42" t="s">
        <v>171</v>
      </c>
      <c r="C121" s="43" t="s">
        <v>172</v>
      </c>
      <c r="D121" s="42" t="s">
        <v>170</v>
      </c>
      <c r="E121" s="44">
        <v>4161</v>
      </c>
      <c r="F121" s="46">
        <v>1023697.24</v>
      </c>
    </row>
    <row r="122" spans="1:6" ht="24">
      <c r="A122" s="42" t="s">
        <v>56</v>
      </c>
      <c r="B122" s="42" t="s">
        <v>57</v>
      </c>
      <c r="C122" s="43" t="s">
        <v>173</v>
      </c>
      <c r="D122" s="42" t="s">
        <v>174</v>
      </c>
      <c r="E122" s="44">
        <v>4513</v>
      </c>
      <c r="F122" s="46">
        <v>54005.87</v>
      </c>
    </row>
    <row r="123" spans="1:6" ht="24">
      <c r="A123" s="42" t="s">
        <v>56</v>
      </c>
      <c r="B123" s="42" t="s">
        <v>57</v>
      </c>
      <c r="C123" s="43" t="s">
        <v>175</v>
      </c>
      <c r="D123" s="42" t="s">
        <v>176</v>
      </c>
      <c r="E123" s="44">
        <v>4571</v>
      </c>
      <c r="F123" s="46">
        <v>273768.53000000003</v>
      </c>
    </row>
    <row r="124" spans="1:6" ht="24">
      <c r="A124" s="42" t="s">
        <v>56</v>
      </c>
      <c r="B124" s="42" t="s">
        <v>57</v>
      </c>
      <c r="C124" s="43" t="s">
        <v>58</v>
      </c>
      <c r="D124" s="42" t="s">
        <v>177</v>
      </c>
      <c r="E124" s="44">
        <v>4573</v>
      </c>
      <c r="F124" s="46">
        <v>6950</v>
      </c>
    </row>
    <row r="125" spans="1:6" ht="24">
      <c r="A125" s="42" t="s">
        <v>56</v>
      </c>
      <c r="B125" s="42" t="s">
        <v>57</v>
      </c>
      <c r="C125" s="43" t="s">
        <v>175</v>
      </c>
      <c r="D125" s="42" t="s">
        <v>178</v>
      </c>
      <c r="E125" s="44">
        <v>4574</v>
      </c>
      <c r="F125" s="46">
        <v>19927.900000000001</v>
      </c>
    </row>
    <row r="126" spans="1:6" ht="24">
      <c r="A126" s="42" t="s">
        <v>56</v>
      </c>
      <c r="B126" s="42" t="s">
        <v>57</v>
      </c>
      <c r="C126" s="43" t="s">
        <v>133</v>
      </c>
      <c r="D126" s="42" t="s">
        <v>179</v>
      </c>
      <c r="E126" s="44">
        <v>4645</v>
      </c>
      <c r="F126" s="46">
        <v>281889.36</v>
      </c>
    </row>
    <row r="127" spans="1:6" ht="36">
      <c r="A127" s="42" t="s">
        <v>180</v>
      </c>
      <c r="B127" s="42" t="s">
        <v>181</v>
      </c>
      <c r="C127" s="43" t="s">
        <v>182</v>
      </c>
      <c r="D127" s="42" t="s">
        <v>183</v>
      </c>
      <c r="E127" s="44">
        <v>5021</v>
      </c>
      <c r="F127" s="46">
        <v>12668.73</v>
      </c>
    </row>
    <row r="128" spans="1:6" ht="24">
      <c r="A128" s="42" t="s">
        <v>184</v>
      </c>
      <c r="B128" s="42" t="s">
        <v>171</v>
      </c>
      <c r="C128" s="43" t="s">
        <v>185</v>
      </c>
      <c r="D128" s="42" t="s">
        <v>186</v>
      </c>
      <c r="E128" s="44">
        <v>5715</v>
      </c>
      <c r="F128" s="46">
        <v>93012.27</v>
      </c>
    </row>
    <row r="129" spans="1:6" ht="24">
      <c r="A129" s="42" t="s">
        <v>94</v>
      </c>
      <c r="B129" s="42" t="s">
        <v>57</v>
      </c>
      <c r="C129" s="43" t="s">
        <v>187</v>
      </c>
      <c r="D129" s="42" t="s">
        <v>188</v>
      </c>
      <c r="E129" s="44">
        <v>6446</v>
      </c>
      <c r="F129" s="46">
        <v>5729.41</v>
      </c>
    </row>
    <row r="130" spans="1:6" ht="24">
      <c r="A130" s="42" t="s">
        <v>94</v>
      </c>
      <c r="B130" s="42" t="s">
        <v>57</v>
      </c>
      <c r="C130" s="43" t="s">
        <v>189</v>
      </c>
      <c r="D130" s="42" t="s">
        <v>190</v>
      </c>
      <c r="E130" s="44">
        <v>6448</v>
      </c>
      <c r="F130" s="46">
        <v>49711.07</v>
      </c>
    </row>
    <row r="131" spans="1:6" ht="24">
      <c r="A131" s="42" t="s">
        <v>94</v>
      </c>
      <c r="B131" s="42" t="s">
        <v>57</v>
      </c>
      <c r="C131" s="43" t="s">
        <v>191</v>
      </c>
      <c r="D131" s="42" t="s">
        <v>192</v>
      </c>
      <c r="E131" s="44">
        <v>6449</v>
      </c>
      <c r="F131" s="46">
        <v>28356.27</v>
      </c>
    </row>
    <row r="132" spans="1:6" ht="24">
      <c r="A132" s="42" t="s">
        <v>94</v>
      </c>
      <c r="B132" s="42" t="s">
        <v>57</v>
      </c>
      <c r="C132" s="43" t="s">
        <v>193</v>
      </c>
      <c r="D132" s="42" t="s">
        <v>194</v>
      </c>
      <c r="E132" s="44">
        <v>6450</v>
      </c>
      <c r="F132" s="46">
        <v>24906.93</v>
      </c>
    </row>
    <row r="133" spans="1:6" ht="24">
      <c r="A133" s="42" t="s">
        <v>94</v>
      </c>
      <c r="B133" s="42" t="s">
        <v>57</v>
      </c>
      <c r="C133" s="43" t="s">
        <v>195</v>
      </c>
      <c r="D133" s="42" t="s">
        <v>196</v>
      </c>
      <c r="E133" s="44">
        <v>6489</v>
      </c>
      <c r="F133" s="51">
        <v>538768.44999999995</v>
      </c>
    </row>
    <row r="134" spans="1:6" ht="24">
      <c r="A134" s="42" t="s">
        <v>94</v>
      </c>
      <c r="B134" s="42" t="s">
        <v>57</v>
      </c>
      <c r="C134" s="43" t="s">
        <v>95</v>
      </c>
      <c r="D134" s="42" t="s">
        <v>197</v>
      </c>
      <c r="E134" s="44">
        <v>6595</v>
      </c>
      <c r="F134" s="51">
        <v>1145063.31</v>
      </c>
    </row>
    <row r="135" spans="1:6" ht="24">
      <c r="A135" s="42" t="s">
        <v>94</v>
      </c>
      <c r="B135" s="42" t="s">
        <v>57</v>
      </c>
      <c r="C135" s="43" t="s">
        <v>95</v>
      </c>
      <c r="D135" s="42" t="s">
        <v>198</v>
      </c>
      <c r="E135" s="44">
        <v>6597</v>
      </c>
      <c r="F135" s="51">
        <v>632247.11</v>
      </c>
    </row>
    <row r="136" spans="1:6" ht="36">
      <c r="A136" s="42" t="s">
        <v>142</v>
      </c>
      <c r="B136" s="42" t="s">
        <v>199</v>
      </c>
      <c r="C136" s="43" t="s">
        <v>200</v>
      </c>
      <c r="D136" s="42" t="s">
        <v>201</v>
      </c>
      <c r="E136" s="44">
        <v>6700</v>
      </c>
      <c r="F136" s="51">
        <v>10864883.17</v>
      </c>
    </row>
    <row r="137" spans="1:6" ht="36">
      <c r="A137" s="42" t="s">
        <v>142</v>
      </c>
      <c r="B137" s="42" t="s">
        <v>202</v>
      </c>
      <c r="C137" s="43" t="s">
        <v>203</v>
      </c>
      <c r="D137" s="42" t="s">
        <v>204</v>
      </c>
      <c r="E137" s="44">
        <v>6701</v>
      </c>
      <c r="F137" s="51">
        <v>3153185.26</v>
      </c>
    </row>
    <row r="138" spans="1:6" ht="24">
      <c r="A138" s="42" t="s">
        <v>184</v>
      </c>
      <c r="B138" s="42" t="s">
        <v>171</v>
      </c>
      <c r="C138" s="43" t="s">
        <v>185</v>
      </c>
      <c r="D138" s="42" t="s">
        <v>205</v>
      </c>
      <c r="E138" s="44">
        <v>6984</v>
      </c>
      <c r="F138" s="51">
        <v>39722.720000000001</v>
      </c>
    </row>
    <row r="139" spans="1:6" ht="24">
      <c r="A139" s="42" t="s">
        <v>184</v>
      </c>
      <c r="B139" s="42" t="s">
        <v>171</v>
      </c>
      <c r="C139" s="43" t="s">
        <v>185</v>
      </c>
      <c r="D139" s="42" t="s">
        <v>206</v>
      </c>
      <c r="E139" s="44">
        <v>6985</v>
      </c>
      <c r="F139" s="51">
        <v>62953.27</v>
      </c>
    </row>
    <row r="140" spans="1:6" ht="24">
      <c r="A140" s="42" t="s">
        <v>207</v>
      </c>
      <c r="B140" s="42" t="s">
        <v>57</v>
      </c>
      <c r="C140" s="43" t="s">
        <v>208</v>
      </c>
      <c r="D140" s="42" t="s">
        <v>209</v>
      </c>
      <c r="E140" s="44">
        <v>7158</v>
      </c>
      <c r="F140" s="52">
        <v>17471.0838</v>
      </c>
    </row>
    <row r="141" spans="1:6" ht="24">
      <c r="A141" s="42" t="s">
        <v>23</v>
      </c>
      <c r="B141" s="42" t="s">
        <v>24</v>
      </c>
      <c r="C141" s="43" t="s">
        <v>25</v>
      </c>
      <c r="D141" s="42" t="s">
        <v>210</v>
      </c>
      <c r="E141" s="44">
        <v>8092</v>
      </c>
      <c r="F141" s="53">
        <v>147807.54999999999</v>
      </c>
    </row>
    <row r="142" spans="1:6" ht="24">
      <c r="A142" s="42" t="s">
        <v>84</v>
      </c>
      <c r="B142" s="42" t="s">
        <v>211</v>
      </c>
      <c r="C142" s="43" t="s">
        <v>212</v>
      </c>
      <c r="D142" s="42" t="s">
        <v>213</v>
      </c>
      <c r="E142" s="44">
        <v>8598</v>
      </c>
      <c r="F142" s="53">
        <v>46758.6</v>
      </c>
    </row>
    <row r="143" spans="1:6" ht="24">
      <c r="A143" s="42" t="s">
        <v>84</v>
      </c>
      <c r="B143" s="42" t="s">
        <v>211</v>
      </c>
      <c r="C143" s="43" t="s">
        <v>212</v>
      </c>
      <c r="D143" s="42" t="s">
        <v>214</v>
      </c>
      <c r="E143" s="44">
        <v>8599</v>
      </c>
      <c r="F143" s="53">
        <v>10986.29</v>
      </c>
    </row>
    <row r="144" spans="1:6" ht="24">
      <c r="A144" s="42" t="s">
        <v>215</v>
      </c>
      <c r="B144" s="42" t="s">
        <v>216</v>
      </c>
      <c r="C144" s="43" t="s">
        <v>217</v>
      </c>
      <c r="D144" s="42" t="s">
        <v>218</v>
      </c>
      <c r="E144" s="44">
        <v>8617</v>
      </c>
      <c r="F144" s="53">
        <v>675660.99</v>
      </c>
    </row>
    <row r="145" spans="1:6" ht="24">
      <c r="A145" s="42" t="s">
        <v>23</v>
      </c>
      <c r="B145" s="42" t="s">
        <v>171</v>
      </c>
      <c r="C145" s="43" t="s">
        <v>219</v>
      </c>
      <c r="D145" s="42" t="s">
        <v>220</v>
      </c>
      <c r="E145" s="44">
        <v>9019</v>
      </c>
      <c r="F145" s="53">
        <v>26354.6</v>
      </c>
    </row>
    <row r="146" spans="1:6" ht="24">
      <c r="A146" s="42" t="s">
        <v>184</v>
      </c>
      <c r="B146" s="42" t="s">
        <v>46</v>
      </c>
      <c r="C146" s="43" t="s">
        <v>221</v>
      </c>
      <c r="D146" s="42" t="s">
        <v>222</v>
      </c>
      <c r="E146" s="44">
        <v>9628</v>
      </c>
      <c r="F146" s="46">
        <v>551008.86</v>
      </c>
    </row>
    <row r="147" spans="1:6" ht="24">
      <c r="A147" s="42" t="s">
        <v>223</v>
      </c>
      <c r="B147" s="42" t="s">
        <v>224</v>
      </c>
      <c r="C147" s="43" t="s">
        <v>225</v>
      </c>
      <c r="D147" s="42" t="s">
        <v>226</v>
      </c>
      <c r="E147" s="44">
        <v>10360</v>
      </c>
      <c r="F147" s="51">
        <v>31590</v>
      </c>
    </row>
    <row r="148" spans="1:6" ht="24">
      <c r="A148" s="42" t="s">
        <v>184</v>
      </c>
      <c r="B148" s="42" t="s">
        <v>171</v>
      </c>
      <c r="C148" s="43" t="s">
        <v>185</v>
      </c>
      <c r="D148" s="42" t="s">
        <v>227</v>
      </c>
      <c r="E148" s="44">
        <v>13506</v>
      </c>
      <c r="F148" s="51">
        <v>77903.69</v>
      </c>
    </row>
    <row r="149" spans="1:6" ht="24">
      <c r="A149" s="42" t="s">
        <v>84</v>
      </c>
      <c r="B149" s="42" t="s">
        <v>211</v>
      </c>
      <c r="C149" s="43" t="s">
        <v>212</v>
      </c>
      <c r="D149" s="42" t="s">
        <v>228</v>
      </c>
      <c r="E149" s="44">
        <v>15194</v>
      </c>
      <c r="F149" s="51">
        <v>15502.52</v>
      </c>
    </row>
    <row r="150" spans="1:6" ht="24">
      <c r="A150" s="42" t="s">
        <v>84</v>
      </c>
      <c r="B150" s="42" t="s">
        <v>211</v>
      </c>
      <c r="C150" s="43" t="s">
        <v>212</v>
      </c>
      <c r="D150" s="42" t="s">
        <v>229</v>
      </c>
      <c r="E150" s="44">
        <v>17866</v>
      </c>
      <c r="F150" s="51">
        <v>1570991.43</v>
      </c>
    </row>
    <row r="151" spans="1:6" ht="60.75">
      <c r="A151" s="48" t="s">
        <v>84</v>
      </c>
      <c r="B151" s="49" t="s">
        <v>230</v>
      </c>
      <c r="C151" s="49" t="s">
        <v>231</v>
      </c>
      <c r="D151" s="42" t="s">
        <v>232</v>
      </c>
      <c r="E151" s="54">
        <v>17919</v>
      </c>
      <c r="F151" s="51">
        <v>19330363.969999999</v>
      </c>
    </row>
    <row r="152" spans="1:6" ht="24">
      <c r="A152" s="42" t="s">
        <v>84</v>
      </c>
      <c r="B152" s="42" t="s">
        <v>211</v>
      </c>
      <c r="C152" s="43" t="s">
        <v>212</v>
      </c>
      <c r="D152" s="42" t="s">
        <v>233</v>
      </c>
      <c r="E152" s="44">
        <v>18597</v>
      </c>
      <c r="F152" s="51">
        <v>1242967.3899999999</v>
      </c>
    </row>
    <row r="153" spans="1:6" ht="24">
      <c r="A153" s="42" t="s">
        <v>234</v>
      </c>
      <c r="B153" s="42" t="s">
        <v>235</v>
      </c>
      <c r="C153" s="43" t="s">
        <v>236</v>
      </c>
      <c r="D153" s="42" t="s">
        <v>237</v>
      </c>
      <c r="E153" s="44">
        <v>19617</v>
      </c>
      <c r="F153" s="51">
        <v>378375.4</v>
      </c>
    </row>
    <row r="154" spans="1:6" ht="24">
      <c r="A154" s="42" t="s">
        <v>234</v>
      </c>
      <c r="B154" s="42" t="s">
        <v>235</v>
      </c>
      <c r="C154" s="43" t="s">
        <v>236</v>
      </c>
      <c r="D154" s="42" t="s">
        <v>238</v>
      </c>
      <c r="E154" s="44">
        <v>19671</v>
      </c>
      <c r="F154" s="51">
        <v>1082723.96</v>
      </c>
    </row>
    <row r="155" spans="1:6" ht="24">
      <c r="A155" s="42" t="s">
        <v>84</v>
      </c>
      <c r="B155" s="42" t="s">
        <v>211</v>
      </c>
      <c r="C155" s="43" t="s">
        <v>212</v>
      </c>
      <c r="D155" s="42" t="s">
        <v>239</v>
      </c>
      <c r="E155" s="44">
        <v>20747</v>
      </c>
      <c r="F155" s="51">
        <v>5722.32</v>
      </c>
    </row>
    <row r="156" spans="1:6" ht="24">
      <c r="A156" s="42" t="s">
        <v>84</v>
      </c>
      <c r="B156" s="42" t="s">
        <v>211</v>
      </c>
      <c r="C156" s="43" t="s">
        <v>212</v>
      </c>
      <c r="D156" s="42" t="s">
        <v>240</v>
      </c>
      <c r="E156" s="44">
        <v>20748</v>
      </c>
      <c r="F156" s="51">
        <v>74464.88</v>
      </c>
    </row>
    <row r="157" spans="1:6" ht="24">
      <c r="A157" s="42" t="s">
        <v>84</v>
      </c>
      <c r="B157" s="42" t="s">
        <v>211</v>
      </c>
      <c r="C157" s="43" t="s">
        <v>212</v>
      </c>
      <c r="D157" s="42" t="s">
        <v>241</v>
      </c>
      <c r="E157" s="44">
        <v>20750</v>
      </c>
      <c r="F157" s="51">
        <v>250119.71</v>
      </c>
    </row>
    <row r="158" spans="1:6" ht="24">
      <c r="A158" s="42" t="s">
        <v>84</v>
      </c>
      <c r="B158" s="42" t="s">
        <v>211</v>
      </c>
      <c r="C158" s="43" t="s">
        <v>212</v>
      </c>
      <c r="D158" s="42" t="s">
        <v>242</v>
      </c>
      <c r="E158" s="44">
        <v>20751</v>
      </c>
      <c r="F158" s="51">
        <v>189986.47</v>
      </c>
    </row>
    <row r="159" spans="1:6" ht="24">
      <c r="A159" s="42" t="s">
        <v>84</v>
      </c>
      <c r="B159" s="42" t="s">
        <v>211</v>
      </c>
      <c r="C159" s="43" t="s">
        <v>212</v>
      </c>
      <c r="D159" s="42" t="s">
        <v>233</v>
      </c>
      <c r="E159" s="44">
        <v>20753</v>
      </c>
      <c r="F159" s="51">
        <v>751818.41</v>
      </c>
    </row>
    <row r="160" spans="1:6" ht="24">
      <c r="A160" s="42" t="s">
        <v>84</v>
      </c>
      <c r="B160" s="42" t="s">
        <v>211</v>
      </c>
      <c r="C160" s="43" t="s">
        <v>212</v>
      </c>
      <c r="D160" s="42" t="s">
        <v>243</v>
      </c>
      <c r="E160" s="44">
        <v>20767</v>
      </c>
      <c r="F160" s="51">
        <v>947272.84</v>
      </c>
    </row>
    <row r="161" spans="1:6" ht="24">
      <c r="A161" s="42" t="s">
        <v>215</v>
      </c>
      <c r="B161" s="42" t="s">
        <v>216</v>
      </c>
      <c r="C161" s="43" t="s">
        <v>217</v>
      </c>
      <c r="D161" s="42" t="s">
        <v>244</v>
      </c>
      <c r="E161" s="44">
        <v>20934</v>
      </c>
      <c r="F161" s="51">
        <v>754027.86</v>
      </c>
    </row>
    <row r="162" spans="1:6" ht="24">
      <c r="A162" s="42" t="s">
        <v>215</v>
      </c>
      <c r="B162" s="42" t="s">
        <v>245</v>
      </c>
      <c r="C162" s="43" t="s">
        <v>246</v>
      </c>
      <c r="D162" s="42" t="s">
        <v>247</v>
      </c>
      <c r="E162" s="44">
        <v>22294</v>
      </c>
      <c r="F162" s="51">
        <v>1933345.51</v>
      </c>
    </row>
    <row r="163" spans="1:6" ht="30.75">
      <c r="A163" s="48" t="s">
        <v>215</v>
      </c>
      <c r="B163" s="49" t="s">
        <v>216</v>
      </c>
      <c r="C163" s="49" t="s">
        <v>248</v>
      </c>
      <c r="D163" s="42" t="s">
        <v>249</v>
      </c>
      <c r="E163" s="48">
        <v>25539</v>
      </c>
      <c r="F163" s="51">
        <v>0</v>
      </c>
    </row>
    <row r="164" spans="1:6" ht="36">
      <c r="A164" s="42" t="s">
        <v>84</v>
      </c>
      <c r="B164" s="42" t="s">
        <v>146</v>
      </c>
      <c r="C164" s="43" t="s">
        <v>147</v>
      </c>
      <c r="D164" s="42" t="s">
        <v>250</v>
      </c>
      <c r="E164" s="44">
        <v>27526</v>
      </c>
      <c r="F164" s="51">
        <v>192645.75</v>
      </c>
    </row>
    <row r="165" spans="1:6" ht="24">
      <c r="A165" s="42" t="s">
        <v>84</v>
      </c>
      <c r="B165" s="42" t="s">
        <v>85</v>
      </c>
      <c r="C165" s="43" t="s">
        <v>86</v>
      </c>
      <c r="D165" s="42" t="s">
        <v>251</v>
      </c>
      <c r="E165" s="44">
        <v>33345</v>
      </c>
      <c r="F165" s="46">
        <v>13843740.67</v>
      </c>
    </row>
    <row r="166" spans="1:6" ht="24">
      <c r="A166" s="42" t="s">
        <v>84</v>
      </c>
      <c r="B166" s="42" t="s">
        <v>252</v>
      </c>
      <c r="C166" s="43" t="s">
        <v>253</v>
      </c>
      <c r="D166" s="42" t="s">
        <v>254</v>
      </c>
      <c r="E166" s="44">
        <v>34640</v>
      </c>
      <c r="F166" s="52">
        <v>127895.79</v>
      </c>
    </row>
    <row r="167" spans="1:6" ht="24">
      <c r="A167" s="42" t="s">
        <v>84</v>
      </c>
      <c r="B167" s="42" t="s">
        <v>252</v>
      </c>
      <c r="C167" s="43" t="s">
        <v>253</v>
      </c>
      <c r="D167" s="42" t="s">
        <v>255</v>
      </c>
      <c r="E167" s="44">
        <v>34641</v>
      </c>
      <c r="F167" s="53">
        <v>145898.57180000001</v>
      </c>
    </row>
    <row r="168" spans="1:6" ht="24">
      <c r="A168" s="42" t="s">
        <v>84</v>
      </c>
      <c r="B168" s="42" t="s">
        <v>252</v>
      </c>
      <c r="C168" s="43" t="s">
        <v>253</v>
      </c>
      <c r="D168" s="42" t="s">
        <v>256</v>
      </c>
      <c r="E168" s="44">
        <v>38560</v>
      </c>
      <c r="F168" s="53">
        <v>535120.72580000001</v>
      </c>
    </row>
    <row r="169" spans="1:6" ht="24">
      <c r="A169" s="42" t="s">
        <v>84</v>
      </c>
      <c r="B169" s="42" t="s">
        <v>252</v>
      </c>
      <c r="C169" s="43" t="s">
        <v>253</v>
      </c>
      <c r="D169" s="42" t="s">
        <v>257</v>
      </c>
      <c r="E169" s="44">
        <v>38561</v>
      </c>
      <c r="F169" s="53">
        <v>36196.782700000003</v>
      </c>
    </row>
    <row r="170" spans="1:6" ht="24">
      <c r="A170" s="42" t="s">
        <v>84</v>
      </c>
      <c r="B170" s="42" t="s">
        <v>252</v>
      </c>
      <c r="C170" s="43" t="s">
        <v>253</v>
      </c>
      <c r="D170" s="42" t="s">
        <v>258</v>
      </c>
      <c r="E170" s="44">
        <v>38562</v>
      </c>
      <c r="F170" s="53">
        <v>330133.53029999998</v>
      </c>
    </row>
    <row r="171" spans="1:6" ht="36">
      <c r="A171" s="42" t="s">
        <v>84</v>
      </c>
      <c r="B171" s="42" t="s">
        <v>146</v>
      </c>
      <c r="C171" s="43" t="s">
        <v>147</v>
      </c>
      <c r="D171" s="42" t="s">
        <v>250</v>
      </c>
      <c r="E171" s="44">
        <v>41899</v>
      </c>
      <c r="F171" s="53">
        <v>192645.75</v>
      </c>
    </row>
    <row r="172" spans="1:6" ht="36">
      <c r="A172" s="55" t="s">
        <v>84</v>
      </c>
      <c r="B172" s="42" t="s">
        <v>146</v>
      </c>
      <c r="C172" s="43" t="s">
        <v>147</v>
      </c>
      <c r="D172" s="42" t="s">
        <v>250</v>
      </c>
      <c r="E172" s="56">
        <v>41900</v>
      </c>
      <c r="F172" s="53">
        <v>192645.75</v>
      </c>
    </row>
    <row r="173" spans="1:6" ht="60.75">
      <c r="A173" s="57" t="s">
        <v>84</v>
      </c>
      <c r="B173" s="49" t="s">
        <v>259</v>
      </c>
      <c r="C173" s="49" t="s">
        <v>260</v>
      </c>
      <c r="D173" s="42"/>
      <c r="E173" s="57">
        <v>54730</v>
      </c>
      <c r="F173" s="58">
        <v>0</v>
      </c>
    </row>
    <row r="174" spans="1:6" ht="24">
      <c r="A174" s="42" t="s">
        <v>84</v>
      </c>
      <c r="B174" s="42" t="s">
        <v>252</v>
      </c>
      <c r="C174" s="59" t="s">
        <v>261</v>
      </c>
      <c r="D174" s="60" t="s">
        <v>262</v>
      </c>
      <c r="E174" s="44">
        <v>55145</v>
      </c>
      <c r="F174" s="58">
        <v>44697.87</v>
      </c>
    </row>
    <row r="175" spans="1:6" ht="15">
      <c r="A175" s="68"/>
      <c r="B175" s="62"/>
      <c r="C175" s="62"/>
      <c r="D175" s="63"/>
      <c r="E175" s="61"/>
      <c r="F175" s="64"/>
    </row>
  </sheetData>
  <customSheetViews>
    <customSheetView guid="{A5E84A00-DAF7-48F4-A761-EB443A432800}" filter="1" showAutoFilter="1">
      <autoFilter ref="AI67:AJ143" xr:uid="{3DD5ED93-2796-4ECE-88E3-BD45D9F4029D}"/>
    </customSheetView>
    <customSheetView guid="{E5BE32A5-1473-4D07-82C5-006E6EB28646}" filter="1" showAutoFilter="1">
      <autoFilter ref="A1:AR172" xr:uid="{A9B1D74E-D147-49CF-B2A5-52D183542E0C}"/>
    </customSheetView>
    <customSheetView guid="{7CF1E3CC-3C52-4F64-B147-B60CDED09F39}" filter="1" showAutoFilter="1">
      <autoFilter ref="A1:AR175" xr:uid="{BB08D875-D690-4DE2-8A8C-ABD34C7C9597}"/>
    </customSheetView>
    <customSheetView guid="{220F4180-4357-4C6A-9191-EDCC6F7A16B9}" filter="1" showAutoFilter="1">
      <autoFilter ref="A1:AR172" xr:uid="{82ECC66D-02B3-4298-BC13-8628C9B28525}"/>
    </customSheetView>
  </customSheetView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00"/>
    <outlinePr summaryBelow="0" summaryRight="0"/>
  </sheetPr>
  <dimension ref="A1:M254"/>
  <sheetViews>
    <sheetView workbookViewId="0"/>
  </sheetViews>
  <sheetFormatPr defaultColWidth="12.5703125" defaultRowHeight="15.75" customHeight="1"/>
  <cols>
    <col min="1" max="1" width="32.7109375" customWidth="1"/>
    <col min="2" max="2" width="17.140625" customWidth="1"/>
    <col min="4" max="4" width="19.42578125" customWidth="1"/>
    <col min="5" max="6" width="19.28515625" customWidth="1"/>
    <col min="12" max="12" width="15.85546875" customWidth="1"/>
    <col min="13" max="13" width="17.5703125" customWidth="1"/>
    <col min="14" max="14" width="20.28515625" customWidth="1"/>
  </cols>
  <sheetData>
    <row r="1" spans="1:12">
      <c r="A1" s="5" t="s">
        <v>263</v>
      </c>
      <c r="B1" s="6" t="s">
        <v>264</v>
      </c>
      <c r="C1" s="7" t="s">
        <v>265</v>
      </c>
      <c r="D1" s="7" t="s">
        <v>266</v>
      </c>
      <c r="E1" s="7" t="s">
        <v>267</v>
      </c>
      <c r="F1" s="7" t="s">
        <v>268</v>
      </c>
      <c r="G1" s="8" t="s">
        <v>269</v>
      </c>
      <c r="I1" s="8" t="s">
        <v>0</v>
      </c>
      <c r="J1" s="8" t="s">
        <v>270</v>
      </c>
      <c r="K1" s="8" t="s">
        <v>271</v>
      </c>
      <c r="L1" s="8" t="s">
        <v>272</v>
      </c>
    </row>
    <row r="2" spans="1:12">
      <c r="A2" s="9" t="s">
        <v>146</v>
      </c>
      <c r="B2" s="10">
        <v>2101</v>
      </c>
      <c r="C2" s="10" t="s">
        <v>273</v>
      </c>
      <c r="D2" s="11" t="s">
        <v>274</v>
      </c>
      <c r="E2" s="12" t="s">
        <v>275</v>
      </c>
      <c r="F2" s="12" t="s">
        <v>276</v>
      </c>
      <c r="G2" s="10" t="s">
        <v>273</v>
      </c>
      <c r="I2" s="4" t="s">
        <v>159</v>
      </c>
      <c r="J2" s="4" t="s">
        <v>270</v>
      </c>
      <c r="K2" s="2" t="s">
        <v>277</v>
      </c>
      <c r="L2" s="4" t="s">
        <v>278</v>
      </c>
    </row>
    <row r="3" spans="1:12" ht="39.75" customHeight="1">
      <c r="B3" s="13"/>
      <c r="C3" s="10" t="s">
        <v>279</v>
      </c>
      <c r="D3" s="11" t="s">
        <v>280</v>
      </c>
      <c r="E3" s="12" t="s">
        <v>281</v>
      </c>
      <c r="F3" s="12" t="s">
        <v>282</v>
      </c>
      <c r="G3" s="10" t="s">
        <v>279</v>
      </c>
      <c r="I3" s="4" t="s">
        <v>283</v>
      </c>
      <c r="J3" s="4" t="s">
        <v>284</v>
      </c>
      <c r="K3" s="2" t="s">
        <v>285</v>
      </c>
      <c r="L3" s="4" t="s">
        <v>286</v>
      </c>
    </row>
    <row r="4" spans="1:12">
      <c r="A4" s="41" t="s">
        <v>287</v>
      </c>
      <c r="D4" s="11" t="s">
        <v>288</v>
      </c>
      <c r="E4" s="12" t="s">
        <v>289</v>
      </c>
      <c r="F4" s="12" t="s">
        <v>290</v>
      </c>
      <c r="I4" s="4" t="s">
        <v>291</v>
      </c>
      <c r="J4" s="4" t="s">
        <v>292</v>
      </c>
      <c r="K4" s="14"/>
      <c r="L4" s="4" t="s">
        <v>293</v>
      </c>
    </row>
    <row r="5" spans="1:12">
      <c r="A5" s="69"/>
      <c r="D5" s="11" t="s">
        <v>294</v>
      </c>
      <c r="E5" s="12" t="s">
        <v>295</v>
      </c>
      <c r="F5" s="12" t="s">
        <v>296</v>
      </c>
      <c r="I5" s="4" t="s">
        <v>297</v>
      </c>
      <c r="J5" s="4" t="s">
        <v>298</v>
      </c>
      <c r="K5" s="14"/>
      <c r="L5" s="4" t="s">
        <v>299</v>
      </c>
    </row>
    <row r="6" spans="1:12">
      <c r="A6" s="15" t="s">
        <v>300</v>
      </c>
      <c r="B6" s="15">
        <v>1</v>
      </c>
      <c r="D6" s="11" t="s">
        <v>301</v>
      </c>
      <c r="E6" s="12" t="s">
        <v>302</v>
      </c>
      <c r="F6" s="12" t="s">
        <v>303</v>
      </c>
      <c r="I6" s="4" t="s">
        <v>304</v>
      </c>
      <c r="J6" s="4" t="s">
        <v>305</v>
      </c>
      <c r="K6" s="14"/>
      <c r="L6" s="4" t="s">
        <v>306</v>
      </c>
    </row>
    <row r="7" spans="1:12">
      <c r="A7" s="9" t="s">
        <v>307</v>
      </c>
      <c r="B7" s="15">
        <v>2</v>
      </c>
      <c r="D7" s="11" t="s">
        <v>308</v>
      </c>
      <c r="E7" s="12" t="s">
        <v>309</v>
      </c>
      <c r="F7" s="12" t="s">
        <v>310</v>
      </c>
      <c r="I7" s="4" t="s">
        <v>88</v>
      </c>
      <c r="J7" s="16"/>
      <c r="K7" s="14"/>
      <c r="L7" s="4" t="s">
        <v>311</v>
      </c>
    </row>
    <row r="8" spans="1:12">
      <c r="A8" s="17" t="s">
        <v>312</v>
      </c>
      <c r="B8" s="15">
        <v>3</v>
      </c>
      <c r="D8" s="11" t="s">
        <v>313</v>
      </c>
      <c r="E8" s="12" t="s">
        <v>314</v>
      </c>
      <c r="F8" s="12" t="s">
        <v>315</v>
      </c>
      <c r="I8" s="4" t="s">
        <v>316</v>
      </c>
      <c r="J8" s="16"/>
      <c r="K8" s="14"/>
      <c r="L8" s="14"/>
    </row>
    <row r="9" spans="1:12">
      <c r="A9" s="18" t="s">
        <v>317</v>
      </c>
      <c r="B9" s="19">
        <v>4</v>
      </c>
      <c r="D9" s="11" t="s">
        <v>318</v>
      </c>
      <c r="E9" s="12" t="s">
        <v>319</v>
      </c>
      <c r="F9" s="12" t="s">
        <v>320</v>
      </c>
      <c r="I9" s="4" t="s">
        <v>321</v>
      </c>
      <c r="J9" s="16"/>
      <c r="K9" s="14"/>
      <c r="L9" s="14"/>
    </row>
    <row r="10" spans="1:12">
      <c r="D10" s="11" t="s">
        <v>322</v>
      </c>
      <c r="E10" s="12" t="s">
        <v>323</v>
      </c>
      <c r="F10" s="12" t="s">
        <v>324</v>
      </c>
      <c r="I10" s="4" t="s">
        <v>325</v>
      </c>
      <c r="J10" s="16"/>
      <c r="K10" s="14"/>
      <c r="L10" s="14"/>
    </row>
    <row r="11" spans="1:12">
      <c r="D11" s="11" t="s">
        <v>326</v>
      </c>
      <c r="E11" s="12" t="s">
        <v>327</v>
      </c>
      <c r="F11" s="12" t="s">
        <v>328</v>
      </c>
      <c r="I11" s="4" t="s">
        <v>329</v>
      </c>
      <c r="J11" s="16"/>
      <c r="K11" s="14"/>
      <c r="L11" s="14"/>
    </row>
    <row r="12" spans="1:12">
      <c r="D12" s="11" t="s">
        <v>330</v>
      </c>
      <c r="E12" s="12" t="s">
        <v>331</v>
      </c>
      <c r="F12" s="12" t="s">
        <v>332</v>
      </c>
      <c r="I12" s="4" t="s">
        <v>166</v>
      </c>
      <c r="J12" s="16"/>
      <c r="K12" s="14"/>
      <c r="L12" s="14"/>
    </row>
    <row r="13" spans="1:12">
      <c r="D13" s="11" t="s">
        <v>333</v>
      </c>
      <c r="E13" s="12" t="s">
        <v>334</v>
      </c>
      <c r="F13" s="12" t="s">
        <v>335</v>
      </c>
      <c r="I13" s="4" t="s">
        <v>336</v>
      </c>
      <c r="J13" s="16"/>
      <c r="K13" s="14"/>
      <c r="L13" s="14"/>
    </row>
    <row r="14" spans="1:12">
      <c r="D14" s="11" t="s">
        <v>337</v>
      </c>
      <c r="E14" s="12" t="s">
        <v>338</v>
      </c>
      <c r="F14" s="12" t="s">
        <v>339</v>
      </c>
      <c r="I14" s="4" t="s">
        <v>340</v>
      </c>
      <c r="J14" s="16"/>
      <c r="K14" s="14"/>
      <c r="L14" s="14"/>
    </row>
    <row r="15" spans="1:12">
      <c r="D15" s="11" t="s">
        <v>341</v>
      </c>
      <c r="E15" s="12" t="s">
        <v>342</v>
      </c>
      <c r="F15" s="12" t="s">
        <v>343</v>
      </c>
      <c r="I15" s="4" t="s">
        <v>344</v>
      </c>
      <c r="J15" s="16"/>
      <c r="K15" s="14"/>
      <c r="L15" s="14"/>
    </row>
    <row r="16" spans="1:12">
      <c r="D16" s="11" t="s">
        <v>345</v>
      </c>
      <c r="E16" s="12" t="s">
        <v>346</v>
      </c>
      <c r="F16" s="12" t="s">
        <v>347</v>
      </c>
      <c r="I16" s="4" t="s">
        <v>34</v>
      </c>
      <c r="J16" s="16"/>
      <c r="K16" s="14"/>
      <c r="L16" s="14"/>
    </row>
    <row r="17" spans="4:13">
      <c r="D17" s="11" t="s">
        <v>348</v>
      </c>
      <c r="E17" s="12" t="s">
        <v>349</v>
      </c>
      <c r="F17" s="12" t="s">
        <v>350</v>
      </c>
      <c r="I17" s="4" t="s">
        <v>351</v>
      </c>
      <c r="J17" s="16"/>
      <c r="K17" s="14"/>
      <c r="L17" s="14"/>
    </row>
    <row r="18" spans="4:13">
      <c r="D18" s="11" t="s">
        <v>352</v>
      </c>
      <c r="E18" s="12" t="s">
        <v>353</v>
      </c>
      <c r="F18" s="12" t="s">
        <v>354</v>
      </c>
      <c r="I18" s="4" t="s">
        <v>355</v>
      </c>
      <c r="J18" s="16"/>
      <c r="K18" s="14"/>
      <c r="L18" s="14"/>
    </row>
    <row r="19" spans="4:13">
      <c r="D19" s="11" t="s">
        <v>356</v>
      </c>
      <c r="E19" s="12" t="s">
        <v>357</v>
      </c>
      <c r="F19" s="12" t="s">
        <v>358</v>
      </c>
      <c r="I19" s="4" t="s">
        <v>359</v>
      </c>
      <c r="J19" s="16"/>
      <c r="K19" s="14"/>
      <c r="L19" s="20"/>
    </row>
    <row r="20" spans="4:13">
      <c r="D20" s="11" t="s">
        <v>360</v>
      </c>
      <c r="E20" s="12" t="s">
        <v>361</v>
      </c>
      <c r="F20" s="12" t="s">
        <v>362</v>
      </c>
      <c r="G20" s="21"/>
      <c r="H20" s="21"/>
      <c r="I20" s="4" t="s">
        <v>363</v>
      </c>
      <c r="J20" s="16"/>
      <c r="K20" s="20"/>
      <c r="L20" s="20"/>
      <c r="M20" s="21"/>
    </row>
    <row r="21" spans="4:13">
      <c r="D21" s="22" t="s">
        <v>364</v>
      </c>
      <c r="E21" s="12" t="s">
        <v>365</v>
      </c>
      <c r="F21" s="12" t="s">
        <v>366</v>
      </c>
      <c r="G21" s="21"/>
      <c r="H21" s="21"/>
      <c r="I21" s="4" t="s">
        <v>367</v>
      </c>
      <c r="J21" s="16"/>
      <c r="K21" s="20"/>
      <c r="L21" s="20"/>
      <c r="M21" s="21"/>
    </row>
    <row r="22" spans="4:13">
      <c r="D22" s="22" t="s">
        <v>368</v>
      </c>
      <c r="E22" s="12" t="s">
        <v>369</v>
      </c>
      <c r="F22" s="12" t="s">
        <v>370</v>
      </c>
      <c r="G22" s="21"/>
      <c r="H22" s="21"/>
      <c r="I22" s="4" t="s">
        <v>371</v>
      </c>
      <c r="J22" s="16"/>
      <c r="K22" s="20"/>
      <c r="L22" s="20"/>
      <c r="M22" s="21"/>
    </row>
    <row r="23" spans="4:13">
      <c r="D23" s="22" t="s">
        <v>372</v>
      </c>
      <c r="E23" s="12" t="s">
        <v>373</v>
      </c>
      <c r="F23" s="12" t="s">
        <v>374</v>
      </c>
      <c r="G23" s="21"/>
      <c r="H23" s="21"/>
      <c r="I23" s="4" t="s">
        <v>375</v>
      </c>
      <c r="J23" s="16"/>
      <c r="K23" s="20"/>
      <c r="L23" s="20"/>
      <c r="M23" s="21"/>
    </row>
    <row r="24" spans="4:13">
      <c r="D24" s="11" t="s">
        <v>376</v>
      </c>
      <c r="E24" s="12" t="s">
        <v>377</v>
      </c>
      <c r="F24" s="12" t="s">
        <v>378</v>
      </c>
      <c r="G24" s="21"/>
      <c r="H24" s="21"/>
      <c r="I24" s="4" t="s">
        <v>379</v>
      </c>
      <c r="J24" s="16"/>
      <c r="K24" s="20"/>
      <c r="L24" s="20"/>
      <c r="M24" s="21"/>
    </row>
    <row r="25" spans="4:13">
      <c r="D25" s="11" t="s">
        <v>380</v>
      </c>
      <c r="E25" s="12" t="s">
        <v>381</v>
      </c>
      <c r="F25" s="12" t="s">
        <v>382</v>
      </c>
      <c r="G25" s="21"/>
      <c r="H25" s="21"/>
      <c r="I25" s="4" t="s">
        <v>383</v>
      </c>
      <c r="J25" s="16"/>
      <c r="K25" s="20"/>
      <c r="L25" s="20"/>
      <c r="M25" s="21"/>
    </row>
    <row r="26" spans="4:13">
      <c r="D26" s="11" t="s">
        <v>384</v>
      </c>
      <c r="E26" s="12" t="s">
        <v>385</v>
      </c>
      <c r="F26" s="12" t="s">
        <v>386</v>
      </c>
      <c r="G26" s="21"/>
      <c r="H26" s="21"/>
      <c r="I26" s="4" t="s">
        <v>387</v>
      </c>
      <c r="J26" s="16"/>
      <c r="K26" s="20"/>
      <c r="L26" s="23"/>
      <c r="M26" s="21"/>
    </row>
    <row r="27" spans="4:13">
      <c r="D27" s="11" t="s">
        <v>388</v>
      </c>
      <c r="E27" s="12" t="s">
        <v>389</v>
      </c>
      <c r="F27" s="12" t="s">
        <v>390</v>
      </c>
      <c r="G27" s="21"/>
      <c r="H27" s="21"/>
      <c r="I27" s="4" t="s">
        <v>391</v>
      </c>
      <c r="J27" s="16"/>
      <c r="K27" s="20"/>
      <c r="L27" s="23"/>
      <c r="M27" s="24"/>
    </row>
    <row r="28" spans="4:13">
      <c r="D28" s="11" t="s">
        <v>392</v>
      </c>
      <c r="E28" s="12" t="s">
        <v>393</v>
      </c>
      <c r="F28" s="12" t="s">
        <v>394</v>
      </c>
      <c r="G28" s="21"/>
      <c r="H28" s="21"/>
      <c r="I28" s="4" t="s">
        <v>395</v>
      </c>
      <c r="J28" s="16"/>
      <c r="K28" s="20"/>
      <c r="L28" s="23"/>
      <c r="M28" s="24"/>
    </row>
    <row r="29" spans="4:13">
      <c r="D29" s="11" t="s">
        <v>396</v>
      </c>
      <c r="E29" s="12" t="s">
        <v>397</v>
      </c>
      <c r="F29" s="12" t="s">
        <v>398</v>
      </c>
      <c r="G29" s="21"/>
      <c r="H29" s="21"/>
      <c r="I29" s="4" t="s">
        <v>399</v>
      </c>
      <c r="J29" s="16"/>
      <c r="K29" s="20"/>
      <c r="L29" s="20"/>
      <c r="M29" s="24"/>
    </row>
    <row r="30" spans="4:13">
      <c r="D30" s="11" t="s">
        <v>400</v>
      </c>
      <c r="E30" s="12" t="s">
        <v>401</v>
      </c>
      <c r="F30" s="12" t="s">
        <v>402</v>
      </c>
      <c r="G30" s="21"/>
      <c r="H30" s="21"/>
      <c r="I30" s="4" t="s">
        <v>403</v>
      </c>
      <c r="J30" s="16"/>
      <c r="K30" s="20"/>
      <c r="L30" s="20"/>
      <c r="M30" s="21"/>
    </row>
    <row r="31" spans="4:13">
      <c r="D31" s="11" t="s">
        <v>404</v>
      </c>
      <c r="E31" s="12" t="s">
        <v>405</v>
      </c>
      <c r="F31" s="12" t="s">
        <v>406</v>
      </c>
      <c r="G31" s="21"/>
      <c r="H31" s="21"/>
      <c r="I31" s="4" t="s">
        <v>407</v>
      </c>
      <c r="J31" s="16"/>
      <c r="K31" s="20"/>
      <c r="L31" s="20"/>
      <c r="M31" s="21"/>
    </row>
    <row r="32" spans="4:13">
      <c r="D32" s="11" t="s">
        <v>408</v>
      </c>
      <c r="E32" s="12" t="s">
        <v>409</v>
      </c>
      <c r="F32" s="12" t="s">
        <v>410</v>
      </c>
      <c r="G32" s="21"/>
      <c r="H32" s="21"/>
      <c r="I32" s="4" t="s">
        <v>411</v>
      </c>
      <c r="J32" s="16"/>
      <c r="K32" s="20"/>
      <c r="L32" s="20"/>
      <c r="M32" s="21"/>
    </row>
    <row r="33" spans="4:13">
      <c r="D33" s="11" t="s">
        <v>412</v>
      </c>
      <c r="E33" s="12" t="s">
        <v>413</v>
      </c>
      <c r="F33" s="12" t="s">
        <v>414</v>
      </c>
      <c r="G33" s="21"/>
      <c r="H33" s="21"/>
      <c r="I33" s="4" t="s">
        <v>415</v>
      </c>
      <c r="J33" s="16"/>
      <c r="K33" s="20"/>
      <c r="L33" s="20"/>
      <c r="M33" s="21"/>
    </row>
    <row r="34" spans="4:13">
      <c r="D34" s="11" t="s">
        <v>416</v>
      </c>
      <c r="E34" s="12" t="s">
        <v>417</v>
      </c>
      <c r="F34" s="12" t="s">
        <v>418</v>
      </c>
      <c r="G34" s="21"/>
      <c r="H34" s="21"/>
      <c r="I34" s="4" t="s">
        <v>419</v>
      </c>
      <c r="J34" s="16"/>
      <c r="K34" s="20"/>
      <c r="L34" s="20"/>
      <c r="M34" s="21"/>
    </row>
    <row r="35" spans="4:13">
      <c r="D35" s="11" t="s">
        <v>420</v>
      </c>
      <c r="E35" s="12" t="s">
        <v>421</v>
      </c>
      <c r="F35" s="12" t="s">
        <v>422</v>
      </c>
      <c r="G35" s="21"/>
      <c r="H35" s="21"/>
      <c r="I35" s="4" t="s">
        <v>423</v>
      </c>
      <c r="J35" s="16"/>
      <c r="K35" s="20"/>
      <c r="L35" s="14"/>
      <c r="M35" s="21"/>
    </row>
    <row r="36" spans="4:13">
      <c r="D36" s="11" t="s">
        <v>424</v>
      </c>
      <c r="E36" s="12" t="s">
        <v>425</v>
      </c>
      <c r="F36" s="12" t="s">
        <v>426</v>
      </c>
      <c r="I36" s="4" t="s">
        <v>427</v>
      </c>
      <c r="J36" s="16"/>
      <c r="K36" s="14"/>
      <c r="L36" s="14"/>
    </row>
    <row r="37" spans="4:13">
      <c r="D37" s="11" t="s">
        <v>428</v>
      </c>
      <c r="E37" s="12" t="s">
        <v>429</v>
      </c>
      <c r="F37" s="12" t="s">
        <v>430</v>
      </c>
      <c r="I37" s="4" t="s">
        <v>431</v>
      </c>
      <c r="J37" s="16"/>
      <c r="K37" s="14"/>
      <c r="L37" s="14"/>
    </row>
    <row r="38" spans="4:13">
      <c r="D38" s="11" t="s">
        <v>432</v>
      </c>
      <c r="E38" s="12" t="s">
        <v>433</v>
      </c>
      <c r="F38" s="12" t="s">
        <v>434</v>
      </c>
      <c r="I38" s="4" t="s">
        <v>435</v>
      </c>
      <c r="J38" s="16"/>
      <c r="K38" s="14"/>
      <c r="L38" s="14"/>
    </row>
    <row r="39" spans="4:13">
      <c r="D39" s="11" t="s">
        <v>436</v>
      </c>
      <c r="E39" s="12" t="s">
        <v>437</v>
      </c>
      <c r="F39" s="12" t="s">
        <v>438</v>
      </c>
      <c r="I39" s="4" t="s">
        <v>439</v>
      </c>
      <c r="J39" s="16"/>
      <c r="K39" s="14"/>
      <c r="L39" s="14"/>
    </row>
    <row r="40" spans="4:13">
      <c r="D40" s="11" t="s">
        <v>440</v>
      </c>
      <c r="E40" s="12" t="s">
        <v>441</v>
      </c>
      <c r="F40" s="12" t="s">
        <v>442</v>
      </c>
      <c r="I40" s="4" t="s">
        <v>443</v>
      </c>
      <c r="J40" s="16"/>
      <c r="K40" s="14"/>
      <c r="L40" s="14"/>
    </row>
    <row r="41" spans="4:13">
      <c r="D41" s="11" t="s">
        <v>444</v>
      </c>
      <c r="E41" s="12" t="s">
        <v>445</v>
      </c>
      <c r="F41" s="12" t="s">
        <v>446</v>
      </c>
      <c r="I41" s="4" t="s">
        <v>447</v>
      </c>
      <c r="J41" s="16"/>
      <c r="K41" s="14"/>
      <c r="L41" s="14"/>
    </row>
    <row r="42" spans="4:13">
      <c r="D42" s="11" t="s">
        <v>448</v>
      </c>
      <c r="E42" s="12" t="s">
        <v>449</v>
      </c>
      <c r="F42" s="12" t="s">
        <v>450</v>
      </c>
      <c r="I42" s="4" t="s">
        <v>451</v>
      </c>
      <c r="J42" s="16"/>
      <c r="K42" s="14"/>
      <c r="L42" s="14"/>
    </row>
    <row r="43" spans="4:13">
      <c r="D43" s="11" t="s">
        <v>452</v>
      </c>
      <c r="E43" s="12" t="s">
        <v>453</v>
      </c>
      <c r="F43" s="12" t="s">
        <v>454</v>
      </c>
      <c r="I43" s="4" t="s">
        <v>455</v>
      </c>
      <c r="J43" s="16"/>
      <c r="K43" s="14"/>
      <c r="L43" s="14"/>
    </row>
    <row r="44" spans="4:13">
      <c r="D44" s="25" t="s">
        <v>456</v>
      </c>
      <c r="E44" s="26" t="s">
        <v>457</v>
      </c>
      <c r="F44" s="26" t="s">
        <v>458</v>
      </c>
      <c r="I44" s="4" t="s">
        <v>459</v>
      </c>
      <c r="J44" s="16"/>
      <c r="K44" s="14"/>
      <c r="L44" s="14"/>
    </row>
    <row r="45" spans="4:13">
      <c r="D45" s="25" t="s">
        <v>460</v>
      </c>
      <c r="E45" s="26" t="s">
        <v>461</v>
      </c>
      <c r="F45" s="26" t="s">
        <v>462</v>
      </c>
      <c r="I45" s="4" t="s">
        <v>463</v>
      </c>
      <c r="J45" s="16"/>
      <c r="K45" s="14"/>
      <c r="L45" s="14"/>
    </row>
    <row r="46" spans="4:13">
      <c r="D46" s="25" t="s">
        <v>464</v>
      </c>
      <c r="E46" s="26" t="s">
        <v>465</v>
      </c>
      <c r="F46" s="26" t="s">
        <v>466</v>
      </c>
      <c r="I46" s="4" t="s">
        <v>467</v>
      </c>
      <c r="J46" s="16"/>
      <c r="K46" s="14"/>
      <c r="L46" s="14"/>
    </row>
    <row r="47" spans="4:13">
      <c r="D47" s="25" t="s">
        <v>468</v>
      </c>
      <c r="E47" s="26" t="s">
        <v>469</v>
      </c>
      <c r="F47" s="26" t="s">
        <v>470</v>
      </c>
      <c r="I47" s="4" t="s">
        <v>471</v>
      </c>
      <c r="J47" s="16"/>
      <c r="K47" s="14"/>
      <c r="L47" s="14"/>
    </row>
    <row r="48" spans="4:13">
      <c r="D48" s="25" t="s">
        <v>472</v>
      </c>
      <c r="E48" s="26" t="s">
        <v>473</v>
      </c>
      <c r="F48" s="26" t="s">
        <v>474</v>
      </c>
      <c r="I48" s="4" t="s">
        <v>475</v>
      </c>
      <c r="J48" s="16"/>
      <c r="K48" s="14"/>
      <c r="L48" s="14"/>
    </row>
    <row r="49" spans="4:12">
      <c r="D49" s="25" t="s">
        <v>476</v>
      </c>
      <c r="E49" s="26" t="s">
        <v>477</v>
      </c>
      <c r="F49" s="26" t="s">
        <v>478</v>
      </c>
      <c r="I49" s="4" t="s">
        <v>479</v>
      </c>
      <c r="J49" s="16"/>
      <c r="K49" s="14"/>
      <c r="L49" s="14"/>
    </row>
    <row r="50" spans="4:12">
      <c r="D50" s="25" t="s">
        <v>480</v>
      </c>
      <c r="E50" s="26" t="s">
        <v>481</v>
      </c>
      <c r="F50" s="26" t="s">
        <v>482</v>
      </c>
      <c r="I50" s="4" t="s">
        <v>483</v>
      </c>
      <c r="J50" s="16"/>
      <c r="K50" s="14"/>
      <c r="L50" s="14"/>
    </row>
    <row r="51" spans="4:12">
      <c r="D51" s="25" t="s">
        <v>484</v>
      </c>
      <c r="E51" s="26" t="s">
        <v>485</v>
      </c>
      <c r="F51" s="26" t="s">
        <v>486</v>
      </c>
      <c r="I51" s="4" t="s">
        <v>79</v>
      </c>
      <c r="J51" s="16"/>
      <c r="K51" s="14"/>
      <c r="L51" s="14"/>
    </row>
    <row r="52" spans="4:12">
      <c r="D52" s="25" t="s">
        <v>487</v>
      </c>
      <c r="E52" s="26" t="s">
        <v>488</v>
      </c>
      <c r="F52" s="26" t="s">
        <v>489</v>
      </c>
      <c r="I52" s="4" t="s">
        <v>490</v>
      </c>
      <c r="J52" s="16"/>
      <c r="K52" s="14"/>
      <c r="L52" s="14"/>
    </row>
    <row r="53" spans="4:12">
      <c r="D53" s="25" t="s">
        <v>491</v>
      </c>
      <c r="E53" s="26" t="s">
        <v>492</v>
      </c>
      <c r="F53" s="26" t="s">
        <v>493</v>
      </c>
      <c r="I53" s="4" t="s">
        <v>494</v>
      </c>
      <c r="J53" s="16"/>
      <c r="K53" s="14"/>
      <c r="L53" s="14"/>
    </row>
    <row r="54" spans="4:12">
      <c r="D54" s="25" t="s">
        <v>495</v>
      </c>
      <c r="E54" s="26" t="s">
        <v>496</v>
      </c>
      <c r="F54" s="26" t="s">
        <v>497</v>
      </c>
      <c r="I54" s="4" t="s">
        <v>498</v>
      </c>
      <c r="J54" s="16"/>
      <c r="K54" s="14"/>
      <c r="L54" s="14"/>
    </row>
    <row r="55" spans="4:12">
      <c r="D55" s="27" t="s">
        <v>499</v>
      </c>
      <c r="E55" s="28" t="s">
        <v>500</v>
      </c>
      <c r="F55" s="28" t="s">
        <v>501</v>
      </c>
      <c r="I55" s="4" t="s">
        <v>502</v>
      </c>
      <c r="J55" s="16"/>
      <c r="K55" s="14"/>
      <c r="L55" s="14"/>
    </row>
    <row r="56" spans="4:12">
      <c r="D56" s="27" t="s">
        <v>503</v>
      </c>
      <c r="E56" s="28" t="s">
        <v>504</v>
      </c>
      <c r="F56" s="28" t="s">
        <v>505</v>
      </c>
      <c r="I56" s="4" t="s">
        <v>506</v>
      </c>
      <c r="J56" s="16"/>
      <c r="K56" s="14"/>
      <c r="L56" s="14"/>
    </row>
    <row r="57" spans="4:12">
      <c r="D57" s="27" t="s">
        <v>507</v>
      </c>
      <c r="E57" s="28" t="s">
        <v>508</v>
      </c>
      <c r="F57" s="28" t="s">
        <v>501</v>
      </c>
      <c r="I57" s="4" t="s">
        <v>509</v>
      </c>
      <c r="J57" s="16"/>
      <c r="K57" s="14"/>
      <c r="L57" s="14"/>
    </row>
    <row r="58" spans="4:12">
      <c r="D58" s="27" t="s">
        <v>510</v>
      </c>
      <c r="E58" s="28" t="s">
        <v>511</v>
      </c>
      <c r="F58" s="28" t="s">
        <v>505</v>
      </c>
      <c r="I58" s="4" t="s">
        <v>512</v>
      </c>
      <c r="J58" s="16"/>
      <c r="K58" s="14"/>
      <c r="L58" s="14"/>
    </row>
    <row r="59" spans="4:12">
      <c r="D59" s="27" t="s">
        <v>513</v>
      </c>
      <c r="E59" s="28" t="s">
        <v>514</v>
      </c>
      <c r="F59" s="28" t="s">
        <v>515</v>
      </c>
      <c r="I59" s="4" t="s">
        <v>516</v>
      </c>
      <c r="J59" s="16"/>
      <c r="K59" s="14"/>
      <c r="L59" s="14"/>
    </row>
    <row r="60" spans="4:12">
      <c r="D60" s="27" t="s">
        <v>517</v>
      </c>
      <c r="E60" s="28" t="s">
        <v>518</v>
      </c>
      <c r="F60" s="28"/>
      <c r="I60" s="4" t="s">
        <v>519</v>
      </c>
      <c r="J60" s="16"/>
      <c r="K60" s="14"/>
      <c r="L60" s="14"/>
    </row>
    <row r="61" spans="4:12">
      <c r="D61" s="27" t="s">
        <v>520</v>
      </c>
      <c r="E61" s="28" t="s">
        <v>521</v>
      </c>
      <c r="F61" s="28"/>
      <c r="I61" s="4" t="s">
        <v>522</v>
      </c>
      <c r="J61" s="16"/>
      <c r="K61" s="14"/>
      <c r="L61" s="14"/>
    </row>
    <row r="62" spans="4:12">
      <c r="D62" s="27" t="s">
        <v>523</v>
      </c>
      <c r="E62" s="28" t="s">
        <v>524</v>
      </c>
      <c r="F62" s="28"/>
      <c r="I62" s="4" t="s">
        <v>525</v>
      </c>
      <c r="J62" s="16"/>
      <c r="K62" s="14"/>
      <c r="L62" s="14"/>
    </row>
    <row r="63" spans="4:12">
      <c r="D63" s="27" t="s">
        <v>526</v>
      </c>
      <c r="E63" s="28" t="s">
        <v>527</v>
      </c>
      <c r="F63" s="28" t="s">
        <v>528</v>
      </c>
      <c r="I63" s="4" t="s">
        <v>529</v>
      </c>
      <c r="J63" s="16"/>
      <c r="K63" s="14"/>
      <c r="L63" s="14"/>
    </row>
    <row r="64" spans="4:12">
      <c r="D64" s="29" t="s">
        <v>530</v>
      </c>
      <c r="E64" s="28" t="s">
        <v>531</v>
      </c>
      <c r="F64" s="29"/>
      <c r="I64" s="4" t="s">
        <v>532</v>
      </c>
      <c r="J64" s="16"/>
      <c r="K64" s="14"/>
      <c r="L64" s="14"/>
    </row>
    <row r="65" spans="4:12">
      <c r="D65" s="30" t="s">
        <v>533</v>
      </c>
      <c r="E65" s="31" t="s">
        <v>534</v>
      </c>
      <c r="F65" s="32"/>
      <c r="I65" s="4" t="s">
        <v>535</v>
      </c>
      <c r="J65" s="16"/>
      <c r="K65" s="14"/>
      <c r="L65" s="14"/>
    </row>
    <row r="66" spans="4:12">
      <c r="D66" s="30" t="s">
        <v>536</v>
      </c>
      <c r="E66" s="31" t="s">
        <v>537</v>
      </c>
      <c r="F66" s="32"/>
      <c r="I66" s="4" t="s">
        <v>538</v>
      </c>
      <c r="J66" s="16"/>
      <c r="K66" s="14"/>
      <c r="L66" s="14"/>
    </row>
    <row r="67" spans="4:12">
      <c r="D67" s="30" t="s">
        <v>539</v>
      </c>
      <c r="E67" s="31" t="s">
        <v>540</v>
      </c>
      <c r="F67" s="32"/>
      <c r="I67" s="4" t="s">
        <v>541</v>
      </c>
      <c r="J67" s="16"/>
      <c r="K67" s="14"/>
      <c r="L67" s="14"/>
    </row>
    <row r="68" spans="4:12">
      <c r="D68" s="30" t="s">
        <v>542</v>
      </c>
      <c r="E68" s="31" t="s">
        <v>543</v>
      </c>
      <c r="F68" s="32"/>
      <c r="I68" s="4"/>
      <c r="J68" s="16"/>
      <c r="K68" s="14"/>
      <c r="L68" s="14"/>
    </row>
    <row r="69" spans="4:12">
      <c r="D69" s="33" t="s">
        <v>544</v>
      </c>
      <c r="E69" s="34" t="s">
        <v>545</v>
      </c>
      <c r="F69" s="34" t="s">
        <v>546</v>
      </c>
      <c r="I69" s="4"/>
      <c r="J69" s="16"/>
      <c r="K69" s="14"/>
      <c r="L69" s="14"/>
    </row>
    <row r="70" spans="4:12">
      <c r="D70" s="33" t="s">
        <v>547</v>
      </c>
      <c r="E70" s="35" t="s">
        <v>548</v>
      </c>
      <c r="F70" s="35"/>
      <c r="I70" s="4" t="s">
        <v>549</v>
      </c>
      <c r="J70" s="16"/>
      <c r="K70" s="14"/>
      <c r="L70" s="14"/>
    </row>
    <row r="71" spans="4:12">
      <c r="D71" s="33" t="s">
        <v>550</v>
      </c>
      <c r="E71" s="34" t="s">
        <v>551</v>
      </c>
      <c r="F71" s="34" t="s">
        <v>552</v>
      </c>
      <c r="I71" s="4" t="s">
        <v>207</v>
      </c>
      <c r="J71" s="16"/>
      <c r="K71" s="14"/>
      <c r="L71" s="14"/>
    </row>
    <row r="72" spans="4:12">
      <c r="I72" s="4" t="s">
        <v>553</v>
      </c>
      <c r="J72" s="16"/>
      <c r="K72" s="14"/>
      <c r="L72" s="14"/>
    </row>
    <row r="73" spans="4:12">
      <c r="I73" s="4" t="s">
        <v>554</v>
      </c>
      <c r="J73" s="16"/>
      <c r="K73" s="14"/>
      <c r="L73" s="14"/>
    </row>
    <row r="74" spans="4:12">
      <c r="I74" s="4" t="s">
        <v>56</v>
      </c>
      <c r="J74" s="16"/>
      <c r="K74" s="14"/>
      <c r="L74" s="14"/>
    </row>
    <row r="75" spans="4:12">
      <c r="I75" s="4" t="s">
        <v>555</v>
      </c>
      <c r="J75" s="16"/>
      <c r="K75" s="14"/>
    </row>
    <row r="76" spans="4:12">
      <c r="I76" s="4" t="s">
        <v>556</v>
      </c>
      <c r="J76" s="16"/>
      <c r="K76" s="14"/>
    </row>
    <row r="77" spans="4:12">
      <c r="I77" s="4" t="s">
        <v>557</v>
      </c>
      <c r="J77" s="16"/>
      <c r="K77" s="14"/>
    </row>
    <row r="78" spans="4:12">
      <c r="I78" s="4" t="s">
        <v>558</v>
      </c>
      <c r="J78" s="16"/>
      <c r="K78" s="14"/>
    </row>
    <row r="79" spans="4:12">
      <c r="I79" s="4" t="s">
        <v>559</v>
      </c>
      <c r="J79" s="16"/>
      <c r="K79" s="14"/>
    </row>
    <row r="80" spans="4:12">
      <c r="I80" s="4" t="s">
        <v>560</v>
      </c>
      <c r="J80" s="16"/>
      <c r="K80" s="14"/>
    </row>
    <row r="81" spans="9:11">
      <c r="I81" s="4" t="s">
        <v>561</v>
      </c>
      <c r="J81" s="16"/>
      <c r="K81" s="14"/>
    </row>
    <row r="82" spans="9:11">
      <c r="I82" s="4" t="s">
        <v>562</v>
      </c>
      <c r="J82" s="16"/>
      <c r="K82" s="14"/>
    </row>
    <row r="83" spans="9:11">
      <c r="I83" s="4" t="s">
        <v>563</v>
      </c>
      <c r="J83" s="16"/>
      <c r="K83" s="14"/>
    </row>
    <row r="84" spans="9:11">
      <c r="I84" s="4" t="s">
        <v>564</v>
      </c>
      <c r="J84" s="16"/>
      <c r="K84" s="14"/>
    </row>
    <row r="85" spans="9:11">
      <c r="I85" s="4" t="s">
        <v>565</v>
      </c>
      <c r="J85" s="16"/>
      <c r="K85" s="14"/>
    </row>
    <row r="86" spans="9:11">
      <c r="I86" s="4" t="s">
        <v>566</v>
      </c>
      <c r="J86" s="16"/>
      <c r="K86" s="14"/>
    </row>
    <row r="87" spans="9:11">
      <c r="I87" s="4" t="s">
        <v>567</v>
      </c>
      <c r="J87" s="16"/>
      <c r="K87" s="14"/>
    </row>
    <row r="88" spans="9:11">
      <c r="I88" s="4" t="s">
        <v>568</v>
      </c>
      <c r="J88" s="16"/>
      <c r="K88" s="14"/>
    </row>
    <row r="89" spans="9:11">
      <c r="I89" s="4" t="s">
        <v>569</v>
      </c>
      <c r="J89" s="16"/>
      <c r="K89" s="14"/>
    </row>
    <row r="90" spans="9:11">
      <c r="I90" s="4" t="s">
        <v>570</v>
      </c>
      <c r="J90" s="16"/>
      <c r="K90" s="14"/>
    </row>
    <row r="91" spans="9:11">
      <c r="I91" s="4" t="s">
        <v>571</v>
      </c>
      <c r="J91" s="16"/>
      <c r="K91" s="14"/>
    </row>
    <row r="92" spans="9:11">
      <c r="I92" s="4" t="s">
        <v>572</v>
      </c>
      <c r="J92" s="16"/>
      <c r="K92" s="14"/>
    </row>
    <row r="93" spans="9:11">
      <c r="I93" s="4" t="s">
        <v>573</v>
      </c>
      <c r="J93" s="16"/>
      <c r="K93" s="14"/>
    </row>
    <row r="94" spans="9:11">
      <c r="I94" s="4" t="s">
        <v>574</v>
      </c>
      <c r="J94" s="16"/>
      <c r="K94" s="14"/>
    </row>
    <row r="95" spans="9:11">
      <c r="I95" s="4" t="s">
        <v>575</v>
      </c>
      <c r="J95" s="16"/>
      <c r="K95" s="14"/>
    </row>
    <row r="96" spans="9:11">
      <c r="I96" s="4" t="s">
        <v>576</v>
      </c>
      <c r="J96" s="16"/>
      <c r="K96" s="14"/>
    </row>
    <row r="97" spans="9:11">
      <c r="I97" s="4" t="s">
        <v>23</v>
      </c>
      <c r="J97" s="16"/>
      <c r="K97" s="14"/>
    </row>
    <row r="98" spans="9:11">
      <c r="I98" s="4" t="s">
        <v>577</v>
      </c>
      <c r="J98" s="16"/>
      <c r="K98" s="14"/>
    </row>
    <row r="99" spans="9:11">
      <c r="I99" s="4" t="s">
        <v>578</v>
      </c>
      <c r="J99" s="16"/>
      <c r="K99" s="14"/>
    </row>
    <row r="100" spans="9:11">
      <c r="I100" s="4" t="s">
        <v>84</v>
      </c>
      <c r="J100" s="16"/>
      <c r="K100" s="14"/>
    </row>
    <row r="101" spans="9:11">
      <c r="I101" s="4" t="s">
        <v>579</v>
      </c>
      <c r="J101" s="16"/>
      <c r="K101" s="14"/>
    </row>
    <row r="102" spans="9:11">
      <c r="I102" s="4" t="s">
        <v>234</v>
      </c>
      <c r="J102" s="16"/>
      <c r="K102" s="14"/>
    </row>
    <row r="103" spans="9:11">
      <c r="I103" s="4" t="s">
        <v>580</v>
      </c>
      <c r="J103" s="16"/>
      <c r="K103" s="14"/>
    </row>
    <row r="104" spans="9:11">
      <c r="I104" s="4" t="s">
        <v>581</v>
      </c>
      <c r="J104" s="16"/>
      <c r="K104" s="14"/>
    </row>
    <row r="105" spans="9:11">
      <c r="I105" s="4" t="s">
        <v>582</v>
      </c>
      <c r="J105" s="16"/>
      <c r="K105" s="14"/>
    </row>
    <row r="106" spans="9:11">
      <c r="I106" s="4" t="s">
        <v>583</v>
      </c>
      <c r="J106" s="16"/>
      <c r="K106" s="14"/>
    </row>
    <row r="107" spans="9:11">
      <c r="I107" s="4" t="s">
        <v>41</v>
      </c>
      <c r="J107" s="16"/>
      <c r="K107" s="14"/>
    </row>
    <row r="108" spans="9:11">
      <c r="I108" s="4" t="s">
        <v>584</v>
      </c>
      <c r="J108" s="16"/>
      <c r="K108" s="14"/>
    </row>
    <row r="109" spans="9:11">
      <c r="I109" s="4" t="s">
        <v>585</v>
      </c>
      <c r="J109" s="16"/>
      <c r="K109" s="14"/>
    </row>
    <row r="110" spans="9:11">
      <c r="I110" s="4" t="s">
        <v>586</v>
      </c>
      <c r="J110" s="16"/>
      <c r="K110" s="14"/>
    </row>
    <row r="111" spans="9:11">
      <c r="I111" s="4" t="s">
        <v>587</v>
      </c>
      <c r="J111" s="16"/>
      <c r="K111" s="14"/>
    </row>
    <row r="112" spans="9:11">
      <c r="I112" s="4" t="s">
        <v>588</v>
      </c>
      <c r="J112" s="16"/>
      <c r="K112" s="14"/>
    </row>
    <row r="113" spans="9:11">
      <c r="I113" s="4" t="s">
        <v>589</v>
      </c>
      <c r="J113" s="16"/>
      <c r="K113" s="14"/>
    </row>
    <row r="114" spans="9:11">
      <c r="I114" s="4" t="s">
        <v>590</v>
      </c>
      <c r="J114" s="16"/>
      <c r="K114" s="14"/>
    </row>
    <row r="115" spans="9:11">
      <c r="I115" s="4" t="s">
        <v>591</v>
      </c>
      <c r="J115" s="16"/>
      <c r="K115" s="14"/>
    </row>
    <row r="116" spans="9:11">
      <c r="I116" s="4" t="s">
        <v>592</v>
      </c>
      <c r="J116" s="16"/>
      <c r="K116" s="14"/>
    </row>
    <row r="117" spans="9:11">
      <c r="I117" s="4" t="s">
        <v>593</v>
      </c>
      <c r="J117" s="16"/>
      <c r="K117" s="14"/>
    </row>
    <row r="118" spans="9:11">
      <c r="I118" s="4" t="s">
        <v>594</v>
      </c>
      <c r="J118" s="16"/>
      <c r="K118" s="14"/>
    </row>
    <row r="119" spans="9:11">
      <c r="I119" s="4" t="s">
        <v>595</v>
      </c>
      <c r="J119" s="16"/>
      <c r="K119" s="14"/>
    </row>
    <row r="120" spans="9:11">
      <c r="I120" s="4" t="s">
        <v>596</v>
      </c>
      <c r="J120" s="16"/>
      <c r="K120" s="14"/>
    </row>
    <row r="121" spans="9:11">
      <c r="I121" s="4" t="s">
        <v>597</v>
      </c>
      <c r="J121" s="16"/>
      <c r="K121" s="14"/>
    </row>
    <row r="122" spans="9:11">
      <c r="I122" s="4" t="s">
        <v>598</v>
      </c>
      <c r="J122" s="16"/>
      <c r="K122" s="14"/>
    </row>
    <row r="123" spans="9:11">
      <c r="I123" s="4" t="s">
        <v>599</v>
      </c>
      <c r="J123" s="16"/>
      <c r="K123" s="14"/>
    </row>
    <row r="124" spans="9:11">
      <c r="I124" s="4" t="s">
        <v>600</v>
      </c>
      <c r="J124" s="16"/>
      <c r="K124" s="14"/>
    </row>
    <row r="125" spans="9:11">
      <c r="I125" s="4" t="s">
        <v>601</v>
      </c>
      <c r="J125" s="16"/>
      <c r="K125" s="14"/>
    </row>
    <row r="126" spans="9:11">
      <c r="I126" s="4" t="s">
        <v>602</v>
      </c>
      <c r="J126" s="16"/>
      <c r="K126" s="14"/>
    </row>
    <row r="127" spans="9:11">
      <c r="I127" s="4" t="s">
        <v>603</v>
      </c>
      <c r="J127" s="16"/>
      <c r="K127" s="14"/>
    </row>
    <row r="128" spans="9:11">
      <c r="I128" s="4" t="s">
        <v>604</v>
      </c>
      <c r="J128" s="16"/>
      <c r="K128" s="14"/>
    </row>
    <row r="129" spans="9:11">
      <c r="I129" s="4" t="s">
        <v>605</v>
      </c>
      <c r="J129" s="16"/>
      <c r="K129" s="14"/>
    </row>
    <row r="130" spans="9:11">
      <c r="I130" s="4" t="s">
        <v>606</v>
      </c>
      <c r="J130" s="16"/>
      <c r="K130" s="14"/>
    </row>
    <row r="131" spans="9:11">
      <c r="I131" s="4" t="s">
        <v>607</v>
      </c>
      <c r="J131" s="16"/>
      <c r="K131" s="14"/>
    </row>
    <row r="132" spans="9:11">
      <c r="I132" s="4" t="s">
        <v>215</v>
      </c>
      <c r="J132" s="16"/>
      <c r="K132" s="14"/>
    </row>
    <row r="133" spans="9:11">
      <c r="I133" s="4" t="s">
        <v>608</v>
      </c>
      <c r="J133" s="16"/>
      <c r="K133" s="14"/>
    </row>
    <row r="134" spans="9:11">
      <c r="I134" s="4" t="s">
        <v>609</v>
      </c>
      <c r="J134" s="16"/>
      <c r="K134" s="14"/>
    </row>
    <row r="135" spans="9:11">
      <c r="I135" s="4" t="s">
        <v>610</v>
      </c>
      <c r="J135" s="16"/>
      <c r="K135" s="14"/>
    </row>
    <row r="136" spans="9:11">
      <c r="I136" s="4" t="s">
        <v>611</v>
      </c>
      <c r="J136" s="16"/>
      <c r="K136" s="14"/>
    </row>
    <row r="137" spans="9:11">
      <c r="I137" s="4" t="s">
        <v>612</v>
      </c>
      <c r="J137" s="16"/>
      <c r="K137" s="14"/>
    </row>
    <row r="138" spans="9:11">
      <c r="I138" s="4" t="s">
        <v>613</v>
      </c>
      <c r="J138" s="16"/>
      <c r="K138" s="14"/>
    </row>
    <row r="139" spans="9:11">
      <c r="I139" s="4" t="s">
        <v>614</v>
      </c>
      <c r="J139" s="16"/>
      <c r="K139" s="14"/>
    </row>
    <row r="140" spans="9:11">
      <c r="I140" s="4" t="s">
        <v>615</v>
      </c>
      <c r="J140" s="16"/>
      <c r="K140" s="14"/>
    </row>
    <row r="141" spans="9:11">
      <c r="I141" s="4" t="s">
        <v>616</v>
      </c>
      <c r="J141" s="16"/>
      <c r="K141" s="14"/>
    </row>
    <row r="142" spans="9:11">
      <c r="I142" s="4" t="s">
        <v>617</v>
      </c>
      <c r="J142" s="16"/>
      <c r="K142" s="14"/>
    </row>
    <row r="143" spans="9:11">
      <c r="I143" s="4" t="s">
        <v>618</v>
      </c>
      <c r="J143" s="16"/>
      <c r="K143" s="14"/>
    </row>
    <row r="144" spans="9:11">
      <c r="I144" s="4" t="s">
        <v>619</v>
      </c>
      <c r="J144" s="16"/>
      <c r="K144" s="14"/>
    </row>
    <row r="145" spans="9:11">
      <c r="I145" s="4" t="s">
        <v>620</v>
      </c>
      <c r="J145" s="16"/>
      <c r="K145" s="14"/>
    </row>
    <row r="146" spans="9:11">
      <c r="I146" s="4" t="s">
        <v>621</v>
      </c>
      <c r="J146" s="16"/>
      <c r="K146" s="14"/>
    </row>
    <row r="147" spans="9:11">
      <c r="I147" s="4" t="s">
        <v>622</v>
      </c>
      <c r="J147" s="16"/>
      <c r="K147" s="14"/>
    </row>
    <row r="148" spans="9:11">
      <c r="I148" s="4" t="s">
        <v>623</v>
      </c>
      <c r="J148" s="16"/>
      <c r="K148" s="14"/>
    </row>
    <row r="149" spans="9:11">
      <c r="I149" s="4" t="s">
        <v>624</v>
      </c>
      <c r="J149" s="16"/>
      <c r="K149" s="14"/>
    </row>
    <row r="150" spans="9:11">
      <c r="I150" s="4" t="s">
        <v>625</v>
      </c>
      <c r="J150" s="16"/>
      <c r="K150" s="14"/>
    </row>
    <row r="151" spans="9:11">
      <c r="I151" s="4" t="s">
        <v>626</v>
      </c>
      <c r="J151" s="16"/>
      <c r="K151" s="14"/>
    </row>
    <row r="152" spans="9:11">
      <c r="I152" s="4" t="s">
        <v>627</v>
      </c>
      <c r="J152" s="16"/>
      <c r="K152" s="14"/>
    </row>
    <row r="153" spans="9:11">
      <c r="I153" s="4" t="s">
        <v>628</v>
      </c>
      <c r="J153" s="16"/>
      <c r="K153" s="14"/>
    </row>
    <row r="154" spans="9:11">
      <c r="I154" s="4" t="s">
        <v>629</v>
      </c>
      <c r="J154" s="16"/>
      <c r="K154" s="14"/>
    </row>
    <row r="155" spans="9:11">
      <c r="I155" s="4" t="s">
        <v>630</v>
      </c>
      <c r="J155" s="16"/>
      <c r="K155" s="14"/>
    </row>
    <row r="156" spans="9:11">
      <c r="I156" s="4" t="s">
        <v>631</v>
      </c>
      <c r="J156" s="16"/>
      <c r="K156" s="14"/>
    </row>
    <row r="157" spans="9:11">
      <c r="I157" s="4" t="s">
        <v>632</v>
      </c>
      <c r="J157" s="16"/>
      <c r="K157" s="14"/>
    </row>
    <row r="158" spans="9:11">
      <c r="I158" s="4" t="s">
        <v>633</v>
      </c>
      <c r="J158" s="16"/>
      <c r="K158" s="14"/>
    </row>
    <row r="159" spans="9:11">
      <c r="I159" s="4" t="s">
        <v>634</v>
      </c>
      <c r="J159" s="16"/>
      <c r="K159" s="14"/>
    </row>
    <row r="160" spans="9:11">
      <c r="I160" s="4" t="s">
        <v>635</v>
      </c>
      <c r="J160" s="16"/>
      <c r="K160" s="14"/>
    </row>
    <row r="161" spans="9:11">
      <c r="I161" s="4" t="s">
        <v>636</v>
      </c>
      <c r="J161" s="16"/>
      <c r="K161" s="14"/>
    </row>
    <row r="162" spans="9:11">
      <c r="I162" s="4" t="s">
        <v>184</v>
      </c>
      <c r="J162" s="16"/>
      <c r="K162" s="14"/>
    </row>
    <row r="163" spans="9:11">
      <c r="I163" s="4" t="s">
        <v>637</v>
      </c>
      <c r="J163" s="16"/>
      <c r="K163" s="14"/>
    </row>
    <row r="164" spans="9:11">
      <c r="I164" s="4" t="s">
        <v>638</v>
      </c>
      <c r="J164" s="16"/>
      <c r="K164" s="14"/>
    </row>
    <row r="165" spans="9:11">
      <c r="I165" s="4" t="s">
        <v>639</v>
      </c>
      <c r="J165" s="16"/>
      <c r="K165" s="14"/>
    </row>
    <row r="166" spans="9:11">
      <c r="I166" s="4" t="s">
        <v>640</v>
      </c>
      <c r="J166" s="16"/>
      <c r="K166" s="14"/>
    </row>
    <row r="167" spans="9:11">
      <c r="I167" s="4" t="s">
        <v>641</v>
      </c>
      <c r="J167" s="16"/>
      <c r="K167" s="14"/>
    </row>
    <row r="168" spans="9:11">
      <c r="I168" s="4" t="s">
        <v>642</v>
      </c>
      <c r="J168" s="16"/>
      <c r="K168" s="14"/>
    </row>
    <row r="169" spans="9:11">
      <c r="I169" s="4" t="s">
        <v>643</v>
      </c>
      <c r="J169" s="16"/>
      <c r="K169" s="14"/>
    </row>
    <row r="170" spans="9:11">
      <c r="I170" s="4" t="s">
        <v>644</v>
      </c>
      <c r="J170" s="16"/>
      <c r="K170" s="14"/>
    </row>
    <row r="171" spans="9:11">
      <c r="I171" s="4" t="s">
        <v>645</v>
      </c>
      <c r="J171" s="16"/>
      <c r="K171" s="14"/>
    </row>
    <row r="172" spans="9:11">
      <c r="I172" s="4" t="s">
        <v>646</v>
      </c>
      <c r="J172" s="16"/>
      <c r="K172" s="14"/>
    </row>
    <row r="173" spans="9:11">
      <c r="I173" s="4" t="s">
        <v>647</v>
      </c>
      <c r="J173" s="16"/>
      <c r="K173" s="14"/>
    </row>
    <row r="174" spans="9:11">
      <c r="I174" s="4" t="s">
        <v>648</v>
      </c>
      <c r="J174" s="16"/>
      <c r="K174" s="14"/>
    </row>
    <row r="175" spans="9:11">
      <c r="I175" s="4" t="s">
        <v>649</v>
      </c>
      <c r="J175" s="16"/>
      <c r="K175" s="14"/>
    </row>
    <row r="176" spans="9:11">
      <c r="I176" s="4" t="s">
        <v>650</v>
      </c>
      <c r="J176" s="16"/>
      <c r="K176" s="14"/>
    </row>
    <row r="177" spans="9:11">
      <c r="I177" s="4" t="s">
        <v>651</v>
      </c>
      <c r="J177" s="16"/>
      <c r="K177" s="14"/>
    </row>
    <row r="178" spans="9:11">
      <c r="I178" s="4" t="s">
        <v>652</v>
      </c>
      <c r="J178" s="16"/>
      <c r="K178" s="14"/>
    </row>
    <row r="179" spans="9:11">
      <c r="I179" s="4" t="s">
        <v>653</v>
      </c>
      <c r="J179" s="16"/>
      <c r="K179" s="14"/>
    </row>
    <row r="180" spans="9:11">
      <c r="I180" s="4" t="s">
        <v>654</v>
      </c>
      <c r="J180" s="16"/>
      <c r="K180" s="14"/>
    </row>
    <row r="181" spans="9:11">
      <c r="I181" s="4" t="s">
        <v>655</v>
      </c>
      <c r="J181" s="16"/>
      <c r="K181" s="14"/>
    </row>
    <row r="182" spans="9:11">
      <c r="I182" s="4" t="s">
        <v>656</v>
      </c>
      <c r="J182" s="16"/>
      <c r="K182" s="14"/>
    </row>
    <row r="183" spans="9:11">
      <c r="I183" s="4" t="s">
        <v>657</v>
      </c>
      <c r="J183" s="16"/>
      <c r="K183" s="14"/>
    </row>
    <row r="184" spans="9:11">
      <c r="I184" s="4" t="s">
        <v>223</v>
      </c>
      <c r="J184" s="16"/>
      <c r="K184" s="14"/>
    </row>
    <row r="185" spans="9:11">
      <c r="I185" s="4" t="s">
        <v>658</v>
      </c>
      <c r="J185" s="16"/>
      <c r="K185" s="14"/>
    </row>
    <row r="186" spans="9:11">
      <c r="I186" s="4" t="s">
        <v>659</v>
      </c>
      <c r="J186" s="16"/>
      <c r="K186" s="14"/>
    </row>
    <row r="187" spans="9:11">
      <c r="I187" s="4" t="s">
        <v>660</v>
      </c>
      <c r="J187" s="16"/>
      <c r="K187" s="14"/>
    </row>
    <row r="188" spans="9:11">
      <c r="I188" s="4" t="s">
        <v>661</v>
      </c>
      <c r="J188" s="16"/>
      <c r="K188" s="14"/>
    </row>
    <row r="189" spans="9:11">
      <c r="I189" s="4" t="s">
        <v>662</v>
      </c>
      <c r="J189" s="16"/>
      <c r="K189" s="14"/>
    </row>
    <row r="190" spans="9:11">
      <c r="I190" s="4" t="s">
        <v>94</v>
      </c>
      <c r="J190" s="16"/>
      <c r="K190" s="14"/>
    </row>
    <row r="191" spans="9:11">
      <c r="I191" s="4" t="s">
        <v>663</v>
      </c>
      <c r="J191" s="16"/>
      <c r="K191" s="14"/>
    </row>
    <row r="192" spans="9:11">
      <c r="I192" s="4" t="s">
        <v>664</v>
      </c>
      <c r="J192" s="16"/>
      <c r="K192" s="14"/>
    </row>
    <row r="193" spans="9:11">
      <c r="I193" s="4" t="s">
        <v>665</v>
      </c>
      <c r="J193" s="16"/>
      <c r="K193" s="14"/>
    </row>
    <row r="194" spans="9:11">
      <c r="I194" s="4" t="s">
        <v>666</v>
      </c>
      <c r="J194" s="16"/>
      <c r="K194" s="14"/>
    </row>
    <row r="195" spans="9:11">
      <c r="I195" s="4" t="s">
        <v>667</v>
      </c>
      <c r="J195" s="16"/>
      <c r="K195" s="14"/>
    </row>
    <row r="196" spans="9:11">
      <c r="I196" s="4" t="s">
        <v>668</v>
      </c>
      <c r="J196" s="16"/>
      <c r="K196" s="14"/>
    </row>
    <row r="197" spans="9:11">
      <c r="I197" s="4" t="s">
        <v>669</v>
      </c>
      <c r="J197" s="16"/>
      <c r="K197" s="14"/>
    </row>
    <row r="198" spans="9:11">
      <c r="I198" s="4" t="s">
        <v>670</v>
      </c>
      <c r="J198" s="16"/>
      <c r="K198" s="14"/>
    </row>
    <row r="199" spans="9:11">
      <c r="I199" s="4" t="s">
        <v>149</v>
      </c>
      <c r="J199" s="16"/>
      <c r="K199" s="14"/>
    </row>
    <row r="200" spans="9:11">
      <c r="I200" s="4" t="s">
        <v>671</v>
      </c>
      <c r="J200" s="16"/>
      <c r="K200" s="14"/>
    </row>
    <row r="201" spans="9:11">
      <c r="I201" s="4" t="s">
        <v>672</v>
      </c>
      <c r="J201" s="16"/>
      <c r="K201" s="14"/>
    </row>
    <row r="202" spans="9:11">
      <c r="I202" s="4" t="s">
        <v>673</v>
      </c>
      <c r="J202" s="16"/>
      <c r="K202" s="14"/>
    </row>
    <row r="203" spans="9:11">
      <c r="I203" s="4" t="s">
        <v>674</v>
      </c>
      <c r="J203" s="16"/>
      <c r="K203" s="14"/>
    </row>
    <row r="204" spans="9:11">
      <c r="I204" s="4" t="s">
        <v>675</v>
      </c>
      <c r="J204" s="16"/>
      <c r="K204" s="14"/>
    </row>
    <row r="205" spans="9:11">
      <c r="I205" s="4" t="s">
        <v>676</v>
      </c>
      <c r="J205" s="16"/>
      <c r="K205" s="14"/>
    </row>
    <row r="206" spans="9:11">
      <c r="I206" s="4" t="s">
        <v>677</v>
      </c>
      <c r="J206" s="16"/>
      <c r="K206" s="14"/>
    </row>
    <row r="207" spans="9:11">
      <c r="I207" s="4" t="s">
        <v>678</v>
      </c>
      <c r="J207" s="16"/>
      <c r="K207" s="14"/>
    </row>
    <row r="208" spans="9:11">
      <c r="I208" s="4" t="s">
        <v>679</v>
      </c>
      <c r="J208" s="16"/>
      <c r="K208" s="14"/>
    </row>
    <row r="209" spans="9:11">
      <c r="I209" s="4" t="s">
        <v>680</v>
      </c>
      <c r="J209" s="16"/>
      <c r="K209" s="14"/>
    </row>
    <row r="210" spans="9:11">
      <c r="I210" s="4" t="s">
        <v>681</v>
      </c>
      <c r="J210" s="16"/>
      <c r="K210" s="14"/>
    </row>
    <row r="211" spans="9:11">
      <c r="I211" s="4" t="s">
        <v>682</v>
      </c>
      <c r="J211" s="16"/>
      <c r="K211" s="14"/>
    </row>
    <row r="212" spans="9:11">
      <c r="I212" s="4" t="s">
        <v>683</v>
      </c>
      <c r="J212" s="16"/>
      <c r="K212" s="14"/>
    </row>
    <row r="213" spans="9:11">
      <c r="I213" s="4" t="s">
        <v>684</v>
      </c>
      <c r="J213" s="16"/>
      <c r="K213" s="14"/>
    </row>
    <row r="214" spans="9:11">
      <c r="I214" s="4" t="s">
        <v>685</v>
      </c>
      <c r="J214" s="16"/>
      <c r="K214" s="14"/>
    </row>
    <row r="215" spans="9:11">
      <c r="I215" s="4" t="s">
        <v>686</v>
      </c>
      <c r="J215" s="16"/>
      <c r="K215" s="14"/>
    </row>
    <row r="216" spans="9:11">
      <c r="I216" s="4" t="s">
        <v>687</v>
      </c>
      <c r="J216" s="16"/>
      <c r="K216" s="14"/>
    </row>
    <row r="217" spans="9:11">
      <c r="I217" s="4" t="s">
        <v>688</v>
      </c>
      <c r="J217" s="16"/>
      <c r="K217" s="14"/>
    </row>
    <row r="218" spans="9:11">
      <c r="I218" s="4" t="s">
        <v>689</v>
      </c>
      <c r="J218" s="16"/>
      <c r="K218" s="14"/>
    </row>
    <row r="219" spans="9:11">
      <c r="I219" s="4" t="s">
        <v>690</v>
      </c>
      <c r="J219" s="16"/>
      <c r="K219" s="14"/>
    </row>
    <row r="220" spans="9:11">
      <c r="I220" s="4" t="s">
        <v>6</v>
      </c>
      <c r="J220" s="16"/>
      <c r="K220" s="14"/>
    </row>
    <row r="221" spans="9:11">
      <c r="I221" s="4" t="s">
        <v>180</v>
      </c>
      <c r="J221" s="16"/>
      <c r="K221" s="14"/>
    </row>
    <row r="222" spans="9:11">
      <c r="I222" s="4" t="s">
        <v>142</v>
      </c>
      <c r="J222" s="16"/>
      <c r="K222" s="14"/>
    </row>
    <row r="223" spans="9:11">
      <c r="I223" s="4" t="s">
        <v>691</v>
      </c>
      <c r="J223" s="16"/>
      <c r="K223" s="14"/>
    </row>
    <row r="224" spans="9:11">
      <c r="I224" s="4" t="s">
        <v>692</v>
      </c>
      <c r="J224" s="16"/>
      <c r="K224" s="14"/>
    </row>
    <row r="225" spans="9:11">
      <c r="I225" s="4" t="s">
        <v>693</v>
      </c>
      <c r="J225" s="16"/>
      <c r="K225" s="14"/>
    </row>
    <row r="226" spans="9:11">
      <c r="I226" s="4" t="s">
        <v>694</v>
      </c>
      <c r="J226" s="16"/>
      <c r="K226" s="14"/>
    </row>
    <row r="227" spans="9:11">
      <c r="I227" s="4" t="s">
        <v>695</v>
      </c>
      <c r="J227" s="16"/>
      <c r="K227" s="14"/>
    </row>
    <row r="228" spans="9:11">
      <c r="I228" s="4" t="s">
        <v>696</v>
      </c>
      <c r="J228" s="16"/>
      <c r="K228" s="14"/>
    </row>
    <row r="229" spans="9:11">
      <c r="I229" s="4" t="s">
        <v>697</v>
      </c>
      <c r="J229" s="16"/>
      <c r="K229" s="14"/>
    </row>
    <row r="230" spans="9:11">
      <c r="I230" s="4" t="s">
        <v>153</v>
      </c>
      <c r="J230" s="16"/>
      <c r="K230" s="14"/>
    </row>
    <row r="231" spans="9:11">
      <c r="I231" s="4" t="s">
        <v>698</v>
      </c>
      <c r="J231" s="16"/>
      <c r="K231" s="14"/>
    </row>
    <row r="232" spans="9:11">
      <c r="I232" s="4" t="s">
        <v>699</v>
      </c>
      <c r="J232" s="16"/>
      <c r="K232" s="14"/>
    </row>
    <row r="233" spans="9:11">
      <c r="I233" s="4" t="s">
        <v>700</v>
      </c>
      <c r="J233" s="16"/>
      <c r="K233" s="14"/>
    </row>
    <row r="234" spans="9:11">
      <c r="I234" s="4" t="s">
        <v>701</v>
      </c>
      <c r="J234" s="16"/>
      <c r="K234" s="14"/>
    </row>
    <row r="235" spans="9:11">
      <c r="I235" s="4" t="s">
        <v>702</v>
      </c>
      <c r="J235" s="16"/>
      <c r="K235" s="14"/>
    </row>
    <row r="236" spans="9:11">
      <c r="I236" s="4" t="s">
        <v>703</v>
      </c>
      <c r="J236" s="16"/>
      <c r="K236" s="14"/>
    </row>
    <row r="237" spans="9:11">
      <c r="I237" s="4" t="s">
        <v>45</v>
      </c>
      <c r="J237" s="16"/>
      <c r="K237" s="14"/>
    </row>
    <row r="238" spans="9:11">
      <c r="I238" s="4" t="s">
        <v>704</v>
      </c>
      <c r="J238" s="16"/>
      <c r="K238" s="14"/>
    </row>
    <row r="239" spans="9:11">
      <c r="I239" s="4" t="s">
        <v>705</v>
      </c>
      <c r="J239" s="16"/>
      <c r="K239" s="14"/>
    </row>
    <row r="240" spans="9:11">
      <c r="I240" s="4" t="s">
        <v>706</v>
      </c>
      <c r="J240" s="16"/>
      <c r="K240" s="14"/>
    </row>
    <row r="241" spans="9:11">
      <c r="I241" s="4" t="s">
        <v>707</v>
      </c>
      <c r="J241" s="16"/>
      <c r="K241" s="14"/>
    </row>
    <row r="242" spans="9:11">
      <c r="I242" s="4" t="s">
        <v>708</v>
      </c>
      <c r="J242" s="16"/>
      <c r="K242" s="14"/>
    </row>
    <row r="243" spans="9:11">
      <c r="I243" s="4" t="s">
        <v>709</v>
      </c>
      <c r="J243" s="16"/>
      <c r="K243" s="14"/>
    </row>
    <row r="244" spans="9:11">
      <c r="I244" s="4" t="s">
        <v>710</v>
      </c>
      <c r="J244" s="16"/>
      <c r="K244" s="14"/>
    </row>
    <row r="245" spans="9:11">
      <c r="I245" s="4" t="s">
        <v>711</v>
      </c>
      <c r="J245" s="16"/>
      <c r="K245" s="14"/>
    </row>
    <row r="246" spans="9:11">
      <c r="I246" s="4" t="s">
        <v>712</v>
      </c>
      <c r="J246" s="16"/>
      <c r="K246" s="14"/>
    </row>
    <row r="247" spans="9:11">
      <c r="I247" s="4" t="s">
        <v>713</v>
      </c>
      <c r="J247" s="16"/>
      <c r="K247" s="14"/>
    </row>
    <row r="248" spans="9:11">
      <c r="I248" s="4" t="s">
        <v>714</v>
      </c>
      <c r="J248" s="16"/>
      <c r="K248" s="14"/>
    </row>
    <row r="249" spans="9:11">
      <c r="I249" s="4" t="s">
        <v>715</v>
      </c>
      <c r="J249" s="16"/>
      <c r="K249" s="14"/>
    </row>
    <row r="250" spans="9:11">
      <c r="I250" s="4" t="s">
        <v>716</v>
      </c>
      <c r="J250" s="16"/>
      <c r="K250" s="14"/>
    </row>
    <row r="251" spans="9:11">
      <c r="I251" s="4" t="s">
        <v>717</v>
      </c>
      <c r="J251" s="16"/>
      <c r="K251" s="14"/>
    </row>
    <row r="252" spans="9:11">
      <c r="I252" s="4" t="s">
        <v>718</v>
      </c>
      <c r="J252" s="16"/>
      <c r="K252" s="14"/>
    </row>
    <row r="253" spans="9:11">
      <c r="I253" s="14"/>
      <c r="J253" s="14"/>
      <c r="K253" s="14"/>
    </row>
    <row r="254" spans="9:11">
      <c r="I254" s="14"/>
      <c r="J254" s="14"/>
      <c r="K254" s="14"/>
    </row>
  </sheetData>
  <mergeCells count="1">
    <mergeCell ref="A4:A5"/>
  </mergeCells>
  <hyperlinks>
    <hyperlink ref="A1" location="gid=0" xr:uid="{00000000-0004-0000-0600-000000000000}"/>
  </hyperlink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00"/>
    <outlinePr summaryBelow="0" summaryRight="0"/>
  </sheetPr>
  <dimension ref="A1:G1000"/>
  <sheetViews>
    <sheetView workbookViewId="0"/>
  </sheetViews>
  <sheetFormatPr defaultColWidth="12.5703125" defaultRowHeight="15.75" customHeight="1"/>
  <cols>
    <col min="1" max="1" width="11.5703125" customWidth="1"/>
    <col min="2" max="2" width="11.28515625" customWidth="1"/>
    <col min="3" max="3" width="16.7109375" customWidth="1"/>
    <col min="4" max="4" width="54.28515625" customWidth="1"/>
    <col min="5" max="5" width="17.7109375" customWidth="1"/>
    <col min="6" max="6" width="15.140625" customWidth="1"/>
    <col min="7" max="7" width="13.42578125" customWidth="1"/>
  </cols>
  <sheetData>
    <row r="1" spans="1:7" ht="30" customHeight="1">
      <c r="A1" s="1" t="str">
        <f ca="1">IFERROR(__xludf.DUMMYFUNCTION("QUERY(IMPORTRANGE(APOIO!A1,""Sintética2022!A1:G250""), CONCATENATE(""SELECT * WHERE Col1="", ""'"",APOIO!A2,""'""))"),"Órgão Público Inventariante")</f>
        <v>Órgão Público Inventariante</v>
      </c>
      <c r="B1" s="1" t="str">
        <f ca="1">IFERROR(__xludf.DUMMYFUNCTION("""COMPUTED_VALUE"""),"Código do Órgão Inventariante")</f>
        <v>Código do Órgão Inventariante</v>
      </c>
      <c r="C1" s="1" t="str">
        <f ca="1">IFERROR(__xludf.DUMMYFUNCTION("""COMPUTED_VALUE"""),"Código Patrimonial")</f>
        <v>Código Patrimonial</v>
      </c>
      <c r="D1" s="1" t="str">
        <f ca="1">IFERROR(__xludf.DUMMYFUNCTION("""COMPUTED_VALUE"""),"Descrição do Código Patrimonial")</f>
        <v>Descrição do Código Patrimonial</v>
      </c>
      <c r="E1" s="1" t="str">
        <f ca="1">IFERROR(__xludf.DUMMYFUNCTION("""COMPUTED_VALUE"""),"Código Patrimonial de Depreciação")</f>
        <v>Código Patrimonial de Depreciação</v>
      </c>
      <c r="F1" s="1" t="str">
        <f ca="1">IFERROR(__xludf.DUMMYFUNCTION("""COMPUTED_VALUE"""),"Valor Bruto Contábil 2022")</f>
        <v>Valor Bruto Contábil 2022</v>
      </c>
      <c r="G1" s="1" t="str">
        <f ca="1">IFERROR(__xludf.DUMMYFUNCTION("""COMPUTED_VALUE"""),"Depreciação acumulada")</f>
        <v>Depreciação acumulada</v>
      </c>
    </row>
    <row r="2" spans="1:7">
      <c r="A2" s="10" t="str">
        <f ca="1">IFERROR(__xludf.DUMMYFUNCTION("""COMPUTED_VALUE"""),"SEMAD")</f>
        <v>SEMAD</v>
      </c>
      <c r="B2" s="10" t="str">
        <f ca="1">IFERROR(__xludf.DUMMYFUNCTION("""COMPUTED_VALUE"""),"2101")</f>
        <v>2101</v>
      </c>
      <c r="C2" s="10" t="str">
        <f ca="1">IFERROR(__xludf.DUMMYFUNCTION("""COMPUTED_VALUE"""),"1.2.3.2.1.06.01.01.00")</f>
        <v>1.2.3.2.1.06.01.01.00</v>
      </c>
      <c r="D2" s="10" t="str">
        <f ca="1">IFERROR(__xludf.DUMMYFUNCTION("""COMPUTED_VALUE"""),"OBRAS EM ANDAMENTO")</f>
        <v>OBRAS EM ANDAMENTO</v>
      </c>
      <c r="E2" s="10"/>
      <c r="F2" s="36">
        <f ca="1">IFERROR(__xludf.DUMMYFUNCTION("""COMPUTED_VALUE"""),0)</f>
        <v>0</v>
      </c>
      <c r="G2" s="36">
        <f ca="1">IFERROR(__xludf.DUMMYFUNCTION("""COMPUTED_VALUE"""),0)</f>
        <v>0</v>
      </c>
    </row>
    <row r="3" spans="1:7">
      <c r="A3" s="10" t="str">
        <f ca="1">IFERROR(__xludf.DUMMYFUNCTION("""COMPUTED_VALUE"""),"SEMAD")</f>
        <v>SEMAD</v>
      </c>
      <c r="B3" s="10" t="str">
        <f ca="1">IFERROR(__xludf.DUMMYFUNCTION("""COMPUTED_VALUE"""),"2101")</f>
        <v>2101</v>
      </c>
      <c r="C3" s="10" t="str">
        <f ca="1">IFERROR(__xludf.DUMMYFUNCTION("""COMPUTED_VALUE"""),"1.2.3.2.1.06.01.02.00")</f>
        <v>1.2.3.2.1.06.01.02.00</v>
      </c>
      <c r="D3" s="10" t="str">
        <f ca="1">IFERROR(__xludf.DUMMYFUNCTION("""COMPUTED_VALUE"""),"ESTUDOS E PROJETOS DE EDIFICAÇÕES - SCP")</f>
        <v>ESTUDOS E PROJETOS DE EDIFICAÇÕES - SCP</v>
      </c>
      <c r="E3" s="10"/>
      <c r="F3" s="36">
        <f ca="1">IFERROR(__xludf.DUMMYFUNCTION("""COMPUTED_VALUE"""),0)</f>
        <v>0</v>
      </c>
      <c r="G3" s="36">
        <f ca="1">IFERROR(__xludf.DUMMYFUNCTION("""COMPUTED_VALUE"""),0)</f>
        <v>0</v>
      </c>
    </row>
    <row r="4" spans="1:7">
      <c r="A4" s="10" t="str">
        <f ca="1">IFERROR(__xludf.DUMMYFUNCTION("""COMPUTED_VALUE"""),"SEMAD")</f>
        <v>SEMAD</v>
      </c>
      <c r="B4" s="10" t="str">
        <f ca="1">IFERROR(__xludf.DUMMYFUNCTION("""COMPUTED_VALUE"""),"2101")</f>
        <v>2101</v>
      </c>
      <c r="C4" s="10" t="str">
        <f ca="1">IFERROR(__xludf.DUMMYFUNCTION("""COMPUTED_VALUE"""),"1.2.3.2.1.99.99.01.00")</f>
        <v>1.2.3.2.1.99.99.01.00</v>
      </c>
      <c r="D4" s="10" t="str">
        <f ca="1">IFERROR(__xludf.DUMMYFUNCTION("""COMPUTED_VALUE"""),"OUTRAS OBRAS EM INSTALAÇÕES")</f>
        <v>OUTRAS OBRAS EM INSTALAÇÕES</v>
      </c>
      <c r="E4" s="10"/>
      <c r="F4" s="36">
        <f ca="1">IFERROR(__xludf.DUMMYFUNCTION("""COMPUTED_VALUE"""),0)</f>
        <v>0</v>
      </c>
      <c r="G4" s="36">
        <f ca="1">IFERROR(__xludf.DUMMYFUNCTION("""COMPUTED_VALUE"""),0)</f>
        <v>0</v>
      </c>
    </row>
    <row r="5" spans="1:7">
      <c r="A5" s="10" t="str">
        <f ca="1">IFERROR(__xludf.DUMMYFUNCTION("""COMPUTED_VALUE"""),"SEMAD")</f>
        <v>SEMAD</v>
      </c>
      <c r="B5" s="10" t="str">
        <f ca="1">IFERROR(__xludf.DUMMYFUNCTION("""COMPUTED_VALUE"""),"2101")</f>
        <v>2101</v>
      </c>
      <c r="C5" s="10" t="str">
        <f ca="1">IFERROR(__xludf.DUMMYFUNCTION("""COMPUTED_VALUE"""),"1.2.3.2.1.01.02.01.00")</f>
        <v>1.2.3.2.1.01.02.01.00</v>
      </c>
      <c r="D5" s="10" t="str">
        <f ca="1">IFERROR(__xludf.DUMMYFUNCTION("""COMPUTED_VALUE"""),"SALAS E ESCRITÓRIOS - USO ESPECIAL")</f>
        <v>SALAS E ESCRITÓRIOS - USO ESPECIAL</v>
      </c>
      <c r="E5" s="10" t="str">
        <f ca="1">IFERROR(__xludf.DUMMYFUNCTION("""COMPUTED_VALUE"""),"1.2.3.8.1.02.01.02.01")</f>
        <v>1.2.3.8.1.02.01.02.01</v>
      </c>
      <c r="F5" s="36">
        <f ca="1">IFERROR(__xludf.DUMMYFUNCTION("""COMPUTED_VALUE"""),942083.53)</f>
        <v>942083.53</v>
      </c>
      <c r="G5" s="36">
        <f ca="1">IFERROR(__xludf.DUMMYFUNCTION("""COMPUTED_VALUE"""),30146.67)</f>
        <v>30146.67</v>
      </c>
    </row>
    <row r="6" spans="1:7">
      <c r="A6" s="10" t="str">
        <f ca="1">IFERROR(__xludf.DUMMYFUNCTION("""COMPUTED_VALUE"""),"SEMAD")</f>
        <v>SEMAD</v>
      </c>
      <c r="B6" s="10" t="str">
        <f ca="1">IFERROR(__xludf.DUMMYFUNCTION("""COMPUTED_VALUE"""),"2101")</f>
        <v>2101</v>
      </c>
      <c r="C6" s="10" t="str">
        <f ca="1">IFERROR(__xludf.DUMMYFUNCTION("""COMPUTED_VALUE"""),"1.2.3.2.1.01.08.01.00")</f>
        <v>1.2.3.2.1.01.08.01.00</v>
      </c>
      <c r="D6" s="10" t="str">
        <f ca="1">IFERROR(__xludf.DUMMYFUNCTION("""COMPUTED_VALUE"""),"ESCOLAS - USO ESPECIAL")</f>
        <v>ESCOLAS - USO ESPECIAL</v>
      </c>
      <c r="E6" s="10" t="str">
        <f ca="1">IFERROR(__xludf.DUMMYFUNCTION("""COMPUTED_VALUE"""),"1.2.3.8.1.02.01.08.01")</f>
        <v>1.2.3.8.1.02.01.08.01</v>
      </c>
      <c r="F6" s="36">
        <f ca="1">IFERROR(__xludf.DUMMYFUNCTION("""COMPUTED_VALUE"""),2792819.23)</f>
        <v>2792819.23</v>
      </c>
      <c r="G6" s="36">
        <f ca="1">IFERROR(__xludf.DUMMYFUNCTION("""COMPUTED_VALUE"""),89370.22)</f>
        <v>89370.22</v>
      </c>
    </row>
    <row r="7" spans="1:7">
      <c r="A7" s="10" t="str">
        <f ca="1">IFERROR(__xludf.DUMMYFUNCTION("""COMPUTED_VALUE"""),"SEMAD")</f>
        <v>SEMAD</v>
      </c>
      <c r="B7" s="10" t="str">
        <f ca="1">IFERROR(__xludf.DUMMYFUNCTION("""COMPUTED_VALUE"""),"2101")</f>
        <v>2101</v>
      </c>
      <c r="C7" s="10" t="str">
        <f ca="1">IFERROR(__xludf.DUMMYFUNCTION("""COMPUTED_VALUE"""),"1.2.3.2.1.01.10.02.00")</f>
        <v>1.2.3.2.1.01.10.02.00</v>
      </c>
      <c r="D7" s="10" t="str">
        <f ca="1">IFERROR(__xludf.DUMMYFUNCTION("""COMPUTED_VALUE"""),"PARQUES - USO ESPECIAL")</f>
        <v>PARQUES - USO ESPECIAL</v>
      </c>
      <c r="E7" s="10" t="str">
        <f ca="1">IFERROR(__xludf.DUMMYFUNCTION("""COMPUTED_VALUE"""),"1.2.3.8.1.02.01.10.02")</f>
        <v>1.2.3.8.1.02.01.10.02</v>
      </c>
      <c r="F7" s="36">
        <f ca="1">IFERROR(__xludf.DUMMYFUNCTION("""COMPUTED_VALUE"""),204436943.6)</f>
        <v>204436943.59999999</v>
      </c>
      <c r="G7" s="36">
        <f ca="1">IFERROR(__xludf.DUMMYFUNCTION("""COMPUTED_VALUE"""),6491483.99999999)</f>
        <v>6491483.9999999898</v>
      </c>
    </row>
    <row r="8" spans="1:7">
      <c r="A8" s="10" t="str">
        <f ca="1">IFERROR(__xludf.DUMMYFUNCTION("""COMPUTED_VALUE"""),"SEMAD")</f>
        <v>SEMAD</v>
      </c>
      <c r="B8" s="10" t="str">
        <f ca="1">IFERROR(__xludf.DUMMYFUNCTION("""COMPUTED_VALUE"""),"2101")</f>
        <v>2101</v>
      </c>
      <c r="C8" s="10" t="str">
        <f ca="1">IFERROR(__xludf.DUMMYFUNCTION("""COMPUTED_VALUE"""),"1.2.3.2.1.01.19.90.00")</f>
        <v>1.2.3.2.1.01.19.90.00</v>
      </c>
      <c r="D8" s="10" t="str">
        <f ca="1">IFERROR(__xludf.DUMMYFUNCTION("""COMPUTED_VALUE"""),"OUTROS IMÓVEIS PARA FINS INDUSTRIAIS - SCP - USO ESPECIAL")</f>
        <v>OUTROS IMÓVEIS PARA FINS INDUSTRIAIS - SCP - USO ESPECIAL</v>
      </c>
      <c r="E8" s="10" t="str">
        <f ca="1">IFERROR(__xludf.DUMMYFUNCTION("""COMPUTED_VALUE"""),"1.2.3.8.1.02.01.19.90")</f>
        <v>1.2.3.8.1.02.01.19.90</v>
      </c>
      <c r="F8" s="36">
        <f ca="1">IFERROR(__xludf.DUMMYFUNCTION("""COMPUTED_VALUE"""),3282259.5)</f>
        <v>3282259.5</v>
      </c>
      <c r="G8" s="36">
        <f ca="1">IFERROR(__xludf.DUMMYFUNCTION("""COMPUTED_VALUE"""),105032.3)</f>
        <v>105032.3</v>
      </c>
    </row>
    <row r="9" spans="1:7">
      <c r="A9" s="10" t="str">
        <f ca="1">IFERROR(__xludf.DUMMYFUNCTION("""COMPUTED_VALUE"""),"SEMAD")</f>
        <v>SEMAD</v>
      </c>
      <c r="B9" s="10" t="str">
        <f ca="1">IFERROR(__xludf.DUMMYFUNCTION("""COMPUTED_VALUE"""),"2101")</f>
        <v>2101</v>
      </c>
      <c r="C9" s="10" t="str">
        <f ca="1">IFERROR(__xludf.DUMMYFUNCTION("""COMPUTED_VALUE"""),"1.2.3.2.1.01.98.00.00")</f>
        <v>1.2.3.2.1.01.98.00.00</v>
      </c>
      <c r="D9" s="10" t="str">
        <f ca="1">IFERROR(__xludf.DUMMYFUNCTION("""COMPUTED_VALUE"""),"OUTROS BENS IMÓVEIS DE USO ESPECIAL - USO ESPECIAL")</f>
        <v>OUTROS BENS IMÓVEIS DE USO ESPECIAL - USO ESPECIAL</v>
      </c>
      <c r="E9" s="10" t="str">
        <f ca="1">IFERROR(__xludf.DUMMYFUNCTION("""COMPUTED_VALUE"""),"1.2.3.8.1.02.01.98.00")</f>
        <v>1.2.3.8.1.02.01.98.00</v>
      </c>
      <c r="F9" s="36">
        <f ca="1">IFERROR(__xludf.DUMMYFUNCTION("""COMPUTED_VALUE"""),32315893.96)</f>
        <v>32315893.960000001</v>
      </c>
      <c r="G9" s="36">
        <f ca="1">IFERROR(__xludf.DUMMYFUNCTION("""COMPUTED_VALUE"""),867093.09)</f>
        <v>867093.09</v>
      </c>
    </row>
    <row r="10" spans="1:7">
      <c r="A10" s="10" t="str">
        <f ca="1">IFERROR(__xludf.DUMMYFUNCTION("""COMPUTED_VALUE"""),"SEMAD")</f>
        <v>SEMAD</v>
      </c>
      <c r="B10" s="10" t="str">
        <f ca="1">IFERROR(__xludf.DUMMYFUNCTION("""COMPUTED_VALUE"""),"2101")</f>
        <v>2101</v>
      </c>
      <c r="C10" s="10" t="str">
        <f ca="1">IFERROR(__xludf.DUMMYFUNCTION("""COMPUTED_VALUE"""),"1.2.3.2.1.01.98.10.00")</f>
        <v>1.2.3.2.1.01.98.10.00</v>
      </c>
      <c r="D10" s="10" t="str">
        <f ca="1">IFERROR(__xludf.DUMMYFUNCTION("""COMPUTED_VALUE"""),"OUTROS BENS IMÓVEIS - USO ESPECIAL")</f>
        <v>OUTROS BENS IMÓVEIS - USO ESPECIAL</v>
      </c>
      <c r="E10" s="10" t="str">
        <f ca="1">IFERROR(__xludf.DUMMYFUNCTION("""COMPUTED_VALUE"""),"1.2.3.8.1.02.01.98.10")</f>
        <v>1.2.3.8.1.02.01.98.10</v>
      </c>
      <c r="F10" s="36">
        <f ca="1">IFERROR(__xludf.DUMMYFUNCTION("""COMPUTED_VALUE"""),29061108.9199999)</f>
        <v>29061108.919999901</v>
      </c>
      <c r="G10" s="36">
        <f ca="1">IFERROR(__xludf.DUMMYFUNCTION("""COMPUTED_VALUE"""),850120.24)</f>
        <v>850120.24</v>
      </c>
    </row>
    <row r="11" spans="1:7">
      <c r="A11" s="10" t="str">
        <f ca="1">IFERROR(__xludf.DUMMYFUNCTION("""COMPUTED_VALUE"""),"SEMAD")</f>
        <v>SEMAD</v>
      </c>
      <c r="B11" s="10" t="str">
        <f ca="1">IFERROR(__xludf.DUMMYFUNCTION("""COMPUTED_VALUE"""),"2101")</f>
        <v>2101</v>
      </c>
      <c r="C11" s="10" t="str">
        <f ca="1">IFERROR(__xludf.DUMMYFUNCTION("""COMPUTED_VALUE"""),"1.2.3.2.1.05.02.01.00")</f>
        <v>1.2.3.2.1.05.02.01.00</v>
      </c>
      <c r="D11" s="10" t="str">
        <f ca="1">IFERROR(__xludf.DUMMYFUNCTION("""COMPUTED_VALUE"""),"PRAÇAS - USO COMUM DO POVO")</f>
        <v>PRAÇAS - USO COMUM DO POVO</v>
      </c>
      <c r="E11" s="10" t="str">
        <f ca="1">IFERROR(__xludf.DUMMYFUNCTION("""COMPUTED_VALUE"""),"1.2.3.8.1.02.05.04.01")</f>
        <v>1.2.3.8.1.02.05.04.01</v>
      </c>
      <c r="F11" s="36">
        <f ca="1">IFERROR(__xludf.DUMMYFUNCTION("""COMPUTED_VALUE"""),541221.07)</f>
        <v>541221.06999999995</v>
      </c>
      <c r="G11" s="36">
        <f ca="1">IFERROR(__xludf.DUMMYFUNCTION("""COMPUTED_VALUE"""),17319.07)</f>
        <v>17319.07</v>
      </c>
    </row>
    <row r="12" spans="1:7">
      <c r="A12" s="13"/>
      <c r="B12" s="13"/>
      <c r="C12" s="13"/>
      <c r="D12" s="13"/>
    </row>
    <row r="13" spans="1:7">
      <c r="A13" s="13"/>
      <c r="B13" s="13"/>
      <c r="C13" s="13"/>
      <c r="D13" s="13"/>
    </row>
    <row r="14" spans="1:7">
      <c r="A14" s="13"/>
      <c r="B14" s="13"/>
      <c r="C14" s="13"/>
      <c r="D14" s="13"/>
    </row>
    <row r="15" spans="1:7">
      <c r="A15" s="13"/>
      <c r="B15" s="13"/>
      <c r="C15" s="13"/>
      <c r="D15" s="13"/>
    </row>
    <row r="16" spans="1:7">
      <c r="A16" s="13"/>
      <c r="B16" s="13"/>
      <c r="C16" s="13"/>
      <c r="D16" s="13"/>
    </row>
    <row r="17" spans="1:4">
      <c r="A17" s="13"/>
      <c r="B17" s="13"/>
      <c r="C17" s="13"/>
      <c r="D17" s="13"/>
    </row>
    <row r="18" spans="1:4">
      <c r="A18" s="13"/>
      <c r="B18" s="13"/>
      <c r="C18" s="13"/>
      <c r="D18" s="13"/>
    </row>
    <row r="19" spans="1:4">
      <c r="A19" s="13"/>
      <c r="B19" s="13"/>
      <c r="C19" s="13"/>
      <c r="D19" s="13"/>
    </row>
    <row r="20" spans="1:4">
      <c r="A20" s="13"/>
      <c r="B20" s="13"/>
      <c r="C20" s="13"/>
      <c r="D20" s="13"/>
    </row>
    <row r="21" spans="1:4">
      <c r="A21" s="13"/>
      <c r="B21" s="13"/>
      <c r="C21" s="13"/>
      <c r="D21" s="13"/>
    </row>
    <row r="22" spans="1:4">
      <c r="A22" s="13"/>
      <c r="B22" s="13"/>
      <c r="C22" s="13"/>
      <c r="D22" s="13"/>
    </row>
    <row r="23" spans="1:4">
      <c r="A23" s="13"/>
      <c r="B23" s="13"/>
      <c r="C23" s="13"/>
      <c r="D23" s="13"/>
    </row>
    <row r="24" spans="1:4">
      <c r="A24" s="13"/>
      <c r="B24" s="13"/>
      <c r="C24" s="13"/>
      <c r="D24" s="13"/>
    </row>
    <row r="25" spans="1:4">
      <c r="A25" s="13"/>
      <c r="B25" s="13"/>
      <c r="C25" s="13"/>
      <c r="D25" s="13"/>
    </row>
    <row r="26" spans="1:4">
      <c r="A26" s="13"/>
      <c r="B26" s="13"/>
      <c r="C26" s="13"/>
      <c r="D26" s="13"/>
    </row>
    <row r="27" spans="1:4">
      <c r="A27" s="13"/>
      <c r="B27" s="13"/>
      <c r="C27" s="13"/>
      <c r="D27" s="13"/>
    </row>
    <row r="28" spans="1:4">
      <c r="A28" s="13"/>
      <c r="B28" s="13"/>
      <c r="C28" s="13"/>
      <c r="D28" s="13"/>
    </row>
    <row r="29" spans="1:4">
      <c r="A29" s="13"/>
      <c r="B29" s="13"/>
      <c r="C29" s="13"/>
      <c r="D29" s="13"/>
    </row>
    <row r="30" spans="1:4">
      <c r="A30" s="13"/>
      <c r="B30" s="13"/>
      <c r="C30" s="13"/>
      <c r="D30" s="13"/>
    </row>
    <row r="31" spans="1:4">
      <c r="A31" s="13"/>
      <c r="B31" s="13"/>
      <c r="C31" s="13"/>
      <c r="D31" s="13"/>
    </row>
    <row r="32" spans="1:4">
      <c r="A32" s="13"/>
      <c r="B32" s="13"/>
      <c r="C32" s="13"/>
      <c r="D32" s="13"/>
    </row>
    <row r="33" spans="1:4">
      <c r="A33" s="13"/>
      <c r="B33" s="13"/>
      <c r="C33" s="13"/>
      <c r="D33" s="13"/>
    </row>
    <row r="34" spans="1:4">
      <c r="A34" s="13"/>
      <c r="B34" s="13"/>
      <c r="C34" s="13"/>
      <c r="D34" s="13"/>
    </row>
    <row r="35" spans="1:4">
      <c r="A35" s="13"/>
      <c r="B35" s="13"/>
      <c r="C35" s="13"/>
      <c r="D35" s="13"/>
    </row>
    <row r="36" spans="1:4">
      <c r="A36" s="13"/>
      <c r="B36" s="13"/>
      <c r="C36" s="13"/>
      <c r="D36" s="13"/>
    </row>
    <row r="37" spans="1:4">
      <c r="A37" s="13"/>
      <c r="B37" s="13"/>
      <c r="C37" s="13"/>
      <c r="D37" s="13"/>
    </row>
    <row r="38" spans="1:4">
      <c r="A38" s="13"/>
      <c r="B38" s="13"/>
      <c r="C38" s="13"/>
      <c r="D38" s="13"/>
    </row>
    <row r="39" spans="1:4">
      <c r="A39" s="13"/>
      <c r="B39" s="13"/>
      <c r="C39" s="13"/>
      <c r="D39" s="13"/>
    </row>
    <row r="40" spans="1:4">
      <c r="A40" s="13"/>
      <c r="B40" s="13"/>
      <c r="C40" s="13"/>
      <c r="D40" s="13"/>
    </row>
    <row r="41" spans="1:4">
      <c r="A41" s="13"/>
      <c r="B41" s="13"/>
      <c r="C41" s="13"/>
      <c r="D41" s="13"/>
    </row>
    <row r="42" spans="1:4">
      <c r="A42" s="13"/>
      <c r="B42" s="13"/>
      <c r="C42" s="13"/>
      <c r="D42" s="13"/>
    </row>
    <row r="43" spans="1:4">
      <c r="A43" s="13"/>
      <c r="B43" s="13"/>
      <c r="C43" s="13"/>
      <c r="D43" s="13"/>
    </row>
    <row r="44" spans="1:4">
      <c r="A44" s="13"/>
      <c r="B44" s="13"/>
      <c r="C44" s="13"/>
      <c r="D44" s="13"/>
    </row>
    <row r="45" spans="1:4">
      <c r="A45" s="13"/>
      <c r="B45" s="13"/>
      <c r="C45" s="13"/>
      <c r="D45" s="13"/>
    </row>
    <row r="46" spans="1:4">
      <c r="A46" s="13"/>
      <c r="B46" s="13"/>
      <c r="C46" s="13"/>
      <c r="D46" s="13"/>
    </row>
    <row r="47" spans="1:4">
      <c r="A47" s="13"/>
      <c r="B47" s="13"/>
      <c r="C47" s="13"/>
      <c r="D47" s="13"/>
    </row>
    <row r="48" spans="1:4">
      <c r="A48" s="13"/>
      <c r="B48" s="13"/>
      <c r="C48" s="13"/>
      <c r="D48" s="13"/>
    </row>
    <row r="49" spans="1:4">
      <c r="A49" s="13"/>
      <c r="B49" s="13"/>
      <c r="C49" s="13"/>
      <c r="D49" s="13"/>
    </row>
    <row r="50" spans="1:4">
      <c r="A50" s="13"/>
      <c r="B50" s="13"/>
      <c r="C50" s="13"/>
      <c r="D50" s="13"/>
    </row>
    <row r="51" spans="1:4">
      <c r="A51" s="13"/>
      <c r="B51" s="13"/>
      <c r="C51" s="13"/>
      <c r="D51" s="13"/>
    </row>
    <row r="52" spans="1:4">
      <c r="A52" s="13"/>
      <c r="B52" s="13"/>
      <c r="C52" s="13"/>
      <c r="D52" s="13"/>
    </row>
    <row r="53" spans="1:4">
      <c r="A53" s="13"/>
      <c r="B53" s="13"/>
      <c r="C53" s="13"/>
      <c r="D53" s="13"/>
    </row>
    <row r="54" spans="1:4">
      <c r="A54" s="13"/>
      <c r="B54" s="13"/>
      <c r="C54" s="13"/>
      <c r="D54" s="13"/>
    </row>
    <row r="55" spans="1:4">
      <c r="A55" s="13"/>
      <c r="B55" s="13"/>
      <c r="C55" s="13"/>
      <c r="D55" s="13"/>
    </row>
    <row r="56" spans="1:4">
      <c r="A56" s="13"/>
      <c r="B56" s="13"/>
      <c r="C56" s="13"/>
      <c r="D56" s="13"/>
    </row>
    <row r="57" spans="1:4">
      <c r="A57" s="13"/>
      <c r="B57" s="13"/>
      <c r="C57" s="13"/>
      <c r="D57" s="13"/>
    </row>
    <row r="58" spans="1:4">
      <c r="A58" s="13"/>
      <c r="B58" s="13"/>
      <c r="C58" s="13"/>
      <c r="D58" s="13"/>
    </row>
    <row r="59" spans="1:4">
      <c r="A59" s="13"/>
      <c r="B59" s="13"/>
      <c r="C59" s="13"/>
      <c r="D59" s="13"/>
    </row>
    <row r="60" spans="1:4">
      <c r="A60" s="13"/>
      <c r="B60" s="13"/>
      <c r="C60" s="13"/>
      <c r="D60" s="13"/>
    </row>
    <row r="61" spans="1:4">
      <c r="A61" s="13"/>
      <c r="B61" s="13"/>
      <c r="C61" s="13"/>
      <c r="D61" s="13"/>
    </row>
    <row r="62" spans="1:4">
      <c r="A62" s="13"/>
      <c r="B62" s="13"/>
      <c r="C62" s="13"/>
      <c r="D62" s="13"/>
    </row>
    <row r="63" spans="1:4">
      <c r="A63" s="13"/>
      <c r="B63" s="13"/>
      <c r="C63" s="13"/>
      <c r="D63" s="13"/>
    </row>
    <row r="64" spans="1:4">
      <c r="A64" s="13"/>
      <c r="B64" s="13"/>
      <c r="C64" s="13"/>
      <c r="D64" s="13"/>
    </row>
    <row r="65" spans="1:4">
      <c r="A65" s="13"/>
      <c r="B65" s="13"/>
      <c r="C65" s="13"/>
      <c r="D65" s="13"/>
    </row>
    <row r="66" spans="1:4">
      <c r="A66" s="13"/>
      <c r="B66" s="13"/>
      <c r="C66" s="13"/>
      <c r="D66" s="13"/>
    </row>
    <row r="67" spans="1:4">
      <c r="A67" s="13"/>
      <c r="B67" s="13"/>
      <c r="C67" s="13"/>
      <c r="D67" s="13"/>
    </row>
    <row r="68" spans="1:4">
      <c r="A68" s="13"/>
      <c r="B68" s="13"/>
      <c r="C68" s="13"/>
      <c r="D68" s="13"/>
    </row>
    <row r="69" spans="1:4">
      <c r="A69" s="13"/>
      <c r="B69" s="13"/>
      <c r="C69" s="13"/>
      <c r="D69" s="13"/>
    </row>
    <row r="70" spans="1:4">
      <c r="A70" s="13"/>
      <c r="B70" s="13"/>
      <c r="C70" s="13"/>
      <c r="D70" s="13"/>
    </row>
    <row r="71" spans="1:4">
      <c r="A71" s="13"/>
      <c r="B71" s="13"/>
      <c r="C71" s="13"/>
      <c r="D71" s="13"/>
    </row>
    <row r="72" spans="1:4">
      <c r="A72" s="13"/>
      <c r="B72" s="13"/>
      <c r="C72" s="13"/>
      <c r="D72" s="13"/>
    </row>
    <row r="73" spans="1:4">
      <c r="A73" s="13"/>
      <c r="B73" s="13"/>
      <c r="C73" s="13"/>
      <c r="D73" s="13"/>
    </row>
    <row r="74" spans="1:4">
      <c r="A74" s="13"/>
      <c r="B74" s="13"/>
      <c r="C74" s="13"/>
      <c r="D74" s="13"/>
    </row>
    <row r="75" spans="1:4">
      <c r="A75" s="13"/>
      <c r="B75" s="13"/>
      <c r="C75" s="13"/>
      <c r="D75" s="13"/>
    </row>
    <row r="76" spans="1:4">
      <c r="A76" s="13"/>
      <c r="B76" s="13"/>
      <c r="C76" s="13"/>
      <c r="D76" s="13"/>
    </row>
    <row r="77" spans="1:4">
      <c r="A77" s="13"/>
      <c r="B77" s="13"/>
      <c r="C77" s="13"/>
      <c r="D77" s="13"/>
    </row>
    <row r="78" spans="1:4">
      <c r="A78" s="13"/>
      <c r="B78" s="13"/>
      <c r="C78" s="13"/>
      <c r="D78" s="13"/>
    </row>
    <row r="79" spans="1:4">
      <c r="A79" s="13"/>
      <c r="B79" s="13"/>
      <c r="C79" s="13"/>
      <c r="D79" s="13"/>
    </row>
    <row r="80" spans="1:4">
      <c r="A80" s="13"/>
      <c r="B80" s="13"/>
      <c r="C80" s="13"/>
      <c r="D80" s="13"/>
    </row>
    <row r="81" spans="1:4">
      <c r="A81" s="13"/>
      <c r="B81" s="13"/>
      <c r="C81" s="13"/>
      <c r="D81" s="13"/>
    </row>
    <row r="82" spans="1:4">
      <c r="A82" s="13"/>
      <c r="B82" s="13"/>
      <c r="C82" s="13"/>
      <c r="D82" s="13"/>
    </row>
    <row r="83" spans="1:4">
      <c r="A83" s="13"/>
      <c r="B83" s="13"/>
      <c r="C83" s="13"/>
      <c r="D83" s="13"/>
    </row>
    <row r="84" spans="1:4">
      <c r="A84" s="13"/>
      <c r="B84" s="13"/>
      <c r="C84" s="13"/>
      <c r="D84" s="13"/>
    </row>
    <row r="85" spans="1:4">
      <c r="A85" s="13"/>
      <c r="B85" s="13"/>
      <c r="C85" s="13"/>
      <c r="D85" s="13"/>
    </row>
    <row r="86" spans="1:4">
      <c r="A86" s="13"/>
      <c r="B86" s="13"/>
      <c r="C86" s="13"/>
      <c r="D86" s="13"/>
    </row>
    <row r="87" spans="1:4">
      <c r="A87" s="13"/>
      <c r="B87" s="13"/>
      <c r="C87" s="13"/>
      <c r="D87" s="13"/>
    </row>
    <row r="88" spans="1:4">
      <c r="A88" s="13"/>
      <c r="B88" s="13"/>
      <c r="C88" s="13"/>
      <c r="D88" s="13"/>
    </row>
    <row r="89" spans="1:4">
      <c r="A89" s="13"/>
      <c r="B89" s="13"/>
      <c r="C89" s="13"/>
      <c r="D89" s="13"/>
    </row>
    <row r="90" spans="1:4">
      <c r="A90" s="13"/>
      <c r="B90" s="13"/>
      <c r="C90" s="13"/>
      <c r="D90" s="13"/>
    </row>
    <row r="91" spans="1:4">
      <c r="A91" s="13"/>
      <c r="B91" s="13"/>
      <c r="C91" s="13"/>
      <c r="D91" s="13"/>
    </row>
    <row r="92" spans="1:4">
      <c r="A92" s="13"/>
      <c r="B92" s="13"/>
      <c r="C92" s="13"/>
      <c r="D92" s="13"/>
    </row>
    <row r="93" spans="1:4">
      <c r="A93" s="13"/>
      <c r="B93" s="13"/>
      <c r="C93" s="13"/>
      <c r="D93" s="13"/>
    </row>
    <row r="94" spans="1:4">
      <c r="A94" s="13"/>
      <c r="B94" s="13"/>
      <c r="C94" s="13"/>
      <c r="D94" s="13"/>
    </row>
    <row r="95" spans="1:4">
      <c r="A95" s="13"/>
      <c r="B95" s="13"/>
      <c r="C95" s="13"/>
      <c r="D95" s="13"/>
    </row>
    <row r="96" spans="1:4">
      <c r="A96" s="13"/>
      <c r="B96" s="13"/>
      <c r="C96" s="13"/>
      <c r="D96" s="13"/>
    </row>
    <row r="97" spans="1:4">
      <c r="A97" s="13"/>
      <c r="B97" s="13"/>
      <c r="C97" s="13"/>
      <c r="D97" s="13"/>
    </row>
    <row r="98" spans="1:4">
      <c r="A98" s="13"/>
      <c r="B98" s="13"/>
      <c r="C98" s="13"/>
      <c r="D98" s="13"/>
    </row>
    <row r="99" spans="1:4">
      <c r="A99" s="13"/>
      <c r="B99" s="13"/>
      <c r="C99" s="13"/>
      <c r="D99" s="13"/>
    </row>
    <row r="100" spans="1:4">
      <c r="A100" s="13"/>
      <c r="B100" s="13"/>
      <c r="C100" s="13"/>
      <c r="D100" s="13"/>
    </row>
    <row r="101" spans="1:4">
      <c r="A101" s="13"/>
      <c r="B101" s="13"/>
      <c r="C101" s="13"/>
      <c r="D101" s="13"/>
    </row>
    <row r="102" spans="1:4">
      <c r="A102" s="13"/>
      <c r="B102" s="13"/>
      <c r="C102" s="13"/>
      <c r="D102" s="13"/>
    </row>
    <row r="103" spans="1:4">
      <c r="A103" s="13"/>
      <c r="B103" s="13"/>
      <c r="C103" s="13"/>
      <c r="D103" s="13"/>
    </row>
    <row r="104" spans="1:4">
      <c r="A104" s="13"/>
      <c r="B104" s="13"/>
      <c r="C104" s="13"/>
      <c r="D104" s="13"/>
    </row>
    <row r="105" spans="1:4">
      <c r="A105" s="13"/>
      <c r="B105" s="13"/>
      <c r="C105" s="13"/>
      <c r="D105" s="13"/>
    </row>
    <row r="106" spans="1:4">
      <c r="A106" s="13"/>
      <c r="B106" s="13"/>
      <c r="C106" s="13"/>
      <c r="D106" s="13"/>
    </row>
    <row r="107" spans="1:4">
      <c r="A107" s="13"/>
      <c r="B107" s="13"/>
      <c r="C107" s="13"/>
      <c r="D107" s="13"/>
    </row>
    <row r="108" spans="1:4">
      <c r="A108" s="13"/>
      <c r="B108" s="13"/>
      <c r="C108" s="13"/>
      <c r="D108" s="13"/>
    </row>
    <row r="109" spans="1:4">
      <c r="A109" s="13"/>
      <c r="B109" s="13"/>
      <c r="C109" s="13"/>
      <c r="D109" s="13"/>
    </row>
    <row r="110" spans="1:4">
      <c r="A110" s="13"/>
      <c r="B110" s="13"/>
      <c r="C110" s="13"/>
      <c r="D110" s="13"/>
    </row>
    <row r="111" spans="1:4">
      <c r="A111" s="13"/>
      <c r="B111" s="13"/>
      <c r="C111" s="13"/>
      <c r="D111" s="13"/>
    </row>
    <row r="112" spans="1:4">
      <c r="A112" s="13"/>
      <c r="B112" s="13"/>
      <c r="C112" s="13"/>
      <c r="D112" s="13"/>
    </row>
    <row r="113" spans="1:4">
      <c r="A113" s="13"/>
      <c r="B113" s="13"/>
      <c r="C113" s="13"/>
      <c r="D113" s="13"/>
    </row>
    <row r="114" spans="1:4">
      <c r="A114" s="13"/>
      <c r="B114" s="13"/>
      <c r="C114" s="13"/>
      <c r="D114" s="13"/>
    </row>
    <row r="115" spans="1:4">
      <c r="A115" s="13"/>
      <c r="B115" s="13"/>
      <c r="C115" s="13"/>
      <c r="D115" s="13"/>
    </row>
    <row r="116" spans="1:4">
      <c r="A116" s="13"/>
      <c r="B116" s="13"/>
      <c r="C116" s="13"/>
      <c r="D116" s="13"/>
    </row>
    <row r="117" spans="1:4">
      <c r="A117" s="13"/>
      <c r="B117" s="13"/>
      <c r="C117" s="13"/>
      <c r="D117" s="13"/>
    </row>
    <row r="118" spans="1:4">
      <c r="A118" s="13"/>
      <c r="B118" s="13"/>
      <c r="C118" s="13"/>
      <c r="D118" s="13"/>
    </row>
    <row r="119" spans="1:4">
      <c r="A119" s="13"/>
      <c r="B119" s="13"/>
      <c r="C119" s="13"/>
      <c r="D119" s="13"/>
    </row>
    <row r="120" spans="1:4">
      <c r="A120" s="13"/>
      <c r="B120" s="13"/>
      <c r="C120" s="13"/>
      <c r="D120" s="13"/>
    </row>
    <row r="121" spans="1:4">
      <c r="A121" s="13"/>
      <c r="B121" s="13"/>
      <c r="C121" s="13"/>
      <c r="D121" s="13"/>
    </row>
    <row r="122" spans="1:4">
      <c r="A122" s="13"/>
      <c r="B122" s="13"/>
      <c r="C122" s="13"/>
      <c r="D122" s="13"/>
    </row>
    <row r="123" spans="1:4">
      <c r="A123" s="13"/>
      <c r="B123" s="13"/>
      <c r="C123" s="13"/>
      <c r="D123" s="13"/>
    </row>
    <row r="124" spans="1:4">
      <c r="A124" s="13"/>
      <c r="B124" s="13"/>
      <c r="C124" s="13"/>
      <c r="D124" s="13"/>
    </row>
    <row r="125" spans="1:4">
      <c r="A125" s="13"/>
      <c r="B125" s="13"/>
      <c r="C125" s="13"/>
      <c r="D125" s="13"/>
    </row>
    <row r="126" spans="1:4">
      <c r="A126" s="13"/>
      <c r="B126" s="13"/>
      <c r="C126" s="13"/>
      <c r="D126" s="13"/>
    </row>
    <row r="127" spans="1:4">
      <c r="A127" s="13"/>
      <c r="B127" s="13"/>
      <c r="C127" s="13"/>
      <c r="D127" s="13"/>
    </row>
    <row r="128" spans="1:4">
      <c r="A128" s="13"/>
      <c r="B128" s="13"/>
      <c r="C128" s="13"/>
      <c r="D128" s="13"/>
    </row>
    <row r="129" spans="1:4">
      <c r="A129" s="13"/>
      <c r="B129" s="13"/>
      <c r="C129" s="13"/>
      <c r="D129" s="13"/>
    </row>
    <row r="130" spans="1:4">
      <c r="A130" s="13"/>
      <c r="B130" s="13"/>
      <c r="C130" s="13"/>
      <c r="D130" s="13"/>
    </row>
    <row r="131" spans="1:4">
      <c r="A131" s="13"/>
      <c r="B131" s="13"/>
      <c r="C131" s="13"/>
      <c r="D131" s="13"/>
    </row>
    <row r="132" spans="1:4">
      <c r="A132" s="13"/>
      <c r="B132" s="13"/>
      <c r="C132" s="13"/>
      <c r="D132" s="13"/>
    </row>
    <row r="133" spans="1:4">
      <c r="A133" s="13"/>
      <c r="B133" s="13"/>
      <c r="C133" s="13"/>
      <c r="D133" s="13"/>
    </row>
    <row r="134" spans="1:4">
      <c r="A134" s="13"/>
      <c r="B134" s="13"/>
      <c r="C134" s="13"/>
      <c r="D134" s="13"/>
    </row>
    <row r="135" spans="1:4">
      <c r="A135" s="13"/>
      <c r="B135" s="13"/>
      <c r="C135" s="13"/>
      <c r="D135" s="13"/>
    </row>
    <row r="136" spans="1:4">
      <c r="A136" s="13"/>
      <c r="B136" s="13"/>
      <c r="C136" s="13"/>
      <c r="D136" s="13"/>
    </row>
    <row r="137" spans="1:4">
      <c r="A137" s="13"/>
      <c r="B137" s="13"/>
      <c r="C137" s="13"/>
      <c r="D137" s="13"/>
    </row>
    <row r="138" spans="1:4">
      <c r="A138" s="13"/>
      <c r="B138" s="13"/>
      <c r="C138" s="13"/>
      <c r="D138" s="13"/>
    </row>
    <row r="139" spans="1:4">
      <c r="A139" s="13"/>
      <c r="B139" s="13"/>
      <c r="C139" s="13"/>
      <c r="D139" s="13"/>
    </row>
    <row r="140" spans="1:4">
      <c r="A140" s="13"/>
      <c r="B140" s="13"/>
      <c r="C140" s="13"/>
      <c r="D140" s="13"/>
    </row>
    <row r="141" spans="1:4">
      <c r="A141" s="13"/>
      <c r="B141" s="13"/>
      <c r="C141" s="13"/>
      <c r="D141" s="13"/>
    </row>
    <row r="142" spans="1:4">
      <c r="A142" s="13"/>
      <c r="B142" s="13"/>
      <c r="C142" s="13"/>
      <c r="D142" s="13"/>
    </row>
    <row r="143" spans="1:4">
      <c r="A143" s="13"/>
      <c r="B143" s="13"/>
      <c r="C143" s="13"/>
      <c r="D143" s="13"/>
    </row>
    <row r="144" spans="1:4">
      <c r="A144" s="13"/>
      <c r="B144" s="13"/>
      <c r="C144" s="13"/>
      <c r="D144" s="13"/>
    </row>
    <row r="145" spans="1:4">
      <c r="A145" s="13"/>
      <c r="B145" s="13"/>
      <c r="C145" s="13"/>
      <c r="D145" s="13"/>
    </row>
    <row r="146" spans="1:4">
      <c r="A146" s="13"/>
      <c r="B146" s="13"/>
      <c r="C146" s="13"/>
      <c r="D146" s="13"/>
    </row>
    <row r="147" spans="1:4">
      <c r="A147" s="13"/>
      <c r="B147" s="13"/>
      <c r="C147" s="13"/>
      <c r="D147" s="13"/>
    </row>
    <row r="148" spans="1:4">
      <c r="A148" s="13"/>
      <c r="B148" s="13"/>
      <c r="C148" s="13"/>
      <c r="D148" s="13"/>
    </row>
    <row r="149" spans="1:4">
      <c r="A149" s="13"/>
      <c r="B149" s="13"/>
      <c r="C149" s="13"/>
      <c r="D149" s="13"/>
    </row>
    <row r="150" spans="1:4">
      <c r="A150" s="13"/>
      <c r="B150" s="13"/>
      <c r="C150" s="13"/>
      <c r="D150" s="13"/>
    </row>
    <row r="151" spans="1:4">
      <c r="A151" s="13"/>
      <c r="B151" s="13"/>
      <c r="C151" s="13"/>
      <c r="D151" s="13"/>
    </row>
    <row r="152" spans="1:4">
      <c r="A152" s="13"/>
      <c r="B152" s="13"/>
      <c r="C152" s="13"/>
      <c r="D152" s="13"/>
    </row>
    <row r="153" spans="1:4">
      <c r="A153" s="13"/>
      <c r="B153" s="13"/>
      <c r="C153" s="13"/>
      <c r="D153" s="13"/>
    </row>
    <row r="154" spans="1:4">
      <c r="A154" s="13"/>
      <c r="B154" s="13"/>
      <c r="C154" s="13"/>
      <c r="D154" s="13"/>
    </row>
    <row r="155" spans="1:4">
      <c r="A155" s="13"/>
      <c r="B155" s="13"/>
      <c r="C155" s="13"/>
      <c r="D155" s="13"/>
    </row>
    <row r="156" spans="1:4">
      <c r="A156" s="13"/>
      <c r="B156" s="13"/>
      <c r="C156" s="13"/>
      <c r="D156" s="13"/>
    </row>
    <row r="157" spans="1:4">
      <c r="A157" s="13"/>
      <c r="B157" s="13"/>
      <c r="C157" s="13"/>
      <c r="D157" s="13"/>
    </row>
    <row r="158" spans="1:4">
      <c r="A158" s="13"/>
      <c r="B158" s="13"/>
      <c r="C158" s="13"/>
      <c r="D158" s="13"/>
    </row>
    <row r="159" spans="1:4">
      <c r="A159" s="13"/>
      <c r="B159" s="13"/>
      <c r="C159" s="13"/>
      <c r="D159" s="13"/>
    </row>
    <row r="160" spans="1:4">
      <c r="A160" s="13"/>
      <c r="B160" s="13"/>
      <c r="C160" s="13"/>
      <c r="D160" s="13"/>
    </row>
    <row r="161" spans="1:4">
      <c r="A161" s="13"/>
      <c r="B161" s="13"/>
      <c r="C161" s="13"/>
      <c r="D161" s="13"/>
    </row>
    <row r="162" spans="1:4">
      <c r="A162" s="13"/>
      <c r="B162" s="13"/>
      <c r="C162" s="13"/>
      <c r="D162" s="13"/>
    </row>
    <row r="163" spans="1:4">
      <c r="A163" s="13"/>
      <c r="B163" s="13"/>
      <c r="C163" s="13"/>
      <c r="D163" s="13"/>
    </row>
    <row r="164" spans="1:4">
      <c r="A164" s="13"/>
      <c r="B164" s="13"/>
      <c r="C164" s="13"/>
      <c r="D164" s="13"/>
    </row>
    <row r="165" spans="1:4">
      <c r="A165" s="13"/>
      <c r="B165" s="13"/>
      <c r="C165" s="13"/>
      <c r="D165" s="13"/>
    </row>
    <row r="166" spans="1:4">
      <c r="A166" s="13"/>
      <c r="B166" s="13"/>
      <c r="C166" s="13"/>
      <c r="D166" s="13"/>
    </row>
    <row r="167" spans="1:4">
      <c r="A167" s="13"/>
      <c r="B167" s="13"/>
      <c r="C167" s="13"/>
      <c r="D167" s="13"/>
    </row>
    <row r="168" spans="1:4">
      <c r="A168" s="13"/>
      <c r="B168" s="13"/>
      <c r="C168" s="13"/>
      <c r="D168" s="13"/>
    </row>
    <row r="169" spans="1:4">
      <c r="A169" s="13"/>
      <c r="B169" s="13"/>
      <c r="C169" s="13"/>
      <c r="D169" s="13"/>
    </row>
    <row r="170" spans="1:4">
      <c r="A170" s="13"/>
      <c r="B170" s="13"/>
      <c r="C170" s="13"/>
      <c r="D170" s="13"/>
    </row>
    <row r="171" spans="1:4">
      <c r="A171" s="13"/>
      <c r="B171" s="13"/>
      <c r="C171" s="13"/>
      <c r="D171" s="13"/>
    </row>
    <row r="172" spans="1:4">
      <c r="A172" s="13"/>
      <c r="B172" s="13"/>
      <c r="C172" s="13"/>
      <c r="D172" s="13"/>
    </row>
    <row r="173" spans="1:4">
      <c r="A173" s="13"/>
      <c r="B173" s="13"/>
      <c r="C173" s="13"/>
      <c r="D173" s="13"/>
    </row>
    <row r="174" spans="1:4">
      <c r="A174" s="13"/>
      <c r="B174" s="13"/>
      <c r="C174" s="13"/>
      <c r="D174" s="13"/>
    </row>
    <row r="175" spans="1:4">
      <c r="A175" s="13"/>
      <c r="B175" s="13"/>
      <c r="C175" s="13"/>
      <c r="D175" s="13"/>
    </row>
    <row r="176" spans="1:4">
      <c r="A176" s="13"/>
      <c r="B176" s="13"/>
      <c r="C176" s="13"/>
      <c r="D176" s="13"/>
    </row>
    <row r="177" spans="1:4">
      <c r="A177" s="13"/>
      <c r="B177" s="13"/>
      <c r="C177" s="13"/>
      <c r="D177" s="13"/>
    </row>
    <row r="178" spans="1:4">
      <c r="A178" s="13"/>
      <c r="B178" s="13"/>
      <c r="C178" s="13"/>
      <c r="D178" s="13"/>
    </row>
    <row r="179" spans="1:4">
      <c r="A179" s="13"/>
      <c r="B179" s="13"/>
      <c r="C179" s="13"/>
      <c r="D179" s="13"/>
    </row>
    <row r="180" spans="1:4">
      <c r="A180" s="13"/>
      <c r="B180" s="13"/>
      <c r="C180" s="13"/>
      <c r="D180" s="13"/>
    </row>
    <row r="181" spans="1:4">
      <c r="A181" s="13"/>
      <c r="B181" s="13"/>
      <c r="C181" s="13"/>
      <c r="D181" s="13"/>
    </row>
    <row r="182" spans="1:4">
      <c r="A182" s="13"/>
      <c r="B182" s="13"/>
      <c r="C182" s="13"/>
      <c r="D182" s="13"/>
    </row>
    <row r="183" spans="1:4">
      <c r="A183" s="13"/>
      <c r="B183" s="13"/>
      <c r="C183" s="13"/>
      <c r="D183" s="13"/>
    </row>
    <row r="184" spans="1:4">
      <c r="A184" s="13"/>
      <c r="B184" s="13"/>
      <c r="C184" s="13"/>
      <c r="D184" s="13"/>
    </row>
    <row r="185" spans="1:4">
      <c r="A185" s="13"/>
      <c r="B185" s="13"/>
      <c r="C185" s="13"/>
      <c r="D185" s="13"/>
    </row>
    <row r="186" spans="1:4">
      <c r="A186" s="13"/>
      <c r="B186" s="13"/>
      <c r="C186" s="13"/>
      <c r="D186" s="13"/>
    </row>
    <row r="187" spans="1:4">
      <c r="A187" s="13"/>
      <c r="B187" s="13"/>
      <c r="C187" s="13"/>
      <c r="D187" s="13"/>
    </row>
    <row r="188" spans="1:4">
      <c r="A188" s="13"/>
      <c r="B188" s="13"/>
      <c r="C188" s="13"/>
      <c r="D188" s="13"/>
    </row>
    <row r="189" spans="1:4">
      <c r="A189" s="13"/>
      <c r="B189" s="13"/>
      <c r="C189" s="13"/>
      <c r="D189" s="13"/>
    </row>
    <row r="190" spans="1:4">
      <c r="A190" s="13"/>
      <c r="B190" s="13"/>
      <c r="C190" s="13"/>
      <c r="D190" s="13"/>
    </row>
    <row r="191" spans="1:4">
      <c r="A191" s="13"/>
      <c r="B191" s="13"/>
      <c r="C191" s="13"/>
      <c r="D191" s="13"/>
    </row>
    <row r="192" spans="1:4">
      <c r="A192" s="13"/>
      <c r="B192" s="13"/>
      <c r="C192" s="13"/>
      <c r="D192" s="13"/>
    </row>
    <row r="193" spans="1:4">
      <c r="A193" s="13"/>
      <c r="B193" s="13"/>
      <c r="C193" s="13"/>
      <c r="D193" s="13"/>
    </row>
    <row r="194" spans="1:4">
      <c r="A194" s="13"/>
      <c r="B194" s="13"/>
      <c r="C194" s="13"/>
      <c r="D194" s="13"/>
    </row>
    <row r="195" spans="1:4">
      <c r="A195" s="13"/>
      <c r="B195" s="13"/>
      <c r="C195" s="13"/>
      <c r="D195" s="13"/>
    </row>
    <row r="196" spans="1:4">
      <c r="A196" s="13"/>
      <c r="B196" s="13"/>
      <c r="C196" s="13"/>
      <c r="D196" s="13"/>
    </row>
    <row r="197" spans="1:4">
      <c r="A197" s="13"/>
      <c r="B197" s="13"/>
      <c r="C197" s="13"/>
      <c r="D197" s="13"/>
    </row>
    <row r="198" spans="1:4">
      <c r="A198" s="13"/>
      <c r="B198" s="13"/>
      <c r="C198" s="13"/>
      <c r="D198" s="13"/>
    </row>
    <row r="199" spans="1:4">
      <c r="A199" s="13"/>
      <c r="B199" s="13"/>
      <c r="C199" s="13"/>
      <c r="D199" s="13"/>
    </row>
    <row r="200" spans="1:4">
      <c r="A200" s="13"/>
      <c r="B200" s="13"/>
      <c r="C200" s="13"/>
      <c r="D200" s="13"/>
    </row>
    <row r="201" spans="1:4">
      <c r="A201" s="13"/>
      <c r="B201" s="13"/>
      <c r="C201" s="13"/>
      <c r="D201" s="13"/>
    </row>
    <row r="202" spans="1:4">
      <c r="A202" s="13"/>
      <c r="B202" s="13"/>
      <c r="C202" s="13"/>
      <c r="D202" s="13"/>
    </row>
    <row r="203" spans="1:4">
      <c r="A203" s="13"/>
      <c r="B203" s="13"/>
      <c r="C203" s="13"/>
      <c r="D203" s="13"/>
    </row>
    <row r="204" spans="1:4">
      <c r="A204" s="13"/>
      <c r="B204" s="13"/>
      <c r="C204" s="13"/>
      <c r="D204" s="13"/>
    </row>
    <row r="205" spans="1:4">
      <c r="A205" s="13"/>
      <c r="B205" s="13"/>
      <c r="C205" s="13"/>
      <c r="D205" s="13"/>
    </row>
    <row r="206" spans="1:4">
      <c r="A206" s="13"/>
      <c r="B206" s="13"/>
      <c r="C206" s="13"/>
      <c r="D206" s="13"/>
    </row>
    <row r="207" spans="1:4">
      <c r="A207" s="13"/>
      <c r="B207" s="13"/>
      <c r="C207" s="13"/>
      <c r="D207" s="13"/>
    </row>
    <row r="208" spans="1:4">
      <c r="A208" s="13"/>
      <c r="B208" s="13"/>
      <c r="C208" s="13"/>
      <c r="D208" s="13"/>
    </row>
    <row r="209" spans="1:4">
      <c r="A209" s="13"/>
      <c r="B209" s="13"/>
      <c r="C209" s="13"/>
      <c r="D209" s="13"/>
    </row>
    <row r="210" spans="1:4">
      <c r="A210" s="13"/>
      <c r="B210" s="13"/>
      <c r="C210" s="13"/>
      <c r="D210" s="13"/>
    </row>
    <row r="211" spans="1:4">
      <c r="A211" s="13"/>
      <c r="B211" s="13"/>
      <c r="C211" s="13"/>
      <c r="D211" s="13"/>
    </row>
    <row r="212" spans="1:4">
      <c r="A212" s="13"/>
      <c r="B212" s="13"/>
      <c r="C212" s="13"/>
      <c r="D212" s="13"/>
    </row>
    <row r="213" spans="1:4">
      <c r="A213" s="13"/>
      <c r="B213" s="13"/>
      <c r="C213" s="13"/>
      <c r="D213" s="13"/>
    </row>
    <row r="214" spans="1:4">
      <c r="A214" s="13"/>
      <c r="B214" s="13"/>
      <c r="C214" s="13"/>
      <c r="D214" s="13"/>
    </row>
    <row r="215" spans="1:4">
      <c r="A215" s="13"/>
      <c r="B215" s="13"/>
      <c r="C215" s="13"/>
      <c r="D215" s="13"/>
    </row>
    <row r="216" spans="1:4">
      <c r="A216" s="13"/>
      <c r="B216" s="13"/>
      <c r="C216" s="13"/>
      <c r="D216" s="13"/>
    </row>
    <row r="217" spans="1:4">
      <c r="A217" s="13"/>
      <c r="B217" s="13"/>
      <c r="C217" s="13"/>
      <c r="D217" s="13"/>
    </row>
    <row r="218" spans="1:4">
      <c r="A218" s="13"/>
      <c r="B218" s="13"/>
      <c r="C218" s="13"/>
      <c r="D218" s="13"/>
    </row>
    <row r="219" spans="1:4">
      <c r="A219" s="13"/>
      <c r="B219" s="13"/>
      <c r="C219" s="13"/>
      <c r="D219" s="13"/>
    </row>
    <row r="220" spans="1:4">
      <c r="A220" s="13"/>
      <c r="B220" s="13"/>
      <c r="C220" s="13"/>
      <c r="D220" s="13"/>
    </row>
    <row r="221" spans="1:4">
      <c r="A221" s="13"/>
      <c r="B221" s="13"/>
      <c r="C221" s="13"/>
      <c r="D221" s="13"/>
    </row>
    <row r="222" spans="1:4">
      <c r="A222" s="13"/>
      <c r="B222" s="13"/>
      <c r="C222" s="13"/>
      <c r="D222" s="13"/>
    </row>
    <row r="223" spans="1:4">
      <c r="A223" s="13"/>
      <c r="B223" s="13"/>
      <c r="C223" s="13"/>
      <c r="D223" s="13"/>
    </row>
    <row r="224" spans="1:4">
      <c r="A224" s="13"/>
      <c r="B224" s="13"/>
      <c r="C224" s="13"/>
      <c r="D224" s="13"/>
    </row>
    <row r="225" spans="1:4">
      <c r="A225" s="13"/>
      <c r="B225" s="13"/>
      <c r="C225" s="13"/>
      <c r="D225" s="13"/>
    </row>
    <row r="226" spans="1:4">
      <c r="A226" s="13"/>
      <c r="B226" s="13"/>
      <c r="C226" s="13"/>
      <c r="D226" s="13"/>
    </row>
    <row r="227" spans="1:4">
      <c r="A227" s="13"/>
      <c r="B227" s="13"/>
      <c r="C227" s="13"/>
      <c r="D227" s="13"/>
    </row>
    <row r="228" spans="1:4">
      <c r="A228" s="13"/>
      <c r="B228" s="13"/>
      <c r="C228" s="13"/>
      <c r="D228" s="13"/>
    </row>
    <row r="229" spans="1:4">
      <c r="A229" s="13"/>
      <c r="B229" s="13"/>
      <c r="C229" s="13"/>
      <c r="D229" s="13"/>
    </row>
    <row r="230" spans="1:4">
      <c r="A230" s="13"/>
      <c r="B230" s="13"/>
      <c r="C230" s="13"/>
      <c r="D230" s="13"/>
    </row>
    <row r="231" spans="1:4">
      <c r="A231" s="13"/>
      <c r="B231" s="13"/>
      <c r="C231" s="13"/>
      <c r="D231" s="13"/>
    </row>
    <row r="232" spans="1:4">
      <c r="A232" s="13"/>
      <c r="B232" s="13"/>
      <c r="C232" s="13"/>
      <c r="D232" s="13"/>
    </row>
    <row r="233" spans="1:4">
      <c r="A233" s="13"/>
      <c r="B233" s="13"/>
      <c r="C233" s="13"/>
      <c r="D233" s="13"/>
    </row>
    <row r="234" spans="1:4">
      <c r="A234" s="13"/>
      <c r="B234" s="13"/>
      <c r="C234" s="13"/>
      <c r="D234" s="13"/>
    </row>
    <row r="235" spans="1:4">
      <c r="A235" s="13"/>
      <c r="B235" s="13"/>
      <c r="C235" s="13"/>
      <c r="D235" s="13"/>
    </row>
    <row r="236" spans="1:4">
      <c r="A236" s="13"/>
      <c r="B236" s="13"/>
      <c r="C236" s="13"/>
      <c r="D236" s="13"/>
    </row>
    <row r="237" spans="1:4">
      <c r="A237" s="13"/>
      <c r="B237" s="13"/>
      <c r="C237" s="13"/>
      <c r="D237" s="13"/>
    </row>
    <row r="238" spans="1:4">
      <c r="A238" s="13"/>
      <c r="B238" s="13"/>
      <c r="C238" s="13"/>
      <c r="D238" s="13"/>
    </row>
    <row r="239" spans="1:4">
      <c r="A239" s="13"/>
      <c r="B239" s="13"/>
      <c r="C239" s="13"/>
      <c r="D239" s="13"/>
    </row>
    <row r="240" spans="1:4">
      <c r="A240" s="13"/>
      <c r="B240" s="13"/>
      <c r="C240" s="13"/>
      <c r="D240" s="13"/>
    </row>
    <row r="241" spans="1:4">
      <c r="A241" s="13"/>
      <c r="B241" s="13"/>
      <c r="C241" s="13"/>
      <c r="D241" s="13"/>
    </row>
    <row r="242" spans="1:4">
      <c r="A242" s="13"/>
      <c r="B242" s="13"/>
      <c r="C242" s="13"/>
      <c r="D242" s="13"/>
    </row>
    <row r="243" spans="1:4">
      <c r="A243" s="13"/>
      <c r="B243" s="13"/>
      <c r="C243" s="13"/>
      <c r="D243" s="13"/>
    </row>
    <row r="244" spans="1:4">
      <c r="A244" s="13"/>
      <c r="B244" s="13"/>
      <c r="C244" s="13"/>
      <c r="D244" s="13"/>
    </row>
    <row r="245" spans="1:4">
      <c r="A245" s="13"/>
      <c r="B245" s="13"/>
      <c r="C245" s="13"/>
      <c r="D245" s="13"/>
    </row>
    <row r="246" spans="1:4">
      <c r="A246" s="13"/>
      <c r="B246" s="13"/>
      <c r="C246" s="13"/>
      <c r="D246" s="13"/>
    </row>
    <row r="247" spans="1:4">
      <c r="A247" s="13"/>
      <c r="B247" s="13"/>
      <c r="C247" s="13"/>
      <c r="D247" s="13"/>
    </row>
    <row r="248" spans="1:4">
      <c r="A248" s="13"/>
      <c r="B248" s="13"/>
      <c r="C248" s="13"/>
      <c r="D248" s="13"/>
    </row>
    <row r="249" spans="1:4">
      <c r="A249" s="13"/>
      <c r="B249" s="13"/>
      <c r="C249" s="13"/>
      <c r="D249" s="13"/>
    </row>
    <row r="250" spans="1:4">
      <c r="A250" s="13"/>
      <c r="B250" s="13"/>
      <c r="C250" s="13"/>
      <c r="D250" s="13"/>
    </row>
    <row r="251" spans="1:4">
      <c r="A251" s="13"/>
      <c r="B251" s="13"/>
      <c r="C251" s="13"/>
      <c r="D251" s="13"/>
    </row>
    <row r="252" spans="1:4">
      <c r="A252" s="13"/>
      <c r="B252" s="13"/>
      <c r="C252" s="13"/>
      <c r="D252" s="13"/>
    </row>
    <row r="253" spans="1:4">
      <c r="A253" s="13"/>
      <c r="B253" s="13"/>
      <c r="C253" s="13"/>
      <c r="D253" s="13"/>
    </row>
    <row r="254" spans="1:4">
      <c r="A254" s="13"/>
      <c r="B254" s="13"/>
      <c r="C254" s="13"/>
      <c r="D254" s="13"/>
    </row>
    <row r="255" spans="1:4">
      <c r="A255" s="13"/>
      <c r="B255" s="13"/>
      <c r="C255" s="13"/>
      <c r="D255" s="13"/>
    </row>
    <row r="256" spans="1:4">
      <c r="A256" s="13"/>
      <c r="B256" s="13"/>
      <c r="C256" s="13"/>
      <c r="D256" s="13"/>
    </row>
    <row r="257" spans="1:4">
      <c r="A257" s="13"/>
      <c r="B257" s="13"/>
      <c r="C257" s="13"/>
      <c r="D257" s="13"/>
    </row>
    <row r="258" spans="1:4">
      <c r="A258" s="13"/>
      <c r="B258" s="13"/>
      <c r="C258" s="13"/>
      <c r="D258" s="13"/>
    </row>
    <row r="259" spans="1:4">
      <c r="A259" s="13"/>
      <c r="B259" s="13"/>
      <c r="C259" s="13"/>
      <c r="D259" s="13"/>
    </row>
    <row r="260" spans="1:4">
      <c r="A260" s="13"/>
      <c r="B260" s="13"/>
      <c r="C260" s="13"/>
      <c r="D260" s="13"/>
    </row>
    <row r="261" spans="1:4">
      <c r="A261" s="13"/>
      <c r="B261" s="13"/>
      <c r="C261" s="13"/>
      <c r="D261" s="13"/>
    </row>
    <row r="262" spans="1:4">
      <c r="A262" s="13"/>
      <c r="B262" s="13"/>
      <c r="C262" s="13"/>
      <c r="D262" s="13"/>
    </row>
    <row r="263" spans="1:4">
      <c r="A263" s="13"/>
      <c r="B263" s="13"/>
      <c r="C263" s="13"/>
      <c r="D263" s="13"/>
    </row>
    <row r="264" spans="1:4">
      <c r="A264" s="13"/>
      <c r="B264" s="13"/>
      <c r="C264" s="13"/>
      <c r="D264" s="13"/>
    </row>
    <row r="265" spans="1:4">
      <c r="A265" s="13"/>
      <c r="B265" s="13"/>
      <c r="C265" s="13"/>
      <c r="D265" s="13"/>
    </row>
    <row r="266" spans="1:4">
      <c r="A266" s="13"/>
      <c r="B266" s="13"/>
      <c r="C266" s="13"/>
      <c r="D266" s="13"/>
    </row>
    <row r="267" spans="1:4">
      <c r="A267" s="13"/>
      <c r="B267" s="13"/>
      <c r="C267" s="13"/>
      <c r="D267" s="13"/>
    </row>
    <row r="268" spans="1:4">
      <c r="A268" s="13"/>
      <c r="B268" s="13"/>
      <c r="C268" s="13"/>
      <c r="D268" s="13"/>
    </row>
    <row r="269" spans="1:4">
      <c r="A269" s="13"/>
      <c r="B269" s="13"/>
      <c r="C269" s="13"/>
      <c r="D269" s="13"/>
    </row>
    <row r="270" spans="1:4">
      <c r="A270" s="13"/>
      <c r="B270" s="13"/>
      <c r="C270" s="13"/>
      <c r="D270" s="13"/>
    </row>
    <row r="271" spans="1:4">
      <c r="A271" s="13"/>
      <c r="B271" s="13"/>
      <c r="C271" s="13"/>
      <c r="D271" s="13"/>
    </row>
    <row r="272" spans="1:4">
      <c r="A272" s="13"/>
      <c r="B272" s="13"/>
      <c r="C272" s="13"/>
      <c r="D272" s="13"/>
    </row>
    <row r="273" spans="1:4">
      <c r="A273" s="13"/>
      <c r="B273" s="13"/>
      <c r="C273" s="13"/>
      <c r="D273" s="13"/>
    </row>
    <row r="274" spans="1:4">
      <c r="A274" s="13"/>
      <c r="B274" s="13"/>
      <c r="C274" s="13"/>
      <c r="D274" s="13"/>
    </row>
    <row r="275" spans="1:4">
      <c r="A275" s="13"/>
      <c r="B275" s="13"/>
      <c r="C275" s="13"/>
      <c r="D275" s="13"/>
    </row>
    <row r="276" spans="1:4">
      <c r="A276" s="13"/>
      <c r="B276" s="13"/>
      <c r="C276" s="13"/>
      <c r="D276" s="13"/>
    </row>
    <row r="277" spans="1:4">
      <c r="A277" s="13"/>
      <c r="B277" s="13"/>
      <c r="C277" s="13"/>
      <c r="D277" s="13"/>
    </row>
    <row r="278" spans="1:4">
      <c r="A278" s="13"/>
      <c r="B278" s="13"/>
      <c r="C278" s="13"/>
      <c r="D278" s="13"/>
    </row>
    <row r="279" spans="1:4">
      <c r="A279" s="13"/>
      <c r="B279" s="13"/>
      <c r="C279" s="13"/>
      <c r="D279" s="13"/>
    </row>
    <row r="280" spans="1:4">
      <c r="A280" s="13"/>
      <c r="B280" s="13"/>
      <c r="C280" s="13"/>
      <c r="D280" s="13"/>
    </row>
    <row r="281" spans="1:4">
      <c r="A281" s="13"/>
      <c r="B281" s="13"/>
      <c r="C281" s="13"/>
      <c r="D281" s="13"/>
    </row>
    <row r="282" spans="1:4">
      <c r="A282" s="13"/>
      <c r="B282" s="13"/>
      <c r="C282" s="13"/>
      <c r="D282" s="13"/>
    </row>
    <row r="283" spans="1:4">
      <c r="A283" s="13"/>
      <c r="B283" s="13"/>
      <c r="C283" s="13"/>
      <c r="D283" s="13"/>
    </row>
    <row r="284" spans="1:4">
      <c r="A284" s="13"/>
      <c r="B284" s="13"/>
      <c r="C284" s="13"/>
      <c r="D284" s="13"/>
    </row>
    <row r="285" spans="1:4">
      <c r="A285" s="13"/>
      <c r="B285" s="13"/>
      <c r="C285" s="13"/>
      <c r="D285" s="13"/>
    </row>
    <row r="286" spans="1:4">
      <c r="A286" s="13"/>
      <c r="B286" s="13"/>
      <c r="C286" s="13"/>
      <c r="D286" s="13"/>
    </row>
    <row r="287" spans="1:4">
      <c r="A287" s="13"/>
      <c r="B287" s="13"/>
      <c r="C287" s="13"/>
      <c r="D287" s="13"/>
    </row>
    <row r="288" spans="1:4">
      <c r="A288" s="13"/>
      <c r="B288" s="13"/>
      <c r="C288" s="13"/>
      <c r="D288" s="13"/>
    </row>
    <row r="289" spans="1:4">
      <c r="A289" s="13"/>
      <c r="B289" s="13"/>
      <c r="C289" s="13"/>
      <c r="D289" s="13"/>
    </row>
    <row r="290" spans="1:4">
      <c r="A290" s="13"/>
      <c r="B290" s="13"/>
      <c r="C290" s="13"/>
      <c r="D290" s="13"/>
    </row>
    <row r="291" spans="1:4">
      <c r="A291" s="13"/>
      <c r="B291" s="13"/>
      <c r="C291" s="13"/>
      <c r="D291" s="13"/>
    </row>
    <row r="292" spans="1:4">
      <c r="A292" s="13"/>
      <c r="B292" s="13"/>
      <c r="C292" s="13"/>
      <c r="D292" s="13"/>
    </row>
    <row r="293" spans="1:4">
      <c r="A293" s="13"/>
      <c r="B293" s="13"/>
      <c r="C293" s="13"/>
      <c r="D293" s="13"/>
    </row>
    <row r="294" spans="1:4">
      <c r="A294" s="13"/>
      <c r="B294" s="13"/>
      <c r="C294" s="13"/>
      <c r="D294" s="13"/>
    </row>
    <row r="295" spans="1:4">
      <c r="A295" s="13"/>
      <c r="B295" s="13"/>
      <c r="C295" s="13"/>
      <c r="D295" s="13"/>
    </row>
    <row r="296" spans="1:4">
      <c r="A296" s="13"/>
      <c r="B296" s="13"/>
      <c r="C296" s="13"/>
      <c r="D296" s="13"/>
    </row>
    <row r="297" spans="1:4">
      <c r="A297" s="13"/>
      <c r="B297" s="13"/>
      <c r="C297" s="13"/>
      <c r="D297" s="13"/>
    </row>
    <row r="298" spans="1:4">
      <c r="A298" s="13"/>
      <c r="B298" s="13"/>
      <c r="C298" s="13"/>
      <c r="D298" s="13"/>
    </row>
    <row r="299" spans="1:4">
      <c r="A299" s="13"/>
      <c r="B299" s="13"/>
      <c r="C299" s="13"/>
      <c r="D299" s="13"/>
    </row>
    <row r="300" spans="1:4">
      <c r="A300" s="13"/>
      <c r="B300" s="13"/>
      <c r="C300" s="13"/>
      <c r="D300" s="13"/>
    </row>
    <row r="301" spans="1:4">
      <c r="A301" s="13"/>
      <c r="B301" s="13"/>
      <c r="C301" s="13"/>
      <c r="D301" s="13"/>
    </row>
    <row r="302" spans="1:4">
      <c r="A302" s="13"/>
      <c r="B302" s="13"/>
      <c r="C302" s="13"/>
      <c r="D302" s="13"/>
    </row>
    <row r="303" spans="1:4">
      <c r="A303" s="13"/>
      <c r="B303" s="13"/>
      <c r="C303" s="13"/>
      <c r="D303" s="13"/>
    </row>
    <row r="304" spans="1:4">
      <c r="A304" s="13"/>
      <c r="B304" s="13"/>
      <c r="C304" s="13"/>
      <c r="D304" s="13"/>
    </row>
    <row r="305" spans="1:4">
      <c r="A305" s="13"/>
      <c r="B305" s="13"/>
      <c r="C305" s="13"/>
      <c r="D305" s="13"/>
    </row>
    <row r="306" spans="1:4">
      <c r="A306" s="13"/>
      <c r="B306" s="13"/>
      <c r="C306" s="13"/>
      <c r="D306" s="13"/>
    </row>
    <row r="307" spans="1:4">
      <c r="A307" s="13"/>
      <c r="B307" s="13"/>
      <c r="C307" s="13"/>
      <c r="D307" s="13"/>
    </row>
    <row r="308" spans="1:4">
      <c r="A308" s="13"/>
      <c r="B308" s="13"/>
      <c r="C308" s="13"/>
      <c r="D308" s="13"/>
    </row>
    <row r="309" spans="1:4">
      <c r="A309" s="13"/>
      <c r="B309" s="13"/>
      <c r="C309" s="13"/>
      <c r="D309" s="13"/>
    </row>
    <row r="310" spans="1:4">
      <c r="A310" s="13"/>
      <c r="B310" s="13"/>
      <c r="C310" s="13"/>
      <c r="D310" s="13"/>
    </row>
    <row r="311" spans="1:4">
      <c r="A311" s="13"/>
      <c r="B311" s="13"/>
      <c r="C311" s="13"/>
      <c r="D311" s="13"/>
    </row>
    <row r="312" spans="1:4">
      <c r="A312" s="13"/>
      <c r="B312" s="13"/>
      <c r="C312" s="13"/>
      <c r="D312" s="13"/>
    </row>
    <row r="313" spans="1:4">
      <c r="A313" s="13"/>
      <c r="B313" s="13"/>
      <c r="C313" s="13"/>
      <c r="D313" s="13"/>
    </row>
    <row r="314" spans="1:4">
      <c r="A314" s="13"/>
      <c r="B314" s="13"/>
      <c r="C314" s="13"/>
      <c r="D314" s="13"/>
    </row>
    <row r="315" spans="1:4">
      <c r="A315" s="13"/>
      <c r="B315" s="13"/>
      <c r="C315" s="13"/>
      <c r="D315" s="13"/>
    </row>
    <row r="316" spans="1:4">
      <c r="A316" s="13"/>
      <c r="B316" s="13"/>
      <c r="C316" s="13"/>
      <c r="D316" s="13"/>
    </row>
    <row r="317" spans="1:4">
      <c r="A317" s="13"/>
      <c r="B317" s="13"/>
      <c r="C317" s="13"/>
      <c r="D317" s="13"/>
    </row>
    <row r="318" spans="1:4">
      <c r="A318" s="13"/>
      <c r="B318" s="13"/>
      <c r="C318" s="13"/>
      <c r="D318" s="13"/>
    </row>
    <row r="319" spans="1:4">
      <c r="A319" s="13"/>
      <c r="B319" s="13"/>
      <c r="C319" s="13"/>
      <c r="D319" s="13"/>
    </row>
    <row r="320" spans="1:4">
      <c r="A320" s="13"/>
      <c r="B320" s="13"/>
      <c r="C320" s="13"/>
      <c r="D320" s="13"/>
    </row>
    <row r="321" spans="1:4">
      <c r="A321" s="13"/>
      <c r="B321" s="13"/>
      <c r="C321" s="13"/>
      <c r="D321" s="13"/>
    </row>
    <row r="322" spans="1:4">
      <c r="A322" s="13"/>
      <c r="B322" s="13"/>
      <c r="C322" s="13"/>
      <c r="D322" s="13"/>
    </row>
    <row r="323" spans="1:4">
      <c r="A323" s="13"/>
      <c r="B323" s="13"/>
      <c r="C323" s="13"/>
      <c r="D323" s="13"/>
    </row>
    <row r="324" spans="1:4">
      <c r="A324" s="13"/>
      <c r="B324" s="13"/>
      <c r="C324" s="13"/>
      <c r="D324" s="13"/>
    </row>
    <row r="325" spans="1:4">
      <c r="A325" s="13"/>
      <c r="B325" s="13"/>
      <c r="C325" s="13"/>
      <c r="D325" s="13"/>
    </row>
    <row r="326" spans="1:4">
      <c r="A326" s="13"/>
      <c r="B326" s="13"/>
      <c r="C326" s="13"/>
      <c r="D326" s="13"/>
    </row>
    <row r="327" spans="1:4">
      <c r="A327" s="13"/>
      <c r="B327" s="13"/>
      <c r="C327" s="13"/>
      <c r="D327" s="13"/>
    </row>
    <row r="328" spans="1:4">
      <c r="A328" s="13"/>
      <c r="B328" s="13"/>
      <c r="C328" s="13"/>
      <c r="D328" s="13"/>
    </row>
    <row r="329" spans="1:4">
      <c r="A329" s="13"/>
      <c r="B329" s="13"/>
      <c r="C329" s="13"/>
      <c r="D329" s="13"/>
    </row>
    <row r="330" spans="1:4">
      <c r="A330" s="13"/>
      <c r="B330" s="13"/>
      <c r="C330" s="13"/>
      <c r="D330" s="13"/>
    </row>
    <row r="331" spans="1:4">
      <c r="A331" s="13"/>
      <c r="B331" s="13"/>
      <c r="C331" s="13"/>
      <c r="D331" s="13"/>
    </row>
    <row r="332" spans="1:4">
      <c r="A332" s="13"/>
      <c r="B332" s="13"/>
      <c r="C332" s="13"/>
      <c r="D332" s="13"/>
    </row>
    <row r="333" spans="1:4">
      <c r="A333" s="13"/>
      <c r="B333" s="13"/>
      <c r="C333" s="13"/>
      <c r="D333" s="13"/>
    </row>
    <row r="334" spans="1:4">
      <c r="A334" s="13"/>
      <c r="B334" s="13"/>
      <c r="C334" s="13"/>
      <c r="D334" s="13"/>
    </row>
    <row r="335" spans="1:4">
      <c r="A335" s="13"/>
      <c r="B335" s="13"/>
      <c r="C335" s="13"/>
      <c r="D335" s="13"/>
    </row>
    <row r="336" spans="1:4">
      <c r="A336" s="13"/>
      <c r="B336" s="13"/>
      <c r="C336" s="13"/>
      <c r="D336" s="13"/>
    </row>
    <row r="337" spans="1:4">
      <c r="A337" s="13"/>
      <c r="B337" s="13"/>
      <c r="C337" s="13"/>
      <c r="D337" s="13"/>
    </row>
    <row r="338" spans="1:4">
      <c r="A338" s="13"/>
      <c r="B338" s="13"/>
      <c r="C338" s="13"/>
      <c r="D338" s="13"/>
    </row>
    <row r="339" spans="1:4">
      <c r="A339" s="13"/>
      <c r="B339" s="13"/>
      <c r="C339" s="13"/>
      <c r="D339" s="13"/>
    </row>
    <row r="340" spans="1:4">
      <c r="A340" s="13"/>
      <c r="B340" s="13"/>
      <c r="C340" s="13"/>
      <c r="D340" s="13"/>
    </row>
    <row r="341" spans="1:4">
      <c r="A341" s="13"/>
      <c r="B341" s="13"/>
      <c r="C341" s="13"/>
      <c r="D341" s="13"/>
    </row>
    <row r="342" spans="1:4">
      <c r="A342" s="13"/>
      <c r="B342" s="13"/>
      <c r="C342" s="13"/>
      <c r="D342" s="13"/>
    </row>
    <row r="343" spans="1:4">
      <c r="A343" s="13"/>
      <c r="B343" s="13"/>
      <c r="C343" s="13"/>
      <c r="D343" s="13"/>
    </row>
    <row r="344" spans="1:4">
      <c r="A344" s="13"/>
      <c r="B344" s="13"/>
      <c r="C344" s="13"/>
      <c r="D344" s="13"/>
    </row>
    <row r="345" spans="1:4">
      <c r="A345" s="13"/>
      <c r="B345" s="13"/>
      <c r="C345" s="13"/>
      <c r="D345" s="13"/>
    </row>
    <row r="346" spans="1:4">
      <c r="A346" s="13"/>
      <c r="B346" s="13"/>
      <c r="C346" s="13"/>
      <c r="D346" s="13"/>
    </row>
    <row r="347" spans="1:4">
      <c r="A347" s="13"/>
      <c r="B347" s="13"/>
      <c r="C347" s="13"/>
      <c r="D347" s="13"/>
    </row>
    <row r="348" spans="1:4">
      <c r="A348" s="13"/>
      <c r="B348" s="13"/>
      <c r="C348" s="13"/>
      <c r="D348" s="13"/>
    </row>
    <row r="349" spans="1:4">
      <c r="A349" s="13"/>
      <c r="B349" s="13"/>
      <c r="C349" s="13"/>
      <c r="D349" s="13"/>
    </row>
    <row r="350" spans="1:4">
      <c r="A350" s="13"/>
      <c r="B350" s="13"/>
      <c r="C350" s="13"/>
      <c r="D350" s="13"/>
    </row>
    <row r="351" spans="1:4">
      <c r="A351" s="13"/>
      <c r="B351" s="13"/>
      <c r="C351" s="13"/>
      <c r="D351" s="13"/>
    </row>
    <row r="352" spans="1:4">
      <c r="A352" s="13"/>
      <c r="B352" s="13"/>
      <c r="C352" s="13"/>
      <c r="D352" s="13"/>
    </row>
    <row r="353" spans="1:4">
      <c r="A353" s="13"/>
      <c r="B353" s="13"/>
      <c r="C353" s="13"/>
      <c r="D353" s="13"/>
    </row>
    <row r="354" spans="1:4">
      <c r="A354" s="13"/>
      <c r="B354" s="13"/>
      <c r="C354" s="13"/>
      <c r="D354" s="13"/>
    </row>
    <row r="355" spans="1:4">
      <c r="A355" s="13"/>
      <c r="B355" s="13"/>
      <c r="C355" s="13"/>
      <c r="D355" s="13"/>
    </row>
    <row r="356" spans="1:4">
      <c r="A356" s="13"/>
      <c r="B356" s="13"/>
      <c r="C356" s="13"/>
      <c r="D356" s="13"/>
    </row>
    <row r="357" spans="1:4">
      <c r="A357" s="13"/>
      <c r="B357" s="13"/>
      <c r="C357" s="13"/>
      <c r="D357" s="13"/>
    </row>
    <row r="358" spans="1:4">
      <c r="A358" s="13"/>
      <c r="B358" s="13"/>
      <c r="C358" s="13"/>
      <c r="D358" s="13"/>
    </row>
    <row r="359" spans="1:4">
      <c r="A359" s="13"/>
      <c r="B359" s="13"/>
      <c r="C359" s="13"/>
      <c r="D359" s="13"/>
    </row>
    <row r="360" spans="1:4">
      <c r="A360" s="13"/>
      <c r="B360" s="13"/>
      <c r="C360" s="13"/>
      <c r="D360" s="13"/>
    </row>
    <row r="361" spans="1:4">
      <c r="A361" s="13"/>
      <c r="B361" s="13"/>
      <c r="C361" s="13"/>
      <c r="D361" s="13"/>
    </row>
    <row r="362" spans="1:4">
      <c r="A362" s="13"/>
      <c r="B362" s="13"/>
      <c r="C362" s="13"/>
      <c r="D362" s="13"/>
    </row>
    <row r="363" spans="1:4">
      <c r="A363" s="13"/>
      <c r="B363" s="13"/>
      <c r="C363" s="13"/>
      <c r="D363" s="13"/>
    </row>
    <row r="364" spans="1:4">
      <c r="A364" s="13"/>
      <c r="B364" s="13"/>
      <c r="C364" s="13"/>
      <c r="D364" s="13"/>
    </row>
    <row r="365" spans="1:4">
      <c r="A365" s="13"/>
      <c r="B365" s="13"/>
      <c r="C365" s="13"/>
      <c r="D365" s="13"/>
    </row>
    <row r="366" spans="1:4">
      <c r="A366" s="13"/>
      <c r="B366" s="13"/>
      <c r="C366" s="13"/>
      <c r="D366" s="13"/>
    </row>
    <row r="367" spans="1:4">
      <c r="A367" s="13"/>
      <c r="B367" s="13"/>
      <c r="C367" s="13"/>
      <c r="D367" s="13"/>
    </row>
    <row r="368" spans="1:4">
      <c r="A368" s="13"/>
      <c r="B368" s="13"/>
      <c r="C368" s="13"/>
      <c r="D368" s="13"/>
    </row>
    <row r="369" spans="1:4">
      <c r="A369" s="13"/>
      <c r="B369" s="13"/>
      <c r="C369" s="13"/>
      <c r="D369" s="13"/>
    </row>
    <row r="370" spans="1:4">
      <c r="A370" s="13"/>
      <c r="B370" s="13"/>
      <c r="C370" s="13"/>
      <c r="D370" s="13"/>
    </row>
    <row r="371" spans="1:4">
      <c r="A371" s="13"/>
      <c r="B371" s="13"/>
      <c r="C371" s="13"/>
      <c r="D371" s="13"/>
    </row>
    <row r="372" spans="1:4">
      <c r="A372" s="13"/>
      <c r="B372" s="13"/>
      <c r="C372" s="13"/>
      <c r="D372" s="13"/>
    </row>
    <row r="373" spans="1:4">
      <c r="A373" s="13"/>
      <c r="B373" s="13"/>
      <c r="C373" s="13"/>
      <c r="D373" s="13"/>
    </row>
    <row r="374" spans="1:4">
      <c r="A374" s="13"/>
      <c r="B374" s="13"/>
      <c r="C374" s="13"/>
      <c r="D374" s="13"/>
    </row>
    <row r="375" spans="1:4">
      <c r="A375" s="13"/>
      <c r="B375" s="13"/>
      <c r="C375" s="13"/>
      <c r="D375" s="13"/>
    </row>
    <row r="376" spans="1:4">
      <c r="A376" s="13"/>
      <c r="B376" s="13"/>
      <c r="C376" s="13"/>
      <c r="D376" s="13"/>
    </row>
    <row r="377" spans="1:4">
      <c r="A377" s="13"/>
      <c r="B377" s="13"/>
      <c r="C377" s="13"/>
      <c r="D377" s="13"/>
    </row>
    <row r="378" spans="1:4">
      <c r="A378" s="13"/>
      <c r="B378" s="13"/>
      <c r="C378" s="13"/>
      <c r="D378" s="13"/>
    </row>
    <row r="379" spans="1:4">
      <c r="A379" s="13"/>
      <c r="B379" s="13"/>
      <c r="C379" s="13"/>
      <c r="D379" s="13"/>
    </row>
    <row r="380" spans="1:4">
      <c r="A380" s="13"/>
      <c r="B380" s="13"/>
      <c r="C380" s="13"/>
      <c r="D380" s="13"/>
    </row>
    <row r="381" spans="1:4">
      <c r="A381" s="13"/>
      <c r="B381" s="13"/>
      <c r="C381" s="13"/>
      <c r="D381" s="13"/>
    </row>
    <row r="382" spans="1:4">
      <c r="A382" s="13"/>
      <c r="B382" s="13"/>
      <c r="C382" s="13"/>
      <c r="D382" s="13"/>
    </row>
    <row r="383" spans="1:4">
      <c r="A383" s="13"/>
      <c r="B383" s="13"/>
      <c r="C383" s="13"/>
      <c r="D383" s="13"/>
    </row>
    <row r="384" spans="1:4">
      <c r="A384" s="13"/>
      <c r="B384" s="13"/>
      <c r="C384" s="13"/>
      <c r="D384" s="13"/>
    </row>
    <row r="385" spans="1:4">
      <c r="A385" s="13"/>
      <c r="B385" s="13"/>
      <c r="C385" s="13"/>
      <c r="D385" s="13"/>
    </row>
    <row r="386" spans="1:4">
      <c r="A386" s="13"/>
      <c r="B386" s="13"/>
      <c r="C386" s="13"/>
      <c r="D386" s="13"/>
    </row>
    <row r="387" spans="1:4">
      <c r="A387" s="13"/>
      <c r="B387" s="13"/>
      <c r="C387" s="13"/>
      <c r="D387" s="13"/>
    </row>
    <row r="388" spans="1:4">
      <c r="A388" s="13"/>
      <c r="B388" s="13"/>
      <c r="C388" s="13"/>
      <c r="D388" s="13"/>
    </row>
    <row r="389" spans="1:4">
      <c r="A389" s="13"/>
      <c r="B389" s="13"/>
      <c r="C389" s="13"/>
      <c r="D389" s="13"/>
    </row>
    <row r="390" spans="1:4">
      <c r="A390" s="13"/>
      <c r="B390" s="13"/>
      <c r="C390" s="13"/>
      <c r="D390" s="13"/>
    </row>
    <row r="391" spans="1:4">
      <c r="A391" s="13"/>
      <c r="B391" s="13"/>
      <c r="C391" s="13"/>
      <c r="D391" s="13"/>
    </row>
    <row r="392" spans="1:4">
      <c r="A392" s="13"/>
      <c r="B392" s="13"/>
      <c r="C392" s="13"/>
      <c r="D392" s="13"/>
    </row>
    <row r="393" spans="1:4">
      <c r="A393" s="13"/>
      <c r="B393" s="13"/>
      <c r="C393" s="13"/>
      <c r="D393" s="13"/>
    </row>
    <row r="394" spans="1:4">
      <c r="A394" s="13"/>
      <c r="B394" s="13"/>
      <c r="C394" s="13"/>
      <c r="D394" s="13"/>
    </row>
    <row r="395" spans="1:4">
      <c r="A395" s="13"/>
      <c r="B395" s="13"/>
      <c r="C395" s="13"/>
      <c r="D395" s="13"/>
    </row>
    <row r="396" spans="1:4">
      <c r="A396" s="13"/>
      <c r="B396" s="13"/>
      <c r="C396" s="13"/>
      <c r="D396" s="13"/>
    </row>
    <row r="397" spans="1:4">
      <c r="A397" s="13"/>
      <c r="B397" s="13"/>
      <c r="C397" s="13"/>
      <c r="D397" s="13"/>
    </row>
    <row r="398" spans="1:4">
      <c r="A398" s="13"/>
      <c r="B398" s="13"/>
      <c r="C398" s="13"/>
      <c r="D398" s="13"/>
    </row>
    <row r="399" spans="1:4">
      <c r="A399" s="13"/>
      <c r="B399" s="13"/>
      <c r="C399" s="13"/>
      <c r="D399" s="13"/>
    </row>
    <row r="400" spans="1:4">
      <c r="A400" s="13"/>
      <c r="B400" s="13"/>
      <c r="C400" s="13"/>
      <c r="D400" s="13"/>
    </row>
    <row r="401" spans="1:4">
      <c r="A401" s="13"/>
      <c r="B401" s="13"/>
      <c r="C401" s="13"/>
      <c r="D401" s="13"/>
    </row>
    <row r="402" spans="1:4">
      <c r="A402" s="13"/>
      <c r="B402" s="13"/>
      <c r="C402" s="13"/>
      <c r="D402" s="13"/>
    </row>
    <row r="403" spans="1:4">
      <c r="A403" s="13"/>
      <c r="B403" s="13"/>
      <c r="C403" s="13"/>
      <c r="D403" s="13"/>
    </row>
    <row r="404" spans="1:4">
      <c r="A404" s="13"/>
      <c r="B404" s="13"/>
      <c r="C404" s="13"/>
      <c r="D404" s="13"/>
    </row>
    <row r="405" spans="1:4">
      <c r="A405" s="13"/>
      <c r="B405" s="13"/>
      <c r="C405" s="13"/>
      <c r="D405" s="13"/>
    </row>
    <row r="406" spans="1:4">
      <c r="A406" s="13"/>
      <c r="B406" s="13"/>
      <c r="C406" s="13"/>
      <c r="D406" s="13"/>
    </row>
    <row r="407" spans="1:4">
      <c r="A407" s="13"/>
      <c r="B407" s="13"/>
      <c r="C407" s="13"/>
      <c r="D407" s="13"/>
    </row>
    <row r="408" spans="1:4">
      <c r="A408" s="13"/>
      <c r="B408" s="13"/>
      <c r="C408" s="13"/>
      <c r="D408" s="13"/>
    </row>
    <row r="409" spans="1:4">
      <c r="A409" s="13"/>
      <c r="B409" s="13"/>
      <c r="C409" s="13"/>
      <c r="D409" s="13"/>
    </row>
    <row r="410" spans="1:4">
      <c r="A410" s="13"/>
      <c r="B410" s="13"/>
      <c r="C410" s="13"/>
      <c r="D410" s="13"/>
    </row>
    <row r="411" spans="1:4">
      <c r="A411" s="13"/>
      <c r="B411" s="13"/>
      <c r="C411" s="13"/>
      <c r="D411" s="13"/>
    </row>
    <row r="412" spans="1:4">
      <c r="A412" s="13"/>
      <c r="B412" s="13"/>
      <c r="C412" s="13"/>
      <c r="D412" s="13"/>
    </row>
    <row r="413" spans="1:4">
      <c r="A413" s="13"/>
      <c r="B413" s="13"/>
      <c r="C413" s="13"/>
      <c r="D413" s="13"/>
    </row>
    <row r="414" spans="1:4">
      <c r="A414" s="13"/>
      <c r="B414" s="13"/>
      <c r="C414" s="13"/>
      <c r="D414" s="13"/>
    </row>
    <row r="415" spans="1:4">
      <c r="A415" s="13"/>
      <c r="B415" s="13"/>
      <c r="C415" s="13"/>
      <c r="D415" s="13"/>
    </row>
    <row r="416" spans="1:4">
      <c r="A416" s="13"/>
      <c r="B416" s="13"/>
      <c r="C416" s="13"/>
      <c r="D416" s="13"/>
    </row>
    <row r="417" spans="1:4">
      <c r="A417" s="13"/>
      <c r="B417" s="13"/>
      <c r="C417" s="13"/>
      <c r="D417" s="13"/>
    </row>
    <row r="418" spans="1:4">
      <c r="A418" s="13"/>
      <c r="B418" s="13"/>
      <c r="C418" s="13"/>
      <c r="D418" s="13"/>
    </row>
    <row r="419" spans="1:4">
      <c r="A419" s="13"/>
      <c r="B419" s="13"/>
      <c r="C419" s="13"/>
      <c r="D419" s="13"/>
    </row>
    <row r="420" spans="1:4">
      <c r="A420" s="13"/>
      <c r="B420" s="13"/>
      <c r="C420" s="13"/>
      <c r="D420" s="13"/>
    </row>
    <row r="421" spans="1:4">
      <c r="A421" s="13"/>
      <c r="B421" s="13"/>
      <c r="C421" s="13"/>
      <c r="D421" s="13"/>
    </row>
    <row r="422" spans="1:4">
      <c r="A422" s="13"/>
      <c r="B422" s="13"/>
      <c r="C422" s="13"/>
      <c r="D422" s="13"/>
    </row>
    <row r="423" spans="1:4">
      <c r="A423" s="13"/>
      <c r="B423" s="13"/>
      <c r="C423" s="13"/>
      <c r="D423" s="13"/>
    </row>
    <row r="424" spans="1:4">
      <c r="A424" s="13"/>
      <c r="B424" s="13"/>
      <c r="C424" s="13"/>
      <c r="D424" s="13"/>
    </row>
    <row r="425" spans="1:4">
      <c r="A425" s="13"/>
      <c r="B425" s="13"/>
      <c r="C425" s="13"/>
      <c r="D425" s="13"/>
    </row>
    <row r="426" spans="1:4">
      <c r="A426" s="13"/>
      <c r="B426" s="13"/>
      <c r="C426" s="13"/>
      <c r="D426" s="13"/>
    </row>
    <row r="427" spans="1:4">
      <c r="A427" s="13"/>
      <c r="B427" s="13"/>
      <c r="C427" s="13"/>
      <c r="D427" s="13"/>
    </row>
    <row r="428" spans="1:4">
      <c r="A428" s="13"/>
      <c r="B428" s="13"/>
      <c r="C428" s="13"/>
      <c r="D428" s="13"/>
    </row>
    <row r="429" spans="1:4">
      <c r="A429" s="13"/>
      <c r="B429" s="13"/>
      <c r="C429" s="13"/>
      <c r="D429" s="13"/>
    </row>
    <row r="430" spans="1:4">
      <c r="A430" s="13"/>
      <c r="B430" s="13"/>
      <c r="C430" s="13"/>
      <c r="D430" s="13"/>
    </row>
    <row r="431" spans="1:4">
      <c r="A431" s="13"/>
      <c r="B431" s="13"/>
      <c r="C431" s="13"/>
      <c r="D431" s="13"/>
    </row>
    <row r="432" spans="1:4">
      <c r="A432" s="13"/>
      <c r="B432" s="13"/>
      <c r="C432" s="13"/>
      <c r="D432" s="13"/>
    </row>
    <row r="433" spans="1:4">
      <c r="A433" s="13"/>
      <c r="B433" s="13"/>
      <c r="C433" s="13"/>
      <c r="D433" s="13"/>
    </row>
    <row r="434" spans="1:4">
      <c r="A434" s="13"/>
      <c r="B434" s="13"/>
      <c r="C434" s="13"/>
      <c r="D434" s="13"/>
    </row>
    <row r="435" spans="1:4">
      <c r="A435" s="13"/>
      <c r="B435" s="13"/>
      <c r="C435" s="13"/>
      <c r="D435" s="13"/>
    </row>
    <row r="436" spans="1:4">
      <c r="A436" s="13"/>
      <c r="B436" s="13"/>
      <c r="C436" s="13"/>
      <c r="D436" s="13"/>
    </row>
    <row r="437" spans="1:4">
      <c r="A437" s="13"/>
      <c r="B437" s="13"/>
      <c r="C437" s="13"/>
      <c r="D437" s="13"/>
    </row>
    <row r="438" spans="1:4">
      <c r="A438" s="13"/>
      <c r="B438" s="13"/>
      <c r="C438" s="13"/>
      <c r="D438" s="13"/>
    </row>
    <row r="439" spans="1:4">
      <c r="A439" s="13"/>
      <c r="B439" s="13"/>
      <c r="C439" s="13"/>
      <c r="D439" s="13"/>
    </row>
    <row r="440" spans="1:4">
      <c r="A440" s="13"/>
      <c r="B440" s="13"/>
      <c r="C440" s="13"/>
      <c r="D440" s="13"/>
    </row>
    <row r="441" spans="1:4">
      <c r="A441" s="13"/>
      <c r="B441" s="13"/>
      <c r="C441" s="13"/>
      <c r="D441" s="13"/>
    </row>
    <row r="442" spans="1:4">
      <c r="A442" s="13"/>
      <c r="B442" s="13"/>
      <c r="C442" s="13"/>
      <c r="D442" s="13"/>
    </row>
    <row r="443" spans="1:4">
      <c r="A443" s="13"/>
      <c r="B443" s="13"/>
      <c r="C443" s="13"/>
      <c r="D443" s="13"/>
    </row>
    <row r="444" spans="1:4">
      <c r="A444" s="13"/>
      <c r="B444" s="13"/>
      <c r="C444" s="13"/>
      <c r="D444" s="13"/>
    </row>
    <row r="445" spans="1:4">
      <c r="A445" s="13"/>
      <c r="B445" s="13"/>
      <c r="C445" s="13"/>
      <c r="D445" s="13"/>
    </row>
    <row r="446" spans="1:4">
      <c r="A446" s="13"/>
      <c r="B446" s="13"/>
      <c r="C446" s="13"/>
      <c r="D446" s="13"/>
    </row>
    <row r="447" spans="1:4">
      <c r="A447" s="13"/>
      <c r="B447" s="13"/>
      <c r="C447" s="13"/>
      <c r="D447" s="13"/>
    </row>
    <row r="448" spans="1:4">
      <c r="A448" s="13"/>
      <c r="B448" s="13"/>
      <c r="C448" s="13"/>
      <c r="D448" s="13"/>
    </row>
    <row r="449" spans="1:4">
      <c r="A449" s="13"/>
      <c r="B449" s="13"/>
      <c r="C449" s="13"/>
      <c r="D449" s="13"/>
    </row>
    <row r="450" spans="1:4">
      <c r="A450" s="13"/>
      <c r="B450" s="13"/>
      <c r="C450" s="13"/>
      <c r="D450" s="13"/>
    </row>
    <row r="451" spans="1:4">
      <c r="A451" s="13"/>
      <c r="B451" s="13"/>
      <c r="C451" s="13"/>
      <c r="D451" s="13"/>
    </row>
    <row r="452" spans="1:4">
      <c r="A452" s="13"/>
      <c r="B452" s="13"/>
      <c r="C452" s="13"/>
      <c r="D452" s="13"/>
    </row>
    <row r="453" spans="1:4">
      <c r="A453" s="13"/>
      <c r="B453" s="13"/>
      <c r="C453" s="13"/>
      <c r="D453" s="13"/>
    </row>
    <row r="454" spans="1:4">
      <c r="A454" s="13"/>
      <c r="B454" s="13"/>
      <c r="C454" s="13"/>
      <c r="D454" s="13"/>
    </row>
    <row r="455" spans="1:4">
      <c r="A455" s="13"/>
      <c r="B455" s="13"/>
      <c r="C455" s="13"/>
      <c r="D455" s="13"/>
    </row>
    <row r="456" spans="1:4">
      <c r="A456" s="13"/>
      <c r="B456" s="13"/>
      <c r="C456" s="13"/>
      <c r="D456" s="13"/>
    </row>
    <row r="457" spans="1:4">
      <c r="A457" s="13"/>
      <c r="B457" s="13"/>
      <c r="C457" s="13"/>
      <c r="D457" s="13"/>
    </row>
    <row r="458" spans="1:4">
      <c r="A458" s="13"/>
      <c r="B458" s="13"/>
      <c r="C458" s="13"/>
      <c r="D458" s="13"/>
    </row>
    <row r="459" spans="1:4">
      <c r="A459" s="13"/>
      <c r="B459" s="13"/>
      <c r="C459" s="13"/>
      <c r="D459" s="13"/>
    </row>
    <row r="460" spans="1:4">
      <c r="A460" s="13"/>
      <c r="B460" s="13"/>
      <c r="C460" s="13"/>
      <c r="D460" s="13"/>
    </row>
    <row r="461" spans="1:4">
      <c r="A461" s="13"/>
      <c r="B461" s="13"/>
      <c r="C461" s="13"/>
      <c r="D461" s="13"/>
    </row>
    <row r="462" spans="1:4">
      <c r="A462" s="13"/>
      <c r="B462" s="13"/>
      <c r="C462" s="13"/>
      <c r="D462" s="13"/>
    </row>
    <row r="463" spans="1:4">
      <c r="A463" s="13"/>
      <c r="B463" s="13"/>
      <c r="C463" s="13"/>
      <c r="D463" s="13"/>
    </row>
    <row r="464" spans="1:4">
      <c r="A464" s="13"/>
      <c r="B464" s="13"/>
      <c r="C464" s="13"/>
      <c r="D464" s="13"/>
    </row>
    <row r="465" spans="1:4">
      <c r="A465" s="13"/>
      <c r="B465" s="13"/>
      <c r="C465" s="13"/>
      <c r="D465" s="13"/>
    </row>
    <row r="466" spans="1:4">
      <c r="A466" s="13"/>
      <c r="B466" s="13"/>
      <c r="C466" s="13"/>
      <c r="D466" s="13"/>
    </row>
    <row r="467" spans="1:4">
      <c r="A467" s="13"/>
      <c r="B467" s="13"/>
      <c r="C467" s="13"/>
      <c r="D467" s="13"/>
    </row>
    <row r="468" spans="1:4">
      <c r="A468" s="13"/>
      <c r="B468" s="13"/>
      <c r="C468" s="13"/>
      <c r="D468" s="13"/>
    </row>
    <row r="469" spans="1:4">
      <c r="A469" s="13"/>
      <c r="B469" s="13"/>
      <c r="C469" s="13"/>
      <c r="D469" s="13"/>
    </row>
    <row r="470" spans="1:4">
      <c r="A470" s="13"/>
      <c r="B470" s="13"/>
      <c r="C470" s="13"/>
      <c r="D470" s="13"/>
    </row>
    <row r="471" spans="1:4">
      <c r="A471" s="13"/>
      <c r="B471" s="13"/>
      <c r="C471" s="13"/>
      <c r="D471" s="13"/>
    </row>
    <row r="472" spans="1:4">
      <c r="A472" s="13"/>
      <c r="B472" s="13"/>
      <c r="C472" s="13"/>
      <c r="D472" s="13"/>
    </row>
    <row r="473" spans="1:4">
      <c r="A473" s="13"/>
      <c r="B473" s="13"/>
      <c r="C473" s="13"/>
      <c r="D473" s="13"/>
    </row>
    <row r="474" spans="1:4">
      <c r="A474" s="13"/>
      <c r="B474" s="13"/>
      <c r="C474" s="13"/>
      <c r="D474" s="13"/>
    </row>
    <row r="475" spans="1:4">
      <c r="A475" s="13"/>
      <c r="B475" s="13"/>
      <c r="C475" s="13"/>
      <c r="D475" s="13"/>
    </row>
    <row r="476" spans="1:4">
      <c r="A476" s="13"/>
      <c r="B476" s="13"/>
      <c r="C476" s="13"/>
      <c r="D476" s="13"/>
    </row>
    <row r="477" spans="1:4">
      <c r="A477" s="13"/>
      <c r="B477" s="13"/>
      <c r="C477" s="13"/>
      <c r="D477" s="13"/>
    </row>
    <row r="478" spans="1:4">
      <c r="A478" s="13"/>
      <c r="B478" s="13"/>
      <c r="C478" s="13"/>
      <c r="D478" s="13"/>
    </row>
    <row r="479" spans="1:4">
      <c r="A479" s="13"/>
      <c r="B479" s="13"/>
      <c r="C479" s="13"/>
      <c r="D479" s="13"/>
    </row>
    <row r="480" spans="1:4">
      <c r="A480" s="13"/>
      <c r="B480" s="13"/>
      <c r="C480" s="13"/>
      <c r="D480" s="13"/>
    </row>
    <row r="481" spans="1:4">
      <c r="A481" s="13"/>
      <c r="B481" s="13"/>
      <c r="C481" s="13"/>
      <c r="D481" s="13"/>
    </row>
    <row r="482" spans="1:4">
      <c r="A482" s="13"/>
      <c r="B482" s="13"/>
      <c r="C482" s="13"/>
      <c r="D482" s="13"/>
    </row>
    <row r="483" spans="1:4">
      <c r="A483" s="13"/>
      <c r="B483" s="13"/>
      <c r="C483" s="13"/>
      <c r="D483" s="13"/>
    </row>
    <row r="484" spans="1:4">
      <c r="A484" s="13"/>
      <c r="B484" s="13"/>
      <c r="C484" s="13"/>
      <c r="D484" s="13"/>
    </row>
    <row r="485" spans="1:4">
      <c r="A485" s="13"/>
      <c r="B485" s="13"/>
      <c r="C485" s="13"/>
      <c r="D485" s="13"/>
    </row>
    <row r="486" spans="1:4">
      <c r="A486" s="13"/>
      <c r="B486" s="13"/>
      <c r="C486" s="13"/>
      <c r="D486" s="13"/>
    </row>
    <row r="487" spans="1:4">
      <c r="A487" s="13"/>
      <c r="B487" s="13"/>
      <c r="C487" s="13"/>
      <c r="D487" s="13"/>
    </row>
    <row r="488" spans="1:4">
      <c r="A488" s="13"/>
      <c r="B488" s="13"/>
      <c r="C488" s="13"/>
      <c r="D488" s="13"/>
    </row>
    <row r="489" spans="1:4">
      <c r="A489" s="13"/>
      <c r="B489" s="13"/>
      <c r="C489" s="13"/>
      <c r="D489" s="13"/>
    </row>
    <row r="490" spans="1:4">
      <c r="A490" s="13"/>
      <c r="B490" s="13"/>
      <c r="C490" s="13"/>
      <c r="D490" s="13"/>
    </row>
    <row r="491" spans="1:4">
      <c r="A491" s="13"/>
      <c r="B491" s="13"/>
      <c r="C491" s="13"/>
      <c r="D491" s="13"/>
    </row>
    <row r="492" spans="1:4">
      <c r="A492" s="13"/>
      <c r="B492" s="13"/>
      <c r="C492" s="13"/>
      <c r="D492" s="13"/>
    </row>
    <row r="493" spans="1:4">
      <c r="A493" s="13"/>
      <c r="B493" s="13"/>
      <c r="C493" s="13"/>
      <c r="D493" s="13"/>
    </row>
    <row r="494" spans="1:4">
      <c r="A494" s="13"/>
      <c r="B494" s="13"/>
      <c r="C494" s="13"/>
      <c r="D494" s="13"/>
    </row>
    <row r="495" spans="1:4">
      <c r="A495" s="13"/>
      <c r="B495" s="13"/>
      <c r="C495" s="13"/>
      <c r="D495" s="13"/>
    </row>
    <row r="496" spans="1:4">
      <c r="A496" s="13"/>
      <c r="B496" s="13"/>
      <c r="C496" s="13"/>
      <c r="D496" s="13"/>
    </row>
    <row r="497" spans="1:4">
      <c r="A497" s="13"/>
      <c r="B497" s="13"/>
      <c r="C497" s="13"/>
      <c r="D497" s="13"/>
    </row>
    <row r="498" spans="1:4">
      <c r="A498" s="13"/>
      <c r="B498" s="13"/>
      <c r="C498" s="13"/>
      <c r="D498" s="13"/>
    </row>
    <row r="499" spans="1:4">
      <c r="A499" s="13"/>
      <c r="B499" s="13"/>
      <c r="C499" s="13"/>
      <c r="D499" s="13"/>
    </row>
    <row r="500" spans="1:4">
      <c r="A500" s="13"/>
      <c r="B500" s="13"/>
      <c r="C500" s="13"/>
      <c r="D500" s="13"/>
    </row>
    <row r="501" spans="1:4">
      <c r="A501" s="13"/>
      <c r="B501" s="13"/>
      <c r="C501" s="13"/>
      <c r="D501" s="13"/>
    </row>
    <row r="502" spans="1:4">
      <c r="A502" s="13"/>
      <c r="B502" s="13"/>
      <c r="C502" s="13"/>
      <c r="D502" s="13"/>
    </row>
    <row r="503" spans="1:4">
      <c r="A503" s="13"/>
      <c r="B503" s="13"/>
      <c r="C503" s="13"/>
      <c r="D503" s="13"/>
    </row>
    <row r="504" spans="1:4">
      <c r="A504" s="13"/>
      <c r="B504" s="13"/>
      <c r="C504" s="13"/>
      <c r="D504" s="13"/>
    </row>
    <row r="505" spans="1:4">
      <c r="A505" s="13"/>
      <c r="B505" s="13"/>
      <c r="C505" s="13"/>
      <c r="D505" s="13"/>
    </row>
    <row r="506" spans="1:4">
      <c r="A506" s="13"/>
      <c r="B506" s="13"/>
      <c r="C506" s="13"/>
      <c r="D506" s="13"/>
    </row>
    <row r="507" spans="1:4">
      <c r="A507" s="13"/>
      <c r="B507" s="13"/>
      <c r="C507" s="13"/>
      <c r="D507" s="13"/>
    </row>
    <row r="508" spans="1:4">
      <c r="A508" s="13"/>
      <c r="B508" s="13"/>
      <c r="C508" s="13"/>
      <c r="D508" s="13"/>
    </row>
    <row r="509" spans="1:4">
      <c r="A509" s="13"/>
      <c r="B509" s="13"/>
      <c r="C509" s="13"/>
      <c r="D509" s="13"/>
    </row>
    <row r="510" spans="1:4">
      <c r="A510" s="13"/>
      <c r="B510" s="13"/>
      <c r="C510" s="13"/>
      <c r="D510" s="13"/>
    </row>
    <row r="511" spans="1:4">
      <c r="A511" s="13"/>
      <c r="B511" s="13"/>
      <c r="C511" s="13"/>
      <c r="D511" s="13"/>
    </row>
    <row r="512" spans="1:4">
      <c r="A512" s="13"/>
      <c r="B512" s="13"/>
      <c r="C512" s="13"/>
      <c r="D512" s="13"/>
    </row>
    <row r="513" spans="1:4">
      <c r="A513" s="13"/>
      <c r="B513" s="13"/>
      <c r="C513" s="13"/>
      <c r="D513" s="13"/>
    </row>
    <row r="514" spans="1:4">
      <c r="A514" s="13"/>
      <c r="B514" s="13"/>
      <c r="C514" s="13"/>
      <c r="D514" s="13"/>
    </row>
    <row r="515" spans="1:4">
      <c r="A515" s="13"/>
      <c r="B515" s="13"/>
      <c r="C515" s="13"/>
      <c r="D515" s="13"/>
    </row>
    <row r="516" spans="1:4">
      <c r="A516" s="13"/>
      <c r="B516" s="13"/>
      <c r="C516" s="13"/>
      <c r="D516" s="13"/>
    </row>
    <row r="517" spans="1:4">
      <c r="A517" s="13"/>
      <c r="B517" s="13"/>
      <c r="C517" s="13"/>
      <c r="D517" s="13"/>
    </row>
    <row r="518" spans="1:4">
      <c r="A518" s="13"/>
      <c r="B518" s="13"/>
      <c r="C518" s="13"/>
      <c r="D518" s="13"/>
    </row>
    <row r="519" spans="1:4">
      <c r="A519" s="13"/>
      <c r="B519" s="13"/>
      <c r="C519" s="13"/>
      <c r="D519" s="13"/>
    </row>
    <row r="520" spans="1:4">
      <c r="A520" s="13"/>
      <c r="B520" s="13"/>
      <c r="C520" s="13"/>
      <c r="D520" s="13"/>
    </row>
    <row r="521" spans="1:4">
      <c r="A521" s="13"/>
      <c r="B521" s="13"/>
      <c r="C521" s="13"/>
      <c r="D521" s="13"/>
    </row>
    <row r="522" spans="1:4">
      <c r="A522" s="13"/>
      <c r="B522" s="13"/>
      <c r="C522" s="13"/>
      <c r="D522" s="13"/>
    </row>
    <row r="523" spans="1:4">
      <c r="A523" s="13"/>
      <c r="B523" s="13"/>
      <c r="C523" s="13"/>
      <c r="D523" s="13"/>
    </row>
    <row r="524" spans="1:4">
      <c r="A524" s="13"/>
      <c r="B524" s="13"/>
      <c r="C524" s="13"/>
      <c r="D524" s="13"/>
    </row>
    <row r="525" spans="1:4">
      <c r="A525" s="13"/>
      <c r="B525" s="13"/>
      <c r="C525" s="13"/>
      <c r="D525" s="13"/>
    </row>
    <row r="526" spans="1:4">
      <c r="A526" s="13"/>
      <c r="B526" s="13"/>
      <c r="C526" s="13"/>
      <c r="D526" s="13"/>
    </row>
    <row r="527" spans="1:4">
      <c r="A527" s="13"/>
      <c r="B527" s="13"/>
      <c r="C527" s="13"/>
      <c r="D527" s="13"/>
    </row>
    <row r="528" spans="1:4">
      <c r="A528" s="13"/>
      <c r="B528" s="13"/>
      <c r="C528" s="13"/>
      <c r="D528" s="13"/>
    </row>
    <row r="529" spans="1:4">
      <c r="A529" s="13"/>
      <c r="B529" s="13"/>
      <c r="C529" s="13"/>
      <c r="D529" s="13"/>
    </row>
    <row r="530" spans="1:4">
      <c r="A530" s="13"/>
      <c r="B530" s="13"/>
      <c r="C530" s="13"/>
      <c r="D530" s="13"/>
    </row>
    <row r="531" spans="1:4">
      <c r="A531" s="13"/>
      <c r="B531" s="13"/>
      <c r="C531" s="13"/>
      <c r="D531" s="13"/>
    </row>
    <row r="532" spans="1:4">
      <c r="A532" s="13"/>
      <c r="B532" s="13"/>
      <c r="C532" s="13"/>
      <c r="D532" s="13"/>
    </row>
    <row r="533" spans="1:4">
      <c r="A533" s="13"/>
      <c r="B533" s="13"/>
      <c r="C533" s="13"/>
      <c r="D533" s="13"/>
    </row>
    <row r="534" spans="1:4">
      <c r="A534" s="13"/>
      <c r="B534" s="13"/>
      <c r="C534" s="13"/>
      <c r="D534" s="13"/>
    </row>
    <row r="535" spans="1:4">
      <c r="A535" s="13"/>
      <c r="B535" s="13"/>
      <c r="C535" s="13"/>
      <c r="D535" s="13"/>
    </row>
    <row r="536" spans="1:4">
      <c r="A536" s="13"/>
      <c r="B536" s="13"/>
      <c r="C536" s="13"/>
      <c r="D536" s="13"/>
    </row>
    <row r="537" spans="1:4">
      <c r="A537" s="13"/>
      <c r="B537" s="13"/>
      <c r="C537" s="13"/>
      <c r="D537" s="13"/>
    </row>
    <row r="538" spans="1:4">
      <c r="A538" s="13"/>
      <c r="B538" s="13"/>
      <c r="C538" s="13"/>
      <c r="D538" s="13"/>
    </row>
    <row r="539" spans="1:4">
      <c r="A539" s="13"/>
      <c r="B539" s="13"/>
      <c r="C539" s="13"/>
      <c r="D539" s="13"/>
    </row>
    <row r="540" spans="1:4">
      <c r="A540" s="13"/>
      <c r="B540" s="13"/>
      <c r="C540" s="13"/>
      <c r="D540" s="13"/>
    </row>
    <row r="541" spans="1:4">
      <c r="A541" s="13"/>
      <c r="B541" s="13"/>
      <c r="C541" s="13"/>
      <c r="D541" s="13"/>
    </row>
    <row r="542" spans="1:4">
      <c r="A542" s="13"/>
      <c r="B542" s="13"/>
      <c r="C542" s="13"/>
      <c r="D542" s="13"/>
    </row>
    <row r="543" spans="1:4">
      <c r="A543" s="13"/>
      <c r="B543" s="13"/>
      <c r="C543" s="13"/>
      <c r="D543" s="13"/>
    </row>
    <row r="544" spans="1:4">
      <c r="A544" s="13"/>
      <c r="B544" s="13"/>
      <c r="C544" s="13"/>
      <c r="D544" s="13"/>
    </row>
    <row r="545" spans="1:4">
      <c r="A545" s="13"/>
      <c r="B545" s="13"/>
      <c r="C545" s="13"/>
      <c r="D545" s="13"/>
    </row>
    <row r="546" spans="1:4">
      <c r="A546" s="13"/>
      <c r="B546" s="13"/>
      <c r="C546" s="13"/>
      <c r="D546" s="13"/>
    </row>
    <row r="547" spans="1:4">
      <c r="A547" s="13"/>
      <c r="B547" s="13"/>
      <c r="C547" s="13"/>
      <c r="D547" s="13"/>
    </row>
    <row r="548" spans="1:4">
      <c r="A548" s="13"/>
      <c r="B548" s="13"/>
      <c r="C548" s="13"/>
      <c r="D548" s="13"/>
    </row>
    <row r="549" spans="1:4">
      <c r="A549" s="13"/>
      <c r="B549" s="13"/>
      <c r="C549" s="13"/>
      <c r="D549" s="13"/>
    </row>
    <row r="550" spans="1:4">
      <c r="A550" s="13"/>
      <c r="B550" s="13"/>
      <c r="C550" s="13"/>
      <c r="D550" s="13"/>
    </row>
    <row r="551" spans="1:4">
      <c r="A551" s="13"/>
      <c r="B551" s="13"/>
      <c r="C551" s="13"/>
      <c r="D551" s="13"/>
    </row>
    <row r="552" spans="1:4">
      <c r="A552" s="13"/>
      <c r="B552" s="13"/>
      <c r="C552" s="13"/>
      <c r="D552" s="13"/>
    </row>
    <row r="553" spans="1:4">
      <c r="A553" s="13"/>
      <c r="B553" s="13"/>
      <c r="C553" s="13"/>
      <c r="D553" s="13"/>
    </row>
    <row r="554" spans="1:4">
      <c r="A554" s="13"/>
      <c r="B554" s="13"/>
      <c r="C554" s="13"/>
      <c r="D554" s="13"/>
    </row>
    <row r="555" spans="1:4">
      <c r="A555" s="13"/>
      <c r="B555" s="13"/>
      <c r="C555" s="13"/>
      <c r="D555" s="13"/>
    </row>
    <row r="556" spans="1:4">
      <c r="A556" s="13"/>
      <c r="B556" s="13"/>
      <c r="C556" s="13"/>
      <c r="D556" s="13"/>
    </row>
    <row r="557" spans="1:4">
      <c r="A557" s="13"/>
      <c r="B557" s="13"/>
      <c r="C557" s="13"/>
      <c r="D557" s="13"/>
    </row>
    <row r="558" spans="1:4">
      <c r="A558" s="13"/>
      <c r="B558" s="13"/>
      <c r="C558" s="13"/>
      <c r="D558" s="13"/>
    </row>
    <row r="559" spans="1:4">
      <c r="A559" s="13"/>
      <c r="B559" s="13"/>
      <c r="C559" s="13"/>
      <c r="D559" s="13"/>
    </row>
    <row r="560" spans="1:4">
      <c r="A560" s="13"/>
      <c r="B560" s="13"/>
      <c r="C560" s="13"/>
      <c r="D560" s="13"/>
    </row>
    <row r="561" spans="1:4">
      <c r="A561" s="13"/>
      <c r="B561" s="13"/>
      <c r="C561" s="13"/>
      <c r="D561" s="13"/>
    </row>
    <row r="562" spans="1:4">
      <c r="A562" s="13"/>
      <c r="B562" s="13"/>
      <c r="C562" s="13"/>
      <c r="D562" s="13"/>
    </row>
    <row r="563" spans="1:4">
      <c r="A563" s="13"/>
      <c r="B563" s="13"/>
      <c r="C563" s="13"/>
      <c r="D563" s="13"/>
    </row>
    <row r="564" spans="1:4">
      <c r="A564" s="13"/>
      <c r="B564" s="13"/>
      <c r="C564" s="13"/>
      <c r="D564" s="13"/>
    </row>
    <row r="565" spans="1:4">
      <c r="A565" s="13"/>
      <c r="B565" s="13"/>
      <c r="C565" s="13"/>
      <c r="D565" s="13"/>
    </row>
    <row r="566" spans="1:4">
      <c r="A566" s="13"/>
      <c r="B566" s="13"/>
      <c r="C566" s="13"/>
      <c r="D566" s="13"/>
    </row>
    <row r="567" spans="1:4">
      <c r="A567" s="13"/>
      <c r="B567" s="13"/>
      <c r="C567" s="13"/>
      <c r="D567" s="13"/>
    </row>
    <row r="568" spans="1:4">
      <c r="A568" s="13"/>
      <c r="B568" s="13"/>
      <c r="C568" s="13"/>
      <c r="D568" s="13"/>
    </row>
    <row r="569" spans="1:4">
      <c r="A569" s="13"/>
      <c r="B569" s="13"/>
      <c r="C569" s="13"/>
      <c r="D569" s="13"/>
    </row>
    <row r="570" spans="1:4">
      <c r="A570" s="13"/>
      <c r="B570" s="13"/>
      <c r="C570" s="13"/>
      <c r="D570" s="13"/>
    </row>
    <row r="571" spans="1:4">
      <c r="A571" s="13"/>
      <c r="B571" s="13"/>
      <c r="C571" s="13"/>
      <c r="D571" s="13"/>
    </row>
    <row r="572" spans="1:4">
      <c r="A572" s="13"/>
      <c r="B572" s="13"/>
      <c r="C572" s="13"/>
      <c r="D572" s="13"/>
    </row>
    <row r="573" spans="1:4">
      <c r="A573" s="13"/>
      <c r="B573" s="13"/>
      <c r="C573" s="13"/>
      <c r="D573" s="13"/>
    </row>
    <row r="574" spans="1:4">
      <c r="A574" s="13"/>
      <c r="B574" s="13"/>
      <c r="C574" s="13"/>
      <c r="D574" s="13"/>
    </row>
    <row r="575" spans="1:4">
      <c r="A575" s="13"/>
      <c r="B575" s="13"/>
      <c r="C575" s="13"/>
      <c r="D575" s="13"/>
    </row>
    <row r="576" spans="1:4">
      <c r="A576" s="13"/>
      <c r="B576" s="13"/>
      <c r="C576" s="13"/>
      <c r="D576" s="13"/>
    </row>
    <row r="577" spans="1:4">
      <c r="A577" s="13"/>
      <c r="B577" s="13"/>
      <c r="C577" s="13"/>
      <c r="D577" s="13"/>
    </row>
    <row r="578" spans="1:4">
      <c r="A578" s="13"/>
      <c r="B578" s="13"/>
      <c r="C578" s="13"/>
      <c r="D578" s="13"/>
    </row>
    <row r="579" spans="1:4">
      <c r="A579" s="13"/>
      <c r="B579" s="13"/>
      <c r="C579" s="13"/>
      <c r="D579" s="13"/>
    </row>
    <row r="580" spans="1:4">
      <c r="A580" s="13"/>
      <c r="B580" s="13"/>
      <c r="C580" s="13"/>
      <c r="D580" s="13"/>
    </row>
    <row r="581" spans="1:4">
      <c r="A581" s="13"/>
      <c r="B581" s="13"/>
      <c r="C581" s="13"/>
      <c r="D581" s="13"/>
    </row>
    <row r="582" spans="1:4">
      <c r="A582" s="13"/>
      <c r="B582" s="13"/>
      <c r="C582" s="13"/>
      <c r="D582" s="13"/>
    </row>
    <row r="583" spans="1:4">
      <c r="A583" s="13"/>
      <c r="B583" s="13"/>
      <c r="C583" s="13"/>
      <c r="D583" s="13"/>
    </row>
    <row r="584" spans="1:4">
      <c r="A584" s="13"/>
      <c r="B584" s="13"/>
      <c r="C584" s="13"/>
      <c r="D584" s="13"/>
    </row>
    <row r="585" spans="1:4">
      <c r="A585" s="13"/>
      <c r="B585" s="13"/>
      <c r="C585" s="13"/>
      <c r="D585" s="13"/>
    </row>
    <row r="586" spans="1:4">
      <c r="A586" s="13"/>
      <c r="B586" s="13"/>
      <c r="C586" s="13"/>
      <c r="D586" s="13"/>
    </row>
    <row r="587" spans="1:4">
      <c r="A587" s="13"/>
      <c r="B587" s="13"/>
      <c r="C587" s="13"/>
      <c r="D587" s="13"/>
    </row>
    <row r="588" spans="1:4">
      <c r="A588" s="13"/>
      <c r="B588" s="13"/>
      <c r="C588" s="13"/>
      <c r="D588" s="13"/>
    </row>
    <row r="589" spans="1:4">
      <c r="A589" s="13"/>
      <c r="B589" s="13"/>
      <c r="C589" s="13"/>
      <c r="D589" s="13"/>
    </row>
    <row r="590" spans="1:4">
      <c r="A590" s="13"/>
      <c r="B590" s="13"/>
      <c r="C590" s="13"/>
      <c r="D590" s="13"/>
    </row>
    <row r="591" spans="1:4">
      <c r="A591" s="13"/>
      <c r="B591" s="13"/>
      <c r="C591" s="13"/>
      <c r="D591" s="13"/>
    </row>
    <row r="592" spans="1:4">
      <c r="A592" s="13"/>
      <c r="B592" s="13"/>
      <c r="C592" s="13"/>
      <c r="D592" s="13"/>
    </row>
    <row r="593" spans="1:4">
      <c r="A593" s="13"/>
      <c r="B593" s="13"/>
      <c r="C593" s="13"/>
      <c r="D593" s="13"/>
    </row>
    <row r="594" spans="1:4">
      <c r="A594" s="13"/>
      <c r="B594" s="13"/>
      <c r="C594" s="13"/>
      <c r="D594" s="13"/>
    </row>
    <row r="595" spans="1:4">
      <c r="A595" s="13"/>
      <c r="B595" s="13"/>
      <c r="C595" s="13"/>
      <c r="D595" s="13"/>
    </row>
    <row r="596" spans="1:4">
      <c r="A596" s="13"/>
      <c r="B596" s="13"/>
      <c r="C596" s="13"/>
      <c r="D596" s="13"/>
    </row>
    <row r="597" spans="1:4">
      <c r="A597" s="13"/>
      <c r="B597" s="13"/>
      <c r="C597" s="13"/>
      <c r="D597" s="13"/>
    </row>
    <row r="598" spans="1:4">
      <c r="A598" s="13"/>
      <c r="B598" s="13"/>
      <c r="C598" s="13"/>
      <c r="D598" s="13"/>
    </row>
    <row r="599" spans="1:4">
      <c r="A599" s="13"/>
      <c r="B599" s="13"/>
      <c r="C599" s="13"/>
      <c r="D599" s="13"/>
    </row>
    <row r="600" spans="1:4">
      <c r="A600" s="13"/>
      <c r="B600" s="13"/>
      <c r="C600" s="13"/>
      <c r="D600" s="13"/>
    </row>
    <row r="601" spans="1:4">
      <c r="A601" s="13"/>
      <c r="B601" s="13"/>
      <c r="C601" s="13"/>
      <c r="D601" s="13"/>
    </row>
    <row r="602" spans="1:4">
      <c r="A602" s="13"/>
      <c r="B602" s="13"/>
      <c r="C602" s="13"/>
      <c r="D602" s="13"/>
    </row>
    <row r="603" spans="1:4">
      <c r="A603" s="13"/>
      <c r="B603" s="13"/>
      <c r="C603" s="13"/>
      <c r="D603" s="13"/>
    </row>
    <row r="604" spans="1:4">
      <c r="A604" s="13"/>
      <c r="B604" s="13"/>
      <c r="C604" s="13"/>
      <c r="D604" s="13"/>
    </row>
    <row r="605" spans="1:4">
      <c r="A605" s="13"/>
      <c r="B605" s="13"/>
      <c r="C605" s="13"/>
      <c r="D605" s="13"/>
    </row>
    <row r="606" spans="1:4">
      <c r="A606" s="13"/>
      <c r="B606" s="13"/>
      <c r="C606" s="13"/>
      <c r="D606" s="13"/>
    </row>
    <row r="607" spans="1:4">
      <c r="A607" s="13"/>
      <c r="B607" s="13"/>
      <c r="C607" s="13"/>
      <c r="D607" s="13"/>
    </row>
    <row r="608" spans="1:4">
      <c r="A608" s="13"/>
      <c r="B608" s="13"/>
      <c r="C608" s="13"/>
      <c r="D608" s="13"/>
    </row>
    <row r="609" spans="1:4">
      <c r="A609" s="13"/>
      <c r="B609" s="13"/>
      <c r="C609" s="13"/>
      <c r="D609" s="13"/>
    </row>
    <row r="610" spans="1:4">
      <c r="A610" s="13"/>
      <c r="B610" s="13"/>
      <c r="C610" s="13"/>
      <c r="D610" s="13"/>
    </row>
    <row r="611" spans="1:4">
      <c r="A611" s="13"/>
      <c r="B611" s="13"/>
      <c r="C611" s="13"/>
      <c r="D611" s="13"/>
    </row>
    <row r="612" spans="1:4">
      <c r="A612" s="13"/>
      <c r="B612" s="13"/>
      <c r="C612" s="13"/>
      <c r="D612" s="13"/>
    </row>
    <row r="613" spans="1:4">
      <c r="A613" s="13"/>
      <c r="B613" s="13"/>
      <c r="C613" s="13"/>
      <c r="D613" s="13"/>
    </row>
    <row r="614" spans="1:4">
      <c r="A614" s="13"/>
      <c r="B614" s="13"/>
      <c r="C614" s="13"/>
      <c r="D614" s="13"/>
    </row>
    <row r="615" spans="1:4">
      <c r="A615" s="13"/>
      <c r="B615" s="13"/>
      <c r="C615" s="13"/>
      <c r="D615" s="13"/>
    </row>
    <row r="616" spans="1:4">
      <c r="A616" s="13"/>
      <c r="B616" s="13"/>
      <c r="C616" s="13"/>
      <c r="D616" s="13"/>
    </row>
    <row r="617" spans="1:4">
      <c r="A617" s="13"/>
      <c r="B617" s="13"/>
      <c r="C617" s="13"/>
      <c r="D617" s="13"/>
    </row>
    <row r="618" spans="1:4">
      <c r="A618" s="13"/>
      <c r="B618" s="13"/>
      <c r="C618" s="13"/>
      <c r="D618" s="13"/>
    </row>
    <row r="619" spans="1:4">
      <c r="A619" s="13"/>
      <c r="B619" s="13"/>
      <c r="C619" s="13"/>
      <c r="D619" s="13"/>
    </row>
    <row r="620" spans="1:4">
      <c r="A620" s="13"/>
      <c r="B620" s="13"/>
      <c r="C620" s="13"/>
      <c r="D620" s="13"/>
    </row>
    <row r="621" spans="1:4">
      <c r="A621" s="13"/>
      <c r="B621" s="13"/>
      <c r="C621" s="13"/>
      <c r="D621" s="13"/>
    </row>
    <row r="622" spans="1:4">
      <c r="A622" s="13"/>
      <c r="B622" s="13"/>
      <c r="C622" s="13"/>
      <c r="D622" s="13"/>
    </row>
    <row r="623" spans="1:4">
      <c r="A623" s="13"/>
      <c r="B623" s="13"/>
      <c r="C623" s="13"/>
      <c r="D623" s="13"/>
    </row>
    <row r="624" spans="1:4">
      <c r="A624" s="13"/>
      <c r="B624" s="13"/>
      <c r="C624" s="13"/>
      <c r="D624" s="13"/>
    </row>
    <row r="625" spans="1:4">
      <c r="A625" s="13"/>
      <c r="B625" s="13"/>
      <c r="C625" s="13"/>
      <c r="D625" s="13"/>
    </row>
    <row r="626" spans="1:4">
      <c r="A626" s="13"/>
      <c r="B626" s="13"/>
      <c r="C626" s="13"/>
      <c r="D626" s="13"/>
    </row>
    <row r="627" spans="1:4">
      <c r="A627" s="13"/>
      <c r="B627" s="13"/>
      <c r="C627" s="13"/>
      <c r="D627" s="13"/>
    </row>
    <row r="628" spans="1:4">
      <c r="A628" s="13"/>
      <c r="B628" s="13"/>
      <c r="C628" s="13"/>
      <c r="D628" s="13"/>
    </row>
    <row r="629" spans="1:4">
      <c r="A629" s="13"/>
      <c r="B629" s="13"/>
      <c r="C629" s="13"/>
      <c r="D629" s="13"/>
    </row>
    <row r="630" spans="1:4">
      <c r="A630" s="13"/>
      <c r="B630" s="13"/>
      <c r="C630" s="13"/>
      <c r="D630" s="13"/>
    </row>
    <row r="631" spans="1:4">
      <c r="A631" s="13"/>
      <c r="B631" s="13"/>
      <c r="C631" s="13"/>
      <c r="D631" s="13"/>
    </row>
    <row r="632" spans="1:4">
      <c r="A632" s="13"/>
      <c r="B632" s="13"/>
      <c r="C632" s="13"/>
      <c r="D632" s="13"/>
    </row>
    <row r="633" spans="1:4">
      <c r="A633" s="13"/>
      <c r="B633" s="13"/>
      <c r="C633" s="13"/>
      <c r="D633" s="13"/>
    </row>
    <row r="634" spans="1:4">
      <c r="A634" s="13"/>
      <c r="B634" s="13"/>
      <c r="C634" s="13"/>
      <c r="D634" s="13"/>
    </row>
    <row r="635" spans="1:4">
      <c r="A635" s="13"/>
      <c r="B635" s="13"/>
      <c r="C635" s="13"/>
      <c r="D635" s="13"/>
    </row>
    <row r="636" spans="1:4">
      <c r="A636" s="13"/>
      <c r="B636" s="13"/>
      <c r="C636" s="13"/>
      <c r="D636" s="13"/>
    </row>
    <row r="637" spans="1:4">
      <c r="A637" s="13"/>
      <c r="B637" s="13"/>
      <c r="C637" s="13"/>
      <c r="D637" s="13"/>
    </row>
    <row r="638" spans="1:4">
      <c r="A638" s="13"/>
      <c r="B638" s="13"/>
      <c r="C638" s="13"/>
      <c r="D638" s="13"/>
    </row>
    <row r="639" spans="1:4">
      <c r="A639" s="13"/>
      <c r="B639" s="13"/>
      <c r="C639" s="13"/>
      <c r="D639" s="13"/>
    </row>
    <row r="640" spans="1:4">
      <c r="A640" s="13"/>
      <c r="B640" s="13"/>
      <c r="C640" s="13"/>
      <c r="D640" s="13"/>
    </row>
    <row r="641" spans="1:4">
      <c r="A641" s="13"/>
      <c r="B641" s="13"/>
      <c r="C641" s="13"/>
      <c r="D641" s="13"/>
    </row>
    <row r="642" spans="1:4">
      <c r="A642" s="13"/>
      <c r="B642" s="13"/>
      <c r="C642" s="13"/>
      <c r="D642" s="13"/>
    </row>
    <row r="643" spans="1:4">
      <c r="A643" s="13"/>
      <c r="B643" s="13"/>
      <c r="C643" s="13"/>
      <c r="D643" s="13"/>
    </row>
    <row r="644" spans="1:4">
      <c r="A644" s="13"/>
      <c r="B644" s="13"/>
      <c r="C644" s="13"/>
      <c r="D644" s="13"/>
    </row>
    <row r="645" spans="1:4">
      <c r="A645" s="13"/>
      <c r="B645" s="13"/>
      <c r="C645" s="13"/>
      <c r="D645" s="13"/>
    </row>
    <row r="646" spans="1:4">
      <c r="A646" s="13"/>
      <c r="B646" s="13"/>
      <c r="C646" s="13"/>
      <c r="D646" s="13"/>
    </row>
    <row r="647" spans="1:4">
      <c r="A647" s="13"/>
      <c r="B647" s="13"/>
      <c r="C647" s="13"/>
      <c r="D647" s="13"/>
    </row>
    <row r="648" spans="1:4">
      <c r="A648" s="13"/>
      <c r="B648" s="13"/>
      <c r="C648" s="13"/>
      <c r="D648" s="13"/>
    </row>
    <row r="649" spans="1:4">
      <c r="A649" s="13"/>
      <c r="B649" s="13"/>
      <c r="C649" s="13"/>
      <c r="D649" s="13"/>
    </row>
    <row r="650" spans="1:4">
      <c r="A650" s="13"/>
      <c r="B650" s="13"/>
      <c r="C650" s="13"/>
      <c r="D650" s="13"/>
    </row>
    <row r="651" spans="1:4">
      <c r="A651" s="13"/>
      <c r="B651" s="13"/>
      <c r="C651" s="13"/>
      <c r="D651" s="13"/>
    </row>
    <row r="652" spans="1:4">
      <c r="A652" s="13"/>
      <c r="B652" s="13"/>
      <c r="C652" s="13"/>
      <c r="D652" s="13"/>
    </row>
    <row r="653" spans="1:4">
      <c r="A653" s="13"/>
      <c r="B653" s="13"/>
      <c r="C653" s="13"/>
      <c r="D653" s="13"/>
    </row>
    <row r="654" spans="1:4">
      <c r="A654" s="13"/>
      <c r="B654" s="13"/>
      <c r="C654" s="13"/>
      <c r="D654" s="13"/>
    </row>
    <row r="655" spans="1:4">
      <c r="A655" s="13"/>
      <c r="B655" s="13"/>
      <c r="C655" s="13"/>
      <c r="D655" s="13"/>
    </row>
    <row r="656" spans="1:4">
      <c r="A656" s="13"/>
      <c r="B656" s="13"/>
      <c r="C656" s="13"/>
      <c r="D656" s="13"/>
    </row>
    <row r="657" spans="1:4">
      <c r="A657" s="13"/>
      <c r="B657" s="13"/>
      <c r="C657" s="13"/>
      <c r="D657" s="13"/>
    </row>
    <row r="658" spans="1:4">
      <c r="A658" s="13"/>
      <c r="B658" s="13"/>
      <c r="C658" s="13"/>
      <c r="D658" s="13"/>
    </row>
    <row r="659" spans="1:4">
      <c r="A659" s="13"/>
      <c r="B659" s="13"/>
      <c r="C659" s="13"/>
      <c r="D659" s="13"/>
    </row>
    <row r="660" spans="1:4">
      <c r="A660" s="13"/>
      <c r="B660" s="13"/>
      <c r="C660" s="13"/>
      <c r="D660" s="13"/>
    </row>
    <row r="661" spans="1:4">
      <c r="A661" s="13"/>
      <c r="B661" s="13"/>
      <c r="C661" s="13"/>
      <c r="D661" s="13"/>
    </row>
    <row r="662" spans="1:4">
      <c r="A662" s="13"/>
      <c r="B662" s="13"/>
      <c r="C662" s="13"/>
      <c r="D662" s="13"/>
    </row>
    <row r="663" spans="1:4">
      <c r="A663" s="13"/>
      <c r="B663" s="13"/>
      <c r="C663" s="13"/>
      <c r="D663" s="13"/>
    </row>
    <row r="664" spans="1:4">
      <c r="A664" s="13"/>
      <c r="B664" s="13"/>
      <c r="C664" s="13"/>
      <c r="D664" s="13"/>
    </row>
    <row r="665" spans="1:4">
      <c r="A665" s="13"/>
      <c r="B665" s="13"/>
      <c r="C665" s="13"/>
      <c r="D665" s="13"/>
    </row>
    <row r="666" spans="1:4">
      <c r="A666" s="13"/>
      <c r="B666" s="13"/>
      <c r="C666" s="13"/>
      <c r="D666" s="13"/>
    </row>
    <row r="667" spans="1:4">
      <c r="A667" s="13"/>
      <c r="B667" s="13"/>
      <c r="C667" s="13"/>
      <c r="D667" s="13"/>
    </row>
    <row r="668" spans="1:4">
      <c r="A668" s="13"/>
      <c r="B668" s="13"/>
      <c r="C668" s="13"/>
      <c r="D668" s="13"/>
    </row>
    <row r="669" spans="1:4">
      <c r="A669" s="13"/>
      <c r="B669" s="13"/>
      <c r="C669" s="13"/>
      <c r="D669" s="13"/>
    </row>
    <row r="670" spans="1:4">
      <c r="A670" s="13"/>
      <c r="B670" s="13"/>
      <c r="C670" s="13"/>
      <c r="D670" s="13"/>
    </row>
    <row r="671" spans="1:4">
      <c r="A671" s="13"/>
      <c r="B671" s="13"/>
      <c r="C671" s="13"/>
      <c r="D671" s="13"/>
    </row>
    <row r="672" spans="1:4">
      <c r="A672" s="13"/>
      <c r="B672" s="13"/>
      <c r="C672" s="13"/>
      <c r="D672" s="13"/>
    </row>
    <row r="673" spans="1:4">
      <c r="A673" s="13"/>
      <c r="B673" s="13"/>
      <c r="C673" s="13"/>
      <c r="D673" s="13"/>
    </row>
    <row r="674" spans="1:4">
      <c r="A674" s="13"/>
      <c r="B674" s="13"/>
      <c r="C674" s="13"/>
      <c r="D674" s="13"/>
    </row>
    <row r="675" spans="1:4">
      <c r="A675" s="13"/>
      <c r="B675" s="13"/>
      <c r="C675" s="13"/>
      <c r="D675" s="13"/>
    </row>
    <row r="676" spans="1:4">
      <c r="A676" s="13"/>
      <c r="B676" s="13"/>
      <c r="C676" s="13"/>
      <c r="D676" s="13"/>
    </row>
    <row r="677" spans="1:4">
      <c r="A677" s="13"/>
      <c r="B677" s="13"/>
      <c r="C677" s="13"/>
      <c r="D677" s="13"/>
    </row>
    <row r="678" spans="1:4">
      <c r="A678" s="13"/>
      <c r="B678" s="13"/>
      <c r="C678" s="13"/>
      <c r="D678" s="13"/>
    </row>
    <row r="679" spans="1:4">
      <c r="A679" s="13"/>
      <c r="B679" s="13"/>
      <c r="C679" s="13"/>
      <c r="D679" s="13"/>
    </row>
    <row r="680" spans="1:4">
      <c r="A680" s="13"/>
      <c r="B680" s="13"/>
      <c r="C680" s="13"/>
      <c r="D680" s="13"/>
    </row>
    <row r="681" spans="1:4">
      <c r="A681" s="13"/>
      <c r="B681" s="13"/>
      <c r="C681" s="13"/>
      <c r="D681" s="13"/>
    </row>
    <row r="682" spans="1:4">
      <c r="A682" s="13"/>
      <c r="B682" s="13"/>
      <c r="C682" s="13"/>
      <c r="D682" s="13"/>
    </row>
    <row r="683" spans="1:4">
      <c r="A683" s="13"/>
      <c r="B683" s="13"/>
      <c r="C683" s="13"/>
      <c r="D683" s="13"/>
    </row>
    <row r="684" spans="1:4">
      <c r="A684" s="13"/>
      <c r="B684" s="13"/>
      <c r="C684" s="13"/>
      <c r="D684" s="13"/>
    </row>
    <row r="685" spans="1:4">
      <c r="A685" s="13"/>
      <c r="B685" s="13"/>
      <c r="C685" s="13"/>
      <c r="D685" s="13"/>
    </row>
    <row r="686" spans="1:4">
      <c r="A686" s="13"/>
      <c r="B686" s="13"/>
      <c r="C686" s="13"/>
      <c r="D686" s="13"/>
    </row>
    <row r="687" spans="1:4">
      <c r="A687" s="13"/>
      <c r="B687" s="13"/>
      <c r="C687" s="13"/>
      <c r="D687" s="13"/>
    </row>
    <row r="688" spans="1:4">
      <c r="A688" s="13"/>
      <c r="B688" s="13"/>
      <c r="C688" s="13"/>
      <c r="D688" s="13"/>
    </row>
    <row r="689" spans="1:4">
      <c r="A689" s="13"/>
      <c r="B689" s="13"/>
      <c r="C689" s="13"/>
      <c r="D689" s="13"/>
    </row>
    <row r="690" spans="1:4">
      <c r="A690" s="13"/>
      <c r="B690" s="13"/>
      <c r="C690" s="13"/>
      <c r="D690" s="13"/>
    </row>
    <row r="691" spans="1:4">
      <c r="A691" s="13"/>
      <c r="B691" s="13"/>
      <c r="C691" s="13"/>
      <c r="D691" s="13"/>
    </row>
    <row r="692" spans="1:4">
      <c r="A692" s="13"/>
      <c r="B692" s="13"/>
      <c r="C692" s="13"/>
      <c r="D692" s="13"/>
    </row>
    <row r="693" spans="1:4">
      <c r="A693" s="13"/>
      <c r="B693" s="13"/>
      <c r="C693" s="13"/>
      <c r="D693" s="13"/>
    </row>
    <row r="694" spans="1:4">
      <c r="A694" s="13"/>
      <c r="B694" s="13"/>
      <c r="C694" s="13"/>
      <c r="D694" s="13"/>
    </row>
    <row r="695" spans="1:4">
      <c r="A695" s="13"/>
      <c r="B695" s="13"/>
      <c r="C695" s="13"/>
      <c r="D695" s="13"/>
    </row>
    <row r="696" spans="1:4">
      <c r="A696" s="13"/>
      <c r="B696" s="13"/>
      <c r="C696" s="13"/>
      <c r="D696" s="13"/>
    </row>
    <row r="697" spans="1:4">
      <c r="A697" s="13"/>
      <c r="B697" s="13"/>
      <c r="C697" s="13"/>
      <c r="D697" s="13"/>
    </row>
    <row r="698" spans="1:4">
      <c r="A698" s="13"/>
      <c r="B698" s="13"/>
      <c r="C698" s="13"/>
      <c r="D698" s="13"/>
    </row>
    <row r="699" spans="1:4">
      <c r="A699" s="13"/>
      <c r="B699" s="13"/>
      <c r="C699" s="13"/>
      <c r="D699" s="13"/>
    </row>
    <row r="700" spans="1:4">
      <c r="A700" s="13"/>
      <c r="B700" s="13"/>
      <c r="C700" s="13"/>
      <c r="D700" s="13"/>
    </row>
    <row r="701" spans="1:4">
      <c r="A701" s="13"/>
      <c r="B701" s="13"/>
      <c r="C701" s="13"/>
      <c r="D701" s="13"/>
    </row>
    <row r="702" spans="1:4">
      <c r="A702" s="13"/>
      <c r="B702" s="13"/>
      <c r="C702" s="13"/>
      <c r="D702" s="13"/>
    </row>
    <row r="703" spans="1:4">
      <c r="A703" s="13"/>
      <c r="B703" s="13"/>
      <c r="C703" s="13"/>
      <c r="D703" s="13"/>
    </row>
    <row r="704" spans="1:4">
      <c r="A704" s="13"/>
      <c r="B704" s="13"/>
      <c r="C704" s="13"/>
      <c r="D704" s="13"/>
    </row>
    <row r="705" spans="1:4">
      <c r="A705" s="13"/>
      <c r="B705" s="13"/>
      <c r="C705" s="13"/>
      <c r="D705" s="13"/>
    </row>
    <row r="706" spans="1:4">
      <c r="A706" s="13"/>
      <c r="B706" s="13"/>
      <c r="C706" s="13"/>
      <c r="D706" s="13"/>
    </row>
    <row r="707" spans="1:4">
      <c r="A707" s="13"/>
      <c r="B707" s="13"/>
      <c r="C707" s="13"/>
      <c r="D707" s="13"/>
    </row>
    <row r="708" spans="1:4">
      <c r="A708" s="13"/>
      <c r="B708" s="13"/>
      <c r="C708" s="13"/>
      <c r="D708" s="13"/>
    </row>
    <row r="709" spans="1:4">
      <c r="A709" s="13"/>
      <c r="B709" s="13"/>
      <c r="C709" s="13"/>
      <c r="D709" s="13"/>
    </row>
    <row r="710" spans="1:4">
      <c r="A710" s="13"/>
      <c r="B710" s="13"/>
      <c r="C710" s="13"/>
      <c r="D710" s="13"/>
    </row>
    <row r="711" spans="1:4">
      <c r="A711" s="13"/>
      <c r="B711" s="13"/>
      <c r="C711" s="13"/>
      <c r="D711" s="13"/>
    </row>
    <row r="712" spans="1:4">
      <c r="A712" s="13"/>
      <c r="B712" s="13"/>
      <c r="C712" s="13"/>
      <c r="D712" s="13"/>
    </row>
    <row r="713" spans="1:4">
      <c r="A713" s="13"/>
      <c r="B713" s="13"/>
      <c r="C713" s="13"/>
      <c r="D713" s="13"/>
    </row>
    <row r="714" spans="1:4">
      <c r="A714" s="13"/>
      <c r="B714" s="13"/>
      <c r="C714" s="13"/>
      <c r="D714" s="13"/>
    </row>
    <row r="715" spans="1:4">
      <c r="A715" s="13"/>
      <c r="B715" s="13"/>
      <c r="C715" s="13"/>
      <c r="D715" s="13"/>
    </row>
    <row r="716" spans="1:4">
      <c r="A716" s="13"/>
      <c r="B716" s="13"/>
      <c r="C716" s="13"/>
      <c r="D716" s="13"/>
    </row>
    <row r="717" spans="1:4">
      <c r="A717" s="13"/>
      <c r="B717" s="13"/>
      <c r="C717" s="13"/>
      <c r="D717" s="13"/>
    </row>
    <row r="718" spans="1:4">
      <c r="A718" s="13"/>
      <c r="B718" s="13"/>
      <c r="C718" s="13"/>
      <c r="D718" s="13"/>
    </row>
    <row r="719" spans="1:4">
      <c r="A719" s="13"/>
      <c r="B719" s="13"/>
      <c r="C719" s="13"/>
      <c r="D719" s="13"/>
    </row>
    <row r="720" spans="1:4">
      <c r="A720" s="13"/>
      <c r="B720" s="13"/>
      <c r="C720" s="13"/>
      <c r="D720" s="13"/>
    </row>
    <row r="721" spans="1:4">
      <c r="A721" s="13"/>
      <c r="B721" s="13"/>
      <c r="C721" s="13"/>
      <c r="D721" s="13"/>
    </row>
    <row r="722" spans="1:4">
      <c r="A722" s="13"/>
      <c r="B722" s="13"/>
      <c r="C722" s="13"/>
      <c r="D722" s="13"/>
    </row>
    <row r="723" spans="1:4">
      <c r="A723" s="13"/>
      <c r="B723" s="13"/>
      <c r="C723" s="13"/>
      <c r="D723" s="13"/>
    </row>
    <row r="724" spans="1:4">
      <c r="A724" s="13"/>
      <c r="B724" s="13"/>
      <c r="C724" s="13"/>
      <c r="D724" s="13"/>
    </row>
    <row r="725" spans="1:4">
      <c r="A725" s="13"/>
      <c r="B725" s="13"/>
      <c r="C725" s="13"/>
      <c r="D725" s="13"/>
    </row>
    <row r="726" spans="1:4">
      <c r="A726" s="13"/>
      <c r="B726" s="13"/>
      <c r="C726" s="13"/>
      <c r="D726" s="13"/>
    </row>
    <row r="727" spans="1:4">
      <c r="A727" s="13"/>
      <c r="B727" s="13"/>
      <c r="C727" s="13"/>
      <c r="D727" s="13"/>
    </row>
    <row r="728" spans="1:4">
      <c r="A728" s="13"/>
      <c r="B728" s="13"/>
      <c r="C728" s="13"/>
      <c r="D728" s="13"/>
    </row>
    <row r="729" spans="1:4">
      <c r="A729" s="13"/>
      <c r="B729" s="13"/>
      <c r="C729" s="13"/>
      <c r="D729" s="13"/>
    </row>
    <row r="730" spans="1:4">
      <c r="A730" s="13"/>
      <c r="B730" s="13"/>
      <c r="C730" s="13"/>
      <c r="D730" s="13"/>
    </row>
    <row r="731" spans="1:4">
      <c r="A731" s="13"/>
      <c r="B731" s="13"/>
      <c r="C731" s="13"/>
      <c r="D731" s="13"/>
    </row>
    <row r="732" spans="1:4">
      <c r="A732" s="13"/>
      <c r="B732" s="13"/>
      <c r="C732" s="13"/>
      <c r="D732" s="13"/>
    </row>
    <row r="733" spans="1:4">
      <c r="A733" s="13"/>
      <c r="B733" s="13"/>
      <c r="C733" s="13"/>
      <c r="D733" s="13"/>
    </row>
    <row r="734" spans="1:4">
      <c r="A734" s="13"/>
      <c r="B734" s="13"/>
      <c r="C734" s="13"/>
      <c r="D734" s="13"/>
    </row>
    <row r="735" spans="1:4">
      <c r="A735" s="13"/>
      <c r="B735" s="13"/>
      <c r="C735" s="13"/>
      <c r="D735" s="13"/>
    </row>
    <row r="736" spans="1:4">
      <c r="A736" s="13"/>
      <c r="B736" s="13"/>
      <c r="C736" s="13"/>
      <c r="D736" s="13"/>
    </row>
    <row r="737" spans="1:4">
      <c r="A737" s="13"/>
      <c r="B737" s="13"/>
      <c r="C737" s="13"/>
      <c r="D737" s="13"/>
    </row>
    <row r="738" spans="1:4">
      <c r="A738" s="13"/>
      <c r="B738" s="13"/>
      <c r="C738" s="13"/>
      <c r="D738" s="13"/>
    </row>
    <row r="739" spans="1:4">
      <c r="A739" s="13"/>
      <c r="B739" s="13"/>
      <c r="C739" s="13"/>
      <c r="D739" s="13"/>
    </row>
    <row r="740" spans="1:4">
      <c r="A740" s="13"/>
      <c r="B740" s="13"/>
      <c r="C740" s="13"/>
      <c r="D740" s="13"/>
    </row>
    <row r="741" spans="1:4">
      <c r="A741" s="13"/>
      <c r="B741" s="13"/>
      <c r="C741" s="13"/>
      <c r="D741" s="13"/>
    </row>
    <row r="742" spans="1:4">
      <c r="A742" s="13"/>
      <c r="B742" s="13"/>
      <c r="C742" s="13"/>
      <c r="D742" s="13"/>
    </row>
    <row r="743" spans="1:4">
      <c r="A743" s="13"/>
      <c r="B743" s="13"/>
      <c r="C743" s="13"/>
      <c r="D743" s="13"/>
    </row>
    <row r="744" spans="1:4">
      <c r="A744" s="13"/>
      <c r="B744" s="13"/>
      <c r="C744" s="13"/>
      <c r="D744" s="13"/>
    </row>
    <row r="745" spans="1:4">
      <c r="A745" s="13"/>
      <c r="B745" s="13"/>
      <c r="C745" s="13"/>
      <c r="D745" s="13"/>
    </row>
    <row r="746" spans="1:4">
      <c r="A746" s="13"/>
      <c r="B746" s="13"/>
      <c r="C746" s="13"/>
      <c r="D746" s="13"/>
    </row>
    <row r="747" spans="1:4">
      <c r="A747" s="13"/>
      <c r="B747" s="13"/>
      <c r="C747" s="13"/>
      <c r="D747" s="13"/>
    </row>
    <row r="748" spans="1:4">
      <c r="A748" s="13"/>
      <c r="B748" s="13"/>
      <c r="C748" s="13"/>
      <c r="D748" s="13"/>
    </row>
    <row r="749" spans="1:4">
      <c r="A749" s="13"/>
      <c r="B749" s="13"/>
      <c r="C749" s="13"/>
      <c r="D749" s="13"/>
    </row>
    <row r="750" spans="1:4">
      <c r="A750" s="13"/>
      <c r="B750" s="13"/>
      <c r="C750" s="13"/>
      <c r="D750" s="13"/>
    </row>
    <row r="751" spans="1:4">
      <c r="A751" s="13"/>
      <c r="B751" s="13"/>
      <c r="C751" s="13"/>
      <c r="D751" s="13"/>
    </row>
    <row r="752" spans="1:4">
      <c r="A752" s="13"/>
      <c r="B752" s="13"/>
      <c r="C752" s="13"/>
      <c r="D752" s="13"/>
    </row>
    <row r="753" spans="1:4">
      <c r="A753" s="13"/>
      <c r="B753" s="13"/>
      <c r="C753" s="13"/>
      <c r="D753" s="13"/>
    </row>
    <row r="754" spans="1:4">
      <c r="A754" s="13"/>
      <c r="B754" s="13"/>
      <c r="C754" s="13"/>
      <c r="D754" s="13"/>
    </row>
    <row r="755" spans="1:4">
      <c r="A755" s="13"/>
      <c r="B755" s="13"/>
      <c r="C755" s="13"/>
      <c r="D755" s="13"/>
    </row>
    <row r="756" spans="1:4">
      <c r="A756" s="13"/>
      <c r="B756" s="13"/>
      <c r="C756" s="13"/>
      <c r="D756" s="13"/>
    </row>
    <row r="757" spans="1:4">
      <c r="A757" s="13"/>
      <c r="B757" s="13"/>
      <c r="C757" s="13"/>
      <c r="D757" s="13"/>
    </row>
    <row r="758" spans="1:4">
      <c r="A758" s="13"/>
      <c r="B758" s="13"/>
      <c r="C758" s="13"/>
      <c r="D758" s="13"/>
    </row>
    <row r="759" spans="1:4">
      <c r="A759" s="13"/>
      <c r="B759" s="13"/>
      <c r="C759" s="13"/>
      <c r="D759" s="13"/>
    </row>
    <row r="760" spans="1:4">
      <c r="A760" s="13"/>
      <c r="B760" s="13"/>
      <c r="C760" s="13"/>
      <c r="D760" s="13"/>
    </row>
    <row r="761" spans="1:4">
      <c r="A761" s="13"/>
      <c r="B761" s="13"/>
      <c r="C761" s="13"/>
      <c r="D761" s="13"/>
    </row>
    <row r="762" spans="1:4">
      <c r="A762" s="13"/>
      <c r="B762" s="13"/>
      <c r="C762" s="13"/>
      <c r="D762" s="13"/>
    </row>
    <row r="763" spans="1:4">
      <c r="A763" s="13"/>
      <c r="B763" s="13"/>
      <c r="C763" s="13"/>
      <c r="D763" s="13"/>
    </row>
    <row r="764" spans="1:4">
      <c r="A764" s="13"/>
      <c r="B764" s="13"/>
      <c r="C764" s="13"/>
      <c r="D764" s="13"/>
    </row>
    <row r="765" spans="1:4">
      <c r="A765" s="13"/>
      <c r="B765" s="13"/>
      <c r="C765" s="13"/>
      <c r="D765" s="13"/>
    </row>
    <row r="766" spans="1:4">
      <c r="A766" s="13"/>
      <c r="B766" s="13"/>
      <c r="C766" s="13"/>
      <c r="D766" s="13"/>
    </row>
    <row r="767" spans="1:4">
      <c r="A767" s="13"/>
      <c r="B767" s="13"/>
      <c r="C767" s="13"/>
      <c r="D767" s="13"/>
    </row>
    <row r="768" spans="1:4">
      <c r="A768" s="13"/>
      <c r="B768" s="13"/>
      <c r="C768" s="13"/>
      <c r="D768" s="13"/>
    </row>
    <row r="769" spans="1:4">
      <c r="A769" s="13"/>
      <c r="B769" s="13"/>
      <c r="C769" s="13"/>
      <c r="D769" s="13"/>
    </row>
    <row r="770" spans="1:4">
      <c r="A770" s="13"/>
      <c r="B770" s="13"/>
      <c r="C770" s="13"/>
      <c r="D770" s="13"/>
    </row>
    <row r="771" spans="1:4">
      <c r="A771" s="13"/>
      <c r="B771" s="13"/>
      <c r="C771" s="13"/>
      <c r="D771" s="13"/>
    </row>
    <row r="772" spans="1:4">
      <c r="A772" s="13"/>
      <c r="B772" s="13"/>
      <c r="C772" s="13"/>
      <c r="D772" s="13"/>
    </row>
    <row r="773" spans="1:4">
      <c r="A773" s="13"/>
      <c r="B773" s="13"/>
      <c r="C773" s="13"/>
      <c r="D773" s="13"/>
    </row>
    <row r="774" spans="1:4">
      <c r="A774" s="13"/>
      <c r="B774" s="13"/>
      <c r="C774" s="13"/>
      <c r="D774" s="13"/>
    </row>
    <row r="775" spans="1:4">
      <c r="A775" s="13"/>
      <c r="B775" s="13"/>
      <c r="C775" s="13"/>
      <c r="D775" s="13"/>
    </row>
    <row r="776" spans="1:4">
      <c r="A776" s="13"/>
      <c r="B776" s="13"/>
      <c r="C776" s="13"/>
      <c r="D776" s="13"/>
    </row>
    <row r="777" spans="1:4">
      <c r="A777" s="13"/>
      <c r="B777" s="13"/>
      <c r="C777" s="13"/>
      <c r="D777" s="13"/>
    </row>
    <row r="778" spans="1:4">
      <c r="A778" s="13"/>
      <c r="B778" s="13"/>
      <c r="C778" s="13"/>
      <c r="D778" s="13"/>
    </row>
    <row r="779" spans="1:4">
      <c r="A779" s="13"/>
      <c r="B779" s="13"/>
      <c r="C779" s="13"/>
      <c r="D779" s="13"/>
    </row>
    <row r="780" spans="1:4">
      <c r="A780" s="13"/>
      <c r="B780" s="13"/>
      <c r="C780" s="13"/>
      <c r="D780" s="13"/>
    </row>
    <row r="781" spans="1:4">
      <c r="A781" s="13"/>
      <c r="B781" s="13"/>
      <c r="C781" s="13"/>
      <c r="D781" s="13"/>
    </row>
    <row r="782" spans="1:4">
      <c r="A782" s="13"/>
      <c r="B782" s="13"/>
      <c r="C782" s="13"/>
      <c r="D782" s="13"/>
    </row>
    <row r="783" spans="1:4">
      <c r="A783" s="13"/>
      <c r="B783" s="13"/>
      <c r="C783" s="13"/>
      <c r="D783" s="13"/>
    </row>
    <row r="784" spans="1:4">
      <c r="A784" s="13"/>
      <c r="B784" s="13"/>
      <c r="C784" s="13"/>
      <c r="D784" s="13"/>
    </row>
    <row r="785" spans="1:4">
      <c r="A785" s="13"/>
      <c r="B785" s="13"/>
      <c r="C785" s="13"/>
      <c r="D785" s="13"/>
    </row>
    <row r="786" spans="1:4">
      <c r="A786" s="13"/>
      <c r="B786" s="13"/>
      <c r="C786" s="13"/>
      <c r="D786" s="13"/>
    </row>
    <row r="787" spans="1:4">
      <c r="A787" s="13"/>
      <c r="B787" s="13"/>
      <c r="C787" s="13"/>
      <c r="D787" s="13"/>
    </row>
    <row r="788" spans="1:4">
      <c r="A788" s="13"/>
      <c r="B788" s="13"/>
      <c r="C788" s="13"/>
      <c r="D788" s="13"/>
    </row>
    <row r="789" spans="1:4">
      <c r="A789" s="13"/>
      <c r="B789" s="13"/>
      <c r="C789" s="13"/>
      <c r="D789" s="13"/>
    </row>
    <row r="790" spans="1:4">
      <c r="A790" s="13"/>
      <c r="B790" s="13"/>
      <c r="C790" s="13"/>
      <c r="D790" s="13"/>
    </row>
    <row r="791" spans="1:4">
      <c r="A791" s="13"/>
      <c r="B791" s="13"/>
      <c r="C791" s="13"/>
      <c r="D791" s="13"/>
    </row>
    <row r="792" spans="1:4">
      <c r="A792" s="13"/>
      <c r="B792" s="13"/>
      <c r="C792" s="13"/>
      <c r="D792" s="13"/>
    </row>
    <row r="793" spans="1:4">
      <c r="A793" s="13"/>
      <c r="B793" s="13"/>
      <c r="C793" s="13"/>
      <c r="D793" s="13"/>
    </row>
    <row r="794" spans="1:4">
      <c r="A794" s="13"/>
      <c r="B794" s="13"/>
      <c r="C794" s="13"/>
      <c r="D794" s="13"/>
    </row>
    <row r="795" spans="1:4">
      <c r="A795" s="13"/>
      <c r="B795" s="13"/>
      <c r="C795" s="13"/>
      <c r="D795" s="13"/>
    </row>
    <row r="796" spans="1:4">
      <c r="A796" s="13"/>
      <c r="B796" s="13"/>
      <c r="C796" s="13"/>
      <c r="D796" s="13"/>
    </row>
    <row r="797" spans="1:4">
      <c r="A797" s="13"/>
      <c r="B797" s="13"/>
      <c r="C797" s="13"/>
      <c r="D797" s="13"/>
    </row>
    <row r="798" spans="1:4">
      <c r="A798" s="13"/>
      <c r="B798" s="13"/>
      <c r="C798" s="13"/>
      <c r="D798" s="13"/>
    </row>
    <row r="799" spans="1:4">
      <c r="A799" s="13"/>
      <c r="B799" s="13"/>
      <c r="C799" s="13"/>
      <c r="D799" s="13"/>
    </row>
    <row r="800" spans="1:4">
      <c r="A800" s="13"/>
      <c r="B800" s="13"/>
      <c r="C800" s="13"/>
      <c r="D800" s="13"/>
    </row>
    <row r="801" spans="1:4">
      <c r="A801" s="13"/>
      <c r="B801" s="13"/>
      <c r="C801" s="13"/>
      <c r="D801" s="13"/>
    </row>
    <row r="802" spans="1:4">
      <c r="A802" s="13"/>
      <c r="B802" s="13"/>
      <c r="C802" s="13"/>
      <c r="D802" s="13"/>
    </row>
    <row r="803" spans="1:4">
      <c r="A803" s="13"/>
      <c r="B803" s="13"/>
      <c r="C803" s="13"/>
      <c r="D803" s="13"/>
    </row>
    <row r="804" spans="1:4">
      <c r="A804" s="13"/>
      <c r="B804" s="13"/>
      <c r="C804" s="13"/>
      <c r="D804" s="13"/>
    </row>
    <row r="805" spans="1:4">
      <c r="A805" s="13"/>
      <c r="B805" s="13"/>
      <c r="C805" s="13"/>
      <c r="D805" s="13"/>
    </row>
    <row r="806" spans="1:4">
      <c r="A806" s="13"/>
      <c r="B806" s="13"/>
      <c r="C806" s="13"/>
      <c r="D806" s="13"/>
    </row>
    <row r="807" spans="1:4">
      <c r="A807" s="13"/>
      <c r="B807" s="13"/>
      <c r="C807" s="13"/>
      <c r="D807" s="13"/>
    </row>
    <row r="808" spans="1:4">
      <c r="A808" s="13"/>
      <c r="B808" s="13"/>
      <c r="C808" s="13"/>
      <c r="D808" s="13"/>
    </row>
    <row r="809" spans="1:4">
      <c r="A809" s="13"/>
      <c r="B809" s="13"/>
      <c r="C809" s="13"/>
      <c r="D809" s="13"/>
    </row>
    <row r="810" spans="1:4">
      <c r="A810" s="13"/>
      <c r="B810" s="13"/>
      <c r="C810" s="13"/>
      <c r="D810" s="13"/>
    </row>
    <row r="811" spans="1:4">
      <c r="A811" s="13"/>
      <c r="B811" s="13"/>
      <c r="C811" s="13"/>
      <c r="D811" s="13"/>
    </row>
    <row r="812" spans="1:4">
      <c r="A812" s="13"/>
      <c r="B812" s="13"/>
      <c r="C812" s="13"/>
      <c r="D812" s="13"/>
    </row>
    <row r="813" spans="1:4">
      <c r="A813" s="13"/>
      <c r="B813" s="13"/>
      <c r="C813" s="13"/>
      <c r="D813" s="13"/>
    </row>
    <row r="814" spans="1:4">
      <c r="A814" s="13"/>
      <c r="B814" s="13"/>
      <c r="C814" s="13"/>
      <c r="D814" s="13"/>
    </row>
    <row r="815" spans="1:4">
      <c r="A815" s="13"/>
      <c r="B815" s="13"/>
      <c r="C815" s="13"/>
      <c r="D815" s="13"/>
    </row>
    <row r="816" spans="1:4">
      <c r="A816" s="13"/>
      <c r="B816" s="13"/>
      <c r="C816" s="13"/>
      <c r="D816" s="13"/>
    </row>
    <row r="817" spans="1:4">
      <c r="A817" s="13"/>
      <c r="B817" s="13"/>
      <c r="C817" s="13"/>
      <c r="D817" s="13"/>
    </row>
    <row r="818" spans="1:4">
      <c r="A818" s="13"/>
      <c r="B818" s="13"/>
      <c r="C818" s="13"/>
      <c r="D818" s="13"/>
    </row>
    <row r="819" spans="1:4">
      <c r="A819" s="13"/>
      <c r="B819" s="13"/>
      <c r="C819" s="13"/>
      <c r="D819" s="13"/>
    </row>
    <row r="820" spans="1:4">
      <c r="A820" s="13"/>
      <c r="B820" s="13"/>
      <c r="C820" s="13"/>
      <c r="D820" s="13"/>
    </row>
    <row r="821" spans="1:4">
      <c r="A821" s="13"/>
      <c r="B821" s="13"/>
      <c r="C821" s="13"/>
      <c r="D821" s="13"/>
    </row>
    <row r="822" spans="1:4">
      <c r="A822" s="13"/>
      <c r="B822" s="13"/>
      <c r="C822" s="13"/>
      <c r="D822" s="13"/>
    </row>
    <row r="823" spans="1:4">
      <c r="A823" s="13"/>
      <c r="B823" s="13"/>
      <c r="C823" s="13"/>
      <c r="D823" s="13"/>
    </row>
    <row r="824" spans="1:4">
      <c r="A824" s="13"/>
      <c r="B824" s="13"/>
      <c r="C824" s="13"/>
      <c r="D824" s="13"/>
    </row>
    <row r="825" spans="1:4">
      <c r="A825" s="13"/>
      <c r="B825" s="13"/>
      <c r="C825" s="13"/>
      <c r="D825" s="13"/>
    </row>
    <row r="826" spans="1:4">
      <c r="A826" s="13"/>
      <c r="B826" s="13"/>
      <c r="C826" s="13"/>
      <c r="D826" s="13"/>
    </row>
    <row r="827" spans="1:4">
      <c r="A827" s="13"/>
      <c r="B827" s="13"/>
      <c r="C827" s="13"/>
      <c r="D827" s="13"/>
    </row>
    <row r="828" spans="1:4">
      <c r="A828" s="13"/>
      <c r="B828" s="13"/>
      <c r="C828" s="13"/>
      <c r="D828" s="13"/>
    </row>
    <row r="829" spans="1:4">
      <c r="A829" s="13"/>
      <c r="B829" s="13"/>
      <c r="C829" s="13"/>
      <c r="D829" s="13"/>
    </row>
    <row r="830" spans="1:4">
      <c r="A830" s="13"/>
      <c r="B830" s="13"/>
      <c r="C830" s="13"/>
      <c r="D830" s="13"/>
    </row>
    <row r="831" spans="1:4">
      <c r="A831" s="13"/>
      <c r="B831" s="13"/>
      <c r="C831" s="13"/>
      <c r="D831" s="13"/>
    </row>
    <row r="832" spans="1:4">
      <c r="A832" s="13"/>
      <c r="B832" s="13"/>
      <c r="C832" s="13"/>
      <c r="D832" s="13"/>
    </row>
    <row r="833" spans="1:4">
      <c r="A833" s="13"/>
      <c r="B833" s="13"/>
      <c r="C833" s="13"/>
      <c r="D833" s="13"/>
    </row>
    <row r="834" spans="1:4">
      <c r="A834" s="13"/>
      <c r="B834" s="13"/>
      <c r="C834" s="13"/>
      <c r="D834" s="13"/>
    </row>
    <row r="835" spans="1:4">
      <c r="A835" s="13"/>
      <c r="B835" s="13"/>
      <c r="C835" s="13"/>
      <c r="D835" s="13"/>
    </row>
    <row r="836" spans="1:4">
      <c r="A836" s="13"/>
      <c r="B836" s="13"/>
      <c r="C836" s="13"/>
      <c r="D836" s="13"/>
    </row>
    <row r="837" spans="1:4">
      <c r="A837" s="13"/>
      <c r="B837" s="13"/>
      <c r="C837" s="13"/>
      <c r="D837" s="13"/>
    </row>
    <row r="838" spans="1:4">
      <c r="A838" s="13"/>
      <c r="B838" s="13"/>
      <c r="C838" s="13"/>
      <c r="D838" s="13"/>
    </row>
    <row r="839" spans="1:4">
      <c r="A839" s="13"/>
      <c r="B839" s="13"/>
      <c r="C839" s="13"/>
      <c r="D839" s="13"/>
    </row>
    <row r="840" spans="1:4">
      <c r="A840" s="13"/>
      <c r="B840" s="13"/>
      <c r="C840" s="13"/>
      <c r="D840" s="13"/>
    </row>
    <row r="841" spans="1:4">
      <c r="A841" s="13"/>
      <c r="B841" s="13"/>
      <c r="C841" s="13"/>
      <c r="D841" s="13"/>
    </row>
    <row r="842" spans="1:4">
      <c r="A842" s="13"/>
      <c r="B842" s="13"/>
      <c r="C842" s="13"/>
      <c r="D842" s="13"/>
    </row>
    <row r="843" spans="1:4">
      <c r="A843" s="13"/>
      <c r="B843" s="13"/>
      <c r="C843" s="13"/>
      <c r="D843" s="13"/>
    </row>
    <row r="844" spans="1:4">
      <c r="A844" s="13"/>
      <c r="B844" s="13"/>
      <c r="C844" s="13"/>
      <c r="D844" s="13"/>
    </row>
    <row r="845" spans="1:4">
      <c r="A845" s="13"/>
      <c r="B845" s="13"/>
      <c r="C845" s="13"/>
      <c r="D845" s="13"/>
    </row>
    <row r="846" spans="1:4">
      <c r="A846" s="13"/>
      <c r="B846" s="13"/>
      <c r="C846" s="13"/>
      <c r="D846" s="13"/>
    </row>
    <row r="847" spans="1:4">
      <c r="A847" s="13"/>
      <c r="B847" s="13"/>
      <c r="C847" s="13"/>
      <c r="D847" s="13"/>
    </row>
    <row r="848" spans="1:4">
      <c r="A848" s="13"/>
      <c r="B848" s="13"/>
      <c r="C848" s="13"/>
      <c r="D848" s="13"/>
    </row>
    <row r="849" spans="1:4">
      <c r="A849" s="13"/>
      <c r="B849" s="13"/>
      <c r="C849" s="13"/>
      <c r="D849" s="13"/>
    </row>
    <row r="850" spans="1:4">
      <c r="A850" s="13"/>
      <c r="B850" s="13"/>
      <c r="C850" s="13"/>
      <c r="D850" s="13"/>
    </row>
    <row r="851" spans="1:4">
      <c r="A851" s="13"/>
      <c r="B851" s="13"/>
      <c r="C851" s="13"/>
      <c r="D851" s="13"/>
    </row>
    <row r="852" spans="1:4">
      <c r="A852" s="13"/>
      <c r="B852" s="13"/>
      <c r="C852" s="13"/>
      <c r="D852" s="13"/>
    </row>
    <row r="853" spans="1:4">
      <c r="A853" s="13"/>
      <c r="B853" s="13"/>
      <c r="C853" s="13"/>
      <c r="D853" s="13"/>
    </row>
    <row r="854" spans="1:4">
      <c r="A854" s="13"/>
      <c r="B854" s="13"/>
      <c r="C854" s="13"/>
      <c r="D854" s="13"/>
    </row>
    <row r="855" spans="1:4">
      <c r="A855" s="13"/>
      <c r="B855" s="13"/>
      <c r="C855" s="13"/>
      <c r="D855" s="13"/>
    </row>
    <row r="856" spans="1:4">
      <c r="A856" s="13"/>
      <c r="B856" s="13"/>
      <c r="C856" s="13"/>
      <c r="D856" s="13"/>
    </row>
    <row r="857" spans="1:4">
      <c r="A857" s="13"/>
      <c r="B857" s="13"/>
      <c r="C857" s="13"/>
      <c r="D857" s="13"/>
    </row>
    <row r="858" spans="1:4">
      <c r="A858" s="13"/>
      <c r="B858" s="13"/>
      <c r="C858" s="13"/>
      <c r="D858" s="13"/>
    </row>
    <row r="859" spans="1:4">
      <c r="A859" s="13"/>
      <c r="B859" s="13"/>
      <c r="C859" s="13"/>
      <c r="D859" s="13"/>
    </row>
    <row r="860" spans="1:4">
      <c r="A860" s="13"/>
      <c r="B860" s="13"/>
      <c r="C860" s="13"/>
      <c r="D860" s="13"/>
    </row>
    <row r="861" spans="1:4">
      <c r="A861" s="13"/>
      <c r="B861" s="13"/>
      <c r="C861" s="13"/>
      <c r="D861" s="13"/>
    </row>
    <row r="862" spans="1:4">
      <c r="A862" s="13"/>
      <c r="B862" s="13"/>
      <c r="C862" s="13"/>
      <c r="D862" s="13"/>
    </row>
    <row r="863" spans="1:4">
      <c r="A863" s="13"/>
      <c r="B863" s="13"/>
      <c r="C863" s="13"/>
      <c r="D863" s="13"/>
    </row>
    <row r="864" spans="1:4">
      <c r="A864" s="13"/>
      <c r="B864" s="13"/>
      <c r="C864" s="13"/>
      <c r="D864" s="13"/>
    </row>
    <row r="865" spans="1:4">
      <c r="A865" s="13"/>
      <c r="B865" s="13"/>
      <c r="C865" s="13"/>
      <c r="D865" s="13"/>
    </row>
    <row r="866" spans="1:4">
      <c r="A866" s="13"/>
      <c r="B866" s="13"/>
      <c r="C866" s="13"/>
      <c r="D866" s="13"/>
    </row>
    <row r="867" spans="1:4">
      <c r="A867" s="13"/>
      <c r="B867" s="13"/>
      <c r="C867" s="13"/>
      <c r="D867" s="13"/>
    </row>
    <row r="868" spans="1:4">
      <c r="A868" s="13"/>
      <c r="B868" s="13"/>
      <c r="C868" s="13"/>
      <c r="D868" s="13"/>
    </row>
    <row r="869" spans="1:4">
      <c r="A869" s="13"/>
      <c r="B869" s="13"/>
      <c r="C869" s="13"/>
      <c r="D869" s="13"/>
    </row>
    <row r="870" spans="1:4">
      <c r="A870" s="13"/>
      <c r="B870" s="13"/>
      <c r="C870" s="13"/>
      <c r="D870" s="13"/>
    </row>
    <row r="871" spans="1:4">
      <c r="A871" s="13"/>
      <c r="B871" s="13"/>
      <c r="C871" s="13"/>
      <c r="D871" s="13"/>
    </row>
    <row r="872" spans="1:4">
      <c r="A872" s="13"/>
      <c r="B872" s="13"/>
      <c r="C872" s="13"/>
      <c r="D872" s="13"/>
    </row>
    <row r="873" spans="1:4">
      <c r="A873" s="13"/>
      <c r="B873" s="13"/>
      <c r="C873" s="13"/>
      <c r="D873" s="13"/>
    </row>
    <row r="874" spans="1:4">
      <c r="A874" s="13"/>
      <c r="B874" s="13"/>
      <c r="C874" s="13"/>
      <c r="D874" s="13"/>
    </row>
    <row r="875" spans="1:4">
      <c r="A875" s="13"/>
      <c r="B875" s="13"/>
      <c r="C875" s="13"/>
      <c r="D875" s="13"/>
    </row>
    <row r="876" spans="1:4">
      <c r="A876" s="13"/>
      <c r="B876" s="13"/>
      <c r="C876" s="13"/>
      <c r="D876" s="13"/>
    </row>
    <row r="877" spans="1:4">
      <c r="A877" s="13"/>
      <c r="B877" s="13"/>
      <c r="C877" s="13"/>
      <c r="D877" s="13"/>
    </row>
    <row r="878" spans="1:4">
      <c r="A878" s="13"/>
      <c r="B878" s="13"/>
      <c r="C878" s="13"/>
      <c r="D878" s="13"/>
    </row>
    <row r="879" spans="1:4">
      <c r="A879" s="13"/>
      <c r="B879" s="13"/>
      <c r="C879" s="13"/>
      <c r="D879" s="13"/>
    </row>
    <row r="880" spans="1:4">
      <c r="A880" s="13"/>
      <c r="B880" s="13"/>
      <c r="C880" s="13"/>
      <c r="D880" s="13"/>
    </row>
    <row r="881" spans="1:4">
      <c r="A881" s="13"/>
      <c r="B881" s="13"/>
      <c r="C881" s="13"/>
      <c r="D881" s="13"/>
    </row>
    <row r="882" spans="1:4">
      <c r="A882" s="13"/>
      <c r="B882" s="13"/>
      <c r="C882" s="13"/>
      <c r="D882" s="13"/>
    </row>
    <row r="883" spans="1:4">
      <c r="A883" s="13"/>
      <c r="B883" s="13"/>
      <c r="C883" s="13"/>
      <c r="D883" s="13"/>
    </row>
    <row r="884" spans="1:4">
      <c r="A884" s="13"/>
      <c r="B884" s="13"/>
      <c r="C884" s="13"/>
      <c r="D884" s="13"/>
    </row>
    <row r="885" spans="1:4">
      <c r="A885" s="13"/>
      <c r="B885" s="13"/>
      <c r="C885" s="13"/>
      <c r="D885" s="13"/>
    </row>
    <row r="886" spans="1:4">
      <c r="A886" s="13"/>
      <c r="B886" s="13"/>
      <c r="C886" s="13"/>
      <c r="D886" s="13"/>
    </row>
    <row r="887" spans="1:4">
      <c r="A887" s="13"/>
      <c r="B887" s="13"/>
      <c r="C887" s="13"/>
      <c r="D887" s="13"/>
    </row>
    <row r="888" spans="1:4">
      <c r="A888" s="13"/>
      <c r="B888" s="13"/>
      <c r="C888" s="13"/>
      <c r="D888" s="13"/>
    </row>
    <row r="889" spans="1:4">
      <c r="A889" s="13"/>
      <c r="B889" s="13"/>
      <c r="C889" s="13"/>
      <c r="D889" s="13"/>
    </row>
    <row r="890" spans="1:4">
      <c r="A890" s="13"/>
      <c r="B890" s="13"/>
      <c r="C890" s="13"/>
      <c r="D890" s="13"/>
    </row>
    <row r="891" spans="1:4">
      <c r="A891" s="13"/>
      <c r="B891" s="13"/>
      <c r="C891" s="13"/>
      <c r="D891" s="13"/>
    </row>
    <row r="892" spans="1:4">
      <c r="A892" s="13"/>
      <c r="B892" s="13"/>
      <c r="C892" s="13"/>
      <c r="D892" s="13"/>
    </row>
    <row r="893" spans="1:4">
      <c r="A893" s="13"/>
      <c r="B893" s="13"/>
      <c r="C893" s="13"/>
      <c r="D893" s="13"/>
    </row>
    <row r="894" spans="1:4">
      <c r="A894" s="13"/>
      <c r="B894" s="13"/>
      <c r="C894" s="13"/>
      <c r="D894" s="13"/>
    </row>
    <row r="895" spans="1:4">
      <c r="A895" s="13"/>
      <c r="B895" s="13"/>
      <c r="C895" s="13"/>
      <c r="D895" s="13"/>
    </row>
    <row r="896" spans="1:4">
      <c r="A896" s="13"/>
      <c r="B896" s="13"/>
      <c r="C896" s="13"/>
      <c r="D896" s="13"/>
    </row>
    <row r="897" spans="1:4">
      <c r="A897" s="13"/>
      <c r="B897" s="13"/>
      <c r="C897" s="13"/>
      <c r="D897" s="13"/>
    </row>
    <row r="898" spans="1:4">
      <c r="A898" s="13"/>
      <c r="B898" s="13"/>
      <c r="C898" s="13"/>
      <c r="D898" s="13"/>
    </row>
    <row r="899" spans="1:4">
      <c r="A899" s="13"/>
      <c r="B899" s="13"/>
      <c r="C899" s="13"/>
      <c r="D899" s="13"/>
    </row>
    <row r="900" spans="1:4">
      <c r="A900" s="13"/>
      <c r="B900" s="13"/>
      <c r="C900" s="13"/>
      <c r="D900" s="13"/>
    </row>
    <row r="901" spans="1:4">
      <c r="A901" s="13"/>
      <c r="B901" s="13"/>
      <c r="C901" s="13"/>
      <c r="D901" s="13"/>
    </row>
    <row r="902" spans="1:4">
      <c r="A902" s="13"/>
      <c r="B902" s="13"/>
      <c r="C902" s="13"/>
      <c r="D902" s="13"/>
    </row>
    <row r="903" spans="1:4">
      <c r="A903" s="13"/>
      <c r="B903" s="13"/>
      <c r="C903" s="13"/>
      <c r="D903" s="13"/>
    </row>
    <row r="904" spans="1:4">
      <c r="A904" s="13"/>
      <c r="B904" s="13"/>
      <c r="C904" s="13"/>
      <c r="D904" s="13"/>
    </row>
    <row r="905" spans="1:4">
      <c r="A905" s="13"/>
      <c r="B905" s="13"/>
      <c r="C905" s="13"/>
      <c r="D905" s="13"/>
    </row>
    <row r="906" spans="1:4">
      <c r="A906" s="13"/>
      <c r="B906" s="13"/>
      <c r="C906" s="13"/>
      <c r="D906" s="13"/>
    </row>
    <row r="907" spans="1:4">
      <c r="A907" s="13"/>
      <c r="B907" s="13"/>
      <c r="C907" s="13"/>
      <c r="D907" s="13"/>
    </row>
    <row r="908" spans="1:4">
      <c r="A908" s="13"/>
      <c r="B908" s="13"/>
      <c r="C908" s="13"/>
      <c r="D908" s="13"/>
    </row>
    <row r="909" spans="1:4">
      <c r="A909" s="13"/>
      <c r="B909" s="13"/>
      <c r="C909" s="13"/>
      <c r="D909" s="13"/>
    </row>
    <row r="910" spans="1:4">
      <c r="A910" s="13"/>
      <c r="B910" s="13"/>
      <c r="C910" s="13"/>
      <c r="D910" s="13"/>
    </row>
    <row r="911" spans="1:4">
      <c r="A911" s="13"/>
      <c r="B911" s="13"/>
      <c r="C911" s="13"/>
      <c r="D911" s="13"/>
    </row>
    <row r="912" spans="1:4">
      <c r="A912" s="13"/>
      <c r="B912" s="13"/>
      <c r="C912" s="13"/>
      <c r="D912" s="13"/>
    </row>
    <row r="913" spans="1:4">
      <c r="A913" s="13"/>
      <c r="B913" s="13"/>
      <c r="C913" s="13"/>
      <c r="D913" s="13"/>
    </row>
    <row r="914" spans="1:4">
      <c r="A914" s="13"/>
      <c r="B914" s="13"/>
      <c r="C914" s="13"/>
      <c r="D914" s="13"/>
    </row>
    <row r="915" spans="1:4">
      <c r="A915" s="13"/>
      <c r="B915" s="13"/>
      <c r="C915" s="13"/>
      <c r="D915" s="13"/>
    </row>
    <row r="916" spans="1:4">
      <c r="A916" s="13"/>
      <c r="B916" s="13"/>
      <c r="C916" s="13"/>
      <c r="D916" s="13"/>
    </row>
    <row r="917" spans="1:4">
      <c r="A917" s="13"/>
      <c r="B917" s="13"/>
      <c r="C917" s="13"/>
      <c r="D917" s="13"/>
    </row>
    <row r="918" spans="1:4">
      <c r="A918" s="13"/>
      <c r="B918" s="13"/>
      <c r="C918" s="13"/>
      <c r="D918" s="13"/>
    </row>
    <row r="919" spans="1:4">
      <c r="A919" s="13"/>
      <c r="B919" s="13"/>
      <c r="C919" s="13"/>
      <c r="D919" s="13"/>
    </row>
    <row r="920" spans="1:4">
      <c r="A920" s="13"/>
      <c r="B920" s="13"/>
      <c r="C920" s="13"/>
      <c r="D920" s="13"/>
    </row>
    <row r="921" spans="1:4">
      <c r="A921" s="13"/>
      <c r="B921" s="13"/>
      <c r="C921" s="13"/>
      <c r="D921" s="13"/>
    </row>
    <row r="922" spans="1:4">
      <c r="A922" s="13"/>
      <c r="B922" s="13"/>
      <c r="C922" s="13"/>
      <c r="D922" s="13"/>
    </row>
    <row r="923" spans="1:4">
      <c r="A923" s="13"/>
      <c r="B923" s="13"/>
      <c r="C923" s="13"/>
      <c r="D923" s="13"/>
    </row>
    <row r="924" spans="1:4">
      <c r="A924" s="13"/>
      <c r="B924" s="13"/>
      <c r="C924" s="13"/>
      <c r="D924" s="13"/>
    </row>
    <row r="925" spans="1:4">
      <c r="A925" s="13"/>
      <c r="B925" s="13"/>
      <c r="C925" s="13"/>
      <c r="D925" s="13"/>
    </row>
    <row r="926" spans="1:4">
      <c r="A926" s="13"/>
      <c r="B926" s="13"/>
      <c r="C926" s="13"/>
      <c r="D926" s="13"/>
    </row>
    <row r="927" spans="1:4">
      <c r="A927" s="13"/>
      <c r="B927" s="13"/>
      <c r="C927" s="13"/>
      <c r="D927" s="13"/>
    </row>
    <row r="928" spans="1:4">
      <c r="A928" s="13"/>
      <c r="B928" s="13"/>
      <c r="C928" s="13"/>
      <c r="D928" s="13"/>
    </row>
    <row r="929" spans="1:4">
      <c r="A929" s="13"/>
      <c r="B929" s="13"/>
      <c r="C929" s="13"/>
      <c r="D929" s="13"/>
    </row>
    <row r="930" spans="1:4">
      <c r="A930" s="13"/>
      <c r="B930" s="13"/>
      <c r="C930" s="13"/>
      <c r="D930" s="13"/>
    </row>
    <row r="931" spans="1:4">
      <c r="A931" s="13"/>
      <c r="B931" s="13"/>
      <c r="C931" s="13"/>
      <c r="D931" s="13"/>
    </row>
    <row r="932" spans="1:4">
      <c r="A932" s="13"/>
      <c r="B932" s="13"/>
      <c r="C932" s="13"/>
      <c r="D932" s="13"/>
    </row>
    <row r="933" spans="1:4">
      <c r="A933" s="13"/>
      <c r="B933" s="13"/>
      <c r="C933" s="13"/>
      <c r="D933" s="13"/>
    </row>
    <row r="934" spans="1:4">
      <c r="A934" s="13"/>
      <c r="B934" s="13"/>
      <c r="C934" s="13"/>
      <c r="D934" s="13"/>
    </row>
    <row r="935" spans="1:4">
      <c r="A935" s="13"/>
      <c r="B935" s="13"/>
      <c r="C935" s="13"/>
      <c r="D935" s="13"/>
    </row>
    <row r="936" spans="1:4">
      <c r="A936" s="13"/>
      <c r="B936" s="13"/>
      <c r="C936" s="13"/>
      <c r="D936" s="13"/>
    </row>
    <row r="937" spans="1:4">
      <c r="A937" s="13"/>
      <c r="B937" s="13"/>
      <c r="C937" s="13"/>
      <c r="D937" s="13"/>
    </row>
    <row r="938" spans="1:4">
      <c r="A938" s="13"/>
      <c r="B938" s="13"/>
      <c r="C938" s="13"/>
      <c r="D938" s="13"/>
    </row>
    <row r="939" spans="1:4">
      <c r="A939" s="13"/>
      <c r="B939" s="13"/>
      <c r="C939" s="13"/>
      <c r="D939" s="13"/>
    </row>
    <row r="940" spans="1:4">
      <c r="A940" s="13"/>
      <c r="B940" s="13"/>
      <c r="C940" s="13"/>
      <c r="D940" s="13"/>
    </row>
    <row r="941" spans="1:4">
      <c r="A941" s="13"/>
      <c r="B941" s="13"/>
      <c r="C941" s="13"/>
      <c r="D941" s="13"/>
    </row>
    <row r="942" spans="1:4">
      <c r="A942" s="13"/>
      <c r="B942" s="13"/>
      <c r="C942" s="13"/>
      <c r="D942" s="13"/>
    </row>
    <row r="943" spans="1:4">
      <c r="A943" s="13"/>
      <c r="B943" s="13"/>
      <c r="C943" s="13"/>
      <c r="D943" s="13"/>
    </row>
    <row r="944" spans="1:4">
      <c r="A944" s="13"/>
      <c r="B944" s="13"/>
      <c r="C944" s="13"/>
      <c r="D944" s="13"/>
    </row>
    <row r="945" spans="1:4">
      <c r="A945" s="13"/>
      <c r="B945" s="13"/>
      <c r="C945" s="13"/>
      <c r="D945" s="13"/>
    </row>
    <row r="946" spans="1:4">
      <c r="A946" s="13"/>
      <c r="B946" s="13"/>
      <c r="C946" s="13"/>
      <c r="D946" s="13"/>
    </row>
    <row r="947" spans="1:4">
      <c r="A947" s="13"/>
      <c r="B947" s="13"/>
      <c r="C947" s="13"/>
      <c r="D947" s="13"/>
    </row>
    <row r="948" spans="1:4">
      <c r="A948" s="13"/>
      <c r="B948" s="13"/>
      <c r="C948" s="13"/>
      <c r="D948" s="13"/>
    </row>
    <row r="949" spans="1:4">
      <c r="A949" s="13"/>
      <c r="B949" s="13"/>
      <c r="C949" s="13"/>
      <c r="D949" s="13"/>
    </row>
    <row r="950" spans="1:4">
      <c r="A950" s="13"/>
      <c r="B950" s="13"/>
      <c r="C950" s="13"/>
      <c r="D950" s="13"/>
    </row>
    <row r="951" spans="1:4">
      <c r="A951" s="13"/>
      <c r="B951" s="13"/>
      <c r="C951" s="13"/>
      <c r="D951" s="13"/>
    </row>
    <row r="952" spans="1:4">
      <c r="A952" s="13"/>
      <c r="B952" s="13"/>
      <c r="C952" s="13"/>
      <c r="D952" s="13"/>
    </row>
    <row r="953" spans="1:4">
      <c r="A953" s="13"/>
      <c r="B953" s="13"/>
      <c r="C953" s="13"/>
      <c r="D953" s="13"/>
    </row>
    <row r="954" spans="1:4">
      <c r="A954" s="13"/>
      <c r="B954" s="13"/>
      <c r="C954" s="13"/>
      <c r="D954" s="13"/>
    </row>
    <row r="955" spans="1:4">
      <c r="A955" s="13"/>
      <c r="B955" s="13"/>
      <c r="C955" s="13"/>
      <c r="D955" s="13"/>
    </row>
    <row r="956" spans="1:4">
      <c r="A956" s="13"/>
      <c r="B956" s="13"/>
      <c r="C956" s="13"/>
      <c r="D956" s="13"/>
    </row>
    <row r="957" spans="1:4">
      <c r="A957" s="13"/>
      <c r="B957" s="13"/>
      <c r="C957" s="13"/>
      <c r="D957" s="13"/>
    </row>
    <row r="958" spans="1:4">
      <c r="A958" s="13"/>
      <c r="B958" s="13"/>
      <c r="C958" s="13"/>
      <c r="D958" s="13"/>
    </row>
    <row r="959" spans="1:4">
      <c r="A959" s="13"/>
      <c r="B959" s="13"/>
      <c r="C959" s="13"/>
      <c r="D959" s="13"/>
    </row>
    <row r="960" spans="1:4">
      <c r="A960" s="13"/>
      <c r="B960" s="13"/>
      <c r="C960" s="13"/>
      <c r="D960" s="13"/>
    </row>
    <row r="961" spans="1:4">
      <c r="A961" s="13"/>
      <c r="B961" s="13"/>
      <c r="C961" s="13"/>
      <c r="D961" s="13"/>
    </row>
    <row r="962" spans="1:4">
      <c r="A962" s="13"/>
      <c r="B962" s="13"/>
      <c r="C962" s="13"/>
      <c r="D962" s="13"/>
    </row>
    <row r="963" spans="1:4">
      <c r="A963" s="13"/>
      <c r="B963" s="13"/>
      <c r="C963" s="13"/>
      <c r="D963" s="13"/>
    </row>
    <row r="964" spans="1:4">
      <c r="A964" s="13"/>
      <c r="B964" s="13"/>
      <c r="C964" s="13"/>
      <c r="D964" s="13"/>
    </row>
    <row r="965" spans="1:4">
      <c r="A965" s="13"/>
      <c r="B965" s="13"/>
      <c r="C965" s="13"/>
      <c r="D965" s="13"/>
    </row>
    <row r="966" spans="1:4">
      <c r="A966" s="13"/>
      <c r="B966" s="13"/>
      <c r="C966" s="13"/>
      <c r="D966" s="13"/>
    </row>
    <row r="967" spans="1:4">
      <c r="A967" s="13"/>
      <c r="B967" s="13"/>
      <c r="C967" s="13"/>
      <c r="D967" s="13"/>
    </row>
    <row r="968" spans="1:4">
      <c r="A968" s="13"/>
      <c r="B968" s="13"/>
      <c r="C968" s="13"/>
      <c r="D968" s="13"/>
    </row>
    <row r="969" spans="1:4">
      <c r="A969" s="13"/>
      <c r="B969" s="13"/>
      <c r="C969" s="13"/>
      <c r="D969" s="13"/>
    </row>
    <row r="970" spans="1:4">
      <c r="A970" s="13"/>
      <c r="B970" s="13"/>
      <c r="C970" s="13"/>
      <c r="D970" s="13"/>
    </row>
    <row r="971" spans="1:4">
      <c r="A971" s="13"/>
      <c r="B971" s="13"/>
      <c r="C971" s="13"/>
      <c r="D971" s="13"/>
    </row>
    <row r="972" spans="1:4">
      <c r="A972" s="13"/>
      <c r="B972" s="13"/>
      <c r="C972" s="13"/>
      <c r="D972" s="13"/>
    </row>
    <row r="973" spans="1:4">
      <c r="A973" s="13"/>
      <c r="B973" s="13"/>
      <c r="C973" s="13"/>
      <c r="D973" s="13"/>
    </row>
    <row r="974" spans="1:4">
      <c r="A974" s="13"/>
      <c r="B974" s="13"/>
      <c r="C974" s="13"/>
      <c r="D974" s="13"/>
    </row>
    <row r="975" spans="1:4">
      <c r="A975" s="13"/>
      <c r="B975" s="13"/>
      <c r="C975" s="13"/>
      <c r="D975" s="13"/>
    </row>
    <row r="976" spans="1:4">
      <c r="A976" s="13"/>
      <c r="B976" s="13"/>
      <c r="C976" s="13"/>
      <c r="D976" s="13"/>
    </row>
    <row r="977" spans="1:4">
      <c r="A977" s="13"/>
      <c r="B977" s="13"/>
      <c r="C977" s="13"/>
      <c r="D977" s="13"/>
    </row>
    <row r="978" spans="1:4">
      <c r="A978" s="13"/>
      <c r="B978" s="13"/>
      <c r="C978" s="13"/>
      <c r="D978" s="13"/>
    </row>
    <row r="979" spans="1:4">
      <c r="A979" s="13"/>
      <c r="B979" s="13"/>
      <c r="C979" s="13"/>
      <c r="D979" s="13"/>
    </row>
    <row r="980" spans="1:4">
      <c r="A980" s="13"/>
      <c r="B980" s="13"/>
      <c r="C980" s="13"/>
      <c r="D980" s="13"/>
    </row>
    <row r="981" spans="1:4">
      <c r="A981" s="13"/>
      <c r="B981" s="13"/>
      <c r="C981" s="13"/>
      <c r="D981" s="13"/>
    </row>
    <row r="982" spans="1:4">
      <c r="A982" s="13"/>
      <c r="B982" s="13"/>
      <c r="C982" s="13"/>
      <c r="D982" s="13"/>
    </row>
    <row r="983" spans="1:4">
      <c r="A983" s="13"/>
      <c r="B983" s="13"/>
      <c r="C983" s="13"/>
      <c r="D983" s="13"/>
    </row>
    <row r="984" spans="1:4">
      <c r="A984" s="13"/>
      <c r="B984" s="13"/>
      <c r="C984" s="13"/>
      <c r="D984" s="13"/>
    </row>
    <row r="985" spans="1:4">
      <c r="A985" s="13"/>
      <c r="B985" s="13"/>
      <c r="C985" s="13"/>
      <c r="D985" s="13"/>
    </row>
    <row r="986" spans="1:4">
      <c r="A986" s="13"/>
      <c r="B986" s="13"/>
      <c r="C986" s="13"/>
      <c r="D986" s="13"/>
    </row>
    <row r="987" spans="1:4">
      <c r="A987" s="13"/>
      <c r="B987" s="13"/>
      <c r="C987" s="13"/>
      <c r="D987" s="13"/>
    </row>
    <row r="988" spans="1:4">
      <c r="A988" s="13"/>
      <c r="B988" s="13"/>
      <c r="C988" s="13"/>
      <c r="D988" s="13"/>
    </row>
    <row r="989" spans="1:4">
      <c r="A989" s="13"/>
      <c r="B989" s="13"/>
      <c r="C989" s="13"/>
      <c r="D989" s="13"/>
    </row>
    <row r="990" spans="1:4">
      <c r="A990" s="13"/>
      <c r="B990" s="13"/>
      <c r="C990" s="13"/>
      <c r="D990" s="13"/>
    </row>
    <row r="991" spans="1:4">
      <c r="A991" s="13"/>
      <c r="B991" s="13"/>
      <c r="C991" s="13"/>
      <c r="D991" s="13"/>
    </row>
    <row r="992" spans="1:4">
      <c r="A992" s="13"/>
      <c r="B992" s="13"/>
      <c r="C992" s="13"/>
      <c r="D992" s="13"/>
    </row>
    <row r="993" spans="1:4">
      <c r="A993" s="13"/>
      <c r="B993" s="13"/>
      <c r="C993" s="13"/>
      <c r="D993" s="13"/>
    </row>
    <row r="994" spans="1:4">
      <c r="A994" s="13"/>
      <c r="B994" s="13"/>
      <c r="C994" s="13"/>
      <c r="D994" s="13"/>
    </row>
    <row r="995" spans="1:4">
      <c r="A995" s="13"/>
      <c r="B995" s="13"/>
      <c r="C995" s="13"/>
      <c r="D995" s="13"/>
    </row>
    <row r="996" spans="1:4">
      <c r="A996" s="13"/>
      <c r="B996" s="13"/>
      <c r="C996" s="13"/>
      <c r="D996" s="13"/>
    </row>
    <row r="997" spans="1:4">
      <c r="A997" s="13"/>
      <c r="B997" s="13"/>
      <c r="C997" s="13"/>
      <c r="D997" s="13"/>
    </row>
    <row r="998" spans="1:4">
      <c r="A998" s="13"/>
      <c r="B998" s="13"/>
      <c r="C998" s="13"/>
      <c r="D998" s="13"/>
    </row>
    <row r="999" spans="1:4">
      <c r="A999" s="13"/>
      <c r="B999" s="13"/>
      <c r="C999" s="13"/>
      <c r="D999" s="13"/>
    </row>
    <row r="1000" spans="1:4">
      <c r="A1000" s="13"/>
      <c r="B1000" s="13"/>
      <c r="C1000" s="13"/>
      <c r="D1000" s="13"/>
    </row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1155CC"/>
    <outlinePr summaryBelow="0" summaryRight="0"/>
  </sheetPr>
  <dimension ref="A1:F630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19.42578125" customWidth="1"/>
    <col min="3" max="3" width="21" customWidth="1"/>
    <col min="4" max="4" width="20.7109375" customWidth="1"/>
  </cols>
  <sheetData>
    <row r="1" spans="1:6">
      <c r="A1" s="37" t="s">
        <v>719</v>
      </c>
      <c r="B1" s="1" t="s">
        <v>720</v>
      </c>
      <c r="C1" s="1" t="s">
        <v>264</v>
      </c>
      <c r="D1" s="1" t="s">
        <v>721</v>
      </c>
      <c r="E1" s="1" t="s">
        <v>722</v>
      </c>
      <c r="F1" s="1" t="s">
        <v>723</v>
      </c>
    </row>
    <row r="2" spans="1:6">
      <c r="A2" s="2" t="str">
        <f ca="1">IFERROR(__xludf.DUMMYFUNCTION("UNIQUE(FLATTEN(QUERY(APOIO!$E$2:$E$9203, ""SELECT E WHERE E LIKE '%.%'""),QUERY(APOIO!$F$2:$F$9203, ""SELECT F WHERE F LIKE '%.%'"")))"),"1.2.3.2.1.01.01.01.00")</f>
        <v>1.2.3.2.1.01.01.01.00</v>
      </c>
      <c r="B2" s="38">
        <v>44926</v>
      </c>
      <c r="C2" s="2">
        <f>APOIO!$B$2</f>
        <v>2101</v>
      </c>
      <c r="D2" s="3">
        <f ca="1">IFERROR(__xludf.DUMMYFUNCTION("SUM(
IFERROR(QUERY('Sintética 20222023'!A:J, CONCATENATE(""SELECT I WHERE A="", ""'"",$A2,""'"")),0),
IFERROR(QUERY('Sintética 20222023'!A:J, CONCATENATE(""SELECT H WHERE G="", ""'"",$A2,""'"")),0),
)"),0)</f>
        <v>0</v>
      </c>
      <c r="E2" s="10">
        <v>2022</v>
      </c>
      <c r="F2" s="10">
        <v>12</v>
      </c>
    </row>
    <row r="3" spans="1:6">
      <c r="A3" s="2" t="str">
        <f ca="1">IFERROR(__xludf.DUMMYFUNCTION("""COMPUTED_VALUE"""),"1.2.3.2.1.01.02.01.00")</f>
        <v>1.2.3.2.1.01.02.01.00</v>
      </c>
      <c r="B3" s="38">
        <v>44926</v>
      </c>
      <c r="C3" s="2">
        <f>APOIO!$B$2</f>
        <v>2101</v>
      </c>
      <c r="D3" s="3">
        <f ca="1">IFERROR(__xludf.DUMMYFUNCTION("SUM(
IFERROR(QUERY('Sintética 20222023'!A:J, CONCATENATE(""SELECT I WHERE A="", ""'"",$A3,""'"")),0),
IFERROR(QUERY('Sintética 20222023'!A:J, CONCATENATE(""SELECT H WHERE G="", ""'"",$A3,""'"")),0),
)"),30146.67)</f>
        <v>30146.67</v>
      </c>
      <c r="E3" s="10">
        <v>2022</v>
      </c>
      <c r="F3" s="10">
        <v>12</v>
      </c>
    </row>
    <row r="4" spans="1:6">
      <c r="A4" s="2" t="str">
        <f ca="1">IFERROR(__xludf.DUMMYFUNCTION("""COMPUTED_VALUE"""),"1.2.3.2.1.01.03.01.00")</f>
        <v>1.2.3.2.1.01.03.01.00</v>
      </c>
      <c r="B4" s="38">
        <v>44926</v>
      </c>
      <c r="C4" s="2">
        <f>APOIO!$B$2</f>
        <v>2101</v>
      </c>
      <c r="D4" s="3">
        <f ca="1">IFERROR(__xludf.DUMMYFUNCTION("SUM(
IFERROR(QUERY('Sintética 20222023'!A:J, CONCATENATE(""SELECT I WHERE A="", ""'"",$A4,""'"")),0),
IFERROR(QUERY('Sintética 20222023'!A:J, CONCATENATE(""SELECT H WHERE G="", ""'"",$A4,""'"")),0),
)"),0)</f>
        <v>0</v>
      </c>
      <c r="E4" s="10">
        <v>2022</v>
      </c>
      <c r="F4" s="10">
        <v>12</v>
      </c>
    </row>
    <row r="5" spans="1:6">
      <c r="A5" s="2" t="str">
        <f ca="1">IFERROR(__xludf.DUMMYFUNCTION("""COMPUTED_VALUE"""),"1.2.3.2.1.01.04.01.00")</f>
        <v>1.2.3.2.1.01.04.01.00</v>
      </c>
      <c r="B5" s="38">
        <v>44926</v>
      </c>
      <c r="C5" s="2">
        <f>APOIO!$B$2</f>
        <v>2101</v>
      </c>
      <c r="D5" s="3">
        <f ca="1">IFERROR(__xludf.DUMMYFUNCTION("SUM(
IFERROR(QUERY('Sintética 20222023'!A:J, CONCATENATE(""SELECT I WHERE A="", ""'"",$A5,""'"")),0),
IFERROR(QUERY('Sintética 20222023'!A:J, CONCATENATE(""SELECT H WHERE G="", ""'"",$A5,""'"")),0),
)"),0)</f>
        <v>0</v>
      </c>
      <c r="E5" s="10">
        <v>2022</v>
      </c>
      <c r="F5" s="10">
        <v>12</v>
      </c>
    </row>
    <row r="6" spans="1:6">
      <c r="A6" s="2" t="str">
        <f ca="1">IFERROR(__xludf.DUMMYFUNCTION("""COMPUTED_VALUE"""),"1.2.3.2.1.01.05.01.00")</f>
        <v>1.2.3.2.1.01.05.01.00</v>
      </c>
      <c r="B6" s="38">
        <v>44926</v>
      </c>
      <c r="C6" s="2">
        <f>APOIO!$B$2</f>
        <v>2101</v>
      </c>
      <c r="D6" s="3">
        <f ca="1">IFERROR(__xludf.DUMMYFUNCTION("SUM(
IFERROR(QUERY('Sintética 20222023'!A:J, CONCATENATE(""SELECT I WHERE A="", ""'"",$A6,""'"")),0),
IFERROR(QUERY('Sintética 20222023'!A:J, CONCATENATE(""SELECT H WHERE G="", ""'"",$A6,""'"")),0),
)"),0)</f>
        <v>0</v>
      </c>
      <c r="E6" s="10">
        <v>2022</v>
      </c>
      <c r="F6" s="10">
        <v>12</v>
      </c>
    </row>
    <row r="7" spans="1:6">
      <c r="A7" s="2" t="str">
        <f ca="1">IFERROR(__xludf.DUMMYFUNCTION("""COMPUTED_VALUE"""),"1.2.3.2.1.01.05.02.00")</f>
        <v>1.2.3.2.1.01.05.02.00</v>
      </c>
      <c r="B7" s="38">
        <v>44926</v>
      </c>
      <c r="C7" s="2">
        <f>APOIO!$B$2</f>
        <v>2101</v>
      </c>
      <c r="D7" s="3">
        <f ca="1">IFERROR(__xludf.DUMMYFUNCTION("SUM(
IFERROR(QUERY('Sintética 20222023'!A:J, CONCATENATE(""SELECT I WHERE A="", ""'"",$A7,""'"")),0),
IFERROR(QUERY('Sintética 20222023'!A:J, CONCATENATE(""SELECT H WHERE G="", ""'"",$A7,""'"")),0),
)"),0)</f>
        <v>0</v>
      </c>
      <c r="E7" s="10">
        <v>2022</v>
      </c>
      <c r="F7" s="10">
        <v>12</v>
      </c>
    </row>
    <row r="8" spans="1:6">
      <c r="A8" s="2" t="str">
        <f ca="1">IFERROR(__xludf.DUMMYFUNCTION("""COMPUTED_VALUE"""),"1.2.3.2.1.01.06.01.00")</f>
        <v>1.2.3.2.1.01.06.01.00</v>
      </c>
      <c r="B8" s="38">
        <v>44926</v>
      </c>
      <c r="C8" s="2">
        <f>APOIO!$B$2</f>
        <v>2101</v>
      </c>
      <c r="D8" s="3">
        <f ca="1">IFERROR(__xludf.DUMMYFUNCTION("SUM(
IFERROR(QUERY('Sintética 20222023'!A:J, CONCATENATE(""SELECT I WHERE A="", ""'"",$A8,""'"")),0),
IFERROR(QUERY('Sintética 20222023'!A:J, CONCATENATE(""SELECT H WHERE G="", ""'"",$A8,""'"")),0),
)"),0)</f>
        <v>0</v>
      </c>
      <c r="E8" s="10">
        <v>2022</v>
      </c>
      <c r="F8" s="10">
        <v>12</v>
      </c>
    </row>
    <row r="9" spans="1:6">
      <c r="A9" s="2" t="str">
        <f ca="1">IFERROR(__xludf.DUMMYFUNCTION("""COMPUTED_VALUE"""),"1.2.3.2.1.01.07.01.00")</f>
        <v>1.2.3.2.1.01.07.01.00</v>
      </c>
      <c r="B9" s="38">
        <v>44926</v>
      </c>
      <c r="C9" s="2">
        <f>APOIO!$B$2</f>
        <v>2101</v>
      </c>
      <c r="D9" s="3">
        <f ca="1">IFERROR(__xludf.DUMMYFUNCTION("SUM(
IFERROR(QUERY('Sintética 20222023'!A:J, CONCATENATE(""SELECT I WHERE A="", ""'"",$A9,""'"")),0),
IFERROR(QUERY('Sintética 20222023'!A:J, CONCATENATE(""SELECT H WHERE G="", ""'"",$A9,""'"")),0),
)"),0)</f>
        <v>0</v>
      </c>
      <c r="E9" s="10">
        <v>2022</v>
      </c>
      <c r="F9" s="10">
        <v>12</v>
      </c>
    </row>
    <row r="10" spans="1:6">
      <c r="A10" s="2" t="str">
        <f ca="1">IFERROR(__xludf.DUMMYFUNCTION("""COMPUTED_VALUE"""),"1.2.3.2.1.01.07.02.00")</f>
        <v>1.2.3.2.1.01.07.02.00</v>
      </c>
      <c r="B10" s="38">
        <v>44926</v>
      </c>
      <c r="C10" s="2">
        <f>APOIO!$B$2</f>
        <v>2101</v>
      </c>
      <c r="D10" s="3">
        <f ca="1">IFERROR(__xludf.DUMMYFUNCTION("SUM(
IFERROR(QUERY('Sintética 20222023'!A:J, CONCATENATE(""SELECT I WHERE A="", ""'"",$A10,""'"")),0),
IFERROR(QUERY('Sintética 20222023'!A:J, CONCATENATE(""SELECT H WHERE G="", ""'"",$A10,""'"")),0),
)"),0)</f>
        <v>0</v>
      </c>
      <c r="E10" s="10">
        <v>2022</v>
      </c>
      <c r="F10" s="10">
        <v>12</v>
      </c>
    </row>
    <row r="11" spans="1:6">
      <c r="A11" s="2" t="str">
        <f ca="1">IFERROR(__xludf.DUMMYFUNCTION("""COMPUTED_VALUE"""),"1.2.3.2.1.01.07.03.00")</f>
        <v>1.2.3.2.1.01.07.03.00</v>
      </c>
      <c r="B11" s="38">
        <v>44926</v>
      </c>
      <c r="C11" s="2">
        <f>APOIO!$B$2</f>
        <v>2101</v>
      </c>
      <c r="D11" s="3">
        <f ca="1">IFERROR(__xludf.DUMMYFUNCTION("SUM(
IFERROR(QUERY('Sintética 20222023'!A:J, CONCATENATE(""SELECT I WHERE A="", ""'"",$A11,""'"")),0),
IFERROR(QUERY('Sintética 20222023'!A:J, CONCATENATE(""SELECT H WHERE G="", ""'"",$A11,""'"")),0),
)"),0)</f>
        <v>0</v>
      </c>
      <c r="E11" s="10">
        <v>2022</v>
      </c>
      <c r="F11" s="10">
        <v>12</v>
      </c>
    </row>
    <row r="12" spans="1:6">
      <c r="A12" s="2" t="str">
        <f ca="1">IFERROR(__xludf.DUMMYFUNCTION("""COMPUTED_VALUE"""),"1.2.3.2.1.01.08.01.00")</f>
        <v>1.2.3.2.1.01.08.01.00</v>
      </c>
      <c r="B12" s="38">
        <v>44926</v>
      </c>
      <c r="C12" s="2">
        <f>APOIO!$B$2</f>
        <v>2101</v>
      </c>
      <c r="D12" s="3">
        <f ca="1">IFERROR(__xludf.DUMMYFUNCTION("SUM(
IFERROR(QUERY('Sintética 20222023'!A:J, CONCATENATE(""SELECT I WHERE A="", ""'"",$A12,""'"")),0),
IFERROR(QUERY('Sintética 20222023'!A:J, CONCATENATE(""SELECT H WHERE G="", ""'"",$A12,""'"")),0),
)"),89370.22)</f>
        <v>89370.22</v>
      </c>
      <c r="E12" s="10">
        <v>2022</v>
      </c>
      <c r="F12" s="10">
        <v>12</v>
      </c>
    </row>
    <row r="13" spans="1:6">
      <c r="A13" s="2" t="str">
        <f ca="1">IFERROR(__xludf.DUMMYFUNCTION("""COMPUTED_VALUE"""),"1.2.3.2.1.01.09.01.00")</f>
        <v>1.2.3.2.1.01.09.01.00</v>
      </c>
      <c r="B13" s="38">
        <v>44926</v>
      </c>
      <c r="C13" s="2">
        <f>APOIO!$B$2</f>
        <v>2101</v>
      </c>
      <c r="D13" s="3">
        <f ca="1">IFERROR(__xludf.DUMMYFUNCTION("SUM(
IFERROR(QUERY('Sintética 20222023'!A:J, CONCATENATE(""SELECT I WHERE A="", ""'"",$A13,""'"")),0),
IFERROR(QUERY('Sintética 20222023'!A:J, CONCATENATE(""SELECT H WHERE G="", ""'"",$A13,""'"")),0),
)"),0)</f>
        <v>0</v>
      </c>
      <c r="E13" s="10">
        <v>2022</v>
      </c>
      <c r="F13" s="10">
        <v>12</v>
      </c>
    </row>
    <row r="14" spans="1:6">
      <c r="A14" s="2" t="str">
        <f ca="1">IFERROR(__xludf.DUMMYFUNCTION("""COMPUTED_VALUE"""),"1.2.3.2.1.01.09.02.00")</f>
        <v>1.2.3.2.1.01.09.02.00</v>
      </c>
      <c r="B14" s="38">
        <v>44926</v>
      </c>
      <c r="C14" s="2">
        <f>APOIO!$B$2</f>
        <v>2101</v>
      </c>
      <c r="D14" s="3">
        <f ca="1">IFERROR(__xludf.DUMMYFUNCTION("SUM(
IFERROR(QUERY('Sintética 20222023'!A:J, CONCATENATE(""SELECT I WHERE A="", ""'"",$A14,""'"")),0),
IFERROR(QUERY('Sintética 20222023'!A:J, CONCATENATE(""SELECT H WHERE G="", ""'"",$A14,""'"")),0),
)"),0)</f>
        <v>0</v>
      </c>
      <c r="E14" s="10">
        <v>2022</v>
      </c>
      <c r="F14" s="10">
        <v>12</v>
      </c>
    </row>
    <row r="15" spans="1:6">
      <c r="A15" s="2" t="str">
        <f ca="1">IFERROR(__xludf.DUMMYFUNCTION("""COMPUTED_VALUE"""),"1.2.3.2.1.01.10.01.00")</f>
        <v>1.2.3.2.1.01.10.01.00</v>
      </c>
      <c r="B15" s="38">
        <v>44926</v>
      </c>
      <c r="C15" s="2">
        <f>APOIO!$B$2</f>
        <v>2101</v>
      </c>
      <c r="D15" s="3">
        <f ca="1">IFERROR(__xludf.DUMMYFUNCTION("SUM(
IFERROR(QUERY('Sintética 20222023'!A:J, CONCATENATE(""SELECT I WHERE A="", ""'"",$A15,""'"")),0),
IFERROR(QUERY('Sintética 20222023'!A:J, CONCATENATE(""SELECT H WHERE G="", ""'"",$A15,""'"")),0),
)"),0)</f>
        <v>0</v>
      </c>
      <c r="E15" s="10">
        <v>2022</v>
      </c>
      <c r="F15" s="10">
        <v>12</v>
      </c>
    </row>
    <row r="16" spans="1:6">
      <c r="A16" s="2" t="str">
        <f ca="1">IFERROR(__xludf.DUMMYFUNCTION("""COMPUTED_VALUE"""),"1.2.3.2.1.01.10.02.00")</f>
        <v>1.2.3.2.1.01.10.02.00</v>
      </c>
      <c r="B16" s="38">
        <v>44926</v>
      </c>
      <c r="C16" s="2">
        <f>APOIO!$B$2</f>
        <v>2101</v>
      </c>
      <c r="D16" s="3">
        <f ca="1">IFERROR(__xludf.DUMMYFUNCTION("SUM(
IFERROR(QUERY('Sintética 20222023'!A:J, CONCATENATE(""SELECT I WHERE A="", ""'"",$A16,""'"")),0),
IFERROR(QUERY('Sintética 20222023'!A:J, CONCATENATE(""SELECT H WHERE G="", ""'"",$A16,""'"")),0),
)"),6490033.2)</f>
        <v>6490033.2000000002</v>
      </c>
      <c r="E16" s="10">
        <v>2022</v>
      </c>
      <c r="F16" s="10">
        <v>12</v>
      </c>
    </row>
    <row r="17" spans="1:6">
      <c r="A17" s="2" t="str">
        <f ca="1">IFERROR(__xludf.DUMMYFUNCTION("""COMPUTED_VALUE"""),"1.2.3.2.1.01.10.03.00")</f>
        <v>1.2.3.2.1.01.10.03.00</v>
      </c>
      <c r="B17" s="38">
        <v>44926</v>
      </c>
      <c r="C17" s="2">
        <f>APOIO!$B$2</f>
        <v>2101</v>
      </c>
      <c r="D17" s="3">
        <f ca="1">IFERROR(__xludf.DUMMYFUNCTION("SUM(
IFERROR(QUERY('Sintética 20222023'!A:J, CONCATENATE(""SELECT I WHERE A="", ""'"",$A17,""'"")),0),
IFERROR(QUERY('Sintética 20222023'!A:J, CONCATENATE(""SELECT H WHERE G="", ""'"",$A17,""'"")),0),
)"),0)</f>
        <v>0</v>
      </c>
      <c r="E17" s="10">
        <v>2022</v>
      </c>
      <c r="F17" s="10">
        <v>12</v>
      </c>
    </row>
    <row r="18" spans="1:6">
      <c r="A18" s="10" t="str">
        <f ca="1">IFERROR(__xludf.DUMMYFUNCTION("""COMPUTED_VALUE"""),"1.2.3.2.1.01.11.01.00")</f>
        <v>1.2.3.2.1.01.11.01.00</v>
      </c>
      <c r="B18" s="38">
        <v>44926</v>
      </c>
      <c r="C18" s="2">
        <f>APOIO!$B$2</f>
        <v>2101</v>
      </c>
      <c r="D18" s="3">
        <f ca="1">IFERROR(__xludf.DUMMYFUNCTION("SUM(
IFERROR(QUERY('Sintética 20222023'!A:J, CONCATENATE(""SELECT I WHERE A="", ""'"",$A18,""'"")),0),
IFERROR(QUERY('Sintética 20222023'!A:J, CONCATENATE(""SELECT H WHERE G="", ""'"",$A18,""'"")),0),
)"),0)</f>
        <v>0</v>
      </c>
      <c r="E18" s="10">
        <v>2022</v>
      </c>
      <c r="F18" s="10">
        <v>12</v>
      </c>
    </row>
    <row r="19" spans="1:6">
      <c r="A19" s="2" t="str">
        <f ca="1">IFERROR(__xludf.DUMMYFUNCTION("""COMPUTED_VALUE"""),"1.2.3.2.1.01.11.02.00")</f>
        <v>1.2.3.2.1.01.11.02.00</v>
      </c>
      <c r="B19" s="38">
        <v>44926</v>
      </c>
      <c r="C19" s="2">
        <f>APOIO!$B$2</f>
        <v>2101</v>
      </c>
      <c r="D19" s="3">
        <f ca="1">IFERROR(__xludf.DUMMYFUNCTION("SUM(
IFERROR(QUERY('Sintética 20222023'!A:J, CONCATENATE(""SELECT I WHERE A="", ""'"",$A19,""'"")),0),
IFERROR(QUERY('Sintética 20222023'!A:J, CONCATENATE(""SELECT H WHERE G="", ""'"",$A19,""'"")),0),
)"),0)</f>
        <v>0</v>
      </c>
      <c r="E19" s="10">
        <v>2022</v>
      </c>
      <c r="F19" s="10">
        <v>12</v>
      </c>
    </row>
    <row r="20" spans="1:6">
      <c r="A20" s="2" t="str">
        <f ca="1">IFERROR(__xludf.DUMMYFUNCTION("""COMPUTED_VALUE"""),"1.2.3.2.1.01.11.03.00")</f>
        <v>1.2.3.2.1.01.11.03.00</v>
      </c>
      <c r="B20" s="38">
        <v>44926</v>
      </c>
      <c r="C20" s="2">
        <f>APOIO!$B$2</f>
        <v>2101</v>
      </c>
      <c r="D20" s="3">
        <f ca="1">IFERROR(__xludf.DUMMYFUNCTION("SUM(
IFERROR(QUERY('Sintética 20222023'!A:J, CONCATENATE(""SELECT I WHERE A="", ""'"",$A20,""'"")),0),
IFERROR(QUERY('Sintética 20222023'!A:J, CONCATENATE(""SELECT H WHERE G="", ""'"",$A20,""'"")),0),
)"),0)</f>
        <v>0</v>
      </c>
      <c r="E20" s="10">
        <v>2022</v>
      </c>
      <c r="F20" s="10">
        <v>12</v>
      </c>
    </row>
    <row r="21" spans="1:6">
      <c r="A21" s="2" t="str">
        <f ca="1">IFERROR(__xludf.DUMMYFUNCTION("""COMPUTED_VALUE"""),"1.2.3.2.1.01.11.04.00")</f>
        <v>1.2.3.2.1.01.11.04.00</v>
      </c>
      <c r="B21" s="38">
        <v>44926</v>
      </c>
      <c r="C21" s="2">
        <f>APOIO!$B$2</f>
        <v>2101</v>
      </c>
      <c r="D21" s="3">
        <f ca="1">IFERROR(__xludf.DUMMYFUNCTION("SUM(
IFERROR(QUERY('Sintética 20222023'!A:J, CONCATENATE(""SELECT I WHERE A="", ""'"",$A21,""'"")),0),
IFERROR(QUERY('Sintética 20222023'!A:J, CONCATENATE(""SELECT H WHERE G="", ""'"",$A21,""'"")),0),
)"),0)</f>
        <v>0</v>
      </c>
      <c r="E21" s="10">
        <v>2022</v>
      </c>
      <c r="F21" s="10">
        <v>12</v>
      </c>
    </row>
    <row r="22" spans="1:6">
      <c r="A22" s="2" t="str">
        <f ca="1">IFERROR(__xludf.DUMMYFUNCTION("""COMPUTED_VALUE"""),"1.2.3.2.1.01.11.05.00")</f>
        <v>1.2.3.2.1.01.11.05.00</v>
      </c>
      <c r="B22" s="38">
        <v>44926</v>
      </c>
      <c r="C22" s="2">
        <f>APOIO!$B$2</f>
        <v>2101</v>
      </c>
      <c r="D22" s="3">
        <f ca="1">IFERROR(__xludf.DUMMYFUNCTION("SUM(
IFERROR(QUERY('Sintética 20222023'!A:J, CONCATENATE(""SELECT I WHERE A="", ""'"",$A22,""'"")),0),
IFERROR(QUERY('Sintética 20222023'!A:J, CONCATENATE(""SELECT H WHERE G="", ""'"",$A22,""'"")),0),
)"),0)</f>
        <v>0</v>
      </c>
      <c r="E22" s="10">
        <v>2022</v>
      </c>
      <c r="F22" s="10">
        <v>12</v>
      </c>
    </row>
    <row r="23" spans="1:6">
      <c r="A23" s="2" t="str">
        <f ca="1">IFERROR(__xludf.DUMMYFUNCTION("""COMPUTED_VALUE"""),"1.2.3.2.1.01.11.06.00")</f>
        <v>1.2.3.2.1.01.11.06.00</v>
      </c>
      <c r="B23" s="38">
        <v>44926</v>
      </c>
      <c r="C23" s="2">
        <f>APOIO!$B$2</f>
        <v>2101</v>
      </c>
      <c r="D23" s="3">
        <f ca="1">IFERROR(__xludf.DUMMYFUNCTION("SUM(
IFERROR(QUERY('Sintética 20222023'!A:J, CONCATENATE(""SELECT I WHERE A="", ""'"",$A23,""'"")),0),
IFERROR(QUERY('Sintética 20222023'!A:J, CONCATENATE(""SELECT H WHERE G="", ""'"",$A23,""'"")),0),
)"),0)</f>
        <v>0</v>
      </c>
      <c r="E23" s="10">
        <v>2022</v>
      </c>
      <c r="F23" s="10">
        <v>12</v>
      </c>
    </row>
    <row r="24" spans="1:6">
      <c r="A24" s="2" t="str">
        <f ca="1">IFERROR(__xludf.DUMMYFUNCTION("""COMPUTED_VALUE"""),"1.2.3.2.1.01.13.01.00")</f>
        <v>1.2.3.2.1.01.13.01.00</v>
      </c>
      <c r="B24" s="38">
        <v>44926</v>
      </c>
      <c r="C24" s="2">
        <f>APOIO!$B$2</f>
        <v>2101</v>
      </c>
      <c r="D24" s="3">
        <f ca="1">IFERROR(__xludf.DUMMYFUNCTION("SUM(
IFERROR(QUERY('Sintética 20222023'!A:J, CONCATENATE(""SELECT I WHERE A="", ""'"",$A24,""'"")),0),
IFERROR(QUERY('Sintética 20222023'!A:J, CONCATENATE(""SELECT H WHERE G="", ""'"",$A24,""'"")),0),
)"),0)</f>
        <v>0</v>
      </c>
      <c r="E24" s="10">
        <v>2022</v>
      </c>
      <c r="F24" s="10">
        <v>12</v>
      </c>
    </row>
    <row r="25" spans="1:6">
      <c r="A25" s="2" t="str">
        <f ca="1">IFERROR(__xludf.DUMMYFUNCTION("""COMPUTED_VALUE"""),"1.2.3.2.1.01.13.02.00")</f>
        <v>1.2.3.2.1.01.13.02.00</v>
      </c>
      <c r="B25" s="38">
        <v>44926</v>
      </c>
      <c r="C25" s="2">
        <f>APOIO!$B$2</f>
        <v>2101</v>
      </c>
      <c r="D25" s="3">
        <f ca="1">IFERROR(__xludf.DUMMYFUNCTION("SUM(
IFERROR(QUERY('Sintética 20222023'!A:J, CONCATENATE(""SELECT I WHERE A="", ""'"",$A25,""'"")),0),
IFERROR(QUERY('Sintética 20222023'!A:J, CONCATENATE(""SELECT H WHERE G="", ""'"",$A25,""'"")),0),
)"),0)</f>
        <v>0</v>
      </c>
      <c r="E25" s="10">
        <v>2022</v>
      </c>
      <c r="F25" s="10">
        <v>12</v>
      </c>
    </row>
    <row r="26" spans="1:6">
      <c r="A26" s="2" t="str">
        <f ca="1">IFERROR(__xludf.DUMMYFUNCTION("""COMPUTED_VALUE"""),"1.2.3.2.1.01.14.01.00")</f>
        <v>1.2.3.2.1.01.14.01.00</v>
      </c>
      <c r="B26" s="38">
        <v>44926</v>
      </c>
      <c r="C26" s="2">
        <f>APOIO!$B$2</f>
        <v>2101</v>
      </c>
      <c r="D26" s="3">
        <f ca="1">IFERROR(__xludf.DUMMYFUNCTION("SUM(
IFERROR(QUERY('Sintética 20222023'!A:J, CONCATENATE(""SELECT I WHERE A="", ""'"",$A26,""'"")),0),
IFERROR(QUERY('Sintética 20222023'!A:J, CONCATENATE(""SELECT H WHERE G="", ""'"",$A26,""'"")),0),
)"),0)</f>
        <v>0</v>
      </c>
      <c r="E26" s="10">
        <v>2022</v>
      </c>
      <c r="F26" s="10">
        <v>12</v>
      </c>
    </row>
    <row r="27" spans="1:6">
      <c r="A27" s="2" t="str">
        <f ca="1">IFERROR(__xludf.DUMMYFUNCTION("""COMPUTED_VALUE"""),"1.2.3.2.1.01.14.02.00")</f>
        <v>1.2.3.2.1.01.14.02.00</v>
      </c>
      <c r="B27" s="38">
        <v>44926</v>
      </c>
      <c r="C27" s="2">
        <f>APOIO!$B$2</f>
        <v>2101</v>
      </c>
      <c r="D27" s="3">
        <f ca="1">IFERROR(__xludf.DUMMYFUNCTION("SUM(
IFERROR(QUERY('Sintética 20222023'!A:J, CONCATENATE(""SELECT I WHERE A="", ""'"",$A27,""'"")),0),
IFERROR(QUERY('Sintética 20222023'!A:J, CONCATENATE(""SELECT H WHERE G="", ""'"",$A27,""'"")),0),
)"),0)</f>
        <v>0</v>
      </c>
      <c r="E27" s="10">
        <v>2022</v>
      </c>
      <c r="F27" s="10">
        <v>12</v>
      </c>
    </row>
    <row r="28" spans="1:6">
      <c r="A28" s="2" t="str">
        <f ca="1">IFERROR(__xludf.DUMMYFUNCTION("""COMPUTED_VALUE"""),"1.2.3.2.1.01.15.01.00")</f>
        <v>1.2.3.2.1.01.15.01.00</v>
      </c>
      <c r="B28" s="38">
        <v>44926</v>
      </c>
      <c r="C28" s="2">
        <f>APOIO!$B$2</f>
        <v>2101</v>
      </c>
      <c r="D28" s="3">
        <f ca="1">IFERROR(__xludf.DUMMYFUNCTION("SUM(
IFERROR(QUERY('Sintética 20222023'!A:J, CONCATENATE(""SELECT I WHERE A="", ""'"",$A28,""'"")),0),
IFERROR(QUERY('Sintética 20222023'!A:J, CONCATENATE(""SELECT H WHERE G="", ""'"",$A28,""'"")),0),
)"),0)</f>
        <v>0</v>
      </c>
      <c r="E28" s="10">
        <v>2022</v>
      </c>
      <c r="F28" s="10">
        <v>12</v>
      </c>
    </row>
    <row r="29" spans="1:6">
      <c r="A29" s="2" t="str">
        <f ca="1">IFERROR(__xludf.DUMMYFUNCTION("""COMPUTED_VALUE"""),"1.2.3.2.1.01.15.02.00")</f>
        <v>1.2.3.2.1.01.15.02.00</v>
      </c>
      <c r="B29" s="38">
        <v>44926</v>
      </c>
      <c r="C29" s="2">
        <f>APOIO!$B$2</f>
        <v>2101</v>
      </c>
      <c r="D29" s="3">
        <f ca="1">IFERROR(__xludf.DUMMYFUNCTION("SUM(
IFERROR(QUERY('Sintética 20222023'!A:J, CONCATENATE(""SELECT I WHERE A="", ""'"",$A29,""'"")),0),
IFERROR(QUERY('Sintética 20222023'!A:J, CONCATENATE(""SELECT H WHERE G="", ""'"",$A29,""'"")),0),
)"),0)</f>
        <v>0</v>
      </c>
      <c r="E29" s="10">
        <v>2022</v>
      </c>
      <c r="F29" s="10">
        <v>12</v>
      </c>
    </row>
    <row r="30" spans="1:6">
      <c r="A30" s="2" t="str">
        <f ca="1">IFERROR(__xludf.DUMMYFUNCTION("""COMPUTED_VALUE"""),"1.2.3.2.1.01.16.01.00")</f>
        <v>1.2.3.2.1.01.16.01.00</v>
      </c>
      <c r="B30" s="38">
        <v>44926</v>
      </c>
      <c r="C30" s="2">
        <f>APOIO!$B$2</f>
        <v>2101</v>
      </c>
      <c r="D30" s="3">
        <f ca="1">IFERROR(__xludf.DUMMYFUNCTION("SUM(
IFERROR(QUERY('Sintética 20222023'!A:J, CONCATENATE(""SELECT I WHERE A="", ""'"",$A30,""'"")),0),
IFERROR(QUERY('Sintética 20222023'!A:J, CONCATENATE(""SELECT H WHERE G="", ""'"",$A30,""'"")),0),
)"),0)</f>
        <v>0</v>
      </c>
      <c r="E30" s="10">
        <v>2022</v>
      </c>
      <c r="F30" s="10">
        <v>12</v>
      </c>
    </row>
    <row r="31" spans="1:6">
      <c r="A31" s="2" t="str">
        <f ca="1">IFERROR(__xludf.DUMMYFUNCTION("""COMPUTED_VALUE"""),"1.2.3.2.1.01.17.01.00")</f>
        <v>1.2.3.2.1.01.17.01.00</v>
      </c>
      <c r="B31" s="38">
        <v>44926</v>
      </c>
      <c r="C31" s="2">
        <f>APOIO!$B$2</f>
        <v>2101</v>
      </c>
      <c r="D31" s="3">
        <f ca="1">IFERROR(__xludf.DUMMYFUNCTION("SUM(
IFERROR(QUERY('Sintética 20222023'!A:J, CONCATENATE(""SELECT I WHERE A="", ""'"",$A31,""'"")),0),
IFERROR(QUERY('Sintética 20222023'!A:J, CONCATENATE(""SELECT H WHERE G="", ""'"",$A31,""'"")),0),
)"),0)</f>
        <v>0</v>
      </c>
      <c r="E31" s="10">
        <v>2022</v>
      </c>
      <c r="F31" s="10">
        <v>12</v>
      </c>
    </row>
    <row r="32" spans="1:6">
      <c r="A32" s="2" t="str">
        <f ca="1">IFERROR(__xludf.DUMMYFUNCTION("""COMPUTED_VALUE"""),"1.2.3.2.1.01.17.02.00")</f>
        <v>1.2.3.2.1.01.17.02.00</v>
      </c>
      <c r="B32" s="38">
        <v>44926</v>
      </c>
      <c r="C32" s="2">
        <f>APOIO!$B$2</f>
        <v>2101</v>
      </c>
      <c r="D32" s="3">
        <f ca="1">IFERROR(__xludf.DUMMYFUNCTION("SUM(
IFERROR(QUERY('Sintética 20222023'!A:J, CONCATENATE(""SELECT I WHERE A="", ""'"",$A32,""'"")),0),
IFERROR(QUERY('Sintética 20222023'!A:J, CONCATENATE(""SELECT H WHERE G="", ""'"",$A32,""'"")),0),
)"),0)</f>
        <v>0</v>
      </c>
      <c r="E32" s="10">
        <v>2022</v>
      </c>
      <c r="F32" s="10">
        <v>12</v>
      </c>
    </row>
    <row r="33" spans="1:6">
      <c r="A33" s="2" t="str">
        <f ca="1">IFERROR(__xludf.DUMMYFUNCTION("""COMPUTED_VALUE"""),"1.2.3.2.1.01.19.01.00")</f>
        <v>1.2.3.2.1.01.19.01.00</v>
      </c>
      <c r="B33" s="38">
        <v>44926</v>
      </c>
      <c r="C33" s="2">
        <f>APOIO!$B$2</f>
        <v>2101</v>
      </c>
      <c r="D33" s="3">
        <f ca="1">IFERROR(__xludf.DUMMYFUNCTION("SUM(
IFERROR(QUERY('Sintética 20222023'!A:J, CONCATENATE(""SELECT I WHERE A="", ""'"",$A33,""'"")),0),
IFERROR(QUERY('Sintética 20222023'!A:J, CONCATENATE(""SELECT H WHERE G="", ""'"",$A33,""'"")),0),
)"),0)</f>
        <v>0</v>
      </c>
      <c r="E33" s="10">
        <v>2022</v>
      </c>
      <c r="F33" s="10">
        <v>12</v>
      </c>
    </row>
    <row r="34" spans="1:6">
      <c r="A34" s="2" t="str">
        <f ca="1">IFERROR(__xludf.DUMMYFUNCTION("""COMPUTED_VALUE"""),"1.2.3.2.1.01.19.90.00")</f>
        <v>1.2.3.2.1.01.19.90.00</v>
      </c>
      <c r="B34" s="38">
        <v>44926</v>
      </c>
      <c r="C34" s="2">
        <f>APOIO!$B$2</f>
        <v>2101</v>
      </c>
      <c r="D34" s="3">
        <f ca="1">IFERROR(__xludf.DUMMYFUNCTION("SUM(
IFERROR(QUERY('Sintética 20222023'!A:J, CONCATENATE(""SELECT I WHERE A="", ""'"",$A34,""'"")),0),
IFERROR(QUERY('Sintética 20222023'!A:J, CONCATENATE(""SELECT H WHERE G="", ""'"",$A34,""'"")),0),
)"),105032.3)</f>
        <v>105032.3</v>
      </c>
      <c r="E34" s="10">
        <v>2022</v>
      </c>
      <c r="F34" s="10">
        <v>12</v>
      </c>
    </row>
    <row r="35" spans="1:6">
      <c r="A35" s="2" t="str">
        <f ca="1">IFERROR(__xludf.DUMMYFUNCTION("""COMPUTED_VALUE"""),"1.2.3.2.1.01.21.01.00")</f>
        <v>1.2.3.2.1.01.21.01.00</v>
      </c>
      <c r="B35" s="38">
        <v>44926</v>
      </c>
      <c r="C35" s="2">
        <f>APOIO!$B$2</f>
        <v>2101</v>
      </c>
      <c r="D35" s="3">
        <f ca="1">IFERROR(__xludf.DUMMYFUNCTION("SUM(
IFERROR(QUERY('Sintética 20222023'!A:J, CONCATENATE(""SELECT I WHERE A="", ""'"",$A35,""'"")),0),
IFERROR(QUERY('Sintética 20222023'!A:J, CONCATENATE(""SELECT H WHERE G="", ""'"",$A35,""'"")),0),
)"),0)</f>
        <v>0</v>
      </c>
      <c r="E35" s="10">
        <v>2022</v>
      </c>
      <c r="F35" s="10">
        <v>12</v>
      </c>
    </row>
    <row r="36" spans="1:6">
      <c r="A36" s="2" t="str">
        <f ca="1">IFERROR(__xludf.DUMMYFUNCTION("""COMPUTED_VALUE"""),"1.2.3.2.1.01.22.01.00")</f>
        <v>1.2.3.2.1.01.22.01.00</v>
      </c>
      <c r="B36" s="38">
        <v>44926</v>
      </c>
      <c r="C36" s="2">
        <f>APOIO!$B$2</f>
        <v>2101</v>
      </c>
      <c r="D36" s="3">
        <f ca="1">IFERROR(__xludf.DUMMYFUNCTION("SUM(
IFERROR(QUERY('Sintética 20222023'!A:J, CONCATENATE(""SELECT I WHERE A="", ""'"",$A36,""'"")),0),
IFERROR(QUERY('Sintética 20222023'!A:J, CONCATENATE(""SELECT H WHERE G="", ""'"",$A36,""'"")),0),
)"),0)</f>
        <v>0</v>
      </c>
      <c r="E36" s="10">
        <v>2022</v>
      </c>
      <c r="F36" s="10">
        <v>12</v>
      </c>
    </row>
    <row r="37" spans="1:6">
      <c r="A37" s="2" t="str">
        <f ca="1">IFERROR(__xludf.DUMMYFUNCTION("""COMPUTED_VALUE"""),"1.2.3.2.1.01.22.02.00")</f>
        <v>1.2.3.2.1.01.22.02.00</v>
      </c>
      <c r="B37" s="38">
        <v>44926</v>
      </c>
      <c r="C37" s="2">
        <f>APOIO!$B$2</f>
        <v>2101</v>
      </c>
      <c r="D37" s="3">
        <f ca="1">IFERROR(__xludf.DUMMYFUNCTION("SUM(
IFERROR(QUERY('Sintética 20222023'!A:J, CONCATENATE(""SELECT I WHERE A="", ""'"",$A37,""'"")),0),
IFERROR(QUERY('Sintética 20222023'!A:J, CONCATENATE(""SELECT H WHERE G="", ""'"",$A37,""'"")),0),
)"),0)</f>
        <v>0</v>
      </c>
      <c r="E37" s="10">
        <v>2022</v>
      </c>
      <c r="F37" s="10">
        <v>12</v>
      </c>
    </row>
    <row r="38" spans="1:6">
      <c r="A38" s="2" t="str">
        <f ca="1">IFERROR(__xludf.DUMMYFUNCTION("""COMPUTED_VALUE"""),"1.2.3.2.1.01.98.00.00")</f>
        <v>1.2.3.2.1.01.98.00.00</v>
      </c>
      <c r="B38" s="38">
        <v>44926</v>
      </c>
      <c r="C38" s="2">
        <f>APOIO!$B$2</f>
        <v>2101</v>
      </c>
      <c r="D38" s="3">
        <f ca="1">IFERROR(__xludf.DUMMYFUNCTION("SUM(
IFERROR(QUERY('Sintética 20222023'!A:J, CONCATENATE(""SELECT I WHERE A="", ""'"",$A38,""'"")),0),
IFERROR(QUERY('Sintética 20222023'!A:J, CONCATENATE(""SELECT H WHERE G="", ""'"",$A38,""'"")),0),
)"),867093.09)</f>
        <v>867093.09</v>
      </c>
      <c r="E38" s="10">
        <v>2022</v>
      </c>
      <c r="F38" s="10">
        <v>12</v>
      </c>
    </row>
    <row r="39" spans="1:6">
      <c r="A39" s="2" t="str">
        <f ca="1">IFERROR(__xludf.DUMMYFUNCTION("""COMPUTED_VALUE"""),"1.2.3.2.1.01.98.01.00")</f>
        <v>1.2.3.2.1.01.98.01.00</v>
      </c>
      <c r="B39" s="38">
        <v>44926</v>
      </c>
      <c r="C39" s="2">
        <f>APOIO!$B$2</f>
        <v>2101</v>
      </c>
      <c r="D39" s="3">
        <f ca="1">IFERROR(__xludf.DUMMYFUNCTION("SUM(
IFERROR(QUERY('Sintética 20222023'!A:J, CONCATENATE(""SELECT I WHERE A="", ""'"",$A39,""'"")),0),
IFERROR(QUERY('Sintética 20222023'!A:J, CONCATENATE(""SELECT H WHERE G="", ""'"",$A39,""'"")),0),
)"),0)</f>
        <v>0</v>
      </c>
      <c r="E39" s="10">
        <v>2022</v>
      </c>
      <c r="F39" s="10">
        <v>12</v>
      </c>
    </row>
    <row r="40" spans="1:6">
      <c r="A40" s="2" t="str">
        <f ca="1">IFERROR(__xludf.DUMMYFUNCTION("""COMPUTED_VALUE"""),"1.2.3.2.1.01.98.02.00")</f>
        <v>1.2.3.2.1.01.98.02.00</v>
      </c>
      <c r="B40" s="38">
        <v>44926</v>
      </c>
      <c r="C40" s="2">
        <f>APOIO!$B$2</f>
        <v>2101</v>
      </c>
      <c r="D40" s="3">
        <f ca="1">IFERROR(__xludf.DUMMYFUNCTION("SUM(
IFERROR(QUERY('Sintética 20222023'!A:J, CONCATENATE(""SELECT I WHERE A="", ""'"",$A40,""'"")),0),
IFERROR(QUERY('Sintética 20222023'!A:J, CONCATENATE(""SELECT H WHERE G="", ""'"",$A40,""'"")),0),
)"),0)</f>
        <v>0</v>
      </c>
      <c r="E40" s="10">
        <v>2022</v>
      </c>
      <c r="F40" s="10">
        <v>12</v>
      </c>
    </row>
    <row r="41" spans="1:6">
      <c r="A41" s="2" t="str">
        <f ca="1">IFERROR(__xludf.DUMMYFUNCTION("""COMPUTED_VALUE"""),"1.2.3.2.1.01.98.03.00")</f>
        <v>1.2.3.2.1.01.98.03.00</v>
      </c>
      <c r="B41" s="38">
        <v>44926</v>
      </c>
      <c r="C41" s="2">
        <f>APOIO!$B$2</f>
        <v>2101</v>
      </c>
      <c r="D41" s="3">
        <f ca="1">IFERROR(__xludf.DUMMYFUNCTION("SUM(
IFERROR(QUERY('Sintética 20222023'!A:J, CONCATENATE(""SELECT I WHERE A="", ""'"",$A41,""'"")),0),
IFERROR(QUERY('Sintética 20222023'!A:J, CONCATENATE(""SELECT H WHERE G="", ""'"",$A41,""'"")),0),
)"),0)</f>
        <v>0</v>
      </c>
      <c r="E41" s="10">
        <v>2022</v>
      </c>
      <c r="F41" s="10">
        <v>12</v>
      </c>
    </row>
    <row r="42" spans="1:6">
      <c r="A42" s="2" t="str">
        <f ca="1">IFERROR(__xludf.DUMMYFUNCTION("""COMPUTED_VALUE"""),"1.2.3.2.1.01.98.09.00")</f>
        <v>1.2.3.2.1.01.98.09.00</v>
      </c>
      <c r="B42" s="38">
        <v>44926</v>
      </c>
      <c r="C42" s="2">
        <f>APOIO!$B$2</f>
        <v>2101</v>
      </c>
      <c r="D42" s="3">
        <f ca="1">IFERROR(__xludf.DUMMYFUNCTION("SUM(
IFERROR(QUERY('Sintética 20222023'!A:J, CONCATENATE(""SELECT I WHERE A="", ""'"",$A42,""'"")),0),
IFERROR(QUERY('Sintética 20222023'!A:J, CONCATENATE(""SELECT H WHERE G="", ""'"",$A42,""'"")),0),
)"),0)</f>
        <v>0</v>
      </c>
      <c r="E42" s="10">
        <v>2022</v>
      </c>
      <c r="F42" s="10">
        <v>12</v>
      </c>
    </row>
    <row r="43" spans="1:6">
      <c r="A43" s="2" t="str">
        <f ca="1">IFERROR(__xludf.DUMMYFUNCTION("""COMPUTED_VALUE"""),"1.2.3.2.1.01.98.10.00")</f>
        <v>1.2.3.2.1.01.98.10.00</v>
      </c>
      <c r="B43" s="38">
        <v>44926</v>
      </c>
      <c r="C43" s="2">
        <f>APOIO!$B$2</f>
        <v>2101</v>
      </c>
      <c r="D43" s="3">
        <f ca="1">IFERROR(__xludf.DUMMYFUNCTION("SUM(
IFERROR(QUERY('Sintética 20222023'!A:J, CONCATENATE(""SELECT I WHERE A="", ""'"",$A43,""'"")),0),
IFERROR(QUERY('Sintética 20222023'!A:J, CONCATENATE(""SELECT H WHERE G="", ""'"",$A43,""'"")),0),
)"),794769.28)</f>
        <v>794769.28</v>
      </c>
      <c r="E43" s="10">
        <v>2022</v>
      </c>
      <c r="F43" s="10">
        <v>12</v>
      </c>
    </row>
    <row r="44" spans="1:6">
      <c r="A44" s="2" t="str">
        <f ca="1">IFERROR(__xludf.DUMMYFUNCTION("""COMPUTED_VALUE"""),"1.2.3.2.1.04.01.01.00")</f>
        <v>1.2.3.2.1.04.01.01.00</v>
      </c>
      <c r="B44" s="38">
        <v>44926</v>
      </c>
      <c r="C44" s="2">
        <f>APOIO!$B$2</f>
        <v>2101</v>
      </c>
      <c r="D44" s="3">
        <f ca="1">IFERROR(__xludf.DUMMYFUNCTION("SUM(
IFERROR(QUERY('Sintética 20222023'!A:J, CONCATENATE(""SELECT I WHERE A="", ""'"",$A44,""'"")),0),
IFERROR(QUERY('Sintética 20222023'!A:J, CONCATENATE(""SELECT H WHERE G="", ""'"",$A44,""'"")),0),
)"),0)</f>
        <v>0</v>
      </c>
      <c r="E44" s="10">
        <v>2022</v>
      </c>
      <c r="F44" s="10">
        <v>12</v>
      </c>
    </row>
    <row r="45" spans="1:6">
      <c r="A45" s="2" t="str">
        <f ca="1">IFERROR(__xludf.DUMMYFUNCTION("""COMPUTED_VALUE"""),"1.2.3.2.1.04.02.01.00")</f>
        <v>1.2.3.2.1.04.02.01.00</v>
      </c>
      <c r="B45" s="38">
        <v>44926</v>
      </c>
      <c r="C45" s="2">
        <f>APOIO!$B$2</f>
        <v>2101</v>
      </c>
      <c r="D45" s="3">
        <f ca="1">IFERROR(__xludf.DUMMYFUNCTION("SUM(
IFERROR(QUERY('Sintética 20222023'!A:J, CONCATENATE(""SELECT I WHERE A="", ""'"",$A45,""'"")),0),
IFERROR(QUERY('Sintética 20222023'!A:J, CONCATENATE(""SELECT H WHERE G="", ""'"",$A45,""'"")),0),
)"),0)</f>
        <v>0</v>
      </c>
      <c r="E45" s="10">
        <v>2022</v>
      </c>
      <c r="F45" s="10">
        <v>12</v>
      </c>
    </row>
    <row r="46" spans="1:6">
      <c r="A46" s="2" t="str">
        <f ca="1">IFERROR(__xludf.DUMMYFUNCTION("""COMPUTED_VALUE"""),"1.2.3.2.1.04.04.01.00")</f>
        <v>1.2.3.2.1.04.04.01.00</v>
      </c>
      <c r="B46" s="38">
        <v>44926</v>
      </c>
      <c r="C46" s="2">
        <f>APOIO!$B$2</f>
        <v>2101</v>
      </c>
      <c r="D46" s="3">
        <f ca="1">IFERROR(__xludf.DUMMYFUNCTION("SUM(
IFERROR(QUERY('Sintética 20222023'!A:J, CONCATENATE(""SELECT I WHERE A="", ""'"",$A46,""'"")),0),
IFERROR(QUERY('Sintética 20222023'!A:J, CONCATENATE(""SELECT H WHERE G="", ""'"",$A46,""'"")),0),
)"),0)</f>
        <v>0</v>
      </c>
      <c r="E46" s="10">
        <v>2022</v>
      </c>
      <c r="F46" s="10">
        <v>12</v>
      </c>
    </row>
    <row r="47" spans="1:6">
      <c r="A47" s="2" t="str">
        <f ca="1">IFERROR(__xludf.DUMMYFUNCTION("""COMPUTED_VALUE"""),"1.2.3.2.1.04.07.01.00")</f>
        <v>1.2.3.2.1.04.07.01.00</v>
      </c>
      <c r="B47" s="38">
        <v>44926</v>
      </c>
      <c r="C47" s="2">
        <f>APOIO!$B$2</f>
        <v>2101</v>
      </c>
      <c r="D47" s="3">
        <f ca="1">IFERROR(__xludf.DUMMYFUNCTION("SUM(
IFERROR(QUERY('Sintética 20222023'!A:J, CONCATENATE(""SELECT I WHERE A="", ""'"",$A47,""'"")),0),
IFERROR(QUERY('Sintética 20222023'!A:J, CONCATENATE(""SELECT H WHERE G="", ""'"",$A47,""'"")),0),
)"),0)</f>
        <v>0</v>
      </c>
      <c r="E47" s="10">
        <v>2022</v>
      </c>
      <c r="F47" s="10">
        <v>12</v>
      </c>
    </row>
    <row r="48" spans="1:6">
      <c r="A48" s="2" t="str">
        <f ca="1">IFERROR(__xludf.DUMMYFUNCTION("""COMPUTED_VALUE"""),"1.2.3.2.1.04.08.01.00")</f>
        <v>1.2.3.2.1.04.08.01.00</v>
      </c>
      <c r="B48" s="38">
        <v>44926</v>
      </c>
      <c r="C48" s="2">
        <f>APOIO!$B$2</f>
        <v>2101</v>
      </c>
      <c r="D48" s="3">
        <f ca="1">IFERROR(__xludf.DUMMYFUNCTION("SUM(
IFERROR(QUERY('Sintética 20222023'!A:J, CONCATENATE(""SELECT I WHERE A="", ""'"",$A48,""'"")),0),
IFERROR(QUERY('Sintética 20222023'!A:J, CONCATENATE(""SELECT H WHERE G="", ""'"",$A48,""'"")),0),
)"),0)</f>
        <v>0</v>
      </c>
      <c r="E48" s="10">
        <v>2022</v>
      </c>
      <c r="F48" s="10">
        <v>12</v>
      </c>
    </row>
    <row r="49" spans="1:6">
      <c r="A49" s="2" t="str">
        <f ca="1">IFERROR(__xludf.DUMMYFUNCTION("""COMPUTED_VALUE"""),"1.2.3.2.1.04.09.01.00")</f>
        <v>1.2.3.2.1.04.09.01.00</v>
      </c>
      <c r="B49" s="38">
        <v>44926</v>
      </c>
      <c r="C49" s="2">
        <f>APOIO!$B$2</f>
        <v>2101</v>
      </c>
      <c r="D49" s="3">
        <f ca="1">IFERROR(__xludf.DUMMYFUNCTION("SUM(
IFERROR(QUERY('Sintética 20222023'!A:J, CONCATENATE(""SELECT I WHERE A="", ""'"",$A49,""'"")),0),
IFERROR(QUERY('Sintética 20222023'!A:J, CONCATENATE(""SELECT H WHERE G="", ""'"",$A49,""'"")),0),
)"),0)</f>
        <v>0</v>
      </c>
      <c r="E49" s="10">
        <v>2022</v>
      </c>
      <c r="F49" s="10">
        <v>12</v>
      </c>
    </row>
    <row r="50" spans="1:6">
      <c r="A50" s="2" t="str">
        <f ca="1">IFERROR(__xludf.DUMMYFUNCTION("""COMPUTED_VALUE"""),"1.2.3.2.1.04.12.01.00")</f>
        <v>1.2.3.2.1.04.12.01.00</v>
      </c>
      <c r="B50" s="38">
        <v>44926</v>
      </c>
      <c r="C50" s="2">
        <f>APOIO!$B$2</f>
        <v>2101</v>
      </c>
      <c r="D50" s="3">
        <f ca="1">IFERROR(__xludf.DUMMYFUNCTION("SUM(
IFERROR(QUERY('Sintética 20222023'!A:J, CONCATENATE(""SELECT I WHERE A="", ""'"",$A50,""'"")),0),
IFERROR(QUERY('Sintética 20222023'!A:J, CONCATENATE(""SELECT H WHERE G="", ""'"",$A50,""'"")),0),
)"),0)</f>
        <v>0</v>
      </c>
      <c r="E50" s="10">
        <v>2022</v>
      </c>
      <c r="F50" s="10">
        <v>12</v>
      </c>
    </row>
    <row r="51" spans="1:6">
      <c r="A51" s="2" t="str">
        <f ca="1">IFERROR(__xludf.DUMMYFUNCTION("""COMPUTED_VALUE"""),"1.2.3.2.1.04.13.01.00")</f>
        <v>1.2.3.2.1.04.13.01.00</v>
      </c>
      <c r="B51" s="38">
        <v>44926</v>
      </c>
      <c r="C51" s="2">
        <f>APOIO!$B$2</f>
        <v>2101</v>
      </c>
      <c r="D51" s="3">
        <f ca="1">IFERROR(__xludf.DUMMYFUNCTION("SUM(
IFERROR(QUERY('Sintética 20222023'!A:J, CONCATENATE(""SELECT I WHERE A="", ""'"",$A51,""'"")),0),
IFERROR(QUERY('Sintética 20222023'!A:J, CONCATENATE(""SELECT H WHERE G="", ""'"",$A51,""'"")),0),
)"),0)</f>
        <v>0</v>
      </c>
      <c r="E51" s="10">
        <v>2022</v>
      </c>
      <c r="F51" s="10">
        <v>12</v>
      </c>
    </row>
    <row r="52" spans="1:6">
      <c r="A52" s="2" t="str">
        <f ca="1">IFERROR(__xludf.DUMMYFUNCTION("""COMPUTED_VALUE"""),"1.2.3.2.1.04.14.01.00")</f>
        <v>1.2.3.2.1.04.14.01.00</v>
      </c>
      <c r="B52" s="38">
        <v>44926</v>
      </c>
      <c r="C52" s="2">
        <f>APOIO!$B$2</f>
        <v>2101</v>
      </c>
      <c r="D52" s="3">
        <f ca="1">IFERROR(__xludf.DUMMYFUNCTION("SUM(
IFERROR(QUERY('Sintética 20222023'!A:J, CONCATENATE(""SELECT I WHERE A="", ""'"",$A52,""'"")),0),
IFERROR(QUERY('Sintética 20222023'!A:J, CONCATENATE(""SELECT H WHERE G="", ""'"",$A52,""'"")),0),
)"),0)</f>
        <v>0</v>
      </c>
      <c r="E52" s="10">
        <v>2022</v>
      </c>
      <c r="F52" s="10">
        <v>12</v>
      </c>
    </row>
    <row r="53" spans="1:6">
      <c r="A53" s="2" t="str">
        <f ca="1">IFERROR(__xludf.DUMMYFUNCTION("""COMPUTED_VALUE"""),"1.2.3.2.1.04.16.01.00")</f>
        <v>1.2.3.2.1.04.16.01.00</v>
      </c>
      <c r="B53" s="38">
        <v>44926</v>
      </c>
      <c r="C53" s="2">
        <f>APOIO!$B$2</f>
        <v>2101</v>
      </c>
      <c r="D53" s="3">
        <f ca="1">IFERROR(__xludf.DUMMYFUNCTION("SUM(
IFERROR(QUERY('Sintética 20222023'!A:J, CONCATENATE(""SELECT I WHERE A="", ""'"",$A53,""'"")),0),
IFERROR(QUERY('Sintética 20222023'!A:J, CONCATENATE(""SELECT H WHERE G="", ""'"",$A53,""'"")),0),
)"),0)</f>
        <v>0</v>
      </c>
      <c r="E53" s="10">
        <v>2022</v>
      </c>
      <c r="F53" s="10">
        <v>12</v>
      </c>
    </row>
    <row r="54" spans="1:6">
      <c r="A54" s="2" t="str">
        <f ca="1">IFERROR(__xludf.DUMMYFUNCTION("""COMPUTED_VALUE"""),"1.2.3.2.1.04.18.01.00")</f>
        <v>1.2.3.2.1.04.18.01.00</v>
      </c>
      <c r="B54" s="38">
        <v>44926</v>
      </c>
      <c r="C54" s="2">
        <f>APOIO!$B$2</f>
        <v>2101</v>
      </c>
      <c r="D54" s="3">
        <f ca="1">IFERROR(__xludf.DUMMYFUNCTION("SUM(
IFERROR(QUERY('Sintética 20222023'!A:J, CONCATENATE(""SELECT I WHERE A="", ""'"",$A54,""'"")),0),
IFERROR(QUERY('Sintética 20222023'!A:J, CONCATENATE(""SELECT H WHERE G="", ""'"",$A54,""'"")),0),
)"),0)</f>
        <v>0</v>
      </c>
      <c r="E54" s="10">
        <v>2022</v>
      </c>
      <c r="F54" s="10">
        <v>12</v>
      </c>
    </row>
    <row r="55" spans="1:6">
      <c r="A55" s="2" t="str">
        <f ca="1">IFERROR(__xludf.DUMMYFUNCTION("""COMPUTED_VALUE"""),"1.2.3.2.1.05.01.01.00")</f>
        <v>1.2.3.2.1.05.01.01.00</v>
      </c>
      <c r="B55" s="38">
        <v>44926</v>
      </c>
      <c r="C55" s="2">
        <f>APOIO!$B$2</f>
        <v>2101</v>
      </c>
      <c r="D55" s="3">
        <f ca="1">IFERROR(__xludf.DUMMYFUNCTION("SUM(
IFERROR(QUERY('Sintética 20222023'!A:J, CONCATENATE(""SELECT I WHERE A="", ""'"",$A55,""'"")),0),
IFERROR(QUERY('Sintética 20222023'!A:J, CONCATENATE(""SELECT H WHERE G="", ""'"",$A55,""'"")),0),
)"),0)</f>
        <v>0</v>
      </c>
      <c r="E55" s="10">
        <v>2022</v>
      </c>
      <c r="F55" s="10">
        <v>12</v>
      </c>
    </row>
    <row r="56" spans="1:6">
      <c r="A56" s="2" t="str">
        <f ca="1">IFERROR(__xludf.DUMMYFUNCTION("""COMPUTED_VALUE"""),"1.2.3.2.1.05.02.01.00")</f>
        <v>1.2.3.2.1.05.02.01.00</v>
      </c>
      <c r="B56" s="38">
        <v>44926</v>
      </c>
      <c r="C56" s="2">
        <f>APOIO!$B$2</f>
        <v>2101</v>
      </c>
      <c r="D56" s="3">
        <f ca="1">IFERROR(__xludf.DUMMYFUNCTION("SUM(
IFERROR(QUERY('Sintética 20222023'!A:J, CONCATENATE(""SELECT I WHERE A="", ""'"",$A56,""'"")),0),
IFERROR(QUERY('Sintética 20222023'!A:J, CONCATENATE(""SELECT H WHERE G="", ""'"",$A56,""'"")),0),
)"),17319.07)</f>
        <v>17319.07</v>
      </c>
      <c r="E56" s="10">
        <v>2022</v>
      </c>
      <c r="F56" s="10">
        <v>12</v>
      </c>
    </row>
    <row r="57" spans="1:6">
      <c r="A57" s="2" t="str">
        <f ca="1">IFERROR(__xludf.DUMMYFUNCTION("""COMPUTED_VALUE"""),"1.2.3.2.1.05.03.01.00")</f>
        <v>1.2.3.2.1.05.03.01.00</v>
      </c>
      <c r="B57" s="38">
        <v>44926</v>
      </c>
      <c r="C57" s="2">
        <f>APOIO!$B$2</f>
        <v>2101</v>
      </c>
      <c r="D57" s="3">
        <f ca="1">IFERROR(__xludf.DUMMYFUNCTION("SUM(
IFERROR(QUERY('Sintética 20222023'!A:J, CONCATENATE(""SELECT I WHERE A="", ""'"",$A57,""'"")),0),
IFERROR(QUERY('Sintética 20222023'!A:J, CONCATENATE(""SELECT H WHERE G="", ""'"",$A57,""'"")),0),
)"),0)</f>
        <v>0</v>
      </c>
      <c r="E57" s="10">
        <v>2022</v>
      </c>
      <c r="F57" s="10">
        <v>12</v>
      </c>
    </row>
    <row r="58" spans="1:6">
      <c r="A58" s="2" t="str">
        <f ca="1">IFERROR(__xludf.DUMMYFUNCTION("""COMPUTED_VALUE"""),"1.2.3.2.1.05.04.01.00")</f>
        <v>1.2.3.2.1.05.04.01.00</v>
      </c>
      <c r="B58" s="38">
        <v>44926</v>
      </c>
      <c r="C58" s="2">
        <f>APOIO!$B$2</f>
        <v>2101</v>
      </c>
      <c r="D58" s="3">
        <f ca="1">IFERROR(__xludf.DUMMYFUNCTION("SUM(
IFERROR(QUERY('Sintética 20222023'!A:J, CONCATENATE(""SELECT I WHERE A="", ""'"",$A58,""'"")),0),
IFERROR(QUERY('Sintética 20222023'!A:J, CONCATENATE(""SELECT H WHERE G="", ""'"",$A58,""'"")),0),
)"),0)</f>
        <v>0</v>
      </c>
      <c r="E58" s="10">
        <v>2022</v>
      </c>
      <c r="F58" s="10">
        <v>12</v>
      </c>
    </row>
    <row r="59" spans="1:6">
      <c r="A59" s="2" t="str">
        <f ca="1">IFERROR(__xludf.DUMMYFUNCTION("""COMPUTED_VALUE"""),"1.2.3.2.1.05.05.01.00")</f>
        <v>1.2.3.2.1.05.05.01.00</v>
      </c>
      <c r="B59" s="38">
        <v>44926</v>
      </c>
      <c r="C59" s="2">
        <f>APOIO!$B$2</f>
        <v>2101</v>
      </c>
      <c r="D59" s="3">
        <f ca="1">IFERROR(__xludf.DUMMYFUNCTION("SUM(
IFERROR(QUERY('Sintética 20222023'!A:J, CONCATENATE(""SELECT I WHERE A="", ""'"",$A59,""'"")),0),
IFERROR(QUERY('Sintética 20222023'!A:J, CONCATENATE(""SELECT H WHERE G="", ""'"",$A59,""'"")),0),
)"),0)</f>
        <v>0</v>
      </c>
      <c r="E59" s="10">
        <v>2022</v>
      </c>
      <c r="F59" s="10">
        <v>12</v>
      </c>
    </row>
    <row r="60" spans="1:6">
      <c r="A60" s="2" t="str">
        <f ca="1">IFERROR(__xludf.DUMMYFUNCTION("""COMPUTED_VALUE"""),"1.2.3.2.1.05.06.01.00")</f>
        <v>1.2.3.2.1.05.06.01.00</v>
      </c>
      <c r="B60" s="38">
        <v>44926</v>
      </c>
      <c r="C60" s="2">
        <f>APOIO!$B$2</f>
        <v>2101</v>
      </c>
      <c r="D60" s="3">
        <f ca="1">IFERROR(__xludf.DUMMYFUNCTION("SUM(
IFERROR(QUERY('Sintética 20222023'!A:J, CONCATENATE(""SELECT I WHERE A="", ""'"",$A60,""'"")),0),
IFERROR(QUERY('Sintética 20222023'!A:J, CONCATENATE(""SELECT H WHERE G="", ""'"",$A60,""'"")),0),
)"),0)</f>
        <v>0</v>
      </c>
      <c r="E60" s="10">
        <v>2022</v>
      </c>
      <c r="F60" s="10">
        <v>12</v>
      </c>
    </row>
    <row r="61" spans="1:6">
      <c r="A61" s="2" t="str">
        <f ca="1">IFERROR(__xludf.DUMMYFUNCTION("""COMPUTED_VALUE"""),"1.2.3.2.1.05.07.01.00")</f>
        <v>1.2.3.2.1.05.07.01.00</v>
      </c>
      <c r="B61" s="38">
        <v>44926</v>
      </c>
      <c r="C61" s="2">
        <f>APOIO!$B$2</f>
        <v>2101</v>
      </c>
      <c r="D61" s="3">
        <f ca="1">IFERROR(__xludf.DUMMYFUNCTION("SUM(
IFERROR(QUERY('Sintética 20222023'!A:J, CONCATENATE(""SELECT I WHERE A="", ""'"",$A61,""'"")),0),
IFERROR(QUERY('Sintética 20222023'!A:J, CONCATENATE(""SELECT H WHERE G="", ""'"",$A61,""'"")),0),
)"),0)</f>
        <v>0</v>
      </c>
      <c r="E61" s="10">
        <v>2022</v>
      </c>
      <c r="F61" s="10">
        <v>12</v>
      </c>
    </row>
    <row r="62" spans="1:6">
      <c r="A62" s="2" t="str">
        <f ca="1">IFERROR(__xludf.DUMMYFUNCTION("""COMPUTED_VALUE"""),"1.2.3.2.1.05.08.01.00")</f>
        <v>1.2.3.2.1.05.08.01.00</v>
      </c>
      <c r="B62" s="38">
        <v>44926</v>
      </c>
      <c r="C62" s="2">
        <f>APOIO!$B$2</f>
        <v>2101</v>
      </c>
      <c r="D62" s="3">
        <f ca="1">IFERROR(__xludf.DUMMYFUNCTION("SUM(
IFERROR(QUERY('Sintética 20222023'!A:J, CONCATENATE(""SELECT I WHERE A="", ""'"",$A62,""'"")),0),
IFERROR(QUERY('Sintética 20222023'!A:J, CONCATENATE(""SELECT H WHERE G="", ""'"",$A62,""'"")),0),
)"),0)</f>
        <v>0</v>
      </c>
      <c r="E62" s="10">
        <v>2022</v>
      </c>
      <c r="F62" s="10">
        <v>12</v>
      </c>
    </row>
    <row r="63" spans="1:6">
      <c r="A63" s="2" t="str">
        <f ca="1">IFERROR(__xludf.DUMMYFUNCTION("""COMPUTED_VALUE"""),"1.2.3.2.1.05.09.01.00")</f>
        <v>1.2.3.2.1.05.09.01.00</v>
      </c>
      <c r="B63" s="38">
        <v>44926</v>
      </c>
      <c r="C63" s="2">
        <f>APOIO!$B$2</f>
        <v>2101</v>
      </c>
      <c r="D63" s="3">
        <f ca="1">IFERROR(__xludf.DUMMYFUNCTION("SUM(
IFERROR(QUERY('Sintética 20222023'!A:J, CONCATENATE(""SELECT I WHERE A="", ""'"",$A63,""'"")),0),
IFERROR(QUERY('Sintética 20222023'!A:J, CONCATENATE(""SELECT H WHERE G="", ""'"",$A63,""'"")),0),
)"),0)</f>
        <v>0</v>
      </c>
      <c r="E63" s="10">
        <v>2022</v>
      </c>
      <c r="F63" s="10">
        <v>12</v>
      </c>
    </row>
    <row r="64" spans="1:6">
      <c r="A64" s="2" t="str">
        <f ca="1">IFERROR(__xludf.DUMMYFUNCTION("""COMPUTED_VALUE"""),"1.2.3.2.1.05.99.00.00")</f>
        <v>1.2.3.2.1.05.99.00.00</v>
      </c>
      <c r="B64" s="38">
        <v>44926</v>
      </c>
      <c r="C64" s="2">
        <f>APOIO!$B$2</f>
        <v>2101</v>
      </c>
      <c r="D64" s="3">
        <f ca="1">IFERROR(__xludf.DUMMYFUNCTION("SUM(
IFERROR(QUERY('Sintética 20222023'!A:J, CONCATENATE(""SELECT I WHERE A="", ""'"",$A64,""'"")),0),
IFERROR(QUERY('Sintética 20222023'!A:J, CONCATENATE(""SELECT H WHERE G="", ""'"",$A64,""'"")),0),
)"),0)</f>
        <v>0</v>
      </c>
      <c r="E64" s="10">
        <v>2022</v>
      </c>
      <c r="F64" s="10">
        <v>12</v>
      </c>
    </row>
    <row r="65" spans="1:6">
      <c r="A65" s="2" t="str">
        <f ca="1">IFERROR(__xludf.DUMMYFUNCTION("""COMPUTED_VALUE"""),"1.2.3.2.1.99.05.01.00")</f>
        <v>1.2.3.2.1.99.05.01.00</v>
      </c>
      <c r="B65" s="38">
        <v>44926</v>
      </c>
      <c r="C65" s="2">
        <f>APOIO!$B$2</f>
        <v>2101</v>
      </c>
      <c r="D65" s="3">
        <f ca="1">IFERROR(__xludf.DUMMYFUNCTION("SUM(
IFERROR(QUERY('Sintética 20222023'!A:J, CONCATENATE(""SELECT I WHERE A="", ""'"",$A65,""'"")),0),
IFERROR(QUERY('Sintética 20222023'!A:J, CONCATENATE(""SELECT H WHERE G="", ""'"",$A65,""'"")),0),
)"),0)</f>
        <v>0</v>
      </c>
      <c r="E65" s="10">
        <v>2022</v>
      </c>
      <c r="F65" s="10">
        <v>12</v>
      </c>
    </row>
    <row r="66" spans="1:6">
      <c r="A66" s="2" t="str">
        <f ca="1">IFERROR(__xludf.DUMMYFUNCTION("""COMPUTED_VALUE"""),"1.2.3.2.1.99.06.01.00")</f>
        <v>1.2.3.2.1.99.06.01.00</v>
      </c>
      <c r="B66" s="38">
        <v>44926</v>
      </c>
      <c r="C66" s="2">
        <f>APOIO!$B$2</f>
        <v>2101</v>
      </c>
      <c r="D66" s="3">
        <f ca="1">IFERROR(__xludf.DUMMYFUNCTION("SUM(
IFERROR(QUERY('Sintética 20222023'!A:J, CONCATENATE(""SELECT I WHERE A="", ""'"",$A66,""'"")),0),
IFERROR(QUERY('Sintética 20222023'!A:J, CONCATENATE(""SELECT H WHERE G="", ""'"",$A66,""'"")),0),
)"),0)</f>
        <v>0</v>
      </c>
      <c r="E66" s="10">
        <v>2022</v>
      </c>
      <c r="F66" s="10">
        <v>12</v>
      </c>
    </row>
    <row r="67" spans="1:6">
      <c r="A67" s="2" t="str">
        <f ca="1">IFERROR(__xludf.DUMMYFUNCTION("""COMPUTED_VALUE"""),"1.2.3.2.1.99.99.03.00")</f>
        <v>1.2.3.2.1.99.99.03.00</v>
      </c>
      <c r="B67" s="38">
        <v>44926</v>
      </c>
      <c r="C67" s="2">
        <f>APOIO!$B$2</f>
        <v>2101</v>
      </c>
      <c r="D67" s="3">
        <f ca="1">IFERROR(__xludf.DUMMYFUNCTION("SUM(
IFERROR(QUERY('Sintética 20222023'!A:J, CONCATENATE(""SELECT I WHERE A="", ""'"",$A67,""'"")),0),
IFERROR(QUERY('Sintética 20222023'!A:J, CONCATENATE(""SELECT H WHERE G="", ""'"",$A67,""'"")),0),
)"),0)</f>
        <v>0</v>
      </c>
      <c r="E67" s="10">
        <v>2022</v>
      </c>
      <c r="F67" s="10">
        <v>12</v>
      </c>
    </row>
    <row r="68" spans="1:6">
      <c r="A68" s="2" t="str">
        <f ca="1">IFERROR(__xludf.DUMMYFUNCTION("""COMPUTED_VALUE"""),"1.2.3.2.1.99.99.04.00")</f>
        <v>1.2.3.2.1.99.99.04.00</v>
      </c>
      <c r="B68" s="38">
        <v>44926</v>
      </c>
      <c r="C68" s="2">
        <f>APOIO!$B$2</f>
        <v>2101</v>
      </c>
      <c r="D68" s="3">
        <f ca="1">IFERROR(__xludf.DUMMYFUNCTION("SUM(
IFERROR(QUERY('Sintética 20222023'!A:J, CONCATENATE(""SELECT I WHERE A="", ""'"",$A68,""'"")),0),
IFERROR(QUERY('Sintética 20222023'!A:J, CONCATENATE(""SELECT H WHERE G="", ""'"",$A68,""'"")),0),
)"),0)</f>
        <v>0</v>
      </c>
      <c r="E68" s="10">
        <v>2022</v>
      </c>
      <c r="F68" s="10">
        <v>12</v>
      </c>
    </row>
    <row r="69" spans="1:6">
      <c r="A69" s="2" t="str">
        <f ca="1">IFERROR(__xludf.DUMMYFUNCTION("""COMPUTED_VALUE"""),"1.2.3.2.1.06.01.01.00")</f>
        <v>1.2.3.2.1.06.01.01.00</v>
      </c>
      <c r="B69" s="38">
        <v>44926</v>
      </c>
      <c r="C69" s="2">
        <f>APOIO!$B$2</f>
        <v>2101</v>
      </c>
      <c r="D69" s="3">
        <f ca="1">IFERROR(__xludf.DUMMYFUNCTION("SUM(
IFERROR(QUERY('Sintética 20222023'!A:J, CONCATENATE(""SELECT I WHERE A="", ""'"",$A69,""'"")),0),
IFERROR(QUERY('Sintética 20222023'!A:J, CONCATENATE(""SELECT H WHERE G="", ""'"",$A69,""'"")),0),
)"),0)</f>
        <v>0</v>
      </c>
      <c r="E69" s="10">
        <v>2022</v>
      </c>
      <c r="F69" s="10">
        <v>12</v>
      </c>
    </row>
    <row r="70" spans="1:6">
      <c r="A70" s="2" t="str">
        <f ca="1">IFERROR(__xludf.DUMMYFUNCTION("""COMPUTED_VALUE"""),"1.2.3.2.1.99.99.01.00")</f>
        <v>1.2.3.2.1.99.99.01.00</v>
      </c>
      <c r="B70" s="38">
        <v>44926</v>
      </c>
      <c r="C70" s="2">
        <f>APOIO!$B$2</f>
        <v>2101</v>
      </c>
      <c r="D70" s="3">
        <f ca="1">IFERROR(__xludf.DUMMYFUNCTION("SUM(
IFERROR(QUERY('Sintética 20222023'!A:J, CONCATENATE(""SELECT I WHERE A="", ""'"",$A70,""'"")),0),
IFERROR(QUERY('Sintética 20222023'!A:J, CONCATENATE(""SELECT H WHERE G="", ""'"",$A70,""'"")),0),
)"),0)</f>
        <v>0</v>
      </c>
      <c r="E70" s="10">
        <v>2022</v>
      </c>
      <c r="F70" s="10">
        <v>12</v>
      </c>
    </row>
    <row r="71" spans="1:6">
      <c r="A71" s="2" t="str">
        <f ca="1">IFERROR(__xludf.DUMMYFUNCTION("""COMPUTED_VALUE"""),"1.2.3.2.1.06.01.02.00")</f>
        <v>1.2.3.2.1.06.01.02.00</v>
      </c>
      <c r="B71" s="38">
        <v>44926</v>
      </c>
      <c r="C71" s="2">
        <f>APOIO!$B$2</f>
        <v>2101</v>
      </c>
      <c r="D71" s="3">
        <f ca="1">IFERROR(__xludf.DUMMYFUNCTION("SUM(
IFERROR(QUERY('Sintética 20222023'!A:J, CONCATENATE(""SELECT I WHERE A="", ""'"",$A71,""'"")),0),
IFERROR(QUERY('Sintética 20222023'!A:J, CONCATENATE(""SELECT H WHERE G="", ""'"",$A71,""'"")),0),
)"),0)</f>
        <v>0</v>
      </c>
      <c r="E71" s="10">
        <v>2022</v>
      </c>
      <c r="F71" s="10">
        <v>12</v>
      </c>
    </row>
    <row r="72" spans="1:6">
      <c r="A72" s="2" t="str">
        <f ca="1">IFERROR(__xludf.DUMMYFUNCTION("""COMPUTED_VALUE"""),"1.2.3.8.1.02.01.01.01")</f>
        <v>1.2.3.8.1.02.01.01.01</v>
      </c>
      <c r="B72" s="38">
        <v>44926</v>
      </c>
      <c r="C72" s="2">
        <f>APOIO!$B$2</f>
        <v>2101</v>
      </c>
      <c r="D72" s="3">
        <f ca="1">IFERROR(__xludf.DUMMYFUNCTION("SUM(
IFERROR(QUERY('Sintética 20222023'!A:J, CONCATENATE(""SELECT I WHERE A="", ""'"",$A72,""'"")),0),
IFERROR(QUERY('Sintética 20222023'!A:J, CONCATENATE(""SELECT H WHERE G="", ""'"",$A72,""'"")),0),
)"),0)</f>
        <v>0</v>
      </c>
      <c r="E72" s="10">
        <v>2022</v>
      </c>
      <c r="F72" s="10">
        <v>12</v>
      </c>
    </row>
    <row r="73" spans="1:6">
      <c r="A73" s="2" t="str">
        <f ca="1">IFERROR(__xludf.DUMMYFUNCTION("""COMPUTED_VALUE"""),"1.2.3.8.1.02.01.02.01")</f>
        <v>1.2.3.8.1.02.01.02.01</v>
      </c>
      <c r="B73" s="38">
        <v>44926</v>
      </c>
      <c r="C73" s="2">
        <f>APOIO!$B$2</f>
        <v>2101</v>
      </c>
      <c r="D73" s="3">
        <f ca="1">IFERROR(__xludf.DUMMYFUNCTION("SUM(
IFERROR(QUERY('Sintética 20222023'!A:J, CONCATENATE(""SELECT I WHERE A="", ""'"",$A73,""'"")),0),
IFERROR(QUERY('Sintética 20222023'!A:J, CONCATENATE(""SELECT H WHERE G="", ""'"",$A73,""'"")),0),
)"),0)</f>
        <v>0</v>
      </c>
      <c r="E73" s="10">
        <v>2022</v>
      </c>
      <c r="F73" s="10">
        <v>12</v>
      </c>
    </row>
    <row r="74" spans="1:6">
      <c r="A74" s="2" t="str">
        <f ca="1">IFERROR(__xludf.DUMMYFUNCTION("""COMPUTED_VALUE"""),"1.2.3.8.1.02.01.03.01")</f>
        <v>1.2.3.8.1.02.01.03.01</v>
      </c>
      <c r="B74" s="38">
        <v>44926</v>
      </c>
      <c r="C74" s="2">
        <f>APOIO!$B$2</f>
        <v>2101</v>
      </c>
      <c r="D74" s="3">
        <f ca="1">IFERROR(__xludf.DUMMYFUNCTION("SUM(
IFERROR(QUERY('Sintética 20222023'!A:J, CONCATENATE(""SELECT I WHERE A="", ""'"",$A74,""'"")),0),
IFERROR(QUERY('Sintética 20222023'!A:J, CONCATENATE(""SELECT H WHERE G="", ""'"",$A74,""'"")),0),
)"),0)</f>
        <v>0</v>
      </c>
      <c r="E74" s="10">
        <v>2022</v>
      </c>
      <c r="F74" s="10">
        <v>12</v>
      </c>
    </row>
    <row r="75" spans="1:6">
      <c r="A75" s="2" t="str">
        <f ca="1">IFERROR(__xludf.DUMMYFUNCTION("""COMPUTED_VALUE"""),"1.2.3.8.1.02.01.04.01")</f>
        <v>1.2.3.8.1.02.01.04.01</v>
      </c>
      <c r="B75" s="38">
        <v>44926</v>
      </c>
      <c r="C75" s="2">
        <f>APOIO!$B$2</f>
        <v>2101</v>
      </c>
      <c r="D75" s="3">
        <f ca="1">IFERROR(__xludf.DUMMYFUNCTION("SUM(
IFERROR(QUERY('Sintética 20222023'!A:J, CONCATENATE(""SELECT I WHERE A="", ""'"",$A75,""'"")),0),
IFERROR(QUERY('Sintética 20222023'!A:J, CONCATENATE(""SELECT H WHERE G="", ""'"",$A75,""'"")),0),
)"),0)</f>
        <v>0</v>
      </c>
      <c r="E75" s="10">
        <v>2022</v>
      </c>
      <c r="F75" s="10">
        <v>12</v>
      </c>
    </row>
    <row r="76" spans="1:6">
      <c r="A76" s="2" t="str">
        <f ca="1">IFERROR(__xludf.DUMMYFUNCTION("""COMPUTED_VALUE"""),"1.2.3.8.1.02.01.05.01")</f>
        <v>1.2.3.8.1.02.01.05.01</v>
      </c>
      <c r="B76" s="38">
        <v>44926</v>
      </c>
      <c r="C76" s="2">
        <f>APOIO!$B$2</f>
        <v>2101</v>
      </c>
      <c r="D76" s="3">
        <f ca="1">IFERROR(__xludf.DUMMYFUNCTION("SUM(
IFERROR(QUERY('Sintética 20222023'!A:J, CONCATENATE(""SELECT I WHERE A="", ""'"",$A76,""'"")),0),
IFERROR(QUERY('Sintética 20222023'!A:J, CONCATENATE(""SELECT H WHERE G="", ""'"",$A76,""'"")),0),
)"),0)</f>
        <v>0</v>
      </c>
      <c r="E76" s="10">
        <v>2022</v>
      </c>
      <c r="F76" s="10">
        <v>12</v>
      </c>
    </row>
    <row r="77" spans="1:6">
      <c r="A77" s="2" t="str">
        <f ca="1">IFERROR(__xludf.DUMMYFUNCTION("""COMPUTED_VALUE"""),"1.2.3.8.1.02.01.05.02")</f>
        <v>1.2.3.8.1.02.01.05.02</v>
      </c>
      <c r="B77" s="38">
        <v>44926</v>
      </c>
      <c r="C77" s="2">
        <f>APOIO!$B$2</f>
        <v>2101</v>
      </c>
      <c r="D77" s="3">
        <f ca="1">IFERROR(__xludf.DUMMYFUNCTION("SUM(
IFERROR(QUERY('Sintética 20222023'!A:J, CONCATENATE(""SELECT I WHERE A="", ""'"",$A77,""'"")),0),
IFERROR(QUERY('Sintética 20222023'!A:J, CONCATENATE(""SELECT H WHERE G="", ""'"",$A77,""'"")),0),
)"),0)</f>
        <v>0</v>
      </c>
      <c r="E77" s="10">
        <v>2022</v>
      </c>
      <c r="F77" s="10">
        <v>12</v>
      </c>
    </row>
    <row r="78" spans="1:6">
      <c r="A78" s="2" t="str">
        <f ca="1">IFERROR(__xludf.DUMMYFUNCTION("""COMPUTED_VALUE"""),"1.2.3.8.1.02.01.00.01")</f>
        <v>1.2.3.8.1.02.01.00.01</v>
      </c>
      <c r="B78" s="38">
        <v>44926</v>
      </c>
      <c r="C78" s="2">
        <f>APOIO!$B$2</f>
        <v>2101</v>
      </c>
      <c r="D78" s="3">
        <f ca="1">IFERROR(__xludf.DUMMYFUNCTION("SUM(
IFERROR(QUERY('Sintética 20222023'!A:J, CONCATENATE(""SELECT I WHERE A="", ""'"",$A78,""'"")),0),
IFERROR(QUERY('Sintética 20222023'!A:J, CONCATENATE(""SELECT H WHERE G="", ""'"",$A78,""'"")),0),
)"),0)</f>
        <v>0</v>
      </c>
      <c r="E78" s="10">
        <v>2022</v>
      </c>
      <c r="F78" s="10">
        <v>12</v>
      </c>
    </row>
    <row r="79" spans="1:6">
      <c r="A79" s="2" t="str">
        <f ca="1">IFERROR(__xludf.DUMMYFUNCTION("""COMPUTED_VALUE"""),"1.2.3.8.1.02.01.07.01")</f>
        <v>1.2.3.8.1.02.01.07.01</v>
      </c>
      <c r="B79" s="38">
        <v>44926</v>
      </c>
      <c r="C79" s="2">
        <f>APOIO!$B$2</f>
        <v>2101</v>
      </c>
      <c r="D79" s="3">
        <f ca="1">IFERROR(__xludf.DUMMYFUNCTION("SUM(
IFERROR(QUERY('Sintética 20222023'!A:J, CONCATENATE(""SELECT I WHERE A="", ""'"",$A79,""'"")),0),
IFERROR(QUERY('Sintética 20222023'!A:J, CONCATENATE(""SELECT H WHERE G="", ""'"",$A79,""'"")),0),
)"),0)</f>
        <v>0</v>
      </c>
      <c r="E79" s="10">
        <v>2022</v>
      </c>
      <c r="F79" s="10">
        <v>12</v>
      </c>
    </row>
    <row r="80" spans="1:6">
      <c r="A80" s="2" t="str">
        <f ca="1">IFERROR(__xludf.DUMMYFUNCTION("""COMPUTED_VALUE"""),"1.2.3.8.1.02.01.07.02")</f>
        <v>1.2.3.8.1.02.01.07.02</v>
      </c>
      <c r="B80" s="38">
        <v>44926</v>
      </c>
      <c r="C80" s="2">
        <f>APOIO!$B$2</f>
        <v>2101</v>
      </c>
      <c r="D80" s="3">
        <f ca="1">IFERROR(__xludf.DUMMYFUNCTION("SUM(
IFERROR(QUERY('Sintética 20222023'!A:J, CONCATENATE(""SELECT I WHERE A="", ""'"",$A80,""'"")),0),
IFERROR(QUERY('Sintética 20222023'!A:J, CONCATENATE(""SELECT H WHERE G="", ""'"",$A80,""'"")),0),
)"),0)</f>
        <v>0</v>
      </c>
      <c r="E80" s="10">
        <v>2022</v>
      </c>
      <c r="F80" s="10">
        <v>12</v>
      </c>
    </row>
    <row r="81" spans="1:6">
      <c r="A81" s="2" t="str">
        <f ca="1">IFERROR(__xludf.DUMMYFUNCTION("""COMPUTED_VALUE"""),"1.2.3.8.1.02.01.07.03")</f>
        <v>1.2.3.8.1.02.01.07.03</v>
      </c>
      <c r="B81" s="38">
        <v>44926</v>
      </c>
      <c r="C81" s="2">
        <f>APOIO!$B$2</f>
        <v>2101</v>
      </c>
      <c r="D81" s="3">
        <f ca="1">IFERROR(__xludf.DUMMYFUNCTION("SUM(
IFERROR(QUERY('Sintética 20222023'!A:J, CONCATENATE(""SELECT I WHERE A="", ""'"",$A81,""'"")),0),
IFERROR(QUERY('Sintética 20222023'!A:J, CONCATENATE(""SELECT H WHERE G="", ""'"",$A81,""'"")),0),
)"),0)</f>
        <v>0</v>
      </c>
      <c r="E81" s="10">
        <v>2022</v>
      </c>
      <c r="F81" s="10">
        <v>12</v>
      </c>
    </row>
    <row r="82" spans="1:6">
      <c r="A82" s="2" t="str">
        <f ca="1">IFERROR(__xludf.DUMMYFUNCTION("""COMPUTED_VALUE"""),"1.2.3.8.1.02.01.08.01")</f>
        <v>1.2.3.8.1.02.01.08.01</v>
      </c>
      <c r="B82" s="38">
        <v>44926</v>
      </c>
      <c r="C82" s="2">
        <f>APOIO!$B$2</f>
        <v>2101</v>
      </c>
      <c r="D82" s="3">
        <f ca="1">IFERROR(__xludf.DUMMYFUNCTION("SUM(
IFERROR(QUERY('Sintética 20222023'!A:J, CONCATENATE(""SELECT I WHERE A="", ""'"",$A82,""'"")),0),
IFERROR(QUERY('Sintética 20222023'!A:J, CONCATENATE(""SELECT H WHERE G="", ""'"",$A82,""'"")),0),
)"),0)</f>
        <v>0</v>
      </c>
      <c r="E82" s="10">
        <v>2022</v>
      </c>
      <c r="F82" s="10">
        <v>12</v>
      </c>
    </row>
    <row r="83" spans="1:6">
      <c r="A83" s="2" t="str">
        <f ca="1">IFERROR(__xludf.DUMMYFUNCTION("""COMPUTED_VALUE"""),"1.2.3.8.1.02.01.09.01")</f>
        <v>1.2.3.8.1.02.01.09.01</v>
      </c>
      <c r="B83" s="38">
        <v>44926</v>
      </c>
      <c r="C83" s="2">
        <f>APOIO!$B$2</f>
        <v>2101</v>
      </c>
      <c r="D83" s="3">
        <f ca="1">IFERROR(__xludf.DUMMYFUNCTION("SUM(
IFERROR(QUERY('Sintética 20222023'!A:J, CONCATENATE(""SELECT I WHERE A="", ""'"",$A83,""'"")),0),
IFERROR(QUERY('Sintética 20222023'!A:J, CONCATENATE(""SELECT H WHERE G="", ""'"",$A83,""'"")),0),
)"),0)</f>
        <v>0</v>
      </c>
      <c r="E83" s="10">
        <v>2022</v>
      </c>
      <c r="F83" s="10">
        <v>12</v>
      </c>
    </row>
    <row r="84" spans="1:6">
      <c r="A84" s="2" t="str">
        <f ca="1">IFERROR(__xludf.DUMMYFUNCTION("""COMPUTED_VALUE"""),"1.2.3.8.1.02.01.09.02")</f>
        <v>1.2.3.8.1.02.01.09.02</v>
      </c>
      <c r="B84" s="38">
        <v>44926</v>
      </c>
      <c r="C84" s="2">
        <f>APOIO!$B$2</f>
        <v>2101</v>
      </c>
      <c r="D84" s="3">
        <f ca="1">IFERROR(__xludf.DUMMYFUNCTION("SUM(
IFERROR(QUERY('Sintética 20222023'!A:J, CONCATENATE(""SELECT I WHERE A="", ""'"",$A84,""'"")),0),
IFERROR(QUERY('Sintética 20222023'!A:J, CONCATENATE(""SELECT H WHERE G="", ""'"",$A84,""'"")),0),
)"),0)</f>
        <v>0</v>
      </c>
      <c r="E84" s="10">
        <v>2022</v>
      </c>
      <c r="F84" s="10">
        <v>12</v>
      </c>
    </row>
    <row r="85" spans="1:6">
      <c r="A85" s="2" t="str">
        <f ca="1">IFERROR(__xludf.DUMMYFUNCTION("""COMPUTED_VALUE"""),"1.2.3.8.1.02.01.10.01")</f>
        <v>1.2.3.8.1.02.01.10.01</v>
      </c>
      <c r="B85" s="38">
        <v>44926</v>
      </c>
      <c r="C85" s="2">
        <f>APOIO!$B$2</f>
        <v>2101</v>
      </c>
      <c r="D85" s="3">
        <f ca="1">IFERROR(__xludf.DUMMYFUNCTION("SUM(
IFERROR(QUERY('Sintética 20222023'!A:J, CONCATENATE(""SELECT I WHERE A="", ""'"",$A85,""'"")),0),
IFERROR(QUERY('Sintética 20222023'!A:J, CONCATENATE(""SELECT H WHERE G="", ""'"",$A85,""'"")),0),
)"),0)</f>
        <v>0</v>
      </c>
      <c r="E85" s="10">
        <v>2022</v>
      </c>
      <c r="F85" s="10">
        <v>12</v>
      </c>
    </row>
    <row r="86" spans="1:6">
      <c r="A86" s="2" t="str">
        <f ca="1">IFERROR(__xludf.DUMMYFUNCTION("""COMPUTED_VALUE"""),"1.2.3.8.1.02.01.10.02")</f>
        <v>1.2.3.8.1.02.01.10.02</v>
      </c>
      <c r="B86" s="38">
        <v>44926</v>
      </c>
      <c r="C86" s="2">
        <f>APOIO!$B$2</f>
        <v>2101</v>
      </c>
      <c r="D86" s="3">
        <f ca="1">IFERROR(__xludf.DUMMYFUNCTION("SUM(
IFERROR(QUERY('Sintética 20222023'!A:J, CONCATENATE(""SELECT I WHERE A="", ""'"",$A86,""'"")),0),
IFERROR(QUERY('Sintética 20222023'!A:J, CONCATENATE(""SELECT H WHERE G="", ""'"",$A86,""'"")),0),
)"),0)</f>
        <v>0</v>
      </c>
      <c r="E86" s="10">
        <v>2022</v>
      </c>
      <c r="F86" s="10">
        <v>12</v>
      </c>
    </row>
    <row r="87" spans="1:6">
      <c r="A87" s="2" t="str">
        <f ca="1">IFERROR(__xludf.DUMMYFUNCTION("""COMPUTED_VALUE"""),"1.2.3.8.1.02.01.10.03")</f>
        <v>1.2.3.8.1.02.01.10.03</v>
      </c>
      <c r="B87" s="38">
        <v>44926</v>
      </c>
      <c r="C87" s="2">
        <f>APOIO!$B$2</f>
        <v>2101</v>
      </c>
      <c r="D87" s="3">
        <f ca="1">IFERROR(__xludf.DUMMYFUNCTION("SUM(
IFERROR(QUERY('Sintética 20222023'!A:J, CONCATENATE(""SELECT I WHERE A="", ""'"",$A87,""'"")),0),
IFERROR(QUERY('Sintética 20222023'!A:J, CONCATENATE(""SELECT H WHERE G="", ""'"",$A87,""'"")),0),
)"),0)</f>
        <v>0</v>
      </c>
      <c r="E87" s="10">
        <v>2022</v>
      </c>
      <c r="F87" s="10">
        <v>12</v>
      </c>
    </row>
    <row r="88" spans="1:6">
      <c r="A88" s="2" t="str">
        <f ca="1">IFERROR(__xludf.DUMMYFUNCTION("""COMPUTED_VALUE"""),"1.2.3.8.1.02.01.11.01")</f>
        <v>1.2.3.8.1.02.01.11.01</v>
      </c>
      <c r="B88" s="38">
        <v>44926</v>
      </c>
      <c r="C88" s="2">
        <f>APOIO!$B$2</f>
        <v>2101</v>
      </c>
      <c r="D88" s="3">
        <f ca="1">IFERROR(__xludf.DUMMYFUNCTION("SUM(
IFERROR(QUERY('Sintética 20222023'!A:J, CONCATENATE(""SELECT I WHERE A="", ""'"",$A88,""'"")),0),
IFERROR(QUERY('Sintética 20222023'!A:J, CONCATENATE(""SELECT H WHERE G="", ""'"",$A88,""'"")),0),
)"),0)</f>
        <v>0</v>
      </c>
      <c r="E88" s="10">
        <v>2022</v>
      </c>
      <c r="F88" s="10">
        <v>12</v>
      </c>
    </row>
    <row r="89" spans="1:6">
      <c r="A89" s="2" t="str">
        <f ca="1">IFERROR(__xludf.DUMMYFUNCTION("""COMPUTED_VALUE"""),"1.2.3.8.1.02.01.11.02")</f>
        <v>1.2.3.8.1.02.01.11.02</v>
      </c>
      <c r="B89" s="38">
        <v>44926</v>
      </c>
      <c r="C89" s="2">
        <f>APOIO!$B$2</f>
        <v>2101</v>
      </c>
      <c r="D89" s="3">
        <f ca="1">IFERROR(__xludf.DUMMYFUNCTION("SUM(
IFERROR(QUERY('Sintética 20222023'!A:J, CONCATENATE(""SELECT I WHERE A="", ""'"",$A89,""'"")),0),
IFERROR(QUERY('Sintética 20222023'!A:J, CONCATENATE(""SELECT H WHERE G="", ""'"",$A89,""'"")),0),
)"),0)</f>
        <v>0</v>
      </c>
      <c r="E89" s="10">
        <v>2022</v>
      </c>
      <c r="F89" s="10">
        <v>12</v>
      </c>
    </row>
    <row r="90" spans="1:6">
      <c r="A90" s="2" t="str">
        <f ca="1">IFERROR(__xludf.DUMMYFUNCTION("""COMPUTED_VALUE"""),"1.2.3.8.1.02.01.11.03")</f>
        <v>1.2.3.8.1.02.01.11.03</v>
      </c>
      <c r="B90" s="38">
        <v>44926</v>
      </c>
      <c r="C90" s="2">
        <f>APOIO!$B$2</f>
        <v>2101</v>
      </c>
      <c r="D90" s="3">
        <f ca="1">IFERROR(__xludf.DUMMYFUNCTION("SUM(
IFERROR(QUERY('Sintética 20222023'!A:J, CONCATENATE(""SELECT I WHERE A="", ""'"",$A90,""'"")),0),
IFERROR(QUERY('Sintética 20222023'!A:J, CONCATENATE(""SELECT H WHERE G="", ""'"",$A90,""'"")),0),
)"),0)</f>
        <v>0</v>
      </c>
      <c r="E90" s="10">
        <v>2022</v>
      </c>
      <c r="F90" s="10">
        <v>12</v>
      </c>
    </row>
    <row r="91" spans="1:6">
      <c r="A91" s="2" t="str">
        <f ca="1">IFERROR(__xludf.DUMMYFUNCTION("""COMPUTED_VALUE"""),"1.2.3.8.1.02.01.11.04")</f>
        <v>1.2.3.8.1.02.01.11.04</v>
      </c>
      <c r="B91" s="38">
        <v>44926</v>
      </c>
      <c r="C91" s="2">
        <f>APOIO!$B$2</f>
        <v>2101</v>
      </c>
      <c r="D91" s="3">
        <f ca="1">IFERROR(__xludf.DUMMYFUNCTION("SUM(
IFERROR(QUERY('Sintética 20222023'!A:J, CONCATENATE(""SELECT I WHERE A="", ""'"",$A91,""'"")),0),
IFERROR(QUERY('Sintética 20222023'!A:J, CONCATENATE(""SELECT H WHERE G="", ""'"",$A91,""'"")),0),
)"),0)</f>
        <v>0</v>
      </c>
      <c r="E91" s="10">
        <v>2022</v>
      </c>
      <c r="F91" s="10">
        <v>12</v>
      </c>
    </row>
    <row r="92" spans="1:6">
      <c r="A92" s="2" t="str">
        <f ca="1">IFERROR(__xludf.DUMMYFUNCTION("""COMPUTED_VALUE"""),"1.2.3.8.1.02.01.11.05")</f>
        <v>1.2.3.8.1.02.01.11.05</v>
      </c>
      <c r="B92" s="38">
        <v>44926</v>
      </c>
      <c r="C92" s="2">
        <f>APOIO!$B$2</f>
        <v>2101</v>
      </c>
      <c r="D92" s="3">
        <f ca="1">IFERROR(__xludf.DUMMYFUNCTION("SUM(
IFERROR(QUERY('Sintética 20222023'!A:J, CONCATENATE(""SELECT I WHERE A="", ""'"",$A92,""'"")),0),
IFERROR(QUERY('Sintética 20222023'!A:J, CONCATENATE(""SELECT H WHERE G="", ""'"",$A92,""'"")),0),
)"),0)</f>
        <v>0</v>
      </c>
      <c r="E92" s="10">
        <v>2022</v>
      </c>
      <c r="F92" s="10">
        <v>12</v>
      </c>
    </row>
    <row r="93" spans="1:6">
      <c r="A93" s="2" t="str">
        <f ca="1">IFERROR(__xludf.DUMMYFUNCTION("""COMPUTED_VALUE"""),"1.2.3.8.1.02.01.11.06")</f>
        <v>1.2.3.8.1.02.01.11.06</v>
      </c>
      <c r="B93" s="38">
        <v>44926</v>
      </c>
      <c r="C93" s="2">
        <f>APOIO!$B$2</f>
        <v>2101</v>
      </c>
      <c r="D93" s="3">
        <f ca="1">IFERROR(__xludf.DUMMYFUNCTION("SUM(
IFERROR(QUERY('Sintética 20222023'!A:J, CONCATENATE(""SELECT I WHERE A="", ""'"",$A93,""'"")),0),
IFERROR(QUERY('Sintética 20222023'!A:J, CONCATENATE(""SELECT H WHERE G="", ""'"",$A93,""'"")),0),
)"),0)</f>
        <v>0</v>
      </c>
      <c r="E93" s="10">
        <v>2022</v>
      </c>
      <c r="F93" s="10">
        <v>12</v>
      </c>
    </row>
    <row r="94" spans="1:6">
      <c r="A94" s="2" t="str">
        <f ca="1">IFERROR(__xludf.DUMMYFUNCTION("""COMPUTED_VALUE"""),"1.2.3.8.1.02.01.13.01")</f>
        <v>1.2.3.8.1.02.01.13.01</v>
      </c>
      <c r="B94" s="38">
        <v>44926</v>
      </c>
      <c r="C94" s="2">
        <f>APOIO!$B$2</f>
        <v>2101</v>
      </c>
      <c r="D94" s="3">
        <f ca="1">IFERROR(__xludf.DUMMYFUNCTION("SUM(
IFERROR(QUERY('Sintética 20222023'!A:J, CONCATENATE(""SELECT I WHERE A="", ""'"",$A94,""'"")),0),
IFERROR(QUERY('Sintética 20222023'!A:J, CONCATENATE(""SELECT H WHERE G="", ""'"",$A94,""'"")),0),
)"),0)</f>
        <v>0</v>
      </c>
      <c r="E94" s="10">
        <v>2022</v>
      </c>
      <c r="F94" s="10">
        <v>12</v>
      </c>
    </row>
    <row r="95" spans="1:6">
      <c r="A95" s="2" t="str">
        <f ca="1">IFERROR(__xludf.DUMMYFUNCTION("""COMPUTED_VALUE"""),"1.2.3.8.1.02.01.13.02")</f>
        <v>1.2.3.8.1.02.01.13.02</v>
      </c>
      <c r="B95" s="38">
        <v>44926</v>
      </c>
      <c r="C95" s="2">
        <f>APOIO!$B$2</f>
        <v>2101</v>
      </c>
      <c r="D95" s="3">
        <f ca="1">IFERROR(__xludf.DUMMYFUNCTION("SUM(
IFERROR(QUERY('Sintética 20222023'!A:J, CONCATENATE(""SELECT I WHERE A="", ""'"",$A95,""'"")),0),
IFERROR(QUERY('Sintética 20222023'!A:J, CONCATENATE(""SELECT H WHERE G="", ""'"",$A95,""'"")),0),
)"),0)</f>
        <v>0</v>
      </c>
      <c r="E95" s="10">
        <v>2022</v>
      </c>
      <c r="F95" s="10">
        <v>12</v>
      </c>
    </row>
    <row r="96" spans="1:6">
      <c r="A96" s="2" t="str">
        <f ca="1">IFERROR(__xludf.DUMMYFUNCTION("""COMPUTED_VALUE"""),"1.2.3.8.1.02.01.14.01")</f>
        <v>1.2.3.8.1.02.01.14.01</v>
      </c>
      <c r="B96" s="38">
        <v>44926</v>
      </c>
      <c r="C96" s="2">
        <f>APOIO!$B$2</f>
        <v>2101</v>
      </c>
      <c r="D96" s="3">
        <f ca="1">IFERROR(__xludf.DUMMYFUNCTION("SUM(
IFERROR(QUERY('Sintética 20222023'!A:J, CONCATENATE(""SELECT I WHERE A="", ""'"",$A96,""'"")),0),
IFERROR(QUERY('Sintética 20222023'!A:J, CONCATENATE(""SELECT H WHERE G="", ""'"",$A96,""'"")),0),
)"),0)</f>
        <v>0</v>
      </c>
      <c r="E96" s="10">
        <v>2022</v>
      </c>
      <c r="F96" s="10">
        <v>12</v>
      </c>
    </row>
    <row r="97" spans="1:6">
      <c r="A97" s="2" t="str">
        <f ca="1">IFERROR(__xludf.DUMMYFUNCTION("""COMPUTED_VALUE"""),"1.2.3.8.1.02.01.14.02")</f>
        <v>1.2.3.8.1.02.01.14.02</v>
      </c>
      <c r="B97" s="38">
        <v>44926</v>
      </c>
      <c r="C97" s="2">
        <f>APOIO!$B$2</f>
        <v>2101</v>
      </c>
      <c r="D97" s="3">
        <f ca="1">IFERROR(__xludf.DUMMYFUNCTION("SUM(
IFERROR(QUERY('Sintética 20222023'!A:J, CONCATENATE(""SELECT I WHERE A="", ""'"",$A97,""'"")),0),
IFERROR(QUERY('Sintética 20222023'!A:J, CONCATENATE(""SELECT H WHERE G="", ""'"",$A97,""'"")),0),
)"),0)</f>
        <v>0</v>
      </c>
      <c r="E97" s="10">
        <v>2022</v>
      </c>
      <c r="F97" s="10">
        <v>12</v>
      </c>
    </row>
    <row r="98" spans="1:6">
      <c r="A98" s="2" t="str">
        <f ca="1">IFERROR(__xludf.DUMMYFUNCTION("""COMPUTED_VALUE"""),"1.2.3.8.1.02.01.15.01")</f>
        <v>1.2.3.8.1.02.01.15.01</v>
      </c>
      <c r="B98" s="38">
        <v>44926</v>
      </c>
      <c r="C98" s="2">
        <f>APOIO!$B$2</f>
        <v>2101</v>
      </c>
      <c r="D98" s="3">
        <f ca="1">IFERROR(__xludf.DUMMYFUNCTION("SUM(
IFERROR(QUERY('Sintética 20222023'!A:J, CONCATENATE(""SELECT I WHERE A="", ""'"",$A98,""'"")),0),
IFERROR(QUERY('Sintética 20222023'!A:J, CONCATENATE(""SELECT H WHERE G="", ""'"",$A98,""'"")),0),
)"),0)</f>
        <v>0</v>
      </c>
      <c r="E98" s="10">
        <v>2022</v>
      </c>
      <c r="F98" s="10">
        <v>12</v>
      </c>
    </row>
    <row r="99" spans="1:6">
      <c r="A99" s="2" t="str">
        <f ca="1">IFERROR(__xludf.DUMMYFUNCTION("""COMPUTED_VALUE"""),"1.2.3.8.1.02.01.15.02")</f>
        <v>1.2.3.8.1.02.01.15.02</v>
      </c>
      <c r="B99" s="38">
        <v>44926</v>
      </c>
      <c r="C99" s="2">
        <f>APOIO!$B$2</f>
        <v>2101</v>
      </c>
      <c r="D99" s="3">
        <f ca="1">IFERROR(__xludf.DUMMYFUNCTION("SUM(
IFERROR(QUERY('Sintética 20222023'!A:J, CONCATENATE(""SELECT I WHERE A="", ""'"",$A99,""'"")),0),
IFERROR(QUERY('Sintética 20222023'!A:J, CONCATENATE(""SELECT H WHERE G="", ""'"",$A99,""'"")),0),
)"),0)</f>
        <v>0</v>
      </c>
      <c r="E99" s="10">
        <v>2022</v>
      </c>
      <c r="F99" s="10">
        <v>12</v>
      </c>
    </row>
    <row r="100" spans="1:6">
      <c r="A100" s="2" t="str">
        <f ca="1">IFERROR(__xludf.DUMMYFUNCTION("""COMPUTED_VALUE"""),"1.2.3.8.1.02.01.16.01")</f>
        <v>1.2.3.8.1.02.01.16.01</v>
      </c>
      <c r="B100" s="38">
        <v>44926</v>
      </c>
      <c r="C100" s="2">
        <f>APOIO!$B$2</f>
        <v>2101</v>
      </c>
      <c r="D100" s="3">
        <f ca="1">IFERROR(__xludf.DUMMYFUNCTION("SUM(
IFERROR(QUERY('Sintética 20222023'!A:J, CONCATENATE(""SELECT I WHERE A="", ""'"",$A100,""'"")),0),
IFERROR(QUERY('Sintética 20222023'!A:J, CONCATENATE(""SELECT H WHERE G="", ""'"",$A100,""'"")),0),
)"),0)</f>
        <v>0</v>
      </c>
      <c r="E100" s="10">
        <v>2022</v>
      </c>
      <c r="F100" s="10">
        <v>12</v>
      </c>
    </row>
    <row r="101" spans="1:6">
      <c r="A101" s="2" t="str">
        <f ca="1">IFERROR(__xludf.DUMMYFUNCTION("""COMPUTED_VALUE"""),"1.2.3.8.1.02.01.17.01")</f>
        <v>1.2.3.8.1.02.01.17.01</v>
      </c>
      <c r="B101" s="38">
        <v>44926</v>
      </c>
      <c r="C101" s="2">
        <f>APOIO!$B$2</f>
        <v>2101</v>
      </c>
      <c r="D101" s="3">
        <f ca="1">IFERROR(__xludf.DUMMYFUNCTION("SUM(
IFERROR(QUERY('Sintética 20222023'!A:J, CONCATENATE(""SELECT I WHERE A="", ""'"",$A101,""'"")),0),
IFERROR(QUERY('Sintética 20222023'!A:J, CONCATENATE(""SELECT H WHERE G="", ""'"",$A101,""'"")),0),
)"),0)</f>
        <v>0</v>
      </c>
      <c r="E101" s="10">
        <v>2022</v>
      </c>
      <c r="F101" s="10">
        <v>12</v>
      </c>
    </row>
    <row r="102" spans="1:6">
      <c r="A102" s="2" t="str">
        <f ca="1">IFERROR(__xludf.DUMMYFUNCTION("""COMPUTED_VALUE"""),"1.2.3.8.1.02.01.17.02")</f>
        <v>1.2.3.8.1.02.01.17.02</v>
      </c>
      <c r="B102" s="38">
        <v>44926</v>
      </c>
      <c r="C102" s="2">
        <f>APOIO!$B$2</f>
        <v>2101</v>
      </c>
      <c r="D102" s="3">
        <f ca="1">IFERROR(__xludf.DUMMYFUNCTION("SUM(
IFERROR(QUERY('Sintética 20222023'!A:J, CONCATENATE(""SELECT I WHERE A="", ""'"",$A102,""'"")),0),
IFERROR(QUERY('Sintética 20222023'!A:J, CONCATENATE(""SELECT H WHERE G="", ""'"",$A102,""'"")),0),
)"),0)</f>
        <v>0</v>
      </c>
      <c r="E102" s="10">
        <v>2022</v>
      </c>
      <c r="F102" s="10">
        <v>12</v>
      </c>
    </row>
    <row r="103" spans="1:6">
      <c r="A103" s="2" t="str">
        <f ca="1">IFERROR(__xludf.DUMMYFUNCTION("""COMPUTED_VALUE"""),"1.2.3.8.1.02.01.19.01")</f>
        <v>1.2.3.8.1.02.01.19.01</v>
      </c>
      <c r="B103" s="38">
        <v>44926</v>
      </c>
      <c r="C103" s="2">
        <f>APOIO!$B$2</f>
        <v>2101</v>
      </c>
      <c r="D103" s="3">
        <f ca="1">IFERROR(__xludf.DUMMYFUNCTION("SUM(
IFERROR(QUERY('Sintética 20222023'!A:J, CONCATENATE(""SELECT I WHERE A="", ""'"",$A103,""'"")),0),
IFERROR(QUERY('Sintética 20222023'!A:J, CONCATENATE(""SELECT H WHERE G="", ""'"",$A103,""'"")),0),
)"),0)</f>
        <v>0</v>
      </c>
      <c r="E103" s="10">
        <v>2022</v>
      </c>
      <c r="F103" s="10">
        <v>12</v>
      </c>
    </row>
    <row r="104" spans="1:6">
      <c r="A104" s="2" t="str">
        <f ca="1">IFERROR(__xludf.DUMMYFUNCTION("""COMPUTED_VALUE"""),"1.2.3.8.1.02.01.19.90")</f>
        <v>1.2.3.8.1.02.01.19.90</v>
      </c>
      <c r="B104" s="38">
        <v>44926</v>
      </c>
      <c r="C104" s="2">
        <f>APOIO!$B$2</f>
        <v>2101</v>
      </c>
      <c r="D104" s="3">
        <f ca="1">IFERROR(__xludf.DUMMYFUNCTION("SUM(
IFERROR(QUERY('Sintética 20222023'!A:J, CONCATENATE(""SELECT I WHERE A="", ""'"",$A104,""'"")),0),
IFERROR(QUERY('Sintética 20222023'!A:J, CONCATENATE(""SELECT H WHERE G="", ""'"",$A104,""'"")),0),
)"),0)</f>
        <v>0</v>
      </c>
      <c r="E104" s="10">
        <v>2022</v>
      </c>
      <c r="F104" s="10">
        <v>12</v>
      </c>
    </row>
    <row r="105" spans="1:6">
      <c r="A105" s="2" t="str">
        <f ca="1">IFERROR(__xludf.DUMMYFUNCTION("""COMPUTED_VALUE"""),"1.2.3.8.1.02.01.21.01")</f>
        <v>1.2.3.8.1.02.01.21.01</v>
      </c>
      <c r="B105" s="38">
        <v>44926</v>
      </c>
      <c r="C105" s="2">
        <f>APOIO!$B$2</f>
        <v>2101</v>
      </c>
      <c r="D105" s="3">
        <f ca="1">IFERROR(__xludf.DUMMYFUNCTION("SUM(
IFERROR(QUERY('Sintética 20222023'!A:J, CONCATENATE(""SELECT I WHERE A="", ""'"",$A105,""'"")),0),
IFERROR(QUERY('Sintética 20222023'!A:J, CONCATENATE(""SELECT H WHERE G="", ""'"",$A105,""'"")),0),
)"),0)</f>
        <v>0</v>
      </c>
      <c r="E105" s="10">
        <v>2022</v>
      </c>
      <c r="F105" s="10">
        <v>12</v>
      </c>
    </row>
    <row r="106" spans="1:6">
      <c r="A106" s="2" t="str">
        <f ca="1">IFERROR(__xludf.DUMMYFUNCTION("""COMPUTED_VALUE"""),"1.2.3.8.1.02.01.22.01")</f>
        <v>1.2.3.8.1.02.01.22.01</v>
      </c>
      <c r="B106" s="38">
        <v>44926</v>
      </c>
      <c r="C106" s="2">
        <f>APOIO!$B$2</f>
        <v>2101</v>
      </c>
      <c r="D106" s="3">
        <f ca="1">IFERROR(__xludf.DUMMYFUNCTION("SUM(
IFERROR(QUERY('Sintética 20222023'!A:J, CONCATENATE(""SELECT I WHERE A="", ""'"",$A106,""'"")),0),
IFERROR(QUERY('Sintética 20222023'!A:J, CONCATENATE(""SELECT H WHERE G="", ""'"",$A106,""'"")),0),
)"),0)</f>
        <v>0</v>
      </c>
      <c r="E106" s="10">
        <v>2022</v>
      </c>
      <c r="F106" s="10">
        <v>12</v>
      </c>
    </row>
    <row r="107" spans="1:6">
      <c r="A107" s="2" t="str">
        <f ca="1">IFERROR(__xludf.DUMMYFUNCTION("""COMPUTED_VALUE"""),"1.2.3.8.1.02.01.22.02")</f>
        <v>1.2.3.8.1.02.01.22.02</v>
      </c>
      <c r="B107" s="38">
        <v>44926</v>
      </c>
      <c r="C107" s="2">
        <f>APOIO!$B$2</f>
        <v>2101</v>
      </c>
      <c r="D107" s="3">
        <f ca="1">IFERROR(__xludf.DUMMYFUNCTION("SUM(
IFERROR(QUERY('Sintética 20222023'!A:J, CONCATENATE(""SELECT I WHERE A="", ""'"",$A107,""'"")),0),
IFERROR(QUERY('Sintética 20222023'!A:J, CONCATENATE(""SELECT H WHERE G="", ""'"",$A107,""'"")),0),
)"),0)</f>
        <v>0</v>
      </c>
      <c r="E107" s="10">
        <v>2022</v>
      </c>
      <c r="F107" s="10">
        <v>12</v>
      </c>
    </row>
    <row r="108" spans="1:6">
      <c r="A108" s="2" t="str">
        <f ca="1">IFERROR(__xludf.DUMMYFUNCTION("""COMPUTED_VALUE"""),"1.2.3.8.1.02.01.98.00")</f>
        <v>1.2.3.8.1.02.01.98.00</v>
      </c>
      <c r="B108" s="38">
        <v>44926</v>
      </c>
      <c r="C108" s="2">
        <f>APOIO!$B$2</f>
        <v>2101</v>
      </c>
      <c r="D108" s="3">
        <f ca="1">IFERROR(__xludf.DUMMYFUNCTION("SUM(
IFERROR(QUERY('Sintética 20222023'!A:J, CONCATENATE(""SELECT I WHERE A="", ""'"",$A108,""'"")),0),
IFERROR(QUERY('Sintética 20222023'!A:J, CONCATENATE(""SELECT H WHERE G="", ""'"",$A108,""'"")),0),
)"),0)</f>
        <v>0</v>
      </c>
      <c r="E108" s="10">
        <v>2022</v>
      </c>
      <c r="F108" s="10">
        <v>12</v>
      </c>
    </row>
    <row r="109" spans="1:6">
      <c r="A109" s="2" t="str">
        <f ca="1">IFERROR(__xludf.DUMMYFUNCTION("""COMPUTED_VALUE"""),"1.2.3.8.1.02.01.98.01")</f>
        <v>1.2.3.8.1.02.01.98.01</v>
      </c>
      <c r="B109" s="38">
        <v>44926</v>
      </c>
      <c r="C109" s="2">
        <f>APOIO!$B$2</f>
        <v>2101</v>
      </c>
      <c r="D109" s="3">
        <f ca="1">IFERROR(__xludf.DUMMYFUNCTION("SUM(
IFERROR(QUERY('Sintética 20222023'!A:J, CONCATENATE(""SELECT I WHERE A="", ""'"",$A109,""'"")),0),
IFERROR(QUERY('Sintética 20222023'!A:J, CONCATENATE(""SELECT H WHERE G="", ""'"",$A109,""'"")),0),
)"),0)</f>
        <v>0</v>
      </c>
      <c r="E109" s="10">
        <v>2022</v>
      </c>
      <c r="F109" s="10">
        <v>12</v>
      </c>
    </row>
    <row r="110" spans="1:6">
      <c r="A110" s="2" t="str">
        <f ca="1">IFERROR(__xludf.DUMMYFUNCTION("""COMPUTED_VALUE"""),"1.2.3.8.1.02.01.98.02")</f>
        <v>1.2.3.8.1.02.01.98.02</v>
      </c>
      <c r="B110" s="38">
        <v>44926</v>
      </c>
      <c r="C110" s="2">
        <f>APOIO!$B$2</f>
        <v>2101</v>
      </c>
      <c r="D110" s="3">
        <f ca="1">IFERROR(__xludf.DUMMYFUNCTION("SUM(
IFERROR(QUERY('Sintética 20222023'!A:J, CONCATENATE(""SELECT I WHERE A="", ""'"",$A110,""'"")),0),
IFERROR(QUERY('Sintética 20222023'!A:J, CONCATENATE(""SELECT H WHERE G="", ""'"",$A110,""'"")),0),
)"),0)</f>
        <v>0</v>
      </c>
      <c r="E110" s="10">
        <v>2022</v>
      </c>
      <c r="F110" s="10">
        <v>12</v>
      </c>
    </row>
    <row r="111" spans="1:6">
      <c r="A111" s="2" t="str">
        <f ca="1">IFERROR(__xludf.DUMMYFUNCTION("""COMPUTED_VALUE"""),"1.2.3.8.1.02.01.98.03")</f>
        <v>1.2.3.8.1.02.01.98.03</v>
      </c>
      <c r="B111" s="38">
        <v>44926</v>
      </c>
      <c r="C111" s="2">
        <f>APOIO!$B$2</f>
        <v>2101</v>
      </c>
      <c r="D111" s="3">
        <f ca="1">IFERROR(__xludf.DUMMYFUNCTION("SUM(
IFERROR(QUERY('Sintética 20222023'!A:J, CONCATENATE(""SELECT I WHERE A="", ""'"",$A111,""'"")),0),
IFERROR(QUERY('Sintética 20222023'!A:J, CONCATENATE(""SELECT H WHERE G="", ""'"",$A111,""'"")),0),
)"),0)</f>
        <v>0</v>
      </c>
      <c r="E111" s="10">
        <v>2022</v>
      </c>
      <c r="F111" s="10">
        <v>12</v>
      </c>
    </row>
    <row r="112" spans="1:6">
      <c r="A112" s="2" t="str">
        <f ca="1">IFERROR(__xludf.DUMMYFUNCTION("""COMPUTED_VALUE"""),"1.2.3.8.1.02.01.98.09")</f>
        <v>1.2.3.8.1.02.01.98.09</v>
      </c>
      <c r="B112" s="38">
        <v>44926</v>
      </c>
      <c r="C112" s="2">
        <f>APOIO!$B$2</f>
        <v>2101</v>
      </c>
      <c r="D112" s="3">
        <f ca="1">IFERROR(__xludf.DUMMYFUNCTION("SUM(
IFERROR(QUERY('Sintética 20222023'!A:J, CONCATENATE(""SELECT I WHERE A="", ""'"",$A112,""'"")),0),
IFERROR(QUERY('Sintética 20222023'!A:J, CONCATENATE(""SELECT H WHERE G="", ""'"",$A112,""'"")),0),
)"),0)</f>
        <v>0</v>
      </c>
      <c r="E112" s="10">
        <v>2022</v>
      </c>
      <c r="F112" s="10">
        <v>12</v>
      </c>
    </row>
    <row r="113" spans="1:6">
      <c r="A113" s="2" t="str">
        <f ca="1">IFERROR(__xludf.DUMMYFUNCTION("""COMPUTED_VALUE"""),"1.2.3.8.1.02.01.98.10")</f>
        <v>1.2.3.8.1.02.01.98.10</v>
      </c>
      <c r="B113" s="38">
        <v>44926</v>
      </c>
      <c r="C113" s="2">
        <f>APOIO!$B$2</f>
        <v>2101</v>
      </c>
      <c r="D113" s="3">
        <f ca="1">IFERROR(__xludf.DUMMYFUNCTION("SUM(
IFERROR(QUERY('Sintética 20222023'!A:J, CONCATENATE(""SELECT I WHERE A="", ""'"",$A113,""'"")),0),
IFERROR(QUERY('Sintética 20222023'!A:J, CONCATENATE(""SELECT H WHERE G="", ""'"",$A113,""'"")),0),
)"),0)</f>
        <v>0</v>
      </c>
      <c r="E113" s="10">
        <v>2022</v>
      </c>
      <c r="F113" s="10">
        <v>12</v>
      </c>
    </row>
    <row r="114" spans="1:6">
      <c r="A114" s="2" t="str">
        <f ca="1">IFERROR(__xludf.DUMMYFUNCTION("""COMPUTED_VALUE"""),"1.2.3.8.1.02.04.01.01")</f>
        <v>1.2.3.8.1.02.04.01.01</v>
      </c>
      <c r="B114" s="38">
        <v>44926</v>
      </c>
      <c r="C114" s="2">
        <f>APOIO!$B$2</f>
        <v>2101</v>
      </c>
      <c r="D114" s="3">
        <f ca="1">IFERROR(__xludf.DUMMYFUNCTION("SUM(
IFERROR(QUERY('Sintética 20222023'!A:J, CONCATENATE(""SELECT I WHERE A="", ""'"",$A114,""'"")),0),
IFERROR(QUERY('Sintética 20222023'!A:J, CONCATENATE(""SELECT H WHERE G="", ""'"",$A114,""'"")),0),
)"),0)</f>
        <v>0</v>
      </c>
      <c r="E114" s="10">
        <v>2022</v>
      </c>
      <c r="F114" s="10">
        <v>12</v>
      </c>
    </row>
    <row r="115" spans="1:6">
      <c r="A115" s="2" t="str">
        <f ca="1">IFERROR(__xludf.DUMMYFUNCTION("""COMPUTED_VALUE"""),"1.2.3.8.1.02.04.02.01")</f>
        <v>1.2.3.8.1.02.04.02.01</v>
      </c>
      <c r="B115" s="38">
        <v>44926</v>
      </c>
      <c r="C115" s="2">
        <f>APOIO!$B$2</f>
        <v>2101</v>
      </c>
      <c r="D115" s="3">
        <f ca="1">IFERROR(__xludf.DUMMYFUNCTION("SUM(
IFERROR(QUERY('Sintética 20222023'!A:J, CONCATENATE(""SELECT I WHERE A="", ""'"",$A115,""'"")),0),
IFERROR(QUERY('Sintética 20222023'!A:J, CONCATENATE(""SELECT H WHERE G="", ""'"",$A115,""'"")),0),
)"),0)</f>
        <v>0</v>
      </c>
      <c r="E115" s="10">
        <v>2022</v>
      </c>
      <c r="F115" s="10">
        <v>12</v>
      </c>
    </row>
    <row r="116" spans="1:6">
      <c r="A116" s="2" t="str">
        <f ca="1">IFERROR(__xludf.DUMMYFUNCTION("""COMPUTED_VALUE"""),"1.2.3.8.1.02.04.04.01")</f>
        <v>1.2.3.8.1.02.04.04.01</v>
      </c>
      <c r="B116" s="38">
        <v>44926</v>
      </c>
      <c r="C116" s="2">
        <f>APOIO!$B$2</f>
        <v>2101</v>
      </c>
      <c r="D116" s="3">
        <f ca="1">IFERROR(__xludf.DUMMYFUNCTION("SUM(
IFERROR(QUERY('Sintética 20222023'!A:J, CONCATENATE(""SELECT I WHERE A="", ""'"",$A116,""'"")),0),
IFERROR(QUERY('Sintética 20222023'!A:J, CONCATENATE(""SELECT H WHERE G="", ""'"",$A116,""'"")),0),
)"),0)</f>
        <v>0</v>
      </c>
      <c r="E116" s="10">
        <v>2022</v>
      </c>
      <c r="F116" s="10">
        <v>12</v>
      </c>
    </row>
    <row r="117" spans="1:6">
      <c r="A117" s="2" t="str">
        <f ca="1">IFERROR(__xludf.DUMMYFUNCTION("""COMPUTED_VALUE"""),"1.2.3.8.1.02.04.07.01")</f>
        <v>1.2.3.8.1.02.04.07.01</v>
      </c>
      <c r="B117" s="38">
        <v>44926</v>
      </c>
      <c r="C117" s="2">
        <f>APOIO!$B$2</f>
        <v>2101</v>
      </c>
      <c r="D117" s="3">
        <f ca="1">IFERROR(__xludf.DUMMYFUNCTION("SUM(
IFERROR(QUERY('Sintética 20222023'!A:J, CONCATENATE(""SELECT I WHERE A="", ""'"",$A117,""'"")),0),
IFERROR(QUERY('Sintética 20222023'!A:J, CONCATENATE(""SELECT H WHERE G="", ""'"",$A117,""'"")),0),
)"),0)</f>
        <v>0</v>
      </c>
      <c r="E117" s="10">
        <v>2022</v>
      </c>
      <c r="F117" s="10">
        <v>12</v>
      </c>
    </row>
    <row r="118" spans="1:6">
      <c r="A118" s="2" t="str">
        <f ca="1">IFERROR(__xludf.DUMMYFUNCTION("""COMPUTED_VALUE"""),"1.2.3.8.1.02.04.08.01")</f>
        <v>1.2.3.8.1.02.04.08.01</v>
      </c>
      <c r="B118" s="38">
        <v>44926</v>
      </c>
      <c r="C118" s="2">
        <f>APOIO!$B$2</f>
        <v>2101</v>
      </c>
      <c r="D118" s="3">
        <f ca="1">IFERROR(__xludf.DUMMYFUNCTION("SUM(
IFERROR(QUERY('Sintética 20222023'!A:J, CONCATENATE(""SELECT I WHERE A="", ""'"",$A118,""'"")),0),
IFERROR(QUERY('Sintética 20222023'!A:J, CONCATENATE(""SELECT H WHERE G="", ""'"",$A118,""'"")),0),
)"),0)</f>
        <v>0</v>
      </c>
      <c r="E118" s="10">
        <v>2022</v>
      </c>
      <c r="F118" s="10">
        <v>12</v>
      </c>
    </row>
    <row r="119" spans="1:6">
      <c r="A119" s="2" t="str">
        <f ca="1">IFERROR(__xludf.DUMMYFUNCTION("""COMPUTED_VALUE"""),"1.2.3.8.1.02.04.09.01")</f>
        <v>1.2.3.8.1.02.04.09.01</v>
      </c>
      <c r="B119" s="38">
        <v>44926</v>
      </c>
      <c r="C119" s="2">
        <f>APOIO!$B$2</f>
        <v>2101</v>
      </c>
      <c r="D119" s="3">
        <f ca="1">IFERROR(__xludf.DUMMYFUNCTION("SUM(
IFERROR(QUERY('Sintética 20222023'!A:J, CONCATENATE(""SELECT I WHERE A="", ""'"",$A119,""'"")),0),
IFERROR(QUERY('Sintética 20222023'!A:J, CONCATENATE(""SELECT H WHERE G="", ""'"",$A119,""'"")),0),
)"),0)</f>
        <v>0</v>
      </c>
      <c r="E119" s="10">
        <v>2022</v>
      </c>
      <c r="F119" s="10">
        <v>12</v>
      </c>
    </row>
    <row r="120" spans="1:6">
      <c r="A120" s="2" t="str">
        <f ca="1">IFERROR(__xludf.DUMMYFUNCTION("""COMPUTED_VALUE"""),"1.2.3.8.1.02.04.12.01")</f>
        <v>1.2.3.8.1.02.04.12.01</v>
      </c>
      <c r="B120" s="38">
        <v>44926</v>
      </c>
      <c r="C120" s="2">
        <f>APOIO!$B$2</f>
        <v>2101</v>
      </c>
      <c r="D120" s="3">
        <f ca="1">IFERROR(__xludf.DUMMYFUNCTION("SUM(
IFERROR(QUERY('Sintética 20222023'!A:J, CONCATENATE(""SELECT I WHERE A="", ""'"",$A120,""'"")),0),
IFERROR(QUERY('Sintética 20222023'!A:J, CONCATENATE(""SELECT H WHERE G="", ""'"",$A120,""'"")),0),
)"),0)</f>
        <v>0</v>
      </c>
      <c r="E120" s="10">
        <v>2022</v>
      </c>
      <c r="F120" s="10">
        <v>12</v>
      </c>
    </row>
    <row r="121" spans="1:6">
      <c r="A121" s="2" t="str">
        <f ca="1">IFERROR(__xludf.DUMMYFUNCTION("""COMPUTED_VALUE"""),"1.2.3.8.1.02.04.13.01")</f>
        <v>1.2.3.8.1.02.04.13.01</v>
      </c>
      <c r="B121" s="38">
        <v>44926</v>
      </c>
      <c r="C121" s="2">
        <f>APOIO!$B$2</f>
        <v>2101</v>
      </c>
      <c r="D121" s="3">
        <f ca="1">IFERROR(__xludf.DUMMYFUNCTION("SUM(
IFERROR(QUERY('Sintética 20222023'!A:J, CONCATENATE(""SELECT I WHERE A="", ""'"",$A121,""'"")),0),
IFERROR(QUERY('Sintética 20222023'!A:J, CONCATENATE(""SELECT H WHERE G="", ""'"",$A121,""'"")),0),
)"),0)</f>
        <v>0</v>
      </c>
      <c r="E121" s="10">
        <v>2022</v>
      </c>
      <c r="F121" s="10">
        <v>12</v>
      </c>
    </row>
    <row r="122" spans="1:6">
      <c r="A122" s="2" t="str">
        <f ca="1">IFERROR(__xludf.DUMMYFUNCTION("""COMPUTED_VALUE"""),"1.2.3.8.1.02.04.14.01")</f>
        <v>1.2.3.8.1.02.04.14.01</v>
      </c>
      <c r="B122" s="38">
        <v>44926</v>
      </c>
      <c r="C122" s="2">
        <f>APOIO!$B$2</f>
        <v>2101</v>
      </c>
      <c r="D122" s="3">
        <f ca="1">IFERROR(__xludf.DUMMYFUNCTION("SUM(
IFERROR(QUERY('Sintética 20222023'!A:J, CONCATENATE(""SELECT I WHERE A="", ""'"",$A122,""'"")),0),
IFERROR(QUERY('Sintética 20222023'!A:J, CONCATENATE(""SELECT H WHERE G="", ""'"",$A122,""'"")),0),
)"),0)</f>
        <v>0</v>
      </c>
      <c r="E122" s="10">
        <v>2022</v>
      </c>
      <c r="F122" s="10">
        <v>12</v>
      </c>
    </row>
    <row r="123" spans="1:6">
      <c r="A123" s="2" t="str">
        <f ca="1">IFERROR(__xludf.DUMMYFUNCTION("""COMPUTED_VALUE"""),"1.2.3.8.1.02.04.16.01")</f>
        <v>1.2.3.8.1.02.04.16.01</v>
      </c>
      <c r="B123" s="38">
        <v>44926</v>
      </c>
      <c r="C123" s="2">
        <f>APOIO!$B$2</f>
        <v>2101</v>
      </c>
      <c r="D123" s="3">
        <f ca="1">IFERROR(__xludf.DUMMYFUNCTION("SUM(
IFERROR(QUERY('Sintética 20222023'!A:J, CONCATENATE(""SELECT I WHERE A="", ""'"",$A123,""'"")),0),
IFERROR(QUERY('Sintética 20222023'!A:J, CONCATENATE(""SELECT H WHERE G="", ""'"",$A123,""'"")),0),
)"),0)</f>
        <v>0</v>
      </c>
      <c r="E123" s="10">
        <v>2022</v>
      </c>
      <c r="F123" s="10">
        <v>12</v>
      </c>
    </row>
    <row r="124" spans="1:6">
      <c r="A124" s="2" t="str">
        <f ca="1">IFERROR(__xludf.DUMMYFUNCTION("""COMPUTED_VALUE"""),"1.2.3.8.1.02.04.18.01")</f>
        <v>1.2.3.8.1.02.04.18.01</v>
      </c>
      <c r="B124" s="38">
        <v>44926</v>
      </c>
      <c r="C124" s="2">
        <f>APOIO!$B$2</f>
        <v>2101</v>
      </c>
      <c r="D124" s="3">
        <f ca="1">IFERROR(__xludf.DUMMYFUNCTION("SUM(
IFERROR(QUERY('Sintética 20222023'!A:J, CONCATENATE(""SELECT I WHERE A="", ""'"",$A124,""'"")),0),
IFERROR(QUERY('Sintética 20222023'!A:J, CONCATENATE(""SELECT H WHERE G="", ""'"",$A124,""'"")),0),
)"),0)</f>
        <v>0</v>
      </c>
      <c r="E124" s="10">
        <v>2022</v>
      </c>
      <c r="F124" s="10">
        <v>12</v>
      </c>
    </row>
    <row r="125" spans="1:6">
      <c r="A125" s="2" t="str">
        <f ca="1">IFERROR(__xludf.DUMMYFUNCTION("""COMPUTED_VALUE"""),"1.2.3.8.1.02.05.03.01")</f>
        <v>1.2.3.8.1.02.05.03.01</v>
      </c>
      <c r="B125" s="38">
        <v>44926</v>
      </c>
      <c r="C125" s="2">
        <f>APOIO!$B$2</f>
        <v>2101</v>
      </c>
      <c r="D125" s="3">
        <f ca="1">IFERROR(__xludf.DUMMYFUNCTION("SUM(
IFERROR(QUERY('Sintética 20222023'!A:J, CONCATENATE(""SELECT I WHERE A="", ""'"",$A125,""'"")),0),
IFERROR(QUERY('Sintética 20222023'!A:J, CONCATENATE(""SELECT H WHERE G="", ""'"",$A125,""'"")),0),
)"),0)</f>
        <v>0</v>
      </c>
      <c r="E125" s="10">
        <v>2022</v>
      </c>
      <c r="F125" s="10">
        <v>12</v>
      </c>
    </row>
    <row r="126" spans="1:6">
      <c r="A126" s="2" t="str">
        <f ca="1">IFERROR(__xludf.DUMMYFUNCTION("""COMPUTED_VALUE"""),"1.2.3.8.1.02.05.04.01")</f>
        <v>1.2.3.8.1.02.05.04.01</v>
      </c>
      <c r="B126" s="38">
        <v>44926</v>
      </c>
      <c r="C126" s="2">
        <f>APOIO!$B$2</f>
        <v>2101</v>
      </c>
      <c r="D126" s="3">
        <f ca="1">IFERROR(__xludf.DUMMYFUNCTION("SUM(
IFERROR(QUERY('Sintética 20222023'!A:J, CONCATENATE(""SELECT I WHERE A="", ""'"",$A126,""'"")),0),
IFERROR(QUERY('Sintética 20222023'!A:J, CONCATENATE(""SELECT H WHERE G="", ""'"",$A126,""'"")),0),
)"),0)</f>
        <v>0</v>
      </c>
      <c r="E126" s="10">
        <v>2022</v>
      </c>
      <c r="F126" s="10">
        <v>12</v>
      </c>
    </row>
    <row r="127" spans="1:6">
      <c r="A127" s="2" t="str">
        <f ca="1">IFERROR(__xludf.DUMMYFUNCTION("""COMPUTED_VALUE"""),"1.2.3.8.1.02.05.05.01")</f>
        <v>1.2.3.8.1.02.05.05.01</v>
      </c>
      <c r="B127" s="38">
        <v>44926</v>
      </c>
      <c r="C127" s="2">
        <f>APOIO!$B$2</f>
        <v>2101</v>
      </c>
      <c r="D127" s="3">
        <f ca="1">IFERROR(__xludf.DUMMYFUNCTION("SUM(
IFERROR(QUERY('Sintética 20222023'!A:J, CONCATENATE(""SELECT I WHERE A="", ""'"",$A127,""'"")),0),
IFERROR(QUERY('Sintética 20222023'!A:J, CONCATENATE(""SELECT H WHERE G="", ""'"",$A127,""'"")),0),
)"),0)</f>
        <v>0</v>
      </c>
      <c r="E127" s="10">
        <v>2022</v>
      </c>
      <c r="F127" s="10">
        <v>12</v>
      </c>
    </row>
    <row r="128" spans="1:6">
      <c r="A128" s="2" t="str">
        <f ca="1">IFERROR(__xludf.DUMMYFUNCTION("""COMPUTED_VALUE"""),"1.2.3.8.1.02.05.09.01")</f>
        <v>1.2.3.8.1.02.05.09.01</v>
      </c>
      <c r="B128" s="38">
        <v>44926</v>
      </c>
      <c r="C128" s="2">
        <f>APOIO!$B$2</f>
        <v>2101</v>
      </c>
      <c r="D128" s="3">
        <f ca="1">IFERROR(__xludf.DUMMYFUNCTION("SUM(
IFERROR(QUERY('Sintética 20222023'!A:J, CONCATENATE(""SELECT I WHERE A="", ""'"",$A128,""'"")),0),
IFERROR(QUERY('Sintética 20222023'!A:J, CONCATENATE(""SELECT H WHERE G="", ""'"",$A128,""'"")),0),
)"),0)</f>
        <v>0</v>
      </c>
      <c r="E128" s="10">
        <v>2022</v>
      </c>
      <c r="F128" s="10">
        <v>12</v>
      </c>
    </row>
    <row r="129" spans="1:6">
      <c r="A129" s="14" t="str">
        <f ca="1">IFERROR(__xludf.DUMMYFUNCTION("""COMPUTED_VALUE"""),"1.2.3.8.1.02.06.01.01")</f>
        <v>1.2.3.8.1.02.06.01.01</v>
      </c>
      <c r="B129" s="38">
        <v>44926</v>
      </c>
      <c r="C129" s="2">
        <f>APOIO!$B$2</f>
        <v>2101</v>
      </c>
      <c r="D129" s="3">
        <f ca="1">IFERROR(__xludf.DUMMYFUNCTION("SUM(
IFERROR(QUERY('Sintética 20222023'!A:J, CONCATENATE(""SELECT I WHERE A="", ""'"",$A129,""'"")),0),
IFERROR(QUERY('Sintética 20222023'!A:J, CONCATENATE(""SELECT H WHERE G="", ""'"",$A129,""'"")),0),
)"),0)</f>
        <v>0</v>
      </c>
      <c r="E129" s="10">
        <v>2022</v>
      </c>
      <c r="F129" s="10">
        <v>12</v>
      </c>
    </row>
    <row r="130" spans="1:6">
      <c r="A130" s="14" t="str">
        <f ca="1">IFERROR(__xludf.DUMMYFUNCTION("""COMPUTED_VALUE"""),"1.2.3.8.1.02.06.01.02")</f>
        <v>1.2.3.8.1.02.06.01.02</v>
      </c>
      <c r="B130" s="39"/>
      <c r="C130" s="14"/>
      <c r="D130" s="40"/>
      <c r="E130" s="13"/>
      <c r="F130" s="13"/>
    </row>
    <row r="131" spans="1:6">
      <c r="A131" s="14"/>
      <c r="B131" s="39"/>
      <c r="C131" s="14"/>
      <c r="D131" s="40"/>
      <c r="E131" s="13"/>
      <c r="F131" s="13"/>
    </row>
    <row r="132" spans="1:6">
      <c r="A132" s="14"/>
      <c r="B132" s="39"/>
      <c r="C132" s="14"/>
      <c r="D132" s="40"/>
      <c r="E132" s="13"/>
      <c r="F132" s="13"/>
    </row>
    <row r="133" spans="1:6">
      <c r="A133" s="14"/>
      <c r="B133" s="39"/>
      <c r="C133" s="14"/>
      <c r="D133" s="40"/>
      <c r="E133" s="13"/>
      <c r="F133" s="13"/>
    </row>
    <row r="134" spans="1:6">
      <c r="A134" s="14"/>
      <c r="B134" s="39"/>
      <c r="C134" s="14"/>
      <c r="D134" s="40"/>
      <c r="E134" s="13"/>
      <c r="F134" s="13"/>
    </row>
    <row r="135" spans="1:6">
      <c r="A135" s="14"/>
      <c r="B135" s="39"/>
      <c r="C135" s="14"/>
      <c r="D135" s="40"/>
      <c r="E135" s="13"/>
      <c r="F135" s="13"/>
    </row>
    <row r="136" spans="1:6">
      <c r="A136" s="14"/>
      <c r="B136" s="39"/>
      <c r="C136" s="14"/>
      <c r="D136" s="40"/>
      <c r="E136" s="13"/>
      <c r="F136" s="13"/>
    </row>
    <row r="137" spans="1:6">
      <c r="A137" s="14"/>
      <c r="B137" s="39"/>
      <c r="C137" s="14"/>
      <c r="D137" s="40"/>
      <c r="E137" s="13"/>
      <c r="F137" s="13"/>
    </row>
    <row r="138" spans="1:6">
      <c r="A138" s="14"/>
      <c r="B138" s="39"/>
      <c r="C138" s="14"/>
      <c r="D138" s="40"/>
      <c r="E138" s="13"/>
      <c r="F138" s="13"/>
    </row>
    <row r="139" spans="1:6">
      <c r="A139" s="14"/>
      <c r="B139" s="39"/>
      <c r="C139" s="14"/>
      <c r="D139" s="40"/>
      <c r="E139" s="13"/>
      <c r="F139" s="13"/>
    </row>
    <row r="140" spans="1:6">
      <c r="A140" s="14"/>
      <c r="B140" s="39"/>
      <c r="C140" s="14"/>
      <c r="D140" s="40"/>
      <c r="E140" s="13"/>
      <c r="F140" s="13"/>
    </row>
    <row r="141" spans="1:6">
      <c r="A141" s="14"/>
      <c r="B141" s="39"/>
      <c r="C141" s="14"/>
      <c r="D141" s="40"/>
      <c r="E141" s="13"/>
      <c r="F141" s="13"/>
    </row>
    <row r="142" spans="1:6">
      <c r="A142" s="14"/>
      <c r="B142" s="39"/>
      <c r="C142" s="14"/>
      <c r="D142" s="40"/>
      <c r="E142" s="13"/>
      <c r="F142" s="13"/>
    </row>
    <row r="143" spans="1:6">
      <c r="A143" s="14"/>
      <c r="B143" s="39"/>
      <c r="C143" s="14"/>
      <c r="D143" s="40"/>
      <c r="E143" s="13"/>
      <c r="F143" s="13"/>
    </row>
    <row r="144" spans="1:6">
      <c r="A144" s="14"/>
      <c r="B144" s="39"/>
      <c r="C144" s="14"/>
      <c r="D144" s="40"/>
      <c r="E144" s="13"/>
      <c r="F144" s="13"/>
    </row>
    <row r="145" spans="1:6">
      <c r="A145" s="14"/>
      <c r="B145" s="39"/>
      <c r="C145" s="14"/>
      <c r="D145" s="40"/>
      <c r="E145" s="13"/>
      <c r="F145" s="13"/>
    </row>
    <row r="146" spans="1:6">
      <c r="A146" s="14"/>
      <c r="B146" s="39"/>
      <c r="C146" s="14"/>
      <c r="D146" s="40"/>
      <c r="E146" s="13"/>
      <c r="F146" s="13"/>
    </row>
    <row r="147" spans="1:6">
      <c r="A147" s="14"/>
      <c r="B147" s="39"/>
      <c r="C147" s="14"/>
      <c r="D147" s="40"/>
      <c r="E147" s="13"/>
      <c r="F147" s="13"/>
    </row>
    <row r="148" spans="1:6">
      <c r="A148" s="14"/>
      <c r="B148" s="39"/>
      <c r="C148" s="14"/>
      <c r="D148" s="40"/>
      <c r="E148" s="13"/>
      <c r="F148" s="13"/>
    </row>
    <row r="149" spans="1:6">
      <c r="A149" s="14"/>
      <c r="B149" s="39"/>
      <c r="C149" s="14"/>
      <c r="D149" s="40"/>
      <c r="E149" s="13"/>
      <c r="F149" s="13"/>
    </row>
    <row r="150" spans="1:6">
      <c r="A150" s="14"/>
      <c r="B150" s="39"/>
      <c r="C150" s="14"/>
      <c r="D150" s="40"/>
      <c r="E150" s="13"/>
      <c r="F150" s="13"/>
    </row>
    <row r="151" spans="1:6">
      <c r="A151" s="14"/>
      <c r="B151" s="39"/>
      <c r="C151" s="14"/>
      <c r="D151" s="40"/>
      <c r="E151" s="13"/>
      <c r="F151" s="13"/>
    </row>
    <row r="152" spans="1:6">
      <c r="A152" s="14"/>
      <c r="B152" s="39"/>
      <c r="C152" s="14"/>
      <c r="D152" s="40"/>
      <c r="E152" s="13"/>
      <c r="F152" s="13"/>
    </row>
    <row r="153" spans="1:6">
      <c r="A153" s="14"/>
      <c r="B153" s="39"/>
      <c r="C153" s="14"/>
      <c r="D153" s="40"/>
      <c r="E153" s="13"/>
      <c r="F153" s="13"/>
    </row>
    <row r="154" spans="1:6">
      <c r="A154" s="14"/>
      <c r="B154" s="39"/>
      <c r="C154" s="14"/>
      <c r="D154" s="40"/>
      <c r="E154" s="13"/>
      <c r="F154" s="13"/>
    </row>
    <row r="155" spans="1:6">
      <c r="A155" s="14"/>
      <c r="B155" s="39"/>
      <c r="C155" s="14"/>
      <c r="D155" s="40"/>
      <c r="E155" s="13"/>
      <c r="F155" s="13"/>
    </row>
    <row r="156" spans="1:6">
      <c r="A156" s="14"/>
      <c r="B156" s="39"/>
      <c r="C156" s="14"/>
      <c r="D156" s="40"/>
      <c r="E156" s="13"/>
      <c r="F156" s="13"/>
    </row>
    <row r="157" spans="1:6">
      <c r="A157" s="14"/>
      <c r="B157" s="39"/>
      <c r="C157" s="14"/>
      <c r="D157" s="40"/>
      <c r="E157" s="13"/>
      <c r="F157" s="13"/>
    </row>
    <row r="158" spans="1:6">
      <c r="A158" s="14"/>
      <c r="B158" s="39"/>
      <c r="C158" s="14"/>
      <c r="D158" s="40"/>
      <c r="E158" s="13"/>
      <c r="F158" s="13"/>
    </row>
    <row r="159" spans="1:6">
      <c r="A159" s="14"/>
      <c r="B159" s="39"/>
      <c r="C159" s="14"/>
      <c r="D159" s="40"/>
      <c r="E159" s="13"/>
      <c r="F159" s="13"/>
    </row>
    <row r="160" spans="1:6">
      <c r="A160" s="14"/>
      <c r="B160" s="39"/>
      <c r="C160" s="14"/>
      <c r="D160" s="40"/>
      <c r="E160" s="13"/>
      <c r="F160" s="13"/>
    </row>
    <row r="161" spans="1:6">
      <c r="A161" s="14"/>
      <c r="B161" s="39"/>
      <c r="C161" s="14"/>
      <c r="D161" s="40"/>
      <c r="E161" s="13"/>
      <c r="F161" s="13"/>
    </row>
    <row r="162" spans="1:6">
      <c r="A162" s="14"/>
      <c r="B162" s="39"/>
      <c r="C162" s="14"/>
      <c r="D162" s="40"/>
      <c r="E162" s="13"/>
      <c r="F162" s="13"/>
    </row>
    <row r="163" spans="1:6">
      <c r="A163" s="14"/>
      <c r="B163" s="39"/>
      <c r="C163" s="14"/>
      <c r="D163" s="40"/>
      <c r="E163" s="13"/>
      <c r="F163" s="13"/>
    </row>
    <row r="164" spans="1:6">
      <c r="A164" s="14"/>
      <c r="B164" s="39"/>
      <c r="C164" s="14"/>
      <c r="D164" s="40"/>
      <c r="E164" s="13"/>
      <c r="F164" s="13"/>
    </row>
    <row r="165" spans="1:6">
      <c r="A165" s="14"/>
      <c r="B165" s="39"/>
      <c r="C165" s="14"/>
      <c r="D165" s="40"/>
      <c r="E165" s="13"/>
      <c r="F165" s="13"/>
    </row>
    <row r="166" spans="1:6">
      <c r="A166" s="14"/>
      <c r="B166" s="39"/>
      <c r="C166" s="14"/>
      <c r="D166" s="40"/>
      <c r="E166" s="13"/>
      <c r="F166" s="13"/>
    </row>
    <row r="167" spans="1:6">
      <c r="A167" s="14"/>
      <c r="B167" s="39"/>
      <c r="C167" s="14"/>
      <c r="D167" s="40"/>
      <c r="E167" s="13"/>
      <c r="F167" s="13"/>
    </row>
    <row r="168" spans="1:6">
      <c r="A168" s="14"/>
      <c r="B168" s="39"/>
      <c r="C168" s="14"/>
      <c r="D168" s="40"/>
      <c r="E168" s="13"/>
      <c r="F168" s="13"/>
    </row>
    <row r="169" spans="1:6">
      <c r="A169" s="14"/>
      <c r="B169" s="39"/>
      <c r="C169" s="14"/>
      <c r="D169" s="40"/>
      <c r="E169" s="13"/>
      <c r="F169" s="13"/>
    </row>
    <row r="170" spans="1:6">
      <c r="A170" s="14"/>
      <c r="B170" s="39"/>
      <c r="C170" s="14"/>
      <c r="D170" s="40"/>
      <c r="E170" s="13"/>
      <c r="F170" s="13"/>
    </row>
    <row r="171" spans="1:6">
      <c r="A171" s="14"/>
      <c r="B171" s="39"/>
      <c r="C171" s="14"/>
      <c r="D171" s="40"/>
      <c r="E171" s="13"/>
      <c r="F171" s="13"/>
    </row>
    <row r="172" spans="1:6">
      <c r="A172" s="14"/>
      <c r="B172" s="39"/>
      <c r="C172" s="14"/>
      <c r="D172" s="40"/>
      <c r="E172" s="13"/>
      <c r="F172" s="13"/>
    </row>
    <row r="173" spans="1:6">
      <c r="A173" s="14"/>
      <c r="B173" s="39"/>
      <c r="C173" s="14"/>
      <c r="D173" s="40"/>
      <c r="E173" s="13"/>
      <c r="F173" s="13"/>
    </row>
    <row r="174" spans="1:6">
      <c r="A174" s="14"/>
      <c r="B174" s="39"/>
      <c r="C174" s="14"/>
      <c r="D174" s="40"/>
      <c r="E174" s="13"/>
      <c r="F174" s="13"/>
    </row>
    <row r="175" spans="1:6">
      <c r="A175" s="14"/>
      <c r="B175" s="39"/>
      <c r="C175" s="14"/>
      <c r="D175" s="40"/>
      <c r="E175" s="13"/>
      <c r="F175" s="13"/>
    </row>
    <row r="176" spans="1:6">
      <c r="A176" s="14"/>
      <c r="B176" s="39"/>
      <c r="C176" s="14"/>
      <c r="D176" s="40"/>
      <c r="E176" s="13"/>
      <c r="F176" s="13"/>
    </row>
    <row r="177" spans="1:6">
      <c r="A177" s="14"/>
      <c r="B177" s="39"/>
      <c r="C177" s="14"/>
      <c r="D177" s="40"/>
      <c r="E177" s="13"/>
      <c r="F177" s="13"/>
    </row>
    <row r="178" spans="1:6">
      <c r="A178" s="14"/>
      <c r="B178" s="39"/>
      <c r="C178" s="14"/>
      <c r="D178" s="40"/>
      <c r="E178" s="13"/>
      <c r="F178" s="13"/>
    </row>
    <row r="179" spans="1:6">
      <c r="A179" s="14"/>
      <c r="B179" s="39"/>
      <c r="C179" s="14"/>
      <c r="D179" s="40"/>
      <c r="E179" s="13"/>
      <c r="F179" s="13"/>
    </row>
    <row r="180" spans="1:6">
      <c r="A180" s="14"/>
      <c r="B180" s="39"/>
      <c r="C180" s="14"/>
      <c r="D180" s="40"/>
      <c r="E180" s="13"/>
      <c r="F180" s="13"/>
    </row>
    <row r="181" spans="1:6">
      <c r="A181" s="14"/>
      <c r="B181" s="39"/>
      <c r="C181" s="14"/>
      <c r="D181" s="40"/>
      <c r="E181" s="13"/>
      <c r="F181" s="13"/>
    </row>
    <row r="182" spans="1:6">
      <c r="A182" s="14"/>
      <c r="B182" s="39"/>
      <c r="C182" s="14"/>
      <c r="D182" s="40"/>
      <c r="E182" s="13"/>
      <c r="F182" s="13"/>
    </row>
    <row r="183" spans="1:6">
      <c r="A183" s="14"/>
      <c r="B183" s="39"/>
      <c r="C183" s="14"/>
      <c r="D183" s="40"/>
      <c r="E183" s="13"/>
      <c r="F183" s="13"/>
    </row>
    <row r="184" spans="1:6">
      <c r="A184" s="14"/>
      <c r="B184" s="39"/>
      <c r="C184" s="14"/>
      <c r="D184" s="40"/>
      <c r="E184" s="13"/>
      <c r="F184" s="13"/>
    </row>
    <row r="185" spans="1:6">
      <c r="A185" s="14"/>
      <c r="B185" s="39"/>
      <c r="C185" s="14"/>
      <c r="D185" s="40"/>
      <c r="E185" s="13"/>
      <c r="F185" s="13"/>
    </row>
    <row r="186" spans="1:6">
      <c r="A186" s="14"/>
      <c r="B186" s="39"/>
      <c r="C186" s="14"/>
      <c r="D186" s="40"/>
      <c r="E186" s="13"/>
      <c r="F186" s="13"/>
    </row>
    <row r="187" spans="1:6">
      <c r="A187" s="14"/>
      <c r="B187" s="39"/>
      <c r="C187" s="14"/>
      <c r="D187" s="40"/>
      <c r="E187" s="13"/>
      <c r="F187" s="13"/>
    </row>
    <row r="188" spans="1:6">
      <c r="A188" s="14"/>
      <c r="B188" s="39"/>
      <c r="C188" s="14"/>
      <c r="D188" s="40"/>
      <c r="E188" s="13"/>
      <c r="F188" s="13"/>
    </row>
    <row r="189" spans="1:6">
      <c r="A189" s="14"/>
      <c r="B189" s="39"/>
      <c r="C189" s="14"/>
      <c r="D189" s="40"/>
      <c r="E189" s="13"/>
      <c r="F189" s="13"/>
    </row>
    <row r="190" spans="1:6">
      <c r="A190" s="14"/>
      <c r="B190" s="39"/>
      <c r="C190" s="14"/>
      <c r="D190" s="40"/>
      <c r="E190" s="13"/>
      <c r="F190" s="13"/>
    </row>
    <row r="191" spans="1:6">
      <c r="A191" s="14"/>
      <c r="B191" s="39"/>
      <c r="C191" s="14"/>
      <c r="D191" s="40"/>
      <c r="E191" s="13"/>
      <c r="F191" s="13"/>
    </row>
    <row r="192" spans="1:6">
      <c r="A192" s="14"/>
      <c r="B192" s="39"/>
      <c r="C192" s="14"/>
      <c r="D192" s="40"/>
      <c r="E192" s="13"/>
      <c r="F192" s="13"/>
    </row>
    <row r="193" spans="1:6">
      <c r="A193" s="14"/>
      <c r="B193" s="39"/>
      <c r="C193" s="14"/>
      <c r="D193" s="40"/>
      <c r="E193" s="13"/>
      <c r="F193" s="13"/>
    </row>
    <row r="194" spans="1:6">
      <c r="A194" s="14"/>
      <c r="B194" s="39"/>
      <c r="C194" s="14"/>
      <c r="D194" s="40"/>
      <c r="E194" s="13"/>
      <c r="F194" s="13"/>
    </row>
    <row r="195" spans="1:6">
      <c r="A195" s="14"/>
      <c r="B195" s="39"/>
      <c r="C195" s="14"/>
      <c r="D195" s="40"/>
      <c r="E195" s="13"/>
      <c r="F195" s="13"/>
    </row>
    <row r="196" spans="1:6">
      <c r="A196" s="14"/>
      <c r="B196" s="39"/>
      <c r="C196" s="14"/>
      <c r="D196" s="40"/>
      <c r="E196" s="13"/>
      <c r="F196" s="13"/>
    </row>
    <row r="197" spans="1:6">
      <c r="A197" s="14"/>
      <c r="B197" s="39"/>
      <c r="C197" s="14"/>
      <c r="D197" s="40"/>
      <c r="E197" s="13"/>
      <c r="F197" s="13"/>
    </row>
    <row r="198" spans="1:6">
      <c r="A198" s="14"/>
      <c r="B198" s="39"/>
      <c r="C198" s="14"/>
      <c r="D198" s="40"/>
      <c r="E198" s="13"/>
      <c r="F198" s="13"/>
    </row>
    <row r="199" spans="1:6">
      <c r="A199" s="14"/>
      <c r="B199" s="39"/>
      <c r="C199" s="14"/>
      <c r="D199" s="40"/>
      <c r="E199" s="13"/>
      <c r="F199" s="13"/>
    </row>
    <row r="200" spans="1:6">
      <c r="A200" s="14"/>
      <c r="B200" s="39"/>
      <c r="C200" s="14"/>
      <c r="D200" s="40"/>
      <c r="E200" s="13"/>
      <c r="F200" s="13"/>
    </row>
    <row r="201" spans="1:6">
      <c r="A201" s="14"/>
      <c r="B201" s="39"/>
      <c r="C201" s="14"/>
      <c r="D201" s="40"/>
      <c r="E201" s="13"/>
      <c r="F201" s="13"/>
    </row>
    <row r="202" spans="1:6">
      <c r="A202" s="14"/>
      <c r="B202" s="39"/>
      <c r="C202" s="14"/>
      <c r="D202" s="40"/>
      <c r="E202" s="13"/>
      <c r="F202" s="13"/>
    </row>
    <row r="203" spans="1:6">
      <c r="A203" s="14"/>
      <c r="B203" s="39"/>
      <c r="C203" s="14"/>
      <c r="D203" s="40"/>
      <c r="E203" s="13"/>
      <c r="F203" s="13"/>
    </row>
    <row r="204" spans="1:6">
      <c r="A204" s="14"/>
      <c r="B204" s="39"/>
      <c r="C204" s="14"/>
      <c r="D204" s="40"/>
      <c r="E204" s="13"/>
      <c r="F204" s="13"/>
    </row>
    <row r="205" spans="1:6">
      <c r="A205" s="14"/>
      <c r="B205" s="39"/>
      <c r="C205" s="14"/>
      <c r="D205" s="40"/>
      <c r="E205" s="13"/>
      <c r="F205" s="13"/>
    </row>
    <row r="206" spans="1:6">
      <c r="A206" s="14"/>
      <c r="B206" s="39"/>
      <c r="C206" s="14"/>
      <c r="D206" s="40"/>
      <c r="E206" s="13"/>
      <c r="F206" s="13"/>
    </row>
    <row r="207" spans="1:6">
      <c r="A207" s="14"/>
      <c r="B207" s="39"/>
      <c r="C207" s="14"/>
      <c r="D207" s="40"/>
      <c r="E207" s="13"/>
      <c r="F207" s="13"/>
    </row>
    <row r="208" spans="1:6">
      <c r="A208" s="14"/>
      <c r="B208" s="39"/>
      <c r="C208" s="14"/>
      <c r="D208" s="40"/>
      <c r="E208" s="13"/>
      <c r="F208" s="13"/>
    </row>
    <row r="209" spans="1:6">
      <c r="A209" s="14"/>
      <c r="B209" s="39"/>
      <c r="C209" s="14"/>
      <c r="D209" s="40"/>
      <c r="E209" s="13"/>
      <c r="F209" s="13"/>
    </row>
    <row r="210" spans="1:6">
      <c r="A210" s="14"/>
      <c r="B210" s="39"/>
      <c r="C210" s="14"/>
      <c r="D210" s="40"/>
      <c r="E210" s="13"/>
      <c r="F210" s="13"/>
    </row>
    <row r="211" spans="1:6">
      <c r="A211" s="14"/>
      <c r="B211" s="39"/>
      <c r="C211" s="14"/>
      <c r="D211" s="40"/>
      <c r="E211" s="13"/>
      <c r="F211" s="13"/>
    </row>
    <row r="212" spans="1:6">
      <c r="A212" s="14"/>
      <c r="B212" s="39"/>
      <c r="C212" s="14"/>
      <c r="D212" s="40"/>
      <c r="E212" s="13"/>
      <c r="F212" s="13"/>
    </row>
    <row r="213" spans="1:6">
      <c r="A213" s="14"/>
      <c r="B213" s="39"/>
      <c r="C213" s="14"/>
      <c r="D213" s="40"/>
      <c r="E213" s="13"/>
      <c r="F213" s="13"/>
    </row>
    <row r="214" spans="1:6">
      <c r="A214" s="14"/>
      <c r="B214" s="39"/>
      <c r="C214" s="14"/>
      <c r="D214" s="40"/>
      <c r="E214" s="13"/>
      <c r="F214" s="13"/>
    </row>
    <row r="215" spans="1:6">
      <c r="A215" s="14"/>
      <c r="B215" s="39"/>
      <c r="C215" s="14"/>
      <c r="D215" s="40"/>
      <c r="E215" s="13"/>
      <c r="F215" s="13"/>
    </row>
    <row r="216" spans="1:6">
      <c r="A216" s="14"/>
      <c r="B216" s="39"/>
      <c r="C216" s="14"/>
      <c r="D216" s="40"/>
      <c r="E216" s="13"/>
      <c r="F216" s="13"/>
    </row>
    <row r="217" spans="1:6">
      <c r="A217" s="14"/>
      <c r="B217" s="39"/>
      <c r="C217" s="14"/>
      <c r="D217" s="40"/>
      <c r="E217" s="13"/>
      <c r="F217" s="13"/>
    </row>
    <row r="218" spans="1:6">
      <c r="A218" s="14"/>
      <c r="B218" s="39"/>
      <c r="C218" s="14"/>
      <c r="D218" s="40"/>
      <c r="E218" s="13"/>
      <c r="F218" s="13"/>
    </row>
    <row r="219" spans="1:6">
      <c r="A219" s="14"/>
      <c r="B219" s="39"/>
      <c r="C219" s="14"/>
      <c r="D219" s="40"/>
      <c r="E219" s="13"/>
      <c r="F219" s="13"/>
    </row>
    <row r="220" spans="1:6">
      <c r="A220" s="14"/>
      <c r="B220" s="39"/>
      <c r="C220" s="14"/>
      <c r="D220" s="40"/>
      <c r="E220" s="13"/>
      <c r="F220" s="13"/>
    </row>
    <row r="221" spans="1:6">
      <c r="A221" s="14"/>
      <c r="B221" s="39"/>
      <c r="C221" s="14"/>
      <c r="D221" s="40"/>
      <c r="E221" s="13"/>
      <c r="F221" s="13"/>
    </row>
    <row r="222" spans="1:6">
      <c r="A222" s="14"/>
      <c r="B222" s="39"/>
      <c r="C222" s="14"/>
      <c r="D222" s="40"/>
      <c r="E222" s="13"/>
      <c r="F222" s="13"/>
    </row>
    <row r="223" spans="1:6">
      <c r="A223" s="14"/>
      <c r="B223" s="39"/>
      <c r="C223" s="14"/>
      <c r="D223" s="40"/>
      <c r="E223" s="13"/>
      <c r="F223" s="13"/>
    </row>
    <row r="224" spans="1:6">
      <c r="A224" s="14"/>
      <c r="B224" s="39"/>
      <c r="C224" s="14"/>
      <c r="D224" s="40"/>
      <c r="E224" s="13"/>
      <c r="F224" s="13"/>
    </row>
    <row r="225" spans="1:6">
      <c r="A225" s="14"/>
      <c r="B225" s="39"/>
      <c r="C225" s="14"/>
      <c r="D225" s="40"/>
      <c r="E225" s="13"/>
      <c r="F225" s="13"/>
    </row>
    <row r="226" spans="1:6">
      <c r="A226" s="14"/>
      <c r="B226" s="39"/>
      <c r="C226" s="14"/>
      <c r="D226" s="40"/>
      <c r="E226" s="13"/>
      <c r="F226" s="13"/>
    </row>
    <row r="227" spans="1:6">
      <c r="A227" s="14"/>
      <c r="B227" s="39"/>
      <c r="C227" s="14"/>
      <c r="D227" s="40"/>
      <c r="E227" s="13"/>
      <c r="F227" s="13"/>
    </row>
    <row r="228" spans="1:6">
      <c r="A228" s="14"/>
      <c r="B228" s="39"/>
      <c r="C228" s="14"/>
      <c r="D228" s="40"/>
      <c r="E228" s="13"/>
      <c r="F228" s="13"/>
    </row>
    <row r="229" spans="1:6">
      <c r="A229" s="14"/>
      <c r="B229" s="39"/>
      <c r="C229" s="14"/>
      <c r="D229" s="40"/>
      <c r="E229" s="13"/>
      <c r="F229" s="13"/>
    </row>
    <row r="230" spans="1:6">
      <c r="A230" s="14"/>
      <c r="B230" s="39"/>
      <c r="C230" s="14"/>
      <c r="D230" s="40"/>
      <c r="E230" s="13"/>
      <c r="F230" s="13"/>
    </row>
    <row r="231" spans="1:6">
      <c r="A231" s="14"/>
      <c r="B231" s="39"/>
      <c r="C231" s="14"/>
      <c r="D231" s="40"/>
      <c r="E231" s="13"/>
      <c r="F231" s="13"/>
    </row>
    <row r="232" spans="1:6">
      <c r="A232" s="14"/>
      <c r="B232" s="39"/>
      <c r="C232" s="14"/>
      <c r="D232" s="40"/>
      <c r="E232" s="13"/>
      <c r="F232" s="13"/>
    </row>
    <row r="233" spans="1:6">
      <c r="A233" s="14"/>
      <c r="B233" s="39"/>
      <c r="C233" s="14"/>
      <c r="D233" s="40"/>
      <c r="E233" s="13"/>
      <c r="F233" s="13"/>
    </row>
    <row r="234" spans="1:6">
      <c r="A234" s="14"/>
      <c r="B234" s="39"/>
      <c r="C234" s="14"/>
      <c r="D234" s="40"/>
      <c r="E234" s="13"/>
      <c r="F234" s="13"/>
    </row>
    <row r="235" spans="1:6">
      <c r="A235" s="14"/>
      <c r="B235" s="39"/>
      <c r="C235" s="14"/>
      <c r="D235" s="40"/>
      <c r="E235" s="13"/>
      <c r="F235" s="13"/>
    </row>
    <row r="236" spans="1:6">
      <c r="A236" s="14"/>
      <c r="B236" s="39"/>
      <c r="C236" s="14"/>
      <c r="D236" s="40"/>
      <c r="E236" s="13"/>
      <c r="F236" s="13"/>
    </row>
    <row r="237" spans="1:6">
      <c r="A237" s="14"/>
      <c r="B237" s="39"/>
      <c r="C237" s="14"/>
      <c r="D237" s="40"/>
      <c r="E237" s="13"/>
      <c r="F237" s="13"/>
    </row>
    <row r="238" spans="1:6">
      <c r="A238" s="14"/>
      <c r="B238" s="39"/>
      <c r="C238" s="14"/>
      <c r="D238" s="40"/>
      <c r="E238" s="13"/>
      <c r="F238" s="13"/>
    </row>
    <row r="239" spans="1:6">
      <c r="A239" s="14"/>
      <c r="B239" s="39"/>
      <c r="C239" s="14"/>
      <c r="D239" s="40"/>
      <c r="E239" s="13"/>
      <c r="F239" s="13"/>
    </row>
    <row r="240" spans="1:6">
      <c r="A240" s="14"/>
      <c r="B240" s="39"/>
      <c r="C240" s="14"/>
      <c r="D240" s="40"/>
      <c r="E240" s="13"/>
      <c r="F240" s="13"/>
    </row>
    <row r="241" spans="1:6">
      <c r="A241" s="14"/>
      <c r="B241" s="39"/>
      <c r="C241" s="14"/>
      <c r="D241" s="40"/>
      <c r="E241" s="13"/>
      <c r="F241" s="13"/>
    </row>
    <row r="242" spans="1:6">
      <c r="A242" s="14"/>
      <c r="B242" s="39"/>
      <c r="C242" s="14"/>
      <c r="D242" s="40"/>
      <c r="E242" s="13"/>
      <c r="F242" s="13"/>
    </row>
    <row r="243" spans="1:6">
      <c r="A243" s="14"/>
      <c r="B243" s="39"/>
      <c r="C243" s="14"/>
      <c r="D243" s="40"/>
      <c r="E243" s="13"/>
      <c r="F243" s="13"/>
    </row>
    <row r="244" spans="1:6">
      <c r="A244" s="14"/>
      <c r="B244" s="39"/>
      <c r="C244" s="14"/>
      <c r="D244" s="40"/>
      <c r="E244" s="13"/>
      <c r="F244" s="13"/>
    </row>
    <row r="245" spans="1:6">
      <c r="A245" s="14"/>
      <c r="B245" s="39"/>
      <c r="C245" s="14"/>
      <c r="D245" s="40"/>
      <c r="E245" s="13"/>
      <c r="F245" s="13"/>
    </row>
    <row r="246" spans="1:6">
      <c r="A246" s="14"/>
      <c r="B246" s="39"/>
      <c r="C246" s="14"/>
      <c r="D246" s="40"/>
      <c r="E246" s="13"/>
      <c r="F246" s="13"/>
    </row>
    <row r="247" spans="1:6">
      <c r="A247" s="14"/>
      <c r="B247" s="39"/>
      <c r="C247" s="14"/>
      <c r="D247" s="40"/>
      <c r="E247" s="13"/>
      <c r="F247" s="13"/>
    </row>
    <row r="248" spans="1:6">
      <c r="A248" s="14"/>
      <c r="B248" s="39"/>
      <c r="C248" s="14"/>
      <c r="D248" s="40"/>
      <c r="E248" s="13"/>
      <c r="F248" s="13"/>
    </row>
    <row r="249" spans="1:6">
      <c r="A249" s="14"/>
      <c r="B249" s="39"/>
      <c r="C249" s="14"/>
      <c r="D249" s="40"/>
      <c r="E249" s="13"/>
      <c r="F249" s="13"/>
    </row>
    <row r="250" spans="1:6">
      <c r="A250" s="14"/>
      <c r="B250" s="39"/>
      <c r="C250" s="14"/>
      <c r="D250" s="40"/>
      <c r="E250" s="13"/>
      <c r="F250" s="13"/>
    </row>
    <row r="251" spans="1:6">
      <c r="A251" s="14"/>
      <c r="B251" s="39"/>
      <c r="C251" s="14"/>
      <c r="D251" s="40"/>
      <c r="E251" s="13"/>
      <c r="F251" s="13"/>
    </row>
    <row r="252" spans="1:6">
      <c r="A252" s="14"/>
      <c r="B252" s="39"/>
      <c r="C252" s="14"/>
      <c r="D252" s="40"/>
      <c r="E252" s="13"/>
      <c r="F252" s="13"/>
    </row>
    <row r="253" spans="1:6">
      <c r="A253" s="14"/>
      <c r="B253" s="39"/>
      <c r="C253" s="14"/>
      <c r="D253" s="40"/>
      <c r="E253" s="13"/>
      <c r="F253" s="13"/>
    </row>
    <row r="254" spans="1:6">
      <c r="A254" s="14"/>
      <c r="B254" s="39"/>
      <c r="C254" s="14"/>
      <c r="D254" s="40"/>
      <c r="E254" s="13"/>
      <c r="F254" s="13"/>
    </row>
    <row r="255" spans="1:6">
      <c r="A255" s="14"/>
      <c r="B255" s="39"/>
      <c r="C255" s="14"/>
      <c r="D255" s="40"/>
      <c r="E255" s="13"/>
      <c r="F255" s="13"/>
    </row>
    <row r="256" spans="1:6">
      <c r="A256" s="14"/>
      <c r="B256" s="39"/>
      <c r="C256" s="14"/>
      <c r="D256" s="40"/>
      <c r="E256" s="13"/>
      <c r="F256" s="13"/>
    </row>
    <row r="257" spans="1:6">
      <c r="A257" s="14"/>
      <c r="B257" s="39"/>
      <c r="C257" s="14"/>
      <c r="D257" s="40"/>
      <c r="E257" s="13"/>
      <c r="F257" s="13"/>
    </row>
    <row r="258" spans="1:6">
      <c r="A258" s="14"/>
      <c r="B258" s="39"/>
      <c r="C258" s="14"/>
      <c r="D258" s="40"/>
      <c r="E258" s="13"/>
      <c r="F258" s="13"/>
    </row>
    <row r="259" spans="1:6">
      <c r="A259" s="14"/>
      <c r="B259" s="39"/>
      <c r="C259" s="14"/>
      <c r="D259" s="40"/>
      <c r="E259" s="13"/>
      <c r="F259" s="13"/>
    </row>
    <row r="260" spans="1:6">
      <c r="A260" s="14"/>
      <c r="B260" s="39"/>
      <c r="C260" s="14"/>
      <c r="D260" s="40"/>
      <c r="E260" s="13"/>
      <c r="F260" s="13"/>
    </row>
    <row r="261" spans="1:6">
      <c r="A261" s="14"/>
      <c r="B261" s="39"/>
      <c r="C261" s="14"/>
      <c r="D261" s="40"/>
      <c r="E261" s="13"/>
      <c r="F261" s="13"/>
    </row>
    <row r="262" spans="1:6">
      <c r="A262" s="14"/>
      <c r="B262" s="39"/>
      <c r="C262" s="14"/>
      <c r="D262" s="40"/>
      <c r="E262" s="13"/>
      <c r="F262" s="13"/>
    </row>
    <row r="263" spans="1:6">
      <c r="A263" s="14"/>
      <c r="B263" s="39"/>
      <c r="C263" s="14"/>
      <c r="D263" s="40"/>
      <c r="E263" s="13"/>
      <c r="F263" s="13"/>
    </row>
    <row r="264" spans="1:6">
      <c r="A264" s="14"/>
      <c r="B264" s="39"/>
      <c r="C264" s="14"/>
      <c r="D264" s="40"/>
      <c r="E264" s="13"/>
      <c r="F264" s="13"/>
    </row>
    <row r="265" spans="1:6">
      <c r="A265" s="14"/>
      <c r="B265" s="39"/>
      <c r="C265" s="14"/>
      <c r="D265" s="40"/>
      <c r="E265" s="13"/>
      <c r="F265" s="13"/>
    </row>
    <row r="266" spans="1:6">
      <c r="A266" s="14"/>
      <c r="B266" s="39"/>
      <c r="C266" s="14"/>
      <c r="D266" s="40"/>
      <c r="E266" s="13"/>
      <c r="F266" s="13"/>
    </row>
    <row r="267" spans="1:6">
      <c r="A267" s="14"/>
      <c r="B267" s="39"/>
      <c r="C267" s="14"/>
      <c r="D267" s="40"/>
      <c r="E267" s="13"/>
      <c r="F267" s="13"/>
    </row>
    <row r="268" spans="1:6">
      <c r="A268" s="14"/>
      <c r="B268" s="39"/>
      <c r="C268" s="14"/>
      <c r="D268" s="40"/>
      <c r="E268" s="13"/>
      <c r="F268" s="13"/>
    </row>
    <row r="269" spans="1:6">
      <c r="A269" s="14"/>
      <c r="B269" s="39"/>
      <c r="C269" s="14"/>
      <c r="D269" s="40"/>
      <c r="E269" s="13"/>
      <c r="F269" s="13"/>
    </row>
    <row r="270" spans="1:6">
      <c r="A270" s="14"/>
      <c r="B270" s="39"/>
      <c r="C270" s="14"/>
      <c r="D270" s="40"/>
      <c r="E270" s="13"/>
      <c r="F270" s="13"/>
    </row>
    <row r="271" spans="1:6">
      <c r="A271" s="14"/>
      <c r="B271" s="39"/>
      <c r="C271" s="14"/>
      <c r="D271" s="40"/>
      <c r="E271" s="13"/>
      <c r="F271" s="13"/>
    </row>
    <row r="272" spans="1:6">
      <c r="A272" s="14"/>
      <c r="B272" s="39"/>
      <c r="C272" s="14"/>
      <c r="D272" s="40"/>
      <c r="E272" s="13"/>
      <c r="F272" s="13"/>
    </row>
    <row r="273" spans="1:6">
      <c r="A273" s="14"/>
      <c r="B273" s="39"/>
      <c r="C273" s="14"/>
      <c r="D273" s="40"/>
      <c r="E273" s="13"/>
      <c r="F273" s="13"/>
    </row>
    <row r="274" spans="1:6">
      <c r="A274" s="14"/>
      <c r="B274" s="39"/>
      <c r="C274" s="14"/>
      <c r="D274" s="40"/>
      <c r="E274" s="13"/>
      <c r="F274" s="13"/>
    </row>
    <row r="275" spans="1:6">
      <c r="A275" s="14"/>
      <c r="B275" s="39"/>
      <c r="C275" s="14"/>
      <c r="D275" s="40"/>
      <c r="E275" s="13"/>
      <c r="F275" s="13"/>
    </row>
    <row r="276" spans="1:6">
      <c r="A276" s="14"/>
      <c r="B276" s="39"/>
      <c r="C276" s="14"/>
      <c r="D276" s="40"/>
      <c r="E276" s="13"/>
      <c r="F276" s="13"/>
    </row>
    <row r="277" spans="1:6">
      <c r="A277" s="14"/>
      <c r="B277" s="39"/>
      <c r="C277" s="14"/>
      <c r="D277" s="40"/>
      <c r="E277" s="13"/>
      <c r="F277" s="13"/>
    </row>
    <row r="278" spans="1:6">
      <c r="A278" s="14"/>
      <c r="B278" s="39"/>
      <c r="C278" s="14"/>
      <c r="D278" s="40"/>
      <c r="E278" s="13"/>
      <c r="F278" s="13"/>
    </row>
    <row r="279" spans="1:6">
      <c r="A279" s="14"/>
      <c r="B279" s="39"/>
      <c r="C279" s="14"/>
      <c r="D279" s="40"/>
      <c r="E279" s="13"/>
      <c r="F279" s="13"/>
    </row>
    <row r="280" spans="1:6">
      <c r="A280" s="14"/>
      <c r="B280" s="39"/>
      <c r="C280" s="14"/>
      <c r="D280" s="40"/>
      <c r="E280" s="13"/>
      <c r="F280" s="13"/>
    </row>
    <row r="281" spans="1:6">
      <c r="A281" s="14"/>
      <c r="B281" s="39"/>
      <c r="C281" s="14"/>
      <c r="D281" s="40"/>
      <c r="E281" s="13"/>
      <c r="F281" s="13"/>
    </row>
    <row r="282" spans="1:6">
      <c r="A282" s="14"/>
      <c r="B282" s="39"/>
      <c r="C282" s="14"/>
      <c r="D282" s="40"/>
      <c r="E282" s="13"/>
      <c r="F282" s="13"/>
    </row>
    <row r="283" spans="1:6">
      <c r="A283" s="14"/>
      <c r="B283" s="39"/>
      <c r="C283" s="14"/>
      <c r="D283" s="40"/>
      <c r="E283" s="13"/>
      <c r="F283" s="13"/>
    </row>
    <row r="284" spans="1:6">
      <c r="A284" s="14"/>
      <c r="B284" s="39"/>
      <c r="C284" s="14"/>
      <c r="D284" s="40"/>
      <c r="E284" s="13"/>
      <c r="F284" s="13"/>
    </row>
    <row r="285" spans="1:6">
      <c r="A285" s="14"/>
      <c r="B285" s="39"/>
      <c r="C285" s="14"/>
      <c r="D285" s="40"/>
      <c r="E285" s="13"/>
      <c r="F285" s="13"/>
    </row>
    <row r="286" spans="1:6">
      <c r="A286" s="14"/>
      <c r="B286" s="39"/>
      <c r="C286" s="14"/>
      <c r="D286" s="40"/>
      <c r="E286" s="13"/>
      <c r="F286" s="13"/>
    </row>
    <row r="287" spans="1:6">
      <c r="A287" s="14"/>
      <c r="B287" s="39"/>
      <c r="C287" s="14"/>
      <c r="D287" s="40"/>
      <c r="E287" s="13"/>
      <c r="F287" s="13"/>
    </row>
    <row r="288" spans="1:6">
      <c r="A288" s="14"/>
      <c r="B288" s="39"/>
      <c r="C288" s="14"/>
      <c r="D288" s="40"/>
      <c r="E288" s="13"/>
      <c r="F288" s="13"/>
    </row>
    <row r="289" spans="1:6">
      <c r="A289" s="14"/>
      <c r="B289" s="39"/>
      <c r="C289" s="14"/>
      <c r="D289" s="40"/>
      <c r="E289" s="13"/>
      <c r="F289" s="13"/>
    </row>
    <row r="290" spans="1:6">
      <c r="A290" s="14"/>
      <c r="B290" s="39"/>
      <c r="C290" s="14"/>
      <c r="D290" s="40"/>
      <c r="E290" s="13"/>
      <c r="F290" s="13"/>
    </row>
    <row r="291" spans="1:6">
      <c r="A291" s="14"/>
      <c r="B291" s="39"/>
      <c r="C291" s="14"/>
      <c r="D291" s="40"/>
      <c r="E291" s="13"/>
      <c r="F291" s="13"/>
    </row>
    <row r="292" spans="1:6">
      <c r="A292" s="14"/>
      <c r="B292" s="39"/>
      <c r="C292" s="14"/>
      <c r="D292" s="40"/>
      <c r="E292" s="13"/>
      <c r="F292" s="13"/>
    </row>
    <row r="293" spans="1:6">
      <c r="A293" s="14"/>
      <c r="B293" s="39"/>
      <c r="C293" s="14"/>
      <c r="D293" s="40"/>
      <c r="E293" s="13"/>
      <c r="F293" s="13"/>
    </row>
    <row r="294" spans="1:6">
      <c r="A294" s="14"/>
      <c r="B294" s="39"/>
      <c r="C294" s="14"/>
      <c r="D294" s="40"/>
      <c r="E294" s="13"/>
      <c r="F294" s="13"/>
    </row>
    <row r="295" spans="1:6">
      <c r="A295" s="14"/>
      <c r="B295" s="39"/>
      <c r="C295" s="14"/>
      <c r="D295" s="40"/>
      <c r="E295" s="13"/>
      <c r="F295" s="13"/>
    </row>
    <row r="296" spans="1:6">
      <c r="A296" s="14"/>
      <c r="B296" s="39"/>
      <c r="C296" s="14"/>
      <c r="D296" s="40"/>
      <c r="E296" s="13"/>
      <c r="F296" s="13"/>
    </row>
    <row r="297" spans="1:6">
      <c r="A297" s="14"/>
      <c r="B297" s="39"/>
      <c r="C297" s="14"/>
      <c r="D297" s="40"/>
      <c r="E297" s="13"/>
      <c r="F297" s="13"/>
    </row>
    <row r="298" spans="1:6">
      <c r="A298" s="14"/>
      <c r="B298" s="39"/>
      <c r="C298" s="14"/>
      <c r="D298" s="40"/>
      <c r="E298" s="13"/>
      <c r="F298" s="13"/>
    </row>
    <row r="299" spans="1:6">
      <c r="A299" s="14"/>
      <c r="B299" s="39"/>
      <c r="C299" s="14"/>
      <c r="D299" s="40"/>
      <c r="E299" s="13"/>
      <c r="F299" s="13"/>
    </row>
    <row r="300" spans="1:6">
      <c r="A300" s="14"/>
      <c r="B300" s="39"/>
      <c r="C300" s="14"/>
      <c r="D300" s="40"/>
      <c r="E300" s="13"/>
      <c r="F300" s="13"/>
    </row>
    <row r="301" spans="1:6">
      <c r="A301" s="14"/>
      <c r="B301" s="39"/>
      <c r="C301" s="14"/>
      <c r="D301" s="40"/>
      <c r="E301" s="13"/>
      <c r="F301" s="13"/>
    </row>
    <row r="302" spans="1:6">
      <c r="A302" s="14"/>
      <c r="B302" s="39"/>
      <c r="C302" s="14"/>
      <c r="D302" s="40"/>
      <c r="E302" s="13"/>
      <c r="F302" s="13"/>
    </row>
    <row r="303" spans="1:6">
      <c r="A303" s="14"/>
      <c r="B303" s="39"/>
      <c r="C303" s="14"/>
      <c r="D303" s="40"/>
      <c r="E303" s="13"/>
      <c r="F303" s="13"/>
    </row>
    <row r="304" spans="1:6">
      <c r="A304" s="14"/>
      <c r="B304" s="39"/>
      <c r="C304" s="14"/>
      <c r="D304" s="40"/>
      <c r="E304" s="13"/>
      <c r="F304" s="13"/>
    </row>
    <row r="305" spans="1:6">
      <c r="A305" s="14"/>
      <c r="B305" s="39"/>
      <c r="C305" s="14"/>
      <c r="D305" s="40"/>
      <c r="E305" s="13"/>
      <c r="F305" s="13"/>
    </row>
    <row r="306" spans="1:6">
      <c r="A306" s="14"/>
      <c r="B306" s="39"/>
      <c r="C306" s="14"/>
      <c r="D306" s="40"/>
      <c r="E306" s="13"/>
      <c r="F306" s="13"/>
    </row>
    <row r="307" spans="1:6">
      <c r="A307" s="14"/>
      <c r="B307" s="39"/>
      <c r="C307" s="14"/>
      <c r="D307" s="40"/>
      <c r="E307" s="13"/>
      <c r="F307" s="13"/>
    </row>
    <row r="308" spans="1:6">
      <c r="A308" s="14"/>
      <c r="B308" s="39"/>
      <c r="C308" s="14"/>
      <c r="D308" s="40"/>
      <c r="E308" s="13"/>
      <c r="F308" s="13"/>
    </row>
    <row r="309" spans="1:6">
      <c r="A309" s="14"/>
      <c r="B309" s="39"/>
      <c r="C309" s="14"/>
      <c r="D309" s="40"/>
      <c r="E309" s="13"/>
      <c r="F309" s="13"/>
    </row>
    <row r="310" spans="1:6">
      <c r="A310" s="14"/>
      <c r="B310" s="39"/>
      <c r="C310" s="14"/>
      <c r="D310" s="40"/>
      <c r="E310" s="13"/>
      <c r="F310" s="13"/>
    </row>
    <row r="311" spans="1:6">
      <c r="A311" s="14"/>
      <c r="B311" s="39"/>
      <c r="C311" s="14"/>
      <c r="D311" s="40"/>
      <c r="E311" s="13"/>
      <c r="F311" s="13"/>
    </row>
    <row r="312" spans="1:6">
      <c r="A312" s="14"/>
      <c r="B312" s="39"/>
      <c r="C312" s="14"/>
      <c r="D312" s="40"/>
      <c r="E312" s="13"/>
      <c r="F312" s="13"/>
    </row>
    <row r="313" spans="1:6">
      <c r="A313" s="14"/>
      <c r="B313" s="39"/>
      <c r="C313" s="14"/>
      <c r="D313" s="40"/>
      <c r="E313" s="13"/>
      <c r="F313" s="13"/>
    </row>
    <row r="314" spans="1:6">
      <c r="A314" s="14"/>
      <c r="B314" s="39"/>
      <c r="C314" s="14"/>
      <c r="D314" s="40"/>
      <c r="E314" s="13"/>
      <c r="F314" s="13"/>
    </row>
    <row r="315" spans="1:6">
      <c r="A315" s="14"/>
      <c r="B315" s="39"/>
      <c r="C315" s="14"/>
      <c r="D315" s="40"/>
      <c r="E315" s="13"/>
      <c r="F315" s="13"/>
    </row>
    <row r="316" spans="1:6">
      <c r="A316" s="14"/>
      <c r="B316" s="39"/>
      <c r="C316" s="14"/>
      <c r="D316" s="40"/>
      <c r="E316" s="13"/>
      <c r="F316" s="13"/>
    </row>
    <row r="317" spans="1:6">
      <c r="A317" s="14"/>
      <c r="B317" s="39"/>
      <c r="C317" s="14"/>
      <c r="D317" s="40"/>
      <c r="E317" s="13"/>
      <c r="F317" s="13"/>
    </row>
    <row r="318" spans="1:6">
      <c r="A318" s="14"/>
      <c r="B318" s="39"/>
      <c r="C318" s="14"/>
      <c r="D318" s="40"/>
      <c r="E318" s="13"/>
      <c r="F318" s="13"/>
    </row>
    <row r="319" spans="1:6">
      <c r="A319" s="14"/>
      <c r="B319" s="39"/>
      <c r="C319" s="14"/>
      <c r="D319" s="40"/>
      <c r="E319" s="13"/>
      <c r="F319" s="13"/>
    </row>
    <row r="320" spans="1:6">
      <c r="A320" s="14"/>
      <c r="B320" s="39"/>
      <c r="C320" s="14"/>
      <c r="D320" s="40"/>
      <c r="E320" s="13"/>
      <c r="F320" s="13"/>
    </row>
    <row r="321" spans="1:6">
      <c r="A321" s="14"/>
      <c r="B321" s="39"/>
      <c r="C321" s="14"/>
      <c r="D321" s="40"/>
      <c r="E321" s="13"/>
      <c r="F321" s="13"/>
    </row>
    <row r="322" spans="1:6">
      <c r="A322" s="14"/>
      <c r="B322" s="39"/>
      <c r="C322" s="14"/>
      <c r="D322" s="40"/>
      <c r="E322" s="13"/>
      <c r="F322" s="13"/>
    </row>
    <row r="323" spans="1:6">
      <c r="A323" s="14"/>
      <c r="B323" s="39"/>
      <c r="C323" s="14"/>
      <c r="D323" s="40"/>
      <c r="E323" s="13"/>
      <c r="F323" s="13"/>
    </row>
    <row r="324" spans="1:6">
      <c r="A324" s="14"/>
      <c r="B324" s="39"/>
      <c r="C324" s="14"/>
      <c r="D324" s="40"/>
      <c r="E324" s="13"/>
      <c r="F324" s="13"/>
    </row>
    <row r="325" spans="1:6">
      <c r="A325" s="14"/>
      <c r="B325" s="39"/>
      <c r="C325" s="14"/>
      <c r="D325" s="40"/>
      <c r="E325" s="13"/>
      <c r="F325" s="13"/>
    </row>
    <row r="326" spans="1:6">
      <c r="A326" s="14"/>
      <c r="B326" s="39"/>
      <c r="C326" s="14"/>
      <c r="D326" s="40"/>
      <c r="E326" s="13"/>
      <c r="F326" s="13"/>
    </row>
    <row r="327" spans="1:6">
      <c r="A327" s="14"/>
      <c r="B327" s="39"/>
      <c r="C327" s="14"/>
      <c r="D327" s="40"/>
      <c r="E327" s="13"/>
      <c r="F327" s="13"/>
    </row>
    <row r="328" spans="1:6">
      <c r="A328" s="14"/>
      <c r="B328" s="39"/>
      <c r="C328" s="14"/>
      <c r="D328" s="40"/>
      <c r="E328" s="13"/>
      <c r="F328" s="13"/>
    </row>
    <row r="329" spans="1:6">
      <c r="A329" s="14"/>
      <c r="B329" s="39"/>
      <c r="C329" s="14"/>
      <c r="D329" s="40"/>
      <c r="E329" s="13"/>
      <c r="F329" s="13"/>
    </row>
    <row r="330" spans="1:6">
      <c r="A330" s="14"/>
      <c r="B330" s="39"/>
      <c r="C330" s="14"/>
      <c r="D330" s="40"/>
      <c r="E330" s="13"/>
      <c r="F330" s="13"/>
    </row>
    <row r="331" spans="1:6">
      <c r="A331" s="14"/>
      <c r="B331" s="39"/>
      <c r="C331" s="14"/>
      <c r="D331" s="40"/>
      <c r="E331" s="13"/>
      <c r="F331" s="13"/>
    </row>
    <row r="332" spans="1:6">
      <c r="A332" s="14"/>
      <c r="B332" s="39"/>
      <c r="C332" s="14"/>
      <c r="D332" s="40"/>
      <c r="E332" s="13"/>
      <c r="F332" s="13"/>
    </row>
    <row r="333" spans="1:6">
      <c r="A333" s="14"/>
      <c r="B333" s="39"/>
      <c r="C333" s="14"/>
      <c r="D333" s="40"/>
      <c r="E333" s="13"/>
      <c r="F333" s="13"/>
    </row>
    <row r="334" spans="1:6">
      <c r="A334" s="14"/>
      <c r="B334" s="39"/>
      <c r="C334" s="14"/>
      <c r="D334" s="40"/>
      <c r="E334" s="13"/>
      <c r="F334" s="13"/>
    </row>
    <row r="335" spans="1:6">
      <c r="A335" s="14"/>
      <c r="B335" s="39"/>
      <c r="C335" s="14"/>
      <c r="D335" s="40"/>
      <c r="E335" s="13"/>
      <c r="F335" s="13"/>
    </row>
    <row r="336" spans="1:6">
      <c r="A336" s="14"/>
      <c r="B336" s="39"/>
      <c r="C336" s="14"/>
      <c r="D336" s="40"/>
      <c r="E336" s="13"/>
      <c r="F336" s="13"/>
    </row>
    <row r="337" spans="1:6">
      <c r="A337" s="14"/>
      <c r="B337" s="39"/>
      <c r="C337" s="14"/>
      <c r="D337" s="40"/>
      <c r="E337" s="13"/>
      <c r="F337" s="13"/>
    </row>
    <row r="338" spans="1:6">
      <c r="A338" s="14"/>
      <c r="B338" s="39"/>
      <c r="C338" s="14"/>
      <c r="D338" s="40"/>
      <c r="E338" s="13"/>
      <c r="F338" s="13"/>
    </row>
    <row r="339" spans="1:6">
      <c r="A339" s="14"/>
      <c r="B339" s="39"/>
      <c r="C339" s="14"/>
      <c r="D339" s="40"/>
      <c r="E339" s="13"/>
      <c r="F339" s="13"/>
    </row>
    <row r="340" spans="1:6">
      <c r="A340" s="14"/>
      <c r="B340" s="39"/>
      <c r="C340" s="14"/>
      <c r="D340" s="40"/>
      <c r="E340" s="13"/>
      <c r="F340" s="13"/>
    </row>
    <row r="341" spans="1:6">
      <c r="A341" s="14"/>
      <c r="B341" s="39"/>
      <c r="C341" s="14"/>
      <c r="D341" s="40"/>
      <c r="E341" s="13"/>
      <c r="F341" s="13"/>
    </row>
    <row r="342" spans="1:6">
      <c r="A342" s="14"/>
      <c r="B342" s="39"/>
      <c r="C342" s="14"/>
      <c r="D342" s="40"/>
      <c r="E342" s="13"/>
      <c r="F342" s="13"/>
    </row>
    <row r="343" spans="1:6">
      <c r="A343" s="14"/>
      <c r="B343" s="39"/>
      <c r="C343" s="14"/>
      <c r="D343" s="40"/>
      <c r="E343" s="13"/>
      <c r="F343" s="13"/>
    </row>
    <row r="344" spans="1:6">
      <c r="A344" s="14"/>
      <c r="B344" s="39"/>
      <c r="C344" s="14"/>
      <c r="D344" s="40"/>
      <c r="E344" s="13"/>
      <c r="F344" s="13"/>
    </row>
    <row r="345" spans="1:6">
      <c r="A345" s="14"/>
      <c r="B345" s="39"/>
      <c r="C345" s="14"/>
      <c r="D345" s="40"/>
      <c r="E345" s="13"/>
      <c r="F345" s="13"/>
    </row>
    <row r="346" spans="1:6">
      <c r="A346" s="14"/>
      <c r="B346" s="39"/>
      <c r="C346" s="14"/>
      <c r="D346" s="40"/>
      <c r="E346" s="13"/>
      <c r="F346" s="13"/>
    </row>
    <row r="347" spans="1:6">
      <c r="A347" s="14"/>
      <c r="B347" s="39"/>
      <c r="C347" s="14"/>
      <c r="D347" s="40"/>
      <c r="E347" s="13"/>
      <c r="F347" s="13"/>
    </row>
    <row r="348" spans="1:6">
      <c r="A348" s="14"/>
      <c r="B348" s="39"/>
      <c r="C348" s="14"/>
      <c r="D348" s="40"/>
      <c r="E348" s="13"/>
      <c r="F348" s="13"/>
    </row>
    <row r="349" spans="1:6">
      <c r="A349" s="14"/>
      <c r="B349" s="39"/>
      <c r="C349" s="14"/>
      <c r="D349" s="40"/>
      <c r="E349" s="13"/>
      <c r="F349" s="13"/>
    </row>
    <row r="350" spans="1:6">
      <c r="A350" s="14"/>
      <c r="B350" s="39"/>
      <c r="C350" s="14"/>
      <c r="D350" s="40"/>
      <c r="E350" s="13"/>
      <c r="F350" s="13"/>
    </row>
    <row r="351" spans="1:6">
      <c r="A351" s="14"/>
      <c r="B351" s="39"/>
      <c r="C351" s="14"/>
      <c r="D351" s="40"/>
      <c r="E351" s="13"/>
      <c r="F351" s="13"/>
    </row>
    <row r="352" spans="1:6">
      <c r="A352" s="14"/>
      <c r="B352" s="39"/>
      <c r="C352" s="14"/>
      <c r="D352" s="40"/>
      <c r="E352" s="13"/>
      <c r="F352" s="13"/>
    </row>
    <row r="353" spans="1:6">
      <c r="A353" s="14"/>
      <c r="B353" s="39"/>
      <c r="C353" s="14"/>
      <c r="D353" s="40"/>
      <c r="E353" s="13"/>
      <c r="F353" s="13"/>
    </row>
    <row r="354" spans="1:6">
      <c r="A354" s="14"/>
      <c r="B354" s="39"/>
      <c r="C354" s="14"/>
      <c r="D354" s="40"/>
      <c r="E354" s="13"/>
      <c r="F354" s="13"/>
    </row>
    <row r="355" spans="1:6">
      <c r="A355" s="14"/>
      <c r="B355" s="39"/>
      <c r="C355" s="14"/>
      <c r="D355" s="40"/>
      <c r="E355" s="13"/>
      <c r="F355" s="13"/>
    </row>
    <row r="356" spans="1:6">
      <c r="A356" s="14"/>
      <c r="B356" s="39"/>
      <c r="C356" s="14"/>
      <c r="D356" s="40"/>
      <c r="E356" s="13"/>
      <c r="F356" s="13"/>
    </row>
    <row r="357" spans="1:6">
      <c r="A357" s="14"/>
      <c r="B357" s="39"/>
      <c r="C357" s="14"/>
      <c r="D357" s="40"/>
      <c r="E357" s="13"/>
      <c r="F357" s="13"/>
    </row>
    <row r="358" spans="1:6">
      <c r="A358" s="14"/>
      <c r="B358" s="39"/>
      <c r="C358" s="14"/>
      <c r="D358" s="40"/>
      <c r="E358" s="13"/>
      <c r="F358" s="13"/>
    </row>
    <row r="359" spans="1:6">
      <c r="A359" s="14"/>
      <c r="B359" s="39"/>
      <c r="C359" s="14"/>
      <c r="D359" s="40"/>
      <c r="E359" s="13"/>
      <c r="F359" s="13"/>
    </row>
    <row r="360" spans="1:6">
      <c r="A360" s="14"/>
      <c r="B360" s="39"/>
      <c r="C360" s="14"/>
      <c r="D360" s="40"/>
      <c r="E360" s="13"/>
      <c r="F360" s="13"/>
    </row>
    <row r="361" spans="1:6">
      <c r="A361" s="14"/>
      <c r="B361" s="39"/>
      <c r="C361" s="14"/>
      <c r="D361" s="40"/>
      <c r="E361" s="13"/>
      <c r="F361" s="13"/>
    </row>
    <row r="362" spans="1:6">
      <c r="A362" s="14"/>
      <c r="B362" s="39"/>
      <c r="C362" s="14"/>
      <c r="D362" s="40"/>
      <c r="E362" s="13"/>
      <c r="F362" s="13"/>
    </row>
    <row r="363" spans="1:6">
      <c r="A363" s="14"/>
      <c r="B363" s="39"/>
      <c r="C363" s="14"/>
      <c r="D363" s="40"/>
      <c r="E363" s="13"/>
      <c r="F363" s="13"/>
    </row>
    <row r="364" spans="1:6">
      <c r="A364" s="14"/>
      <c r="B364" s="39"/>
      <c r="C364" s="14"/>
      <c r="D364" s="40"/>
      <c r="E364" s="13"/>
      <c r="F364" s="13"/>
    </row>
    <row r="365" spans="1:6">
      <c r="A365" s="14"/>
      <c r="B365" s="39"/>
      <c r="C365" s="14"/>
      <c r="D365" s="40"/>
      <c r="E365" s="13"/>
      <c r="F365" s="13"/>
    </row>
    <row r="366" spans="1:6">
      <c r="A366" s="14"/>
      <c r="B366" s="39"/>
      <c r="C366" s="14"/>
      <c r="D366" s="40"/>
      <c r="E366" s="13"/>
      <c r="F366" s="13"/>
    </row>
    <row r="367" spans="1:6">
      <c r="A367" s="14"/>
      <c r="B367" s="39"/>
      <c r="C367" s="14"/>
      <c r="D367" s="40"/>
      <c r="E367" s="13"/>
      <c r="F367" s="13"/>
    </row>
    <row r="368" spans="1:6">
      <c r="A368" s="14"/>
      <c r="B368" s="39"/>
      <c r="C368" s="14"/>
      <c r="D368" s="40"/>
      <c r="E368" s="13"/>
      <c r="F368" s="13"/>
    </row>
    <row r="369" spans="1:6">
      <c r="A369" s="14"/>
      <c r="B369" s="39"/>
      <c r="C369" s="14"/>
      <c r="D369" s="40"/>
      <c r="E369" s="13"/>
      <c r="F369" s="13"/>
    </row>
    <row r="370" spans="1:6">
      <c r="A370" s="14"/>
      <c r="B370" s="39"/>
      <c r="C370" s="14"/>
      <c r="D370" s="40"/>
      <c r="E370" s="13"/>
      <c r="F370" s="13"/>
    </row>
    <row r="371" spans="1:6">
      <c r="A371" s="14"/>
      <c r="B371" s="39"/>
      <c r="C371" s="14"/>
      <c r="D371" s="40"/>
      <c r="E371" s="13"/>
      <c r="F371" s="13"/>
    </row>
    <row r="372" spans="1:6">
      <c r="A372" s="14"/>
      <c r="B372" s="39"/>
      <c r="C372" s="14"/>
      <c r="D372" s="40"/>
      <c r="E372" s="13"/>
      <c r="F372" s="13"/>
    </row>
    <row r="373" spans="1:6">
      <c r="A373" s="14"/>
      <c r="B373" s="39"/>
      <c r="C373" s="14"/>
      <c r="D373" s="40"/>
      <c r="E373" s="13"/>
      <c r="F373" s="13"/>
    </row>
    <row r="374" spans="1:6">
      <c r="A374" s="14"/>
      <c r="B374" s="39"/>
      <c r="C374" s="14"/>
      <c r="D374" s="40"/>
      <c r="E374" s="13"/>
      <c r="F374" s="13"/>
    </row>
    <row r="375" spans="1:6">
      <c r="A375" s="14"/>
      <c r="B375" s="39"/>
      <c r="C375" s="14"/>
      <c r="D375" s="40"/>
      <c r="E375" s="13"/>
      <c r="F375" s="13"/>
    </row>
    <row r="376" spans="1:6">
      <c r="A376" s="14"/>
      <c r="B376" s="39"/>
      <c r="C376" s="14"/>
      <c r="D376" s="40"/>
      <c r="E376" s="13"/>
      <c r="F376" s="13"/>
    </row>
    <row r="377" spans="1:6">
      <c r="A377" s="14"/>
      <c r="B377" s="39"/>
      <c r="C377" s="14"/>
      <c r="D377" s="40"/>
      <c r="E377" s="13"/>
      <c r="F377" s="13"/>
    </row>
    <row r="378" spans="1:6">
      <c r="A378" s="14"/>
      <c r="B378" s="39"/>
      <c r="C378" s="14"/>
      <c r="D378" s="40"/>
      <c r="E378" s="13"/>
      <c r="F378" s="13"/>
    </row>
    <row r="379" spans="1:6">
      <c r="A379" s="14"/>
      <c r="B379" s="39"/>
      <c r="C379" s="14"/>
      <c r="D379" s="40"/>
      <c r="E379" s="13"/>
      <c r="F379" s="13"/>
    </row>
    <row r="380" spans="1:6">
      <c r="A380" s="14"/>
      <c r="B380" s="39"/>
      <c r="C380" s="14"/>
      <c r="D380" s="40"/>
      <c r="E380" s="13"/>
      <c r="F380" s="13"/>
    </row>
    <row r="381" spans="1:6">
      <c r="A381" s="14"/>
      <c r="B381" s="39"/>
      <c r="C381" s="14"/>
      <c r="D381" s="40"/>
      <c r="E381" s="13"/>
      <c r="F381" s="13"/>
    </row>
    <row r="382" spans="1:6">
      <c r="A382" s="14"/>
      <c r="B382" s="39"/>
      <c r="C382" s="14"/>
      <c r="D382" s="40"/>
      <c r="E382" s="13"/>
      <c r="F382" s="13"/>
    </row>
    <row r="383" spans="1:6">
      <c r="A383" s="14"/>
      <c r="B383" s="39"/>
      <c r="C383" s="14"/>
      <c r="D383" s="40"/>
      <c r="E383" s="13"/>
      <c r="F383" s="13"/>
    </row>
    <row r="384" spans="1:6">
      <c r="A384" s="14"/>
      <c r="B384" s="39"/>
      <c r="C384" s="14"/>
      <c r="D384" s="40"/>
      <c r="E384" s="13"/>
      <c r="F384" s="13"/>
    </row>
    <row r="385" spans="1:6">
      <c r="A385" s="14"/>
      <c r="B385" s="39"/>
      <c r="C385" s="14"/>
      <c r="D385" s="40"/>
      <c r="E385" s="13"/>
      <c r="F385" s="13"/>
    </row>
    <row r="386" spans="1:6">
      <c r="A386" s="14"/>
      <c r="B386" s="39"/>
      <c r="C386" s="14"/>
      <c r="D386" s="40"/>
      <c r="E386" s="13"/>
      <c r="F386" s="13"/>
    </row>
    <row r="387" spans="1:6">
      <c r="A387" s="14"/>
      <c r="B387" s="39"/>
      <c r="C387" s="14"/>
      <c r="D387" s="40"/>
      <c r="E387" s="13"/>
      <c r="F387" s="13"/>
    </row>
    <row r="388" spans="1:6">
      <c r="A388" s="14"/>
      <c r="B388" s="39"/>
      <c r="C388" s="14"/>
      <c r="D388" s="40"/>
      <c r="E388" s="13"/>
      <c r="F388" s="13"/>
    </row>
    <row r="389" spans="1:6">
      <c r="A389" s="14"/>
      <c r="B389" s="39"/>
      <c r="C389" s="14"/>
      <c r="D389" s="40"/>
      <c r="E389" s="13"/>
      <c r="F389" s="13"/>
    </row>
    <row r="390" spans="1:6">
      <c r="A390" s="14"/>
      <c r="B390" s="39"/>
      <c r="C390" s="14"/>
      <c r="D390" s="40"/>
      <c r="E390" s="13"/>
      <c r="F390" s="13"/>
    </row>
    <row r="391" spans="1:6">
      <c r="A391" s="14"/>
      <c r="B391" s="39"/>
      <c r="C391" s="14"/>
      <c r="D391" s="40"/>
      <c r="E391" s="13"/>
      <c r="F391" s="13"/>
    </row>
    <row r="392" spans="1:6">
      <c r="A392" s="14"/>
      <c r="B392" s="39"/>
      <c r="C392" s="14"/>
      <c r="D392" s="40"/>
      <c r="E392" s="13"/>
      <c r="F392" s="13"/>
    </row>
    <row r="393" spans="1:6">
      <c r="A393" s="14"/>
      <c r="B393" s="39"/>
      <c r="C393" s="14"/>
      <c r="D393" s="40"/>
      <c r="E393" s="13"/>
      <c r="F393" s="13"/>
    </row>
    <row r="394" spans="1:6">
      <c r="A394" s="14"/>
      <c r="B394" s="39"/>
      <c r="C394" s="14"/>
      <c r="D394" s="40"/>
      <c r="E394" s="13"/>
      <c r="F394" s="13"/>
    </row>
    <row r="395" spans="1:6">
      <c r="A395" s="14"/>
      <c r="B395" s="39"/>
      <c r="C395" s="14"/>
      <c r="D395" s="40"/>
      <c r="E395" s="13"/>
      <c r="F395" s="13"/>
    </row>
    <row r="396" spans="1:6">
      <c r="A396" s="14"/>
      <c r="B396" s="39"/>
      <c r="C396" s="14"/>
      <c r="D396" s="40"/>
      <c r="E396" s="13"/>
      <c r="F396" s="13"/>
    </row>
    <row r="397" spans="1:6">
      <c r="A397" s="14"/>
      <c r="B397" s="39"/>
      <c r="C397" s="14"/>
      <c r="D397" s="40"/>
      <c r="E397" s="13"/>
      <c r="F397" s="13"/>
    </row>
    <row r="398" spans="1:6">
      <c r="A398" s="14"/>
      <c r="B398" s="39"/>
      <c r="C398" s="14"/>
      <c r="D398" s="40"/>
      <c r="E398" s="13"/>
      <c r="F398" s="13"/>
    </row>
    <row r="399" spans="1:6">
      <c r="A399" s="14"/>
      <c r="B399" s="39"/>
      <c r="C399" s="14"/>
      <c r="D399" s="40"/>
      <c r="E399" s="13"/>
      <c r="F399" s="13"/>
    </row>
    <row r="400" spans="1:6">
      <c r="A400" s="14"/>
      <c r="B400" s="39"/>
      <c r="C400" s="14"/>
      <c r="D400" s="40"/>
      <c r="E400" s="13"/>
      <c r="F400" s="13"/>
    </row>
    <row r="401" spans="1:6">
      <c r="A401" s="14"/>
      <c r="B401" s="39"/>
      <c r="C401" s="14"/>
      <c r="D401" s="40"/>
      <c r="E401" s="13"/>
      <c r="F401" s="13"/>
    </row>
    <row r="402" spans="1:6">
      <c r="A402" s="14"/>
      <c r="B402" s="39"/>
      <c r="C402" s="14"/>
      <c r="D402" s="40"/>
      <c r="E402" s="13"/>
      <c r="F402" s="13"/>
    </row>
    <row r="403" spans="1:6">
      <c r="A403" s="14"/>
      <c r="B403" s="39"/>
      <c r="C403" s="14"/>
      <c r="D403" s="40"/>
      <c r="E403" s="13"/>
      <c r="F403" s="13"/>
    </row>
    <row r="404" spans="1:6">
      <c r="A404" s="14"/>
      <c r="B404" s="39"/>
      <c r="C404" s="14"/>
      <c r="D404" s="40"/>
      <c r="E404" s="13"/>
      <c r="F404" s="13"/>
    </row>
    <row r="405" spans="1:6">
      <c r="A405" s="14"/>
      <c r="B405" s="39"/>
      <c r="C405" s="14"/>
      <c r="D405" s="40"/>
      <c r="E405" s="13"/>
      <c r="F405" s="13"/>
    </row>
    <row r="406" spans="1:6">
      <c r="A406" s="14"/>
      <c r="B406" s="39"/>
      <c r="C406" s="14"/>
      <c r="D406" s="40"/>
      <c r="E406" s="13"/>
      <c r="F406" s="13"/>
    </row>
    <row r="407" spans="1:6">
      <c r="A407" s="14"/>
      <c r="B407" s="39"/>
      <c r="C407" s="14"/>
      <c r="D407" s="40"/>
      <c r="E407" s="13"/>
      <c r="F407" s="13"/>
    </row>
    <row r="408" spans="1:6">
      <c r="A408" s="14"/>
      <c r="B408" s="39"/>
      <c r="C408" s="14"/>
      <c r="D408" s="40"/>
      <c r="E408" s="13"/>
      <c r="F408" s="13"/>
    </row>
    <row r="409" spans="1:6">
      <c r="A409" s="14"/>
      <c r="B409" s="39"/>
      <c r="C409" s="14"/>
      <c r="D409" s="40"/>
      <c r="E409" s="13"/>
      <c r="F409" s="13"/>
    </row>
    <row r="410" spans="1:6">
      <c r="A410" s="14"/>
      <c r="B410" s="39"/>
      <c r="C410" s="14"/>
      <c r="D410" s="40"/>
      <c r="E410" s="13"/>
      <c r="F410" s="13"/>
    </row>
    <row r="411" spans="1:6">
      <c r="A411" s="14"/>
      <c r="B411" s="39"/>
      <c r="C411" s="14"/>
      <c r="D411" s="40"/>
      <c r="E411" s="13"/>
      <c r="F411" s="13"/>
    </row>
    <row r="412" spans="1:6">
      <c r="A412" s="14"/>
      <c r="B412" s="39"/>
      <c r="C412" s="14"/>
      <c r="D412" s="40"/>
      <c r="E412" s="13"/>
      <c r="F412" s="13"/>
    </row>
    <row r="413" spans="1:6">
      <c r="A413" s="14"/>
      <c r="B413" s="39"/>
      <c r="C413" s="14"/>
      <c r="D413" s="40"/>
      <c r="E413" s="13"/>
      <c r="F413" s="13"/>
    </row>
    <row r="414" spans="1:6">
      <c r="A414" s="14"/>
      <c r="B414" s="39"/>
      <c r="C414" s="14"/>
      <c r="D414" s="40"/>
      <c r="E414" s="13"/>
      <c r="F414" s="13"/>
    </row>
    <row r="415" spans="1:6">
      <c r="A415" s="14"/>
      <c r="B415" s="39"/>
      <c r="C415" s="14"/>
      <c r="D415" s="40"/>
      <c r="E415" s="13"/>
      <c r="F415" s="13"/>
    </row>
    <row r="416" spans="1:6">
      <c r="A416" s="14"/>
      <c r="B416" s="39"/>
      <c r="C416" s="14"/>
      <c r="D416" s="40"/>
      <c r="E416" s="13"/>
      <c r="F416" s="13"/>
    </row>
    <row r="417" spans="1:6">
      <c r="A417" s="14"/>
      <c r="B417" s="39"/>
      <c r="C417" s="14"/>
      <c r="D417" s="40"/>
      <c r="E417" s="13"/>
      <c r="F417" s="13"/>
    </row>
    <row r="418" spans="1:6">
      <c r="A418" s="14"/>
      <c r="B418" s="39"/>
      <c r="C418" s="14"/>
      <c r="D418" s="40"/>
      <c r="E418" s="13"/>
      <c r="F418" s="13"/>
    </row>
    <row r="419" spans="1:6">
      <c r="A419" s="14"/>
      <c r="B419" s="39"/>
      <c r="C419" s="14"/>
      <c r="D419" s="40"/>
      <c r="E419" s="13"/>
      <c r="F419" s="13"/>
    </row>
    <row r="420" spans="1:6">
      <c r="A420" s="14"/>
      <c r="B420" s="39"/>
      <c r="C420" s="14"/>
      <c r="D420" s="40"/>
      <c r="E420" s="13"/>
      <c r="F420" s="13"/>
    </row>
    <row r="421" spans="1:6">
      <c r="A421" s="14"/>
      <c r="B421" s="39"/>
      <c r="C421" s="14"/>
      <c r="D421" s="40"/>
      <c r="E421" s="13"/>
      <c r="F421" s="13"/>
    </row>
    <row r="422" spans="1:6">
      <c r="A422" s="14"/>
      <c r="B422" s="39"/>
      <c r="C422" s="14"/>
      <c r="D422" s="40"/>
      <c r="E422" s="13"/>
      <c r="F422" s="13"/>
    </row>
    <row r="423" spans="1:6">
      <c r="A423" s="14"/>
      <c r="B423" s="39"/>
      <c r="C423" s="14"/>
      <c r="D423" s="40"/>
      <c r="E423" s="13"/>
      <c r="F423" s="13"/>
    </row>
    <row r="424" spans="1:6">
      <c r="A424" s="14"/>
      <c r="B424" s="39"/>
      <c r="C424" s="14"/>
      <c r="D424" s="40"/>
      <c r="E424" s="13"/>
      <c r="F424" s="13"/>
    </row>
    <row r="425" spans="1:6">
      <c r="A425" s="14"/>
      <c r="B425" s="39"/>
      <c r="C425" s="14"/>
      <c r="D425" s="40"/>
      <c r="E425" s="13"/>
      <c r="F425" s="13"/>
    </row>
    <row r="426" spans="1:6">
      <c r="A426" s="14"/>
      <c r="B426" s="39"/>
      <c r="C426" s="14"/>
      <c r="D426" s="40"/>
      <c r="E426" s="13"/>
      <c r="F426" s="13"/>
    </row>
    <row r="427" spans="1:6">
      <c r="A427" s="14"/>
      <c r="B427" s="39"/>
      <c r="C427" s="14"/>
      <c r="D427" s="40"/>
      <c r="E427" s="13"/>
      <c r="F427" s="13"/>
    </row>
    <row r="428" spans="1:6">
      <c r="A428" s="14"/>
      <c r="B428" s="39"/>
      <c r="C428" s="14"/>
      <c r="D428" s="40"/>
      <c r="E428" s="13"/>
      <c r="F428" s="13"/>
    </row>
    <row r="429" spans="1:6">
      <c r="A429" s="14"/>
      <c r="B429" s="39"/>
      <c r="C429" s="14"/>
      <c r="D429" s="40"/>
      <c r="E429" s="13"/>
      <c r="F429" s="13"/>
    </row>
    <row r="430" spans="1:6">
      <c r="A430" s="14"/>
      <c r="B430" s="39"/>
      <c r="C430" s="14"/>
      <c r="D430" s="40"/>
      <c r="E430" s="13"/>
      <c r="F430" s="13"/>
    </row>
    <row r="431" spans="1:6">
      <c r="A431" s="14"/>
      <c r="B431" s="39"/>
      <c r="C431" s="14"/>
      <c r="D431" s="40"/>
      <c r="E431" s="13"/>
      <c r="F431" s="13"/>
    </row>
    <row r="432" spans="1:6">
      <c r="A432" s="14"/>
      <c r="B432" s="39"/>
      <c r="C432" s="14"/>
      <c r="D432" s="40"/>
      <c r="E432" s="13"/>
      <c r="F432" s="13"/>
    </row>
    <row r="433" spans="1:6">
      <c r="A433" s="14"/>
      <c r="B433" s="39"/>
      <c r="C433" s="14"/>
      <c r="D433" s="40"/>
      <c r="E433" s="13"/>
      <c r="F433" s="13"/>
    </row>
    <row r="434" spans="1:6">
      <c r="A434" s="14"/>
      <c r="B434" s="39"/>
      <c r="C434" s="14"/>
      <c r="D434" s="40"/>
      <c r="E434" s="13"/>
      <c r="F434" s="13"/>
    </row>
    <row r="435" spans="1:6">
      <c r="A435" s="14"/>
      <c r="B435" s="39"/>
      <c r="C435" s="14"/>
      <c r="D435" s="40"/>
      <c r="E435" s="13"/>
      <c r="F435" s="13"/>
    </row>
    <row r="436" spans="1:6">
      <c r="A436" s="14"/>
      <c r="B436" s="39"/>
      <c r="C436" s="14"/>
      <c r="D436" s="40"/>
      <c r="E436" s="13"/>
      <c r="F436" s="13"/>
    </row>
    <row r="437" spans="1:6">
      <c r="A437" s="14"/>
      <c r="B437" s="39"/>
      <c r="C437" s="14"/>
      <c r="D437" s="40"/>
      <c r="E437" s="13"/>
      <c r="F437" s="13"/>
    </row>
    <row r="438" spans="1:6">
      <c r="A438" s="14"/>
      <c r="B438" s="39"/>
      <c r="C438" s="14"/>
      <c r="D438" s="40"/>
      <c r="E438" s="13"/>
      <c r="F438" s="13"/>
    </row>
    <row r="439" spans="1:6">
      <c r="A439" s="14"/>
      <c r="B439" s="39"/>
      <c r="C439" s="14"/>
      <c r="D439" s="40"/>
      <c r="E439" s="13"/>
      <c r="F439" s="13"/>
    </row>
    <row r="440" spans="1:6">
      <c r="A440" s="14"/>
      <c r="B440" s="39"/>
      <c r="C440" s="14"/>
      <c r="D440" s="40"/>
      <c r="E440" s="13"/>
      <c r="F440" s="13"/>
    </row>
    <row r="441" spans="1:6">
      <c r="A441" s="14"/>
      <c r="B441" s="39"/>
      <c r="C441" s="14"/>
      <c r="D441" s="40"/>
      <c r="E441" s="13"/>
      <c r="F441" s="13"/>
    </row>
    <row r="442" spans="1:6">
      <c r="A442" s="14"/>
      <c r="B442" s="39"/>
      <c r="C442" s="14"/>
      <c r="D442" s="40"/>
      <c r="E442" s="13"/>
      <c r="F442" s="13"/>
    </row>
    <row r="443" spans="1:6">
      <c r="A443" s="14"/>
      <c r="B443" s="39"/>
      <c r="C443" s="14"/>
      <c r="D443" s="40"/>
      <c r="E443" s="13"/>
      <c r="F443" s="13"/>
    </row>
    <row r="444" spans="1:6">
      <c r="A444" s="14"/>
      <c r="B444" s="39"/>
      <c r="C444" s="14"/>
      <c r="D444" s="40"/>
      <c r="E444" s="13"/>
      <c r="F444" s="13"/>
    </row>
    <row r="445" spans="1:6">
      <c r="A445" s="14"/>
      <c r="B445" s="39"/>
      <c r="C445" s="14"/>
      <c r="D445" s="40"/>
      <c r="E445" s="13"/>
      <c r="F445" s="13"/>
    </row>
    <row r="446" spans="1:6">
      <c r="A446" s="14"/>
      <c r="B446" s="39"/>
      <c r="C446" s="14"/>
      <c r="D446" s="40"/>
      <c r="E446" s="13"/>
      <c r="F446" s="13"/>
    </row>
    <row r="447" spans="1:6">
      <c r="A447" s="14"/>
      <c r="B447" s="39"/>
      <c r="C447" s="14"/>
      <c r="D447" s="40"/>
      <c r="E447" s="13"/>
      <c r="F447" s="13"/>
    </row>
    <row r="448" spans="1:6">
      <c r="A448" s="14"/>
      <c r="B448" s="39"/>
      <c r="C448" s="14"/>
      <c r="D448" s="40"/>
      <c r="E448" s="13"/>
      <c r="F448" s="13"/>
    </row>
    <row r="449" spans="1:6">
      <c r="A449" s="14"/>
      <c r="B449" s="39"/>
      <c r="C449" s="14"/>
      <c r="D449" s="40"/>
      <c r="E449" s="13"/>
      <c r="F449" s="13"/>
    </row>
    <row r="450" spans="1:6">
      <c r="A450" s="14"/>
      <c r="B450" s="39"/>
      <c r="C450" s="14"/>
      <c r="D450" s="40"/>
      <c r="E450" s="13"/>
      <c r="F450" s="13"/>
    </row>
    <row r="451" spans="1:6">
      <c r="A451" s="14"/>
      <c r="B451" s="39"/>
      <c r="C451" s="14"/>
      <c r="D451" s="40"/>
      <c r="E451" s="13"/>
      <c r="F451" s="13"/>
    </row>
    <row r="452" spans="1:6">
      <c r="A452" s="14"/>
      <c r="B452" s="39"/>
      <c r="C452" s="14"/>
      <c r="D452" s="40"/>
      <c r="E452" s="13"/>
      <c r="F452" s="13"/>
    </row>
    <row r="453" spans="1:6">
      <c r="A453" s="14"/>
      <c r="B453" s="39"/>
      <c r="C453" s="14"/>
      <c r="D453" s="40"/>
      <c r="E453" s="13"/>
      <c r="F453" s="13"/>
    </row>
    <row r="454" spans="1:6">
      <c r="A454" s="14"/>
      <c r="B454" s="39"/>
      <c r="C454" s="14"/>
      <c r="D454" s="40"/>
      <c r="E454" s="13"/>
      <c r="F454" s="13"/>
    </row>
    <row r="455" spans="1:6">
      <c r="A455" s="14"/>
      <c r="B455" s="39"/>
      <c r="C455" s="14"/>
      <c r="D455" s="40"/>
      <c r="E455" s="13"/>
      <c r="F455" s="13"/>
    </row>
    <row r="456" spans="1:6">
      <c r="A456" s="14"/>
      <c r="B456" s="39"/>
      <c r="C456" s="14"/>
      <c r="D456" s="40"/>
      <c r="E456" s="13"/>
      <c r="F456" s="13"/>
    </row>
    <row r="457" spans="1:6">
      <c r="A457" s="14"/>
      <c r="B457" s="39"/>
      <c r="C457" s="14"/>
      <c r="D457" s="40"/>
      <c r="E457" s="13"/>
      <c r="F457" s="13"/>
    </row>
    <row r="458" spans="1:6">
      <c r="A458" s="14"/>
      <c r="B458" s="39"/>
      <c r="C458" s="14"/>
      <c r="D458" s="40"/>
      <c r="E458" s="13"/>
      <c r="F458" s="13"/>
    </row>
    <row r="459" spans="1:6">
      <c r="A459" s="14"/>
      <c r="B459" s="39"/>
      <c r="C459" s="14"/>
      <c r="D459" s="40"/>
      <c r="E459" s="13"/>
      <c r="F459" s="13"/>
    </row>
    <row r="460" spans="1:6">
      <c r="A460" s="14"/>
      <c r="B460" s="39"/>
      <c r="C460" s="14"/>
      <c r="D460" s="40"/>
      <c r="E460" s="13"/>
      <c r="F460" s="13"/>
    </row>
    <row r="461" spans="1:6">
      <c r="A461" s="14"/>
      <c r="B461" s="39"/>
      <c r="C461" s="14"/>
      <c r="D461" s="40"/>
      <c r="E461" s="13"/>
      <c r="F461" s="13"/>
    </row>
    <row r="462" spans="1:6">
      <c r="A462" s="14"/>
      <c r="B462" s="39"/>
      <c r="C462" s="14"/>
      <c r="D462" s="40"/>
      <c r="E462" s="13"/>
      <c r="F462" s="13"/>
    </row>
    <row r="463" spans="1:6">
      <c r="A463" s="14"/>
      <c r="B463" s="39"/>
      <c r="C463" s="14"/>
      <c r="D463" s="40"/>
      <c r="E463" s="13"/>
      <c r="F463" s="13"/>
    </row>
    <row r="464" spans="1:6">
      <c r="A464" s="14"/>
      <c r="B464" s="39"/>
      <c r="C464" s="14"/>
      <c r="D464" s="40"/>
      <c r="E464" s="13"/>
      <c r="F464" s="13"/>
    </row>
    <row r="465" spans="1:6">
      <c r="A465" s="14"/>
      <c r="B465" s="39"/>
      <c r="C465" s="14"/>
      <c r="D465" s="40"/>
      <c r="E465" s="13"/>
      <c r="F465" s="13"/>
    </row>
    <row r="466" spans="1:6">
      <c r="A466" s="14"/>
      <c r="B466" s="39"/>
      <c r="C466" s="14"/>
      <c r="D466" s="40"/>
      <c r="E466" s="13"/>
      <c r="F466" s="13"/>
    </row>
    <row r="467" spans="1:6">
      <c r="A467" s="14"/>
      <c r="B467" s="39"/>
      <c r="C467" s="14"/>
      <c r="D467" s="40"/>
      <c r="E467" s="13"/>
      <c r="F467" s="13"/>
    </row>
    <row r="468" spans="1:6">
      <c r="A468" s="14"/>
      <c r="B468" s="39"/>
      <c r="C468" s="14"/>
      <c r="D468" s="40"/>
      <c r="E468" s="13"/>
      <c r="F468" s="13"/>
    </row>
    <row r="469" spans="1:6">
      <c r="A469" s="14"/>
      <c r="B469" s="39"/>
      <c r="C469" s="14"/>
      <c r="D469" s="40"/>
      <c r="E469" s="13"/>
      <c r="F469" s="13"/>
    </row>
    <row r="470" spans="1:6">
      <c r="A470" s="14"/>
      <c r="B470" s="39"/>
      <c r="C470" s="14"/>
      <c r="D470" s="40"/>
      <c r="E470" s="13"/>
      <c r="F470" s="13"/>
    </row>
    <row r="471" spans="1:6">
      <c r="A471" s="14"/>
      <c r="B471" s="39"/>
      <c r="C471" s="14"/>
      <c r="D471" s="40"/>
      <c r="E471" s="13"/>
      <c r="F471" s="13"/>
    </row>
    <row r="472" spans="1:6">
      <c r="A472" s="14"/>
      <c r="B472" s="39"/>
      <c r="C472" s="14"/>
      <c r="D472" s="40"/>
      <c r="E472" s="13"/>
      <c r="F472" s="13"/>
    </row>
    <row r="473" spans="1:6">
      <c r="A473" s="14"/>
      <c r="B473" s="39"/>
      <c r="C473" s="14"/>
      <c r="D473" s="40"/>
      <c r="E473" s="13"/>
      <c r="F473" s="13"/>
    </row>
    <row r="474" spans="1:6">
      <c r="A474" s="14"/>
      <c r="B474" s="39"/>
      <c r="C474" s="14"/>
      <c r="D474" s="40"/>
      <c r="E474" s="13"/>
      <c r="F474" s="13"/>
    </row>
    <row r="475" spans="1:6">
      <c r="A475" s="14"/>
      <c r="B475" s="39"/>
      <c r="C475" s="14"/>
      <c r="D475" s="40"/>
      <c r="E475" s="13"/>
      <c r="F475" s="13"/>
    </row>
    <row r="476" spans="1:6">
      <c r="A476" s="14"/>
      <c r="B476" s="39"/>
      <c r="C476" s="14"/>
      <c r="D476" s="40"/>
      <c r="E476" s="13"/>
      <c r="F476" s="13"/>
    </row>
    <row r="477" spans="1:6">
      <c r="A477" s="14"/>
      <c r="B477" s="39"/>
      <c r="C477" s="14"/>
      <c r="D477" s="40"/>
      <c r="E477" s="13"/>
      <c r="F477" s="13"/>
    </row>
    <row r="478" spans="1:6">
      <c r="A478" s="14"/>
      <c r="B478" s="39"/>
      <c r="C478" s="14"/>
      <c r="D478" s="40"/>
      <c r="E478" s="13"/>
      <c r="F478" s="13"/>
    </row>
    <row r="479" spans="1:6">
      <c r="A479" s="14"/>
      <c r="B479" s="39"/>
      <c r="C479" s="14"/>
      <c r="D479" s="40"/>
      <c r="E479" s="13"/>
      <c r="F479" s="13"/>
    </row>
    <row r="480" spans="1:6">
      <c r="A480" s="14"/>
      <c r="B480" s="39"/>
      <c r="C480" s="14"/>
      <c r="D480" s="40"/>
      <c r="E480" s="13"/>
      <c r="F480" s="13"/>
    </row>
    <row r="481" spans="1:6">
      <c r="A481" s="14"/>
      <c r="B481" s="39"/>
      <c r="C481" s="14"/>
      <c r="D481" s="40"/>
      <c r="E481" s="13"/>
      <c r="F481" s="13"/>
    </row>
    <row r="482" spans="1:6">
      <c r="A482" s="14"/>
      <c r="B482" s="39"/>
      <c r="C482" s="14"/>
      <c r="D482" s="40"/>
      <c r="E482" s="13"/>
      <c r="F482" s="13"/>
    </row>
    <row r="483" spans="1:6">
      <c r="A483" s="14"/>
      <c r="B483" s="39"/>
      <c r="C483" s="14"/>
      <c r="D483" s="40"/>
      <c r="E483" s="13"/>
      <c r="F483" s="13"/>
    </row>
    <row r="484" spans="1:6">
      <c r="A484" s="14"/>
      <c r="B484" s="39"/>
      <c r="C484" s="14"/>
      <c r="D484" s="40"/>
      <c r="E484" s="13"/>
      <c r="F484" s="13"/>
    </row>
    <row r="485" spans="1:6">
      <c r="A485" s="14"/>
      <c r="B485" s="39"/>
      <c r="C485" s="14"/>
      <c r="D485" s="40"/>
      <c r="E485" s="13"/>
      <c r="F485" s="13"/>
    </row>
    <row r="486" spans="1:6">
      <c r="A486" s="14"/>
      <c r="B486" s="39"/>
      <c r="C486" s="14"/>
      <c r="D486" s="40"/>
      <c r="E486" s="13"/>
      <c r="F486" s="13"/>
    </row>
    <row r="487" spans="1:6">
      <c r="A487" s="14"/>
      <c r="B487" s="39"/>
      <c r="C487" s="14"/>
      <c r="D487" s="40"/>
      <c r="E487" s="13"/>
      <c r="F487" s="13"/>
    </row>
    <row r="488" spans="1:6">
      <c r="A488" s="14"/>
      <c r="B488" s="39"/>
      <c r="C488" s="14"/>
      <c r="D488" s="40"/>
      <c r="E488" s="13"/>
      <c r="F488" s="13"/>
    </row>
    <row r="489" spans="1:6">
      <c r="A489" s="14"/>
      <c r="B489" s="39"/>
      <c r="C489" s="14"/>
      <c r="D489" s="40"/>
      <c r="E489" s="13"/>
      <c r="F489" s="13"/>
    </row>
    <row r="490" spans="1:6">
      <c r="A490" s="14"/>
      <c r="B490" s="39"/>
      <c r="C490" s="14"/>
      <c r="D490" s="40"/>
      <c r="E490" s="13"/>
      <c r="F490" s="13"/>
    </row>
    <row r="491" spans="1:6">
      <c r="A491" s="14"/>
      <c r="B491" s="39"/>
      <c r="C491" s="14"/>
      <c r="D491" s="40"/>
      <c r="E491" s="13"/>
      <c r="F491" s="13"/>
    </row>
    <row r="492" spans="1:6">
      <c r="A492" s="14"/>
      <c r="B492" s="39"/>
      <c r="C492" s="14"/>
      <c r="D492" s="40"/>
      <c r="E492" s="13"/>
      <c r="F492" s="13"/>
    </row>
    <row r="493" spans="1:6">
      <c r="A493" s="14"/>
      <c r="B493" s="39"/>
      <c r="C493" s="14"/>
      <c r="D493" s="40"/>
      <c r="E493" s="13"/>
      <c r="F493" s="13"/>
    </row>
    <row r="494" spans="1:6">
      <c r="A494" s="14"/>
      <c r="B494" s="39"/>
      <c r="C494" s="14"/>
      <c r="D494" s="40"/>
      <c r="E494" s="13"/>
      <c r="F494" s="13"/>
    </row>
    <row r="495" spans="1:6">
      <c r="A495" s="14"/>
      <c r="B495" s="39"/>
      <c r="C495" s="14"/>
      <c r="D495" s="40"/>
      <c r="E495" s="13"/>
      <c r="F495" s="13"/>
    </row>
    <row r="496" spans="1:6">
      <c r="A496" s="14"/>
      <c r="B496" s="39"/>
      <c r="C496" s="14"/>
      <c r="D496" s="40"/>
      <c r="E496" s="13"/>
      <c r="F496" s="13"/>
    </row>
    <row r="497" spans="1:6">
      <c r="A497" s="14"/>
      <c r="B497" s="39"/>
      <c r="C497" s="14"/>
      <c r="D497" s="40"/>
      <c r="E497" s="13"/>
      <c r="F497" s="13"/>
    </row>
    <row r="498" spans="1:6">
      <c r="A498" s="14"/>
      <c r="B498" s="39"/>
      <c r="C498" s="14"/>
      <c r="D498" s="40"/>
      <c r="E498" s="13"/>
      <c r="F498" s="13"/>
    </row>
    <row r="499" spans="1:6">
      <c r="A499" s="14"/>
      <c r="B499" s="39"/>
      <c r="C499" s="14"/>
      <c r="D499" s="40"/>
      <c r="E499" s="13"/>
      <c r="F499" s="13"/>
    </row>
    <row r="500" spans="1:6">
      <c r="A500" s="14"/>
      <c r="B500" s="39"/>
      <c r="C500" s="14"/>
      <c r="D500" s="40"/>
      <c r="E500" s="13"/>
      <c r="F500" s="13"/>
    </row>
    <row r="501" spans="1:6">
      <c r="A501" s="14"/>
      <c r="B501" s="39"/>
      <c r="C501" s="14"/>
      <c r="D501" s="40"/>
      <c r="E501" s="13"/>
      <c r="F501" s="13"/>
    </row>
    <row r="502" spans="1:6">
      <c r="A502" s="14"/>
      <c r="B502" s="39"/>
      <c r="C502" s="14"/>
      <c r="D502" s="40"/>
      <c r="E502" s="13"/>
      <c r="F502" s="13"/>
    </row>
    <row r="503" spans="1:6">
      <c r="A503" s="14"/>
      <c r="B503" s="39"/>
      <c r="C503" s="14"/>
      <c r="D503" s="40"/>
      <c r="E503" s="13"/>
      <c r="F503" s="13"/>
    </row>
    <row r="504" spans="1:6">
      <c r="A504" s="14"/>
      <c r="B504" s="39"/>
      <c r="C504" s="14"/>
      <c r="D504" s="40"/>
      <c r="E504" s="13"/>
      <c r="F504" s="13"/>
    </row>
    <row r="505" spans="1:6">
      <c r="A505" s="14"/>
      <c r="B505" s="39"/>
      <c r="C505" s="14"/>
      <c r="D505" s="40"/>
      <c r="E505" s="13"/>
      <c r="F505" s="13"/>
    </row>
    <row r="506" spans="1:6">
      <c r="A506" s="14"/>
      <c r="B506" s="39"/>
      <c r="C506" s="14"/>
      <c r="D506" s="40"/>
      <c r="E506" s="13"/>
      <c r="F506" s="13"/>
    </row>
    <row r="507" spans="1:6">
      <c r="A507" s="14"/>
      <c r="B507" s="39"/>
      <c r="C507" s="14"/>
      <c r="D507" s="40"/>
      <c r="E507" s="13"/>
      <c r="F507" s="13"/>
    </row>
    <row r="508" spans="1:6">
      <c r="A508" s="14"/>
      <c r="B508" s="39"/>
      <c r="C508" s="14"/>
      <c r="D508" s="40"/>
      <c r="E508" s="13"/>
      <c r="F508" s="13"/>
    </row>
    <row r="509" spans="1:6">
      <c r="A509" s="14"/>
      <c r="B509" s="39"/>
      <c r="C509" s="14"/>
      <c r="D509" s="40"/>
      <c r="E509" s="13"/>
      <c r="F509" s="13"/>
    </row>
    <row r="510" spans="1:6">
      <c r="A510" s="14"/>
      <c r="B510" s="39"/>
      <c r="C510" s="14"/>
      <c r="D510" s="40"/>
      <c r="E510" s="13"/>
      <c r="F510" s="13"/>
    </row>
    <row r="511" spans="1:6">
      <c r="A511" s="14"/>
      <c r="B511" s="39"/>
      <c r="C511" s="14"/>
      <c r="D511" s="40"/>
      <c r="E511" s="13"/>
      <c r="F511" s="13"/>
    </row>
    <row r="512" spans="1:6">
      <c r="A512" s="14"/>
      <c r="B512" s="39"/>
      <c r="C512" s="14"/>
      <c r="D512" s="40"/>
      <c r="E512" s="13"/>
      <c r="F512" s="13"/>
    </row>
    <row r="513" spans="1:6">
      <c r="A513" s="14"/>
      <c r="B513" s="39"/>
      <c r="C513" s="14"/>
      <c r="D513" s="40"/>
      <c r="E513" s="13"/>
      <c r="F513" s="13"/>
    </row>
    <row r="514" spans="1:6">
      <c r="A514" s="14"/>
      <c r="B514" s="39"/>
      <c r="C514" s="14"/>
      <c r="D514" s="40"/>
      <c r="E514" s="13"/>
      <c r="F514" s="13"/>
    </row>
    <row r="515" spans="1:6">
      <c r="A515" s="14"/>
      <c r="B515" s="39"/>
      <c r="C515" s="14"/>
      <c r="D515" s="40"/>
      <c r="E515" s="13"/>
      <c r="F515" s="13"/>
    </row>
    <row r="516" spans="1:6">
      <c r="A516" s="14"/>
      <c r="B516" s="39"/>
      <c r="C516" s="14"/>
      <c r="D516" s="40"/>
      <c r="E516" s="13"/>
      <c r="F516" s="13"/>
    </row>
    <row r="517" spans="1:6">
      <c r="A517" s="14"/>
      <c r="B517" s="39"/>
      <c r="C517" s="14"/>
      <c r="D517" s="40"/>
      <c r="E517" s="13"/>
      <c r="F517" s="13"/>
    </row>
    <row r="518" spans="1:6">
      <c r="A518" s="14"/>
      <c r="B518" s="39"/>
      <c r="C518" s="14"/>
      <c r="D518" s="40"/>
      <c r="E518" s="13"/>
      <c r="F518" s="13"/>
    </row>
    <row r="519" spans="1:6">
      <c r="A519" s="14"/>
      <c r="B519" s="39"/>
      <c r="C519" s="14"/>
      <c r="D519" s="40"/>
      <c r="E519" s="13"/>
      <c r="F519" s="13"/>
    </row>
    <row r="520" spans="1:6">
      <c r="A520" s="14"/>
      <c r="B520" s="39"/>
      <c r="C520" s="14"/>
      <c r="D520" s="40"/>
      <c r="E520" s="13"/>
      <c r="F520" s="13"/>
    </row>
    <row r="521" spans="1:6">
      <c r="A521" s="14"/>
      <c r="B521" s="39"/>
      <c r="C521" s="14"/>
      <c r="D521" s="40"/>
      <c r="E521" s="13"/>
      <c r="F521" s="13"/>
    </row>
    <row r="522" spans="1:6">
      <c r="A522" s="14"/>
      <c r="B522" s="39"/>
      <c r="C522" s="14"/>
      <c r="D522" s="40"/>
      <c r="E522" s="13"/>
      <c r="F522" s="13"/>
    </row>
    <row r="523" spans="1:6">
      <c r="A523" s="14"/>
      <c r="B523" s="39"/>
      <c r="C523" s="14"/>
      <c r="D523" s="40"/>
      <c r="E523" s="13"/>
      <c r="F523" s="13"/>
    </row>
    <row r="524" spans="1:6">
      <c r="A524" s="14"/>
      <c r="B524" s="39"/>
      <c r="C524" s="14"/>
      <c r="D524" s="40"/>
      <c r="E524" s="13"/>
      <c r="F524" s="13"/>
    </row>
    <row r="525" spans="1:6">
      <c r="A525" s="14"/>
      <c r="B525" s="39"/>
      <c r="C525" s="14"/>
      <c r="D525" s="40"/>
      <c r="E525" s="13"/>
      <c r="F525" s="13"/>
    </row>
    <row r="526" spans="1:6">
      <c r="A526" s="14"/>
      <c r="B526" s="39"/>
      <c r="C526" s="14"/>
      <c r="D526" s="40"/>
      <c r="E526" s="13"/>
      <c r="F526" s="13"/>
    </row>
    <row r="527" spans="1:6">
      <c r="A527" s="14"/>
      <c r="B527" s="39"/>
      <c r="C527" s="14"/>
      <c r="D527" s="40"/>
      <c r="E527" s="13"/>
      <c r="F527" s="13"/>
    </row>
    <row r="528" spans="1:6">
      <c r="A528" s="14"/>
      <c r="B528" s="39"/>
      <c r="C528" s="14"/>
      <c r="D528" s="40"/>
      <c r="E528" s="13"/>
      <c r="F528" s="13"/>
    </row>
    <row r="529" spans="1:6">
      <c r="A529" s="14"/>
      <c r="B529" s="39"/>
      <c r="C529" s="14"/>
      <c r="D529" s="40"/>
      <c r="E529" s="13"/>
      <c r="F529" s="13"/>
    </row>
    <row r="530" spans="1:6">
      <c r="A530" s="14"/>
      <c r="B530" s="39"/>
      <c r="C530" s="14"/>
      <c r="D530" s="40"/>
      <c r="E530" s="13"/>
      <c r="F530" s="13"/>
    </row>
    <row r="531" spans="1:6">
      <c r="A531" s="14"/>
      <c r="B531" s="39"/>
      <c r="C531" s="14"/>
      <c r="D531" s="40"/>
      <c r="E531" s="13"/>
      <c r="F531" s="13"/>
    </row>
    <row r="532" spans="1:6">
      <c r="A532" s="14"/>
      <c r="B532" s="39"/>
      <c r="C532" s="14"/>
      <c r="D532" s="40"/>
      <c r="E532" s="13"/>
      <c r="F532" s="13"/>
    </row>
    <row r="533" spans="1:6">
      <c r="A533" s="14"/>
      <c r="B533" s="39"/>
      <c r="C533" s="14"/>
      <c r="D533" s="40"/>
      <c r="E533" s="13"/>
      <c r="F533" s="13"/>
    </row>
    <row r="534" spans="1:6">
      <c r="A534" s="14"/>
      <c r="B534" s="39"/>
      <c r="C534" s="14"/>
      <c r="D534" s="40"/>
      <c r="E534" s="13"/>
      <c r="F534" s="13"/>
    </row>
    <row r="535" spans="1:6">
      <c r="A535" s="14"/>
      <c r="B535" s="39"/>
      <c r="C535" s="14"/>
      <c r="D535" s="40"/>
      <c r="E535" s="13"/>
      <c r="F535" s="13"/>
    </row>
    <row r="536" spans="1:6">
      <c r="A536" s="14"/>
      <c r="B536" s="39"/>
      <c r="C536" s="14"/>
      <c r="D536" s="40"/>
      <c r="E536" s="13"/>
      <c r="F536" s="13"/>
    </row>
    <row r="537" spans="1:6">
      <c r="A537" s="14"/>
      <c r="B537" s="39"/>
      <c r="C537" s="14"/>
      <c r="D537" s="40"/>
      <c r="E537" s="13"/>
      <c r="F537" s="13"/>
    </row>
    <row r="538" spans="1:6">
      <c r="A538" s="14"/>
      <c r="B538" s="39"/>
      <c r="C538" s="14"/>
      <c r="D538" s="40"/>
      <c r="E538" s="13"/>
      <c r="F538" s="13"/>
    </row>
    <row r="539" spans="1:6">
      <c r="A539" s="14"/>
      <c r="B539" s="39"/>
      <c r="C539" s="14"/>
      <c r="D539" s="40"/>
      <c r="E539" s="13"/>
      <c r="F539" s="13"/>
    </row>
    <row r="540" spans="1:6">
      <c r="A540" s="14"/>
      <c r="B540" s="39"/>
      <c r="C540" s="14"/>
      <c r="D540" s="40"/>
      <c r="E540" s="13"/>
      <c r="F540" s="13"/>
    </row>
    <row r="541" spans="1:6">
      <c r="A541" s="14"/>
      <c r="B541" s="39"/>
      <c r="C541" s="14"/>
      <c r="D541" s="40"/>
      <c r="E541" s="13"/>
      <c r="F541" s="13"/>
    </row>
    <row r="542" spans="1:6">
      <c r="A542" s="14"/>
      <c r="B542" s="39"/>
      <c r="C542" s="14"/>
      <c r="D542" s="40"/>
      <c r="E542" s="13"/>
      <c r="F542" s="13"/>
    </row>
    <row r="543" spans="1:6">
      <c r="A543" s="14"/>
      <c r="B543" s="39"/>
      <c r="C543" s="14"/>
      <c r="D543" s="40"/>
      <c r="E543" s="13"/>
      <c r="F543" s="13"/>
    </row>
    <row r="544" spans="1:6">
      <c r="A544" s="14"/>
      <c r="B544" s="39"/>
      <c r="C544" s="14"/>
      <c r="D544" s="40"/>
      <c r="E544" s="13"/>
      <c r="F544" s="13"/>
    </row>
    <row r="545" spans="1:6">
      <c r="A545" s="14"/>
      <c r="B545" s="39"/>
      <c r="C545" s="14"/>
      <c r="D545" s="40"/>
      <c r="E545" s="13"/>
      <c r="F545" s="13"/>
    </row>
    <row r="546" spans="1:6">
      <c r="A546" s="14"/>
      <c r="B546" s="39"/>
      <c r="C546" s="14"/>
      <c r="D546" s="40"/>
      <c r="E546" s="13"/>
      <c r="F546" s="13"/>
    </row>
    <row r="547" spans="1:6">
      <c r="A547" s="14"/>
      <c r="B547" s="39"/>
      <c r="C547" s="14"/>
      <c r="D547" s="40"/>
      <c r="E547" s="13"/>
      <c r="F547" s="13"/>
    </row>
    <row r="548" spans="1:6">
      <c r="A548" s="14"/>
      <c r="B548" s="39"/>
      <c r="C548" s="14"/>
      <c r="D548" s="40"/>
      <c r="E548" s="13"/>
      <c r="F548" s="13"/>
    </row>
    <row r="549" spans="1:6">
      <c r="A549" s="14"/>
      <c r="B549" s="39"/>
      <c r="C549" s="14"/>
      <c r="D549" s="40"/>
      <c r="E549" s="13"/>
      <c r="F549" s="13"/>
    </row>
    <row r="550" spans="1:6">
      <c r="A550" s="14"/>
      <c r="B550" s="39"/>
      <c r="C550" s="14"/>
      <c r="D550" s="40"/>
      <c r="E550" s="13"/>
      <c r="F550" s="13"/>
    </row>
    <row r="551" spans="1:6">
      <c r="A551" s="14"/>
      <c r="B551" s="39"/>
      <c r="C551" s="14"/>
      <c r="D551" s="40"/>
      <c r="E551" s="13"/>
      <c r="F551" s="13"/>
    </row>
    <row r="552" spans="1:6">
      <c r="A552" s="14"/>
      <c r="B552" s="39"/>
      <c r="C552" s="14"/>
      <c r="D552" s="40"/>
      <c r="E552" s="13"/>
      <c r="F552" s="13"/>
    </row>
    <row r="553" spans="1:6">
      <c r="A553" s="14"/>
      <c r="B553" s="39"/>
      <c r="C553" s="14"/>
      <c r="D553" s="40"/>
      <c r="E553" s="13"/>
      <c r="F553" s="13"/>
    </row>
    <row r="554" spans="1:6">
      <c r="A554" s="14"/>
      <c r="B554" s="39"/>
      <c r="C554" s="14"/>
      <c r="D554" s="40"/>
      <c r="E554" s="13"/>
      <c r="F554" s="13"/>
    </row>
    <row r="555" spans="1:6">
      <c r="A555" s="14"/>
      <c r="B555" s="39"/>
      <c r="C555" s="14"/>
      <c r="D555" s="40"/>
      <c r="E555" s="13"/>
      <c r="F555" s="13"/>
    </row>
    <row r="556" spans="1:6">
      <c r="A556" s="14"/>
      <c r="B556" s="39"/>
      <c r="C556" s="14"/>
      <c r="D556" s="40"/>
      <c r="E556" s="13"/>
      <c r="F556" s="13"/>
    </row>
    <row r="557" spans="1:6">
      <c r="A557" s="14"/>
      <c r="B557" s="39"/>
      <c r="C557" s="14"/>
      <c r="D557" s="40"/>
      <c r="E557" s="13"/>
      <c r="F557" s="13"/>
    </row>
    <row r="558" spans="1:6">
      <c r="A558" s="14"/>
      <c r="B558" s="39"/>
      <c r="C558" s="14"/>
      <c r="D558" s="40"/>
      <c r="E558" s="13"/>
      <c r="F558" s="13"/>
    </row>
    <row r="559" spans="1:6">
      <c r="A559" s="14"/>
      <c r="B559" s="39"/>
      <c r="C559" s="14"/>
      <c r="D559" s="40"/>
      <c r="E559" s="13"/>
      <c r="F559" s="13"/>
    </row>
    <row r="560" spans="1:6">
      <c r="A560" s="14"/>
      <c r="B560" s="39"/>
      <c r="C560" s="14"/>
      <c r="D560" s="40"/>
      <c r="E560" s="13"/>
      <c r="F560" s="13"/>
    </row>
    <row r="561" spans="1:6">
      <c r="A561" s="14"/>
      <c r="B561" s="39"/>
      <c r="C561" s="14"/>
      <c r="D561" s="40"/>
      <c r="E561" s="13"/>
      <c r="F561" s="13"/>
    </row>
    <row r="562" spans="1:6">
      <c r="A562" s="14"/>
      <c r="B562" s="39"/>
      <c r="C562" s="14"/>
      <c r="D562" s="40"/>
      <c r="E562" s="13"/>
      <c r="F562" s="13"/>
    </row>
    <row r="563" spans="1:6">
      <c r="A563" s="14"/>
      <c r="B563" s="39"/>
      <c r="C563" s="14"/>
      <c r="D563" s="40"/>
      <c r="E563" s="13"/>
      <c r="F563" s="13"/>
    </row>
    <row r="564" spans="1:6">
      <c r="A564" s="14"/>
      <c r="B564" s="39"/>
      <c r="C564" s="14"/>
      <c r="D564" s="40"/>
      <c r="E564" s="13"/>
      <c r="F564" s="13"/>
    </row>
    <row r="565" spans="1:6">
      <c r="A565" s="14"/>
      <c r="B565" s="39"/>
      <c r="C565" s="14"/>
      <c r="D565" s="40"/>
      <c r="E565" s="13"/>
      <c r="F565" s="13"/>
    </row>
    <row r="566" spans="1:6">
      <c r="A566" s="14"/>
      <c r="B566" s="39"/>
      <c r="C566" s="14"/>
      <c r="D566" s="40"/>
      <c r="E566" s="13"/>
      <c r="F566" s="13"/>
    </row>
    <row r="567" spans="1:6">
      <c r="A567" s="14"/>
      <c r="B567" s="39"/>
      <c r="C567" s="14"/>
      <c r="D567" s="40"/>
      <c r="E567" s="13"/>
      <c r="F567" s="13"/>
    </row>
    <row r="568" spans="1:6">
      <c r="A568" s="14"/>
      <c r="B568" s="39"/>
      <c r="C568" s="14"/>
      <c r="D568" s="40"/>
      <c r="E568" s="13"/>
      <c r="F568" s="13"/>
    </row>
    <row r="569" spans="1:6">
      <c r="A569" s="14"/>
      <c r="B569" s="39"/>
      <c r="C569" s="14"/>
      <c r="D569" s="40"/>
      <c r="E569" s="13"/>
      <c r="F569" s="13"/>
    </row>
    <row r="570" spans="1:6">
      <c r="A570" s="14"/>
      <c r="B570" s="39"/>
      <c r="C570" s="14"/>
      <c r="D570" s="40"/>
      <c r="E570" s="13"/>
      <c r="F570" s="13"/>
    </row>
    <row r="571" spans="1:6">
      <c r="A571" s="14"/>
      <c r="B571" s="39"/>
      <c r="C571" s="14"/>
      <c r="D571" s="40"/>
      <c r="E571" s="13"/>
      <c r="F571" s="13"/>
    </row>
    <row r="572" spans="1:6">
      <c r="A572" s="14"/>
      <c r="B572" s="39"/>
      <c r="C572" s="14"/>
      <c r="D572" s="40"/>
      <c r="E572" s="13"/>
      <c r="F572" s="13"/>
    </row>
    <row r="573" spans="1:6">
      <c r="A573" s="14"/>
      <c r="B573" s="39"/>
      <c r="C573" s="14"/>
      <c r="D573" s="40"/>
      <c r="E573" s="13"/>
      <c r="F573" s="13"/>
    </row>
    <row r="574" spans="1:6">
      <c r="A574" s="14"/>
      <c r="B574" s="39"/>
      <c r="C574" s="14"/>
      <c r="D574" s="40"/>
      <c r="E574" s="13"/>
      <c r="F574" s="13"/>
    </row>
    <row r="575" spans="1:6">
      <c r="A575" s="14"/>
      <c r="B575" s="39"/>
      <c r="C575" s="14"/>
      <c r="D575" s="40"/>
      <c r="E575" s="13"/>
      <c r="F575" s="13"/>
    </row>
    <row r="576" spans="1:6">
      <c r="A576" s="14"/>
      <c r="B576" s="39"/>
      <c r="C576" s="14"/>
      <c r="D576" s="40"/>
      <c r="E576" s="13"/>
      <c r="F576" s="13"/>
    </row>
    <row r="577" spans="1:6">
      <c r="A577" s="14"/>
      <c r="B577" s="39"/>
      <c r="C577" s="14"/>
      <c r="D577" s="40"/>
      <c r="E577" s="13"/>
      <c r="F577" s="13"/>
    </row>
    <row r="578" spans="1:6">
      <c r="A578" s="14"/>
      <c r="B578" s="39"/>
      <c r="C578" s="14"/>
      <c r="D578" s="40"/>
      <c r="E578" s="13"/>
      <c r="F578" s="13"/>
    </row>
    <row r="579" spans="1:6">
      <c r="A579" s="14"/>
      <c r="B579" s="39"/>
      <c r="C579" s="14"/>
      <c r="D579" s="40"/>
      <c r="E579" s="13"/>
      <c r="F579" s="13"/>
    </row>
    <row r="580" spans="1:6">
      <c r="A580" s="14"/>
      <c r="B580" s="39"/>
      <c r="C580" s="14"/>
      <c r="D580" s="40"/>
      <c r="E580" s="13"/>
      <c r="F580" s="13"/>
    </row>
    <row r="581" spans="1:6">
      <c r="A581" s="14"/>
      <c r="B581" s="39"/>
      <c r="C581" s="14"/>
      <c r="D581" s="40"/>
      <c r="E581" s="13"/>
      <c r="F581" s="13"/>
    </row>
    <row r="582" spans="1:6">
      <c r="A582" s="14"/>
      <c r="B582" s="39"/>
      <c r="C582" s="14"/>
      <c r="D582" s="40"/>
      <c r="E582" s="13"/>
      <c r="F582" s="13"/>
    </row>
    <row r="583" spans="1:6">
      <c r="A583" s="14"/>
      <c r="B583" s="39"/>
      <c r="C583" s="14"/>
      <c r="D583" s="40"/>
      <c r="E583" s="13"/>
      <c r="F583" s="13"/>
    </row>
    <row r="584" spans="1:6">
      <c r="A584" s="14"/>
      <c r="B584" s="39"/>
      <c r="C584" s="14"/>
      <c r="D584" s="40"/>
      <c r="E584" s="13"/>
      <c r="F584" s="13"/>
    </row>
    <row r="585" spans="1:6">
      <c r="A585" s="14"/>
      <c r="B585" s="39"/>
      <c r="C585" s="14"/>
      <c r="D585" s="40"/>
      <c r="E585" s="13"/>
      <c r="F585" s="13"/>
    </row>
    <row r="586" spans="1:6">
      <c r="A586" s="14"/>
      <c r="B586" s="39"/>
      <c r="C586" s="14"/>
      <c r="D586" s="40"/>
      <c r="E586" s="13"/>
      <c r="F586" s="13"/>
    </row>
    <row r="587" spans="1:6">
      <c r="A587" s="14"/>
      <c r="B587" s="39"/>
      <c r="C587" s="14"/>
      <c r="D587" s="40"/>
      <c r="E587" s="13"/>
      <c r="F587" s="13"/>
    </row>
    <row r="588" spans="1:6">
      <c r="A588" s="14"/>
      <c r="B588" s="39"/>
      <c r="C588" s="14"/>
      <c r="D588" s="40"/>
      <c r="E588" s="13"/>
      <c r="F588" s="13"/>
    </row>
    <row r="589" spans="1:6">
      <c r="A589" s="14"/>
      <c r="B589" s="39"/>
      <c r="C589" s="14"/>
      <c r="D589" s="40"/>
      <c r="E589" s="13"/>
      <c r="F589" s="13"/>
    </row>
    <row r="590" spans="1:6">
      <c r="A590" s="14"/>
      <c r="B590" s="39"/>
      <c r="C590" s="14"/>
      <c r="D590" s="40"/>
      <c r="E590" s="13"/>
      <c r="F590" s="13"/>
    </row>
    <row r="591" spans="1:6">
      <c r="A591" s="14"/>
      <c r="B591" s="39"/>
      <c r="C591" s="14"/>
      <c r="D591" s="40"/>
      <c r="E591" s="13"/>
      <c r="F591" s="13"/>
    </row>
    <row r="592" spans="1:6">
      <c r="A592" s="14"/>
      <c r="B592" s="39"/>
      <c r="C592" s="14"/>
      <c r="D592" s="40"/>
      <c r="E592" s="13"/>
      <c r="F592" s="13"/>
    </row>
    <row r="593" spans="1:6">
      <c r="A593" s="14"/>
      <c r="B593" s="39"/>
      <c r="C593" s="14"/>
      <c r="D593" s="40"/>
      <c r="E593" s="13"/>
      <c r="F593" s="13"/>
    </row>
    <row r="594" spans="1:6">
      <c r="A594" s="14"/>
      <c r="B594" s="39"/>
      <c r="C594" s="14"/>
      <c r="D594" s="40"/>
      <c r="E594" s="13"/>
      <c r="F594" s="13"/>
    </row>
    <row r="595" spans="1:6">
      <c r="A595" s="14"/>
      <c r="B595" s="39"/>
      <c r="C595" s="14"/>
      <c r="D595" s="40"/>
      <c r="E595" s="13"/>
      <c r="F595" s="13"/>
    </row>
    <row r="596" spans="1:6">
      <c r="A596" s="14"/>
      <c r="B596" s="39"/>
      <c r="C596" s="14"/>
      <c r="D596" s="40"/>
      <c r="E596" s="13"/>
      <c r="F596" s="13"/>
    </row>
    <row r="597" spans="1:6">
      <c r="A597" s="14"/>
      <c r="B597" s="39"/>
      <c r="C597" s="14"/>
      <c r="D597" s="40"/>
      <c r="E597" s="13"/>
      <c r="F597" s="13"/>
    </row>
    <row r="598" spans="1:6">
      <c r="A598" s="14"/>
      <c r="B598" s="39"/>
      <c r="C598" s="14"/>
      <c r="D598" s="40"/>
      <c r="E598" s="13"/>
      <c r="F598" s="13"/>
    </row>
    <row r="599" spans="1:6">
      <c r="A599" s="14"/>
      <c r="B599" s="39"/>
      <c r="C599" s="14"/>
      <c r="D599" s="40"/>
      <c r="E599" s="13"/>
      <c r="F599" s="13"/>
    </row>
    <row r="600" spans="1:6">
      <c r="A600" s="14"/>
      <c r="B600" s="39"/>
      <c r="C600" s="14"/>
      <c r="D600" s="40"/>
      <c r="E600" s="13"/>
      <c r="F600" s="13"/>
    </row>
    <row r="601" spans="1:6">
      <c r="A601" s="14"/>
      <c r="B601" s="39"/>
      <c r="C601" s="14"/>
      <c r="D601" s="40"/>
      <c r="E601" s="13"/>
      <c r="F601" s="13"/>
    </row>
    <row r="602" spans="1:6">
      <c r="A602" s="14"/>
      <c r="B602" s="39"/>
      <c r="C602" s="14"/>
      <c r="D602" s="40"/>
      <c r="E602" s="13"/>
      <c r="F602" s="13"/>
    </row>
    <row r="603" spans="1:6">
      <c r="A603" s="14"/>
      <c r="B603" s="39"/>
      <c r="C603" s="14"/>
      <c r="D603" s="40"/>
      <c r="E603" s="13"/>
      <c r="F603" s="13"/>
    </row>
    <row r="604" spans="1:6">
      <c r="A604" s="14"/>
      <c r="B604" s="39"/>
      <c r="C604" s="14"/>
      <c r="D604" s="40"/>
      <c r="E604" s="13"/>
      <c r="F604" s="13"/>
    </row>
    <row r="605" spans="1:6">
      <c r="A605" s="14"/>
      <c r="B605" s="39"/>
      <c r="C605" s="14"/>
      <c r="D605" s="40"/>
      <c r="E605" s="13"/>
      <c r="F605" s="13"/>
    </row>
    <row r="606" spans="1:6">
      <c r="A606" s="14"/>
      <c r="B606" s="39"/>
      <c r="C606" s="14"/>
      <c r="D606" s="40"/>
      <c r="E606" s="13"/>
      <c r="F606" s="13"/>
    </row>
    <row r="607" spans="1:6">
      <c r="A607" s="14"/>
      <c r="B607" s="39"/>
      <c r="C607" s="14"/>
      <c r="D607" s="40"/>
      <c r="E607" s="13"/>
      <c r="F607" s="13"/>
    </row>
    <row r="608" spans="1:6">
      <c r="A608" s="14"/>
      <c r="B608" s="39"/>
      <c r="C608" s="14"/>
      <c r="D608" s="40"/>
      <c r="E608" s="13"/>
      <c r="F608" s="13"/>
    </row>
    <row r="609" spans="1:6">
      <c r="A609" s="14"/>
      <c r="B609" s="39"/>
      <c r="C609" s="14"/>
      <c r="D609" s="40"/>
      <c r="E609" s="13"/>
      <c r="F609" s="13"/>
    </row>
    <row r="610" spans="1:6">
      <c r="A610" s="14"/>
      <c r="B610" s="39"/>
      <c r="C610" s="14"/>
      <c r="D610" s="40"/>
      <c r="E610" s="13"/>
      <c r="F610" s="13"/>
    </row>
    <row r="611" spans="1:6">
      <c r="A611" s="14"/>
      <c r="B611" s="39"/>
      <c r="C611" s="14"/>
      <c r="D611" s="40"/>
      <c r="E611" s="13"/>
      <c r="F611" s="13"/>
    </row>
    <row r="612" spans="1:6">
      <c r="A612" s="14"/>
      <c r="B612" s="39"/>
      <c r="C612" s="14"/>
      <c r="D612" s="40"/>
      <c r="E612" s="13"/>
      <c r="F612" s="13"/>
    </row>
    <row r="613" spans="1:6">
      <c r="A613" s="14"/>
      <c r="B613" s="39"/>
      <c r="C613" s="14"/>
      <c r="D613" s="40"/>
      <c r="E613" s="13"/>
      <c r="F613" s="13"/>
    </row>
    <row r="614" spans="1:6">
      <c r="A614" s="14"/>
      <c r="B614" s="39"/>
      <c r="C614" s="14"/>
      <c r="D614" s="40"/>
      <c r="E614" s="13"/>
      <c r="F614" s="13"/>
    </row>
    <row r="615" spans="1:6">
      <c r="A615" s="14"/>
      <c r="B615" s="39"/>
      <c r="C615" s="14"/>
      <c r="D615" s="40"/>
      <c r="E615" s="13"/>
      <c r="F615" s="13"/>
    </row>
    <row r="616" spans="1:6">
      <c r="A616" s="14"/>
      <c r="B616" s="39"/>
      <c r="C616" s="14"/>
      <c r="D616" s="40"/>
      <c r="E616" s="13"/>
      <c r="F616" s="13"/>
    </row>
    <row r="617" spans="1:6">
      <c r="A617" s="14"/>
      <c r="B617" s="39"/>
      <c r="C617" s="14"/>
      <c r="D617" s="40"/>
      <c r="E617" s="13"/>
      <c r="F617" s="13"/>
    </row>
    <row r="618" spans="1:6">
      <c r="A618" s="14"/>
      <c r="B618" s="39"/>
      <c r="C618" s="14"/>
      <c r="D618" s="40"/>
      <c r="E618" s="13"/>
      <c r="F618" s="13"/>
    </row>
    <row r="619" spans="1:6">
      <c r="A619" s="14"/>
      <c r="B619" s="39"/>
      <c r="C619" s="14"/>
      <c r="D619" s="40"/>
      <c r="E619" s="13"/>
      <c r="F619" s="13"/>
    </row>
    <row r="620" spans="1:6">
      <c r="A620" s="14"/>
      <c r="B620" s="39"/>
      <c r="C620" s="14"/>
      <c r="D620" s="40"/>
      <c r="E620" s="13"/>
      <c r="F620" s="13"/>
    </row>
    <row r="621" spans="1:6">
      <c r="A621" s="14"/>
      <c r="B621" s="39"/>
      <c r="C621" s="14"/>
      <c r="D621" s="40"/>
      <c r="E621" s="13"/>
      <c r="F621" s="13"/>
    </row>
    <row r="622" spans="1:6">
      <c r="A622" s="14"/>
      <c r="B622" s="39"/>
      <c r="C622" s="14"/>
      <c r="D622" s="40"/>
      <c r="E622" s="13"/>
      <c r="F622" s="13"/>
    </row>
    <row r="623" spans="1:6">
      <c r="A623" s="14"/>
      <c r="B623" s="39"/>
      <c r="C623" s="14"/>
      <c r="D623" s="40"/>
      <c r="E623" s="13"/>
      <c r="F623" s="13"/>
    </row>
    <row r="624" spans="1:6">
      <c r="A624" s="14"/>
      <c r="B624" s="39"/>
      <c r="C624" s="14"/>
      <c r="D624" s="40"/>
      <c r="E624" s="13"/>
      <c r="F624" s="13"/>
    </row>
    <row r="625" spans="1:6">
      <c r="A625" s="14"/>
      <c r="B625" s="39"/>
      <c r="C625" s="14"/>
      <c r="D625" s="40"/>
      <c r="E625" s="13"/>
      <c r="F625" s="13"/>
    </row>
    <row r="626" spans="1:6">
      <c r="A626" s="14"/>
      <c r="B626" s="39"/>
      <c r="C626" s="14"/>
      <c r="D626" s="40"/>
      <c r="E626" s="13"/>
      <c r="F626" s="13"/>
    </row>
    <row r="627" spans="1:6">
      <c r="A627" s="14"/>
      <c r="B627" s="39"/>
      <c r="C627" s="14"/>
      <c r="D627" s="40"/>
      <c r="E627" s="13"/>
      <c r="F627" s="13"/>
    </row>
    <row r="628" spans="1:6">
      <c r="A628" s="14"/>
      <c r="B628" s="39"/>
      <c r="C628" s="14"/>
      <c r="D628" s="40"/>
      <c r="E628" s="13"/>
      <c r="F628" s="13"/>
    </row>
    <row r="629" spans="1:6">
      <c r="A629" s="14"/>
      <c r="B629" s="39"/>
      <c r="C629" s="14"/>
      <c r="D629" s="40"/>
      <c r="E629" s="13"/>
      <c r="F629" s="13"/>
    </row>
    <row r="630" spans="1:6">
      <c r="A630" s="14"/>
      <c r="B630" s="39"/>
      <c r="C630" s="14"/>
      <c r="D630" s="40"/>
      <c r="E630" s="13"/>
      <c r="F630" s="13"/>
    </row>
  </sheetData>
  <autoFilter ref="A1:F126" xr:uid="{00000000-0009-0000-0000-000008000000}"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2024-06-05T23:22:17Z</dcterms:created>
  <dcterms:modified xsi:type="dcterms:W3CDTF">2024-06-25T03:02:22Z</dcterms:modified>
  <cp:category/>
  <cp:contentStatus/>
</cp:coreProperties>
</file>