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8acf183941ecc6ad/Área de Trabalho/"/>
    </mc:Choice>
  </mc:AlternateContent>
  <xr:revisionPtr revIDLastSave="82" documentId="14_{FE554257-1830-4877-8301-3832D07FF91E}" xr6:coauthVersionLast="47" xr6:coauthVersionMax="47" xr10:uidLastSave="{B94350D4-E22F-4BE3-A3A4-1204695F104D}"/>
  <bookViews>
    <workbookView xWindow="-108" yWindow="-108" windowWidth="23256" windowHeight="12456" xr2:uid="{00000000-000D-0000-FFFF-FFFF00000000}"/>
  </bookViews>
  <sheets>
    <sheet name="12Projetos de recuperação 50ha" sheetId="4" r:id="rId1"/>
    <sheet name="12Projetos de recuperação 100ha" sheetId="5" r:id="rId2"/>
    <sheet name="12Projetos de recuperação 200ha" sheetId="6" r:id="rId3"/>
    <sheet name="34Projetos de restauração 50 ha" sheetId="7" r:id="rId4"/>
    <sheet name="34Projetos de restauração 100ha" sheetId="8" r:id="rId5"/>
    <sheet name="34Projetos de restauração 200ha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q+QdkQX1V4lB/MWfUMDeP5Zwk6YYEVvi6NIJd159H5U="/>
    </ext>
  </extLst>
</workbook>
</file>

<file path=xl/calcChain.xml><?xml version="1.0" encoding="utf-8"?>
<calcChain xmlns="http://schemas.openxmlformats.org/spreadsheetml/2006/main">
  <c r="D89" i="4" l="1"/>
  <c r="H37" i="4"/>
  <c r="G472" i="9"/>
  <c r="F472" i="9"/>
  <c r="E472" i="9"/>
  <c r="H472" i="9" s="1"/>
  <c r="F446" i="9"/>
  <c r="G391" i="9"/>
  <c r="F391" i="9"/>
  <c r="E391" i="9"/>
  <c r="H391" i="9" s="1"/>
  <c r="G390" i="9"/>
  <c r="F390" i="9"/>
  <c r="E390" i="9"/>
  <c r="H390" i="9" s="1"/>
  <c r="G331" i="9"/>
  <c r="F331" i="9"/>
  <c r="E331" i="9"/>
  <c r="H331" i="9" s="1"/>
  <c r="G330" i="9"/>
  <c r="F330" i="9"/>
  <c r="E330" i="9"/>
  <c r="H330" i="9" s="1"/>
  <c r="G329" i="9"/>
  <c r="F329" i="9"/>
  <c r="E329" i="9"/>
  <c r="H329" i="9" s="1"/>
  <c r="G287" i="9"/>
  <c r="F287" i="9"/>
  <c r="E287" i="9"/>
  <c r="H287" i="9" s="1"/>
  <c r="G286" i="9"/>
  <c r="F286" i="9"/>
  <c r="E286" i="9"/>
  <c r="H286" i="9" s="1"/>
  <c r="F250" i="9"/>
  <c r="H210" i="9"/>
  <c r="H202" i="9"/>
  <c r="G186" i="9"/>
  <c r="F186" i="9"/>
  <c r="E186" i="9"/>
  <c r="H186" i="9" s="1"/>
  <c r="G185" i="9"/>
  <c r="F185" i="9"/>
  <c r="E185" i="9"/>
  <c r="H185" i="9" s="1"/>
  <c r="G184" i="9"/>
  <c r="F184" i="9"/>
  <c r="E184" i="9"/>
  <c r="H184" i="9" s="1"/>
  <c r="G183" i="9"/>
  <c r="F183" i="9"/>
  <c r="E183" i="9"/>
  <c r="H183" i="9" s="1"/>
  <c r="G104" i="9"/>
  <c r="F104" i="9"/>
  <c r="E104" i="9"/>
  <c r="H104" i="9" s="1"/>
  <c r="G103" i="9"/>
  <c r="F103" i="9"/>
  <c r="E103" i="9"/>
  <c r="H103" i="9" s="1"/>
  <c r="G69" i="9"/>
  <c r="F69" i="9"/>
  <c r="E69" i="9"/>
  <c r="H69" i="9" s="1"/>
  <c r="G15" i="9"/>
  <c r="F15" i="9"/>
  <c r="E15" i="9"/>
  <c r="H15" i="9" s="1"/>
  <c r="G14" i="9"/>
  <c r="F14" i="9"/>
  <c r="E14" i="9"/>
  <c r="H14" i="9" s="1"/>
  <c r="H26" i="9"/>
  <c r="H482" i="8"/>
  <c r="G472" i="8"/>
  <c r="F472" i="8"/>
  <c r="E472" i="8"/>
  <c r="F446" i="8"/>
  <c r="G391" i="8"/>
  <c r="F391" i="8"/>
  <c r="E391" i="8"/>
  <c r="H391" i="8" s="1"/>
  <c r="G390" i="8"/>
  <c r="F390" i="8"/>
  <c r="E390" i="8"/>
  <c r="H390" i="8" s="1"/>
  <c r="H356" i="8"/>
  <c r="H355" i="8"/>
  <c r="H354" i="8"/>
  <c r="G331" i="8"/>
  <c r="F331" i="8"/>
  <c r="E331" i="8"/>
  <c r="H331" i="8" s="1"/>
  <c r="G330" i="8"/>
  <c r="F330" i="8"/>
  <c r="E330" i="8"/>
  <c r="H330" i="8" s="1"/>
  <c r="F329" i="8"/>
  <c r="D300" i="8"/>
  <c r="H300" i="8" s="1"/>
  <c r="G287" i="8"/>
  <c r="F287" i="8"/>
  <c r="E287" i="8"/>
  <c r="H287" i="8" s="1"/>
  <c r="G286" i="8"/>
  <c r="F286" i="8"/>
  <c r="E286" i="8"/>
  <c r="H286" i="8" s="1"/>
  <c r="F250" i="8"/>
  <c r="H210" i="8"/>
  <c r="H201" i="8"/>
  <c r="G185" i="8"/>
  <c r="F185" i="8"/>
  <c r="E185" i="8"/>
  <c r="G184" i="8"/>
  <c r="F184" i="8"/>
  <c r="E184" i="8"/>
  <c r="H184" i="8" s="1"/>
  <c r="G183" i="8"/>
  <c r="F183" i="8"/>
  <c r="E183" i="8"/>
  <c r="H183" i="8" s="1"/>
  <c r="G182" i="8"/>
  <c r="F182" i="8"/>
  <c r="E182" i="8"/>
  <c r="H182" i="8" s="1"/>
  <c r="G103" i="8"/>
  <c r="F103" i="8"/>
  <c r="E103" i="8"/>
  <c r="H103" i="8" s="1"/>
  <c r="G102" i="8"/>
  <c r="F102" i="8"/>
  <c r="E102" i="8"/>
  <c r="H102" i="8" s="1"/>
  <c r="G68" i="8"/>
  <c r="F68" i="8"/>
  <c r="E68" i="8"/>
  <c r="H68" i="8" s="1"/>
  <c r="D44" i="8"/>
  <c r="H44" i="8" s="1"/>
  <c r="D45" i="8"/>
  <c r="H45" i="8" s="1"/>
  <c r="D43" i="8"/>
  <c r="H43" i="8" s="1"/>
  <c r="G15" i="8"/>
  <c r="F15" i="8"/>
  <c r="E15" i="8"/>
  <c r="H15" i="8" s="1"/>
  <c r="G14" i="8"/>
  <c r="F14" i="8"/>
  <c r="E14" i="8"/>
  <c r="H14" i="8" s="1"/>
  <c r="G466" i="7"/>
  <c r="F466" i="7"/>
  <c r="E466" i="7"/>
  <c r="D460" i="7"/>
  <c r="H460" i="7" s="1"/>
  <c r="D459" i="7"/>
  <c r="H459" i="7" s="1"/>
  <c r="D452" i="7"/>
  <c r="H452" i="7" s="1"/>
  <c r="D451" i="7"/>
  <c r="H451" i="7" s="1"/>
  <c r="D450" i="7"/>
  <c r="H450" i="7" s="1"/>
  <c r="D449" i="7"/>
  <c r="H449" i="7" s="1"/>
  <c r="D448" i="7"/>
  <c r="D447" i="7"/>
  <c r="D446" i="7"/>
  <c r="D445" i="7"/>
  <c r="D444" i="7"/>
  <c r="D443" i="7"/>
  <c r="H443" i="7" s="1"/>
  <c r="D442" i="7"/>
  <c r="H442" i="7" s="1"/>
  <c r="D441" i="7"/>
  <c r="H441" i="7" s="1"/>
  <c r="F440" i="7"/>
  <c r="D440" i="7"/>
  <c r="D439" i="7"/>
  <c r="H439" i="7" s="1"/>
  <c r="D437" i="7"/>
  <c r="D436" i="7"/>
  <c r="H436" i="7" s="1"/>
  <c r="D435" i="7"/>
  <c r="H435" i="7" s="1"/>
  <c r="D434" i="7"/>
  <c r="H434" i="7" s="1"/>
  <c r="D417" i="7"/>
  <c r="D416" i="7"/>
  <c r="D415" i="7"/>
  <c r="D414" i="7"/>
  <c r="D413" i="7"/>
  <c r="H413" i="7" s="1"/>
  <c r="D412" i="7"/>
  <c r="H412" i="7" s="1"/>
  <c r="D411" i="7"/>
  <c r="H411" i="7" s="1"/>
  <c r="D410" i="7"/>
  <c r="H410" i="7" s="1"/>
  <c r="D409" i="7"/>
  <c r="H409" i="7" s="1"/>
  <c r="D408" i="7"/>
  <c r="D407" i="7"/>
  <c r="D406" i="7"/>
  <c r="D405" i="7"/>
  <c r="D404" i="7"/>
  <c r="H404" i="7" s="1"/>
  <c r="D403" i="7"/>
  <c r="H403" i="7" s="1"/>
  <c r="D402" i="7"/>
  <c r="H402" i="7" s="1"/>
  <c r="D401" i="7"/>
  <c r="H401" i="7" s="1"/>
  <c r="D400" i="7"/>
  <c r="D399" i="7"/>
  <c r="H399" i="7" s="1"/>
  <c r="D397" i="7"/>
  <c r="H397" i="7" s="1"/>
  <c r="D387" i="7"/>
  <c r="H387" i="7" s="1"/>
  <c r="D386" i="7"/>
  <c r="H386" i="7" s="1"/>
  <c r="G385" i="7"/>
  <c r="F385" i="7"/>
  <c r="E385" i="7"/>
  <c r="H385" i="7" s="1"/>
  <c r="G384" i="7"/>
  <c r="F384" i="7"/>
  <c r="E384" i="7"/>
  <c r="H384" i="7" s="1"/>
  <c r="D354" i="7"/>
  <c r="H354" i="7" s="1"/>
  <c r="D353" i="7"/>
  <c r="H353" i="7" s="1"/>
  <c r="D352" i="7"/>
  <c r="H352" i="7" s="1"/>
  <c r="D355" i="7"/>
  <c r="H355" i="7" s="1"/>
  <c r="D348" i="7"/>
  <c r="H348" i="7" s="1"/>
  <c r="D347" i="7"/>
  <c r="H347" i="7" s="1"/>
  <c r="D346" i="7"/>
  <c r="H346" i="7" s="1"/>
  <c r="D345" i="7"/>
  <c r="H345" i="7" s="1"/>
  <c r="D344" i="7"/>
  <c r="H344" i="7" s="1"/>
  <c r="G330" i="7"/>
  <c r="F330" i="7"/>
  <c r="E330" i="7"/>
  <c r="H330" i="7" s="1"/>
  <c r="G329" i="7"/>
  <c r="F329" i="7"/>
  <c r="E329" i="7"/>
  <c r="H329" i="7" s="1"/>
  <c r="D326" i="7"/>
  <c r="H326" i="7" s="1"/>
  <c r="D325" i="7"/>
  <c r="H325" i="7" s="1"/>
  <c r="D324" i="7"/>
  <c r="H324" i="7" s="1"/>
  <c r="D323" i="7"/>
  <c r="H323" i="7" s="1"/>
  <c r="D322" i="7"/>
  <c r="H322" i="7" s="1"/>
  <c r="D321" i="7"/>
  <c r="H321" i="7" s="1"/>
  <c r="D312" i="7"/>
  <c r="H312" i="7" s="1"/>
  <c r="D311" i="7"/>
  <c r="H311" i="7" s="1"/>
  <c r="D310" i="7"/>
  <c r="H310" i="7" s="1"/>
  <c r="D307" i="7"/>
  <c r="H307" i="7" s="1"/>
  <c r="D306" i="7"/>
  <c r="H306" i="7" s="1"/>
  <c r="D305" i="7"/>
  <c r="H305" i="7" s="1"/>
  <c r="D304" i="7"/>
  <c r="H304" i="7" s="1"/>
  <c r="D303" i="7"/>
  <c r="H303" i="7" s="1"/>
  <c r="D302" i="7"/>
  <c r="H302" i="7" s="1"/>
  <c r="D300" i="7"/>
  <c r="H300" i="7" s="1"/>
  <c r="G287" i="7"/>
  <c r="F287" i="7"/>
  <c r="E287" i="7"/>
  <c r="H287" i="7" s="1"/>
  <c r="G286" i="7"/>
  <c r="F286" i="7"/>
  <c r="E286" i="7"/>
  <c r="H286" i="7" s="1"/>
  <c r="D272" i="7"/>
  <c r="H272" i="7" s="1"/>
  <c r="D271" i="7"/>
  <c r="H271" i="7" s="1"/>
  <c r="D263" i="7"/>
  <c r="H263" i="7" s="1"/>
  <c r="D257" i="7"/>
  <c r="H257" i="7" s="1"/>
  <c r="D256" i="7"/>
  <c r="H256" i="7" s="1"/>
  <c r="D254" i="7"/>
  <c r="H254" i="7" s="1"/>
  <c r="D253" i="7"/>
  <c r="H253" i="7" s="1"/>
  <c r="D251" i="7"/>
  <c r="H251" i="7" s="1"/>
  <c r="F250" i="7"/>
  <c r="D250" i="7"/>
  <c r="H250" i="7" s="1"/>
  <c r="D249" i="7"/>
  <c r="H249" i="7" s="1"/>
  <c r="D248" i="7"/>
  <c r="D247" i="7"/>
  <c r="H247" i="7" s="1"/>
  <c r="D245" i="7"/>
  <c r="H245" i="7" s="1"/>
  <c r="D244" i="7"/>
  <c r="H244" i="7" s="1"/>
  <c r="D231" i="7"/>
  <c r="H231" i="7" s="1"/>
  <c r="D230" i="7"/>
  <c r="H230" i="7" s="1"/>
  <c r="D229" i="7"/>
  <c r="H229" i="7" s="1"/>
  <c r="D228" i="7"/>
  <c r="H228" i="7" s="1"/>
  <c r="D227" i="7"/>
  <c r="H227" i="7" s="1"/>
  <c r="D226" i="7"/>
  <c r="H226" i="7" s="1"/>
  <c r="D225" i="7"/>
  <c r="H225" i="7" s="1"/>
  <c r="D224" i="7"/>
  <c r="H224" i="7" s="1"/>
  <c r="D223" i="7"/>
  <c r="H223" i="7" s="1"/>
  <c r="D222" i="7"/>
  <c r="H222" i="7" s="1"/>
  <c r="D221" i="7"/>
  <c r="H221" i="7" s="1"/>
  <c r="D220" i="7"/>
  <c r="H220" i="7" s="1"/>
  <c r="D219" i="7"/>
  <c r="H219" i="7" s="1"/>
  <c r="D218" i="7"/>
  <c r="H218" i="7" s="1"/>
  <c r="D217" i="7"/>
  <c r="H217" i="7" s="1"/>
  <c r="D216" i="7"/>
  <c r="H216" i="7" s="1"/>
  <c r="D215" i="7"/>
  <c r="H215" i="7" s="1"/>
  <c r="D214" i="7"/>
  <c r="H214" i="7" s="1"/>
  <c r="D213" i="7"/>
  <c r="H213" i="7" s="1"/>
  <c r="D212" i="7"/>
  <c r="H212" i="7" s="1"/>
  <c r="D211" i="7"/>
  <c r="H211" i="7" s="1"/>
  <c r="D210" i="7"/>
  <c r="H210" i="7" s="1"/>
  <c r="H204" i="7"/>
  <c r="G185" i="7"/>
  <c r="F185" i="7"/>
  <c r="E185" i="7"/>
  <c r="H185" i="7" s="1"/>
  <c r="G184" i="7"/>
  <c r="F184" i="7"/>
  <c r="E184" i="7"/>
  <c r="H184" i="7" s="1"/>
  <c r="G183" i="7"/>
  <c r="F183" i="7"/>
  <c r="E183" i="7"/>
  <c r="H183" i="7" s="1"/>
  <c r="D166" i="7"/>
  <c r="H166" i="7" s="1"/>
  <c r="D165" i="7"/>
  <c r="H165" i="7" s="1"/>
  <c r="D164" i="7"/>
  <c r="H164" i="7" s="1"/>
  <c r="D163" i="7"/>
  <c r="H163" i="7" s="1"/>
  <c r="D160" i="7"/>
  <c r="H160" i="7" s="1"/>
  <c r="D150" i="7"/>
  <c r="H150" i="7" s="1"/>
  <c r="H114" i="7"/>
  <c r="H113" i="7"/>
  <c r="H112" i="7"/>
  <c r="H111" i="7"/>
  <c r="G104" i="7"/>
  <c r="F104" i="7"/>
  <c r="E104" i="7"/>
  <c r="H104" i="7" s="1"/>
  <c r="G103" i="7"/>
  <c r="F103" i="7"/>
  <c r="H103" i="7" s="1"/>
  <c r="E103" i="7"/>
  <c r="G69" i="7"/>
  <c r="F69" i="7"/>
  <c r="E69" i="7"/>
  <c r="H69" i="7" s="1"/>
  <c r="H47" i="7"/>
  <c r="F15" i="7"/>
  <c r="F14" i="7"/>
  <c r="H476" i="9"/>
  <c r="H475" i="9"/>
  <c r="H474" i="9"/>
  <c r="H473" i="9"/>
  <c r="H467" i="9"/>
  <c r="H466" i="9"/>
  <c r="H465" i="9"/>
  <c r="H464" i="9"/>
  <c r="H463" i="9"/>
  <c r="H462" i="9"/>
  <c r="H461" i="9"/>
  <c r="H460" i="9"/>
  <c r="H459" i="9"/>
  <c r="H458" i="9"/>
  <c r="H457" i="9"/>
  <c r="H456" i="9"/>
  <c r="H455" i="9"/>
  <c r="H454" i="9"/>
  <c r="H453" i="9"/>
  <c r="H452" i="9"/>
  <c r="H451" i="9"/>
  <c r="H450" i="9"/>
  <c r="H449" i="9"/>
  <c r="H448" i="9"/>
  <c r="H447" i="9"/>
  <c r="H446" i="9"/>
  <c r="D445" i="9"/>
  <c r="H445" i="9" s="1"/>
  <c r="H444" i="9"/>
  <c r="D443" i="9"/>
  <c r="H443" i="9" s="1"/>
  <c r="D442" i="9"/>
  <c r="H442" i="9" s="1"/>
  <c r="D441" i="9"/>
  <c r="H441" i="9" s="1"/>
  <c r="D440" i="9"/>
  <c r="H440" i="9" s="1"/>
  <c r="H439" i="9"/>
  <c r="H438" i="9"/>
  <c r="H437" i="9"/>
  <c r="D436" i="9"/>
  <c r="H436" i="9" s="1"/>
  <c r="D435" i="9"/>
  <c r="H435" i="9" s="1"/>
  <c r="H434" i="9"/>
  <c r="D433" i="9"/>
  <c r="H433" i="9" s="1"/>
  <c r="H432" i="9"/>
  <c r="H431" i="9"/>
  <c r="D430" i="9"/>
  <c r="H430" i="9" s="1"/>
  <c r="D429" i="9"/>
  <c r="H429" i="9" s="1"/>
  <c r="D428" i="9"/>
  <c r="H428" i="9" s="1"/>
  <c r="D427" i="9"/>
  <c r="H427" i="9" s="1"/>
  <c r="D426" i="9"/>
  <c r="H426" i="9" s="1"/>
  <c r="H425" i="9"/>
  <c r="H424" i="9"/>
  <c r="D423" i="9"/>
  <c r="H423" i="9" s="1"/>
  <c r="D422" i="9"/>
  <c r="H422" i="9" s="1"/>
  <c r="D421" i="9"/>
  <c r="H421" i="9" s="1"/>
  <c r="D420" i="9"/>
  <c r="H420" i="9" s="1"/>
  <c r="H419" i="9"/>
  <c r="D418" i="9"/>
  <c r="H418" i="9" s="1"/>
  <c r="D417" i="9"/>
  <c r="H417" i="9" s="1"/>
  <c r="D416" i="9"/>
  <c r="H416" i="9" s="1"/>
  <c r="D415" i="9"/>
  <c r="H415" i="9" s="1"/>
  <c r="D414" i="9"/>
  <c r="H414" i="9" s="1"/>
  <c r="D413" i="9"/>
  <c r="H413" i="9" s="1"/>
  <c r="D412" i="9"/>
  <c r="H412" i="9" s="1"/>
  <c r="D411" i="9"/>
  <c r="H411" i="9" s="1"/>
  <c r="D410" i="9"/>
  <c r="H410" i="9" s="1"/>
  <c r="D409" i="9"/>
  <c r="H409" i="9" s="1"/>
  <c r="D408" i="9"/>
  <c r="H408" i="9" s="1"/>
  <c r="D407" i="9"/>
  <c r="H407" i="9" s="1"/>
  <c r="D406" i="9"/>
  <c r="H406" i="9" s="1"/>
  <c r="D405" i="9"/>
  <c r="H405" i="9" s="1"/>
  <c r="H404" i="9"/>
  <c r="D403" i="9"/>
  <c r="H403" i="9" s="1"/>
  <c r="H402" i="9"/>
  <c r="H401" i="9"/>
  <c r="H400" i="9"/>
  <c r="H399" i="9"/>
  <c r="H398" i="9"/>
  <c r="H397" i="9"/>
  <c r="H396" i="9"/>
  <c r="H395" i="9"/>
  <c r="H394" i="9"/>
  <c r="D393" i="9"/>
  <c r="H393" i="9" s="1"/>
  <c r="D392" i="9"/>
  <c r="H392" i="9" s="1"/>
  <c r="H386" i="9"/>
  <c r="H385" i="9"/>
  <c r="H384" i="9"/>
  <c r="H383" i="9"/>
  <c r="H382" i="9"/>
  <c r="H381" i="9"/>
  <c r="H380" i="9"/>
  <c r="H379" i="9"/>
  <c r="H378" i="9"/>
  <c r="H377" i="9"/>
  <c r="H376" i="9"/>
  <c r="H375" i="9"/>
  <c r="H374" i="9"/>
  <c r="H373" i="9"/>
  <c r="H372" i="9"/>
  <c r="H371" i="9"/>
  <c r="H370" i="9"/>
  <c r="H369" i="9"/>
  <c r="H368" i="9"/>
  <c r="D367" i="9"/>
  <c r="H367" i="9" s="1"/>
  <c r="D366" i="9"/>
  <c r="H366" i="9" s="1"/>
  <c r="D365" i="9"/>
  <c r="H365" i="9" s="1"/>
  <c r="H364" i="9"/>
  <c r="D363" i="9"/>
  <c r="H363" i="9" s="1"/>
  <c r="D362" i="9"/>
  <c r="H362" i="9" s="1"/>
  <c r="D361" i="9"/>
  <c r="H361" i="9" s="1"/>
  <c r="D360" i="9"/>
  <c r="H360" i="9" s="1"/>
  <c r="D359" i="9"/>
  <c r="H359" i="9" s="1"/>
  <c r="H358" i="9"/>
  <c r="D357" i="9"/>
  <c r="H357" i="9" s="1"/>
  <c r="H356" i="9"/>
  <c r="H355" i="9"/>
  <c r="H354" i="9"/>
  <c r="D353" i="9"/>
  <c r="H353" i="9" s="1"/>
  <c r="D352" i="9"/>
  <c r="H352" i="9" s="1"/>
  <c r="D351" i="9"/>
  <c r="H351" i="9" s="1"/>
  <c r="D350" i="9"/>
  <c r="H350" i="9" s="1"/>
  <c r="D349" i="9"/>
  <c r="H349" i="9" s="1"/>
  <c r="D348" i="9"/>
  <c r="H348" i="9" s="1"/>
  <c r="D347" i="9"/>
  <c r="H347" i="9" s="1"/>
  <c r="D346" i="9"/>
  <c r="H346" i="9" s="1"/>
  <c r="H345" i="9"/>
  <c r="D344" i="9"/>
  <c r="H344" i="9" s="1"/>
  <c r="H343" i="9"/>
  <c r="H342" i="9"/>
  <c r="H341" i="9"/>
  <c r="H340" i="9"/>
  <c r="H339" i="9"/>
  <c r="H338" i="9"/>
  <c r="H337" i="9"/>
  <c r="H336" i="9"/>
  <c r="H335" i="9"/>
  <c r="H334" i="9"/>
  <c r="D333" i="9"/>
  <c r="H333" i="9" s="1"/>
  <c r="D332" i="9"/>
  <c r="H332" i="9" s="1"/>
  <c r="H326" i="9"/>
  <c r="H325" i="9"/>
  <c r="H324" i="9"/>
  <c r="H323" i="9"/>
  <c r="H322" i="9"/>
  <c r="H321" i="9"/>
  <c r="H320" i="9"/>
  <c r="D319" i="9"/>
  <c r="H319" i="9" s="1"/>
  <c r="D318" i="9"/>
  <c r="H318" i="9" s="1"/>
  <c r="H317" i="9"/>
  <c r="D316" i="9"/>
  <c r="H316" i="9" s="1"/>
  <c r="D315" i="9"/>
  <c r="H315" i="9" s="1"/>
  <c r="D314" i="9"/>
  <c r="H314" i="9" s="1"/>
  <c r="D313" i="9"/>
  <c r="H313" i="9" s="1"/>
  <c r="H312" i="9"/>
  <c r="H311" i="9"/>
  <c r="H310" i="9"/>
  <c r="H309" i="9"/>
  <c r="H308" i="9"/>
  <c r="H307" i="9"/>
  <c r="H306" i="9"/>
  <c r="H305" i="9"/>
  <c r="H304" i="9"/>
  <c r="H303" i="9"/>
  <c r="D302" i="9"/>
  <c r="H302" i="9" s="1"/>
  <c r="D301" i="9"/>
  <c r="H301" i="9" s="1"/>
  <c r="D300" i="9"/>
  <c r="H300" i="9" s="1"/>
  <c r="D299" i="9"/>
  <c r="H299" i="9" s="1"/>
  <c r="H298" i="9"/>
  <c r="H297" i="9"/>
  <c r="H296" i="9"/>
  <c r="H295" i="9"/>
  <c r="H294" i="9"/>
  <c r="H293" i="9"/>
  <c r="H292" i="9"/>
  <c r="H291" i="9"/>
  <c r="H290" i="9"/>
  <c r="H289" i="9"/>
  <c r="D288" i="9"/>
  <c r="H288" i="9" s="1"/>
  <c r="H285" i="9"/>
  <c r="H284" i="9"/>
  <c r="H280" i="9"/>
  <c r="H279" i="9"/>
  <c r="H274" i="9"/>
  <c r="D273" i="9"/>
  <c r="H273" i="9" s="1"/>
  <c r="H272" i="9"/>
  <c r="H271" i="9"/>
  <c r="H270" i="9"/>
  <c r="H269" i="9"/>
  <c r="H268" i="9"/>
  <c r="H267" i="9"/>
  <c r="H266" i="9"/>
  <c r="H265" i="9"/>
  <c r="H264" i="9"/>
  <c r="H263" i="9"/>
  <c r="D262" i="9"/>
  <c r="H262" i="9" s="1"/>
  <c r="D261" i="9"/>
  <c r="H261" i="9" s="1"/>
  <c r="D260" i="9"/>
  <c r="H260" i="9" s="1"/>
  <c r="D259" i="9"/>
  <c r="H259" i="9" s="1"/>
  <c r="D258" i="9"/>
  <c r="H258" i="9" s="1"/>
  <c r="D257" i="9"/>
  <c r="H257" i="9" s="1"/>
  <c r="D256" i="9"/>
  <c r="H256" i="9" s="1"/>
  <c r="D255" i="9"/>
  <c r="H255" i="9" s="1"/>
  <c r="D254" i="9"/>
  <c r="H254" i="9" s="1"/>
  <c r="D253" i="9"/>
  <c r="H253" i="9" s="1"/>
  <c r="D252" i="9"/>
  <c r="H252" i="9" s="1"/>
  <c r="D251" i="9"/>
  <c r="H251" i="9" s="1"/>
  <c r="D250" i="9"/>
  <c r="H250" i="9" s="1"/>
  <c r="D249" i="9"/>
  <c r="H249" i="9" s="1"/>
  <c r="D248" i="9"/>
  <c r="H248" i="9" s="1"/>
  <c r="D247" i="9"/>
  <c r="H247" i="9" s="1"/>
  <c r="H246" i="9"/>
  <c r="D245" i="9"/>
  <c r="H245" i="9" s="1"/>
  <c r="D244" i="9"/>
  <c r="H244" i="9" s="1"/>
  <c r="H243" i="9"/>
  <c r="H242" i="9"/>
  <c r="H241" i="9"/>
  <c r="D240" i="9"/>
  <c r="H240" i="9" s="1"/>
  <c r="D239" i="9"/>
  <c r="H239" i="9" s="1"/>
  <c r="H238" i="9"/>
  <c r="D237" i="9"/>
  <c r="H237" i="9" s="1"/>
  <c r="H236" i="9"/>
  <c r="H235" i="9"/>
  <c r="D234" i="9"/>
  <c r="H234" i="9" s="1"/>
  <c r="D233" i="9"/>
  <c r="H233" i="9" s="1"/>
  <c r="D232" i="9"/>
  <c r="H232" i="9" s="1"/>
  <c r="D231" i="9"/>
  <c r="H231" i="9" s="1"/>
  <c r="D230" i="9"/>
  <c r="H230" i="9" s="1"/>
  <c r="D229" i="9"/>
  <c r="H229" i="9" s="1"/>
  <c r="H228" i="9"/>
  <c r="D227" i="9"/>
  <c r="H227" i="9" s="1"/>
  <c r="D226" i="9"/>
  <c r="H226" i="9" s="1"/>
  <c r="H225" i="9"/>
  <c r="D224" i="9"/>
  <c r="H224" i="9" s="1"/>
  <c r="D223" i="9"/>
  <c r="H223" i="9" s="1"/>
  <c r="D222" i="9"/>
  <c r="H222" i="9" s="1"/>
  <c r="H221" i="9"/>
  <c r="D220" i="9"/>
  <c r="H220" i="9" s="1"/>
  <c r="D219" i="9"/>
  <c r="H219" i="9" s="1"/>
  <c r="D218" i="9"/>
  <c r="H218" i="9" s="1"/>
  <c r="D217" i="9"/>
  <c r="H217" i="9" s="1"/>
  <c r="D216" i="9"/>
  <c r="H216" i="9" s="1"/>
  <c r="D215" i="9"/>
  <c r="H215" i="9" s="1"/>
  <c r="D214" i="9"/>
  <c r="H214" i="9" s="1"/>
  <c r="D213" i="9"/>
  <c r="H213" i="9" s="1"/>
  <c r="D212" i="9"/>
  <c r="H212" i="9" s="1"/>
  <c r="D211" i="9"/>
  <c r="H211" i="9" s="1"/>
  <c r="D209" i="9"/>
  <c r="H209" i="9" s="1"/>
  <c r="D208" i="9"/>
  <c r="H208" i="9" s="1"/>
  <c r="H207" i="9"/>
  <c r="D206" i="9"/>
  <c r="H206" i="9" s="1"/>
  <c r="H205" i="9"/>
  <c r="D204" i="9"/>
  <c r="H204" i="9" s="1"/>
  <c r="D203" i="9"/>
  <c r="H203" i="9" s="1"/>
  <c r="H201" i="9"/>
  <c r="H200" i="9"/>
  <c r="H199" i="9"/>
  <c r="H198" i="9"/>
  <c r="H197" i="9"/>
  <c r="H196" i="9"/>
  <c r="H195" i="9"/>
  <c r="H194" i="9"/>
  <c r="H193" i="9"/>
  <c r="H192" i="9"/>
  <c r="H191" i="9"/>
  <c r="H190" i="9"/>
  <c r="D189" i="9"/>
  <c r="H189" i="9" s="1"/>
  <c r="D188" i="9"/>
  <c r="H188" i="9" s="1"/>
  <c r="D187" i="9"/>
  <c r="H187" i="9" s="1"/>
  <c r="D180" i="9"/>
  <c r="H180" i="9" s="1"/>
  <c r="D179" i="9"/>
  <c r="H179" i="9" s="1"/>
  <c r="D178" i="9"/>
  <c r="H178" i="9" s="1"/>
  <c r="D177" i="9"/>
  <c r="H177" i="9" s="1"/>
  <c r="H176" i="9"/>
  <c r="H175" i="9"/>
  <c r="H174" i="9"/>
  <c r="H173" i="9"/>
  <c r="H172" i="9"/>
  <c r="H171" i="9"/>
  <c r="D170" i="9"/>
  <c r="H170" i="9" s="1"/>
  <c r="H169" i="9"/>
  <c r="H168" i="9"/>
  <c r="H167" i="9"/>
  <c r="D166" i="9"/>
  <c r="H166" i="9" s="1"/>
  <c r="D165" i="9"/>
  <c r="H165" i="9" s="1"/>
  <c r="H164" i="9"/>
  <c r="D163" i="9"/>
  <c r="H163" i="9" s="1"/>
  <c r="D162" i="9"/>
  <c r="H162" i="9" s="1"/>
  <c r="H161" i="9"/>
  <c r="D160" i="9"/>
  <c r="H160" i="9" s="1"/>
  <c r="D159" i="9"/>
  <c r="H159" i="9" s="1"/>
  <c r="D158" i="9"/>
  <c r="H158" i="9" s="1"/>
  <c r="D157" i="9"/>
  <c r="H157" i="9" s="1"/>
  <c r="D156" i="9"/>
  <c r="H156" i="9" s="1"/>
  <c r="D155" i="9"/>
  <c r="H155" i="9" s="1"/>
  <c r="D154" i="9"/>
  <c r="H154" i="9" s="1"/>
  <c r="D153" i="9"/>
  <c r="H153" i="9" s="1"/>
  <c r="D152" i="9"/>
  <c r="H152" i="9" s="1"/>
  <c r="D151" i="9"/>
  <c r="H151" i="9" s="1"/>
  <c r="D150" i="9"/>
  <c r="H150" i="9" s="1"/>
  <c r="H149" i="9"/>
  <c r="H148" i="9"/>
  <c r="H147" i="9"/>
  <c r="D146" i="9"/>
  <c r="H146" i="9" s="1"/>
  <c r="D145" i="9"/>
  <c r="H145" i="9" s="1"/>
  <c r="H144" i="9"/>
  <c r="D143" i="9"/>
  <c r="H143" i="9" s="1"/>
  <c r="H142" i="9"/>
  <c r="H141" i="9"/>
  <c r="D140" i="9"/>
  <c r="H140" i="9" s="1"/>
  <c r="D139" i="9"/>
  <c r="H139" i="9" s="1"/>
  <c r="D138" i="9"/>
  <c r="H138" i="9" s="1"/>
  <c r="D137" i="9"/>
  <c r="H137" i="9" s="1"/>
  <c r="D136" i="9"/>
  <c r="H136" i="9" s="1"/>
  <c r="D135" i="9"/>
  <c r="H135" i="9" s="1"/>
  <c r="H134" i="9"/>
  <c r="H133" i="9"/>
  <c r="D132" i="9"/>
  <c r="H132" i="9" s="1"/>
  <c r="D131" i="9"/>
  <c r="H131" i="9" s="1"/>
  <c r="D130" i="9"/>
  <c r="H130" i="9" s="1"/>
  <c r="D129" i="9"/>
  <c r="H129" i="9" s="1"/>
  <c r="D128" i="9"/>
  <c r="H128" i="9" s="1"/>
  <c r="H127" i="9"/>
  <c r="H126" i="9"/>
  <c r="D125" i="9"/>
  <c r="H125" i="9" s="1"/>
  <c r="D124" i="9"/>
  <c r="H124" i="9" s="1"/>
  <c r="D123" i="9"/>
  <c r="H123" i="9" s="1"/>
  <c r="D122" i="9"/>
  <c r="H122" i="9" s="1"/>
  <c r="D121" i="9"/>
  <c r="H121" i="9" s="1"/>
  <c r="D120" i="9"/>
  <c r="H120" i="9" s="1"/>
  <c r="D119" i="9"/>
  <c r="H119" i="9" s="1"/>
  <c r="D118" i="9"/>
  <c r="H118" i="9" s="1"/>
  <c r="D117" i="9"/>
  <c r="H117" i="9" s="1"/>
  <c r="D116" i="9"/>
  <c r="H116" i="9" s="1"/>
  <c r="D115" i="9"/>
  <c r="H115" i="9" s="1"/>
  <c r="H114" i="9"/>
  <c r="D113" i="9"/>
  <c r="H113" i="9" s="1"/>
  <c r="H112" i="9"/>
  <c r="H111" i="9"/>
  <c r="H110" i="9"/>
  <c r="H109" i="9"/>
  <c r="D108" i="9"/>
  <c r="H108" i="9" s="1"/>
  <c r="D107" i="9"/>
  <c r="H107" i="9" s="1"/>
  <c r="H106" i="9"/>
  <c r="H105" i="9"/>
  <c r="H97" i="9"/>
  <c r="D96" i="9"/>
  <c r="D278" i="9" s="1"/>
  <c r="H278" i="9" s="1"/>
  <c r="D88" i="9"/>
  <c r="H88" i="9" s="1"/>
  <c r="H87" i="9"/>
  <c r="H86" i="9"/>
  <c r="H85" i="9"/>
  <c r="H84" i="9"/>
  <c r="H83" i="9"/>
  <c r="H82" i="9"/>
  <c r="H81" i="9"/>
  <c r="H80" i="9"/>
  <c r="H79" i="9"/>
  <c r="H78" i="9"/>
  <c r="H77" i="9"/>
  <c r="D76" i="9"/>
  <c r="H76" i="9" s="1"/>
  <c r="D75" i="9"/>
  <c r="H75" i="9" s="1"/>
  <c r="D74" i="9"/>
  <c r="H74" i="9" s="1"/>
  <c r="H73" i="9"/>
  <c r="H72" i="9"/>
  <c r="H71" i="9"/>
  <c r="D70" i="9"/>
  <c r="H70" i="9" s="1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D53" i="9"/>
  <c r="H53" i="9" s="1"/>
  <c r="D52" i="9"/>
  <c r="H52" i="9" s="1"/>
  <c r="D51" i="9"/>
  <c r="H51" i="9" s="1"/>
  <c r="D50" i="9"/>
  <c r="H50" i="9" s="1"/>
  <c r="D49" i="9"/>
  <c r="H49" i="9" s="1"/>
  <c r="D48" i="9"/>
  <c r="H48" i="9" s="1"/>
  <c r="H47" i="9"/>
  <c r="H46" i="9"/>
  <c r="H45" i="9"/>
  <c r="H44" i="9"/>
  <c r="H43" i="9"/>
  <c r="D42" i="9"/>
  <c r="H42" i="9" s="1"/>
  <c r="D41" i="9"/>
  <c r="H41" i="9" s="1"/>
  <c r="D40" i="9"/>
  <c r="H40" i="9" s="1"/>
  <c r="D39" i="9"/>
  <c r="H39" i="9" s="1"/>
  <c r="D38" i="9"/>
  <c r="H38" i="9" s="1"/>
  <c r="D37" i="9"/>
  <c r="H37" i="9" s="1"/>
  <c r="D36" i="9"/>
  <c r="H36" i="9" s="1"/>
  <c r="D35" i="9"/>
  <c r="H35" i="9" s="1"/>
  <c r="D34" i="9"/>
  <c r="H34" i="9" s="1"/>
  <c r="D33" i="9"/>
  <c r="H33" i="9" s="1"/>
  <c r="H32" i="9"/>
  <c r="D31" i="9"/>
  <c r="H31" i="9" s="1"/>
  <c r="H30" i="9"/>
  <c r="H29" i="9"/>
  <c r="D28" i="9"/>
  <c r="H28" i="9" s="1"/>
  <c r="H27" i="9"/>
  <c r="H25" i="9"/>
  <c r="H24" i="9"/>
  <c r="H23" i="9"/>
  <c r="H22" i="9"/>
  <c r="H21" i="9"/>
  <c r="H20" i="9"/>
  <c r="H19" i="9"/>
  <c r="H18" i="9"/>
  <c r="D17" i="9"/>
  <c r="H17" i="9" s="1"/>
  <c r="D16" i="9"/>
  <c r="H16" i="9" s="1"/>
  <c r="H476" i="8"/>
  <c r="H475" i="8"/>
  <c r="H474" i="8"/>
  <c r="H473" i="8"/>
  <c r="H472" i="8"/>
  <c r="H467" i="8"/>
  <c r="H466" i="8"/>
  <c r="H465" i="8"/>
  <c r="H464" i="8"/>
  <c r="H463" i="8"/>
  <c r="H462" i="8"/>
  <c r="H461" i="8"/>
  <c r="H460" i="8"/>
  <c r="D459" i="8"/>
  <c r="H459" i="8" s="1"/>
  <c r="D458" i="8"/>
  <c r="H458" i="8" s="1"/>
  <c r="D457" i="8"/>
  <c r="H457" i="8" s="1"/>
  <c r="D456" i="8"/>
  <c r="H456" i="8" s="1"/>
  <c r="D455" i="8"/>
  <c r="H455" i="8" s="1"/>
  <c r="D454" i="8"/>
  <c r="H454" i="8" s="1"/>
  <c r="D453" i="8"/>
  <c r="H453" i="8" s="1"/>
  <c r="D452" i="8"/>
  <c r="H452" i="8" s="1"/>
  <c r="D451" i="8"/>
  <c r="H451" i="8" s="1"/>
  <c r="D450" i="8"/>
  <c r="H450" i="8" s="1"/>
  <c r="D449" i="8"/>
  <c r="H449" i="8" s="1"/>
  <c r="H448" i="8"/>
  <c r="H447" i="8"/>
  <c r="H446" i="8"/>
  <c r="D445" i="8"/>
  <c r="H445" i="8" s="1"/>
  <c r="D444" i="8"/>
  <c r="H444" i="8" s="1"/>
  <c r="H443" i="8"/>
  <c r="D442" i="8"/>
  <c r="H442" i="8" s="1"/>
  <c r="D441" i="8"/>
  <c r="H441" i="8" s="1"/>
  <c r="D440" i="8"/>
  <c r="H440" i="8" s="1"/>
  <c r="H439" i="8"/>
  <c r="H438" i="8"/>
  <c r="H437" i="8"/>
  <c r="D436" i="8"/>
  <c r="H436" i="8" s="1"/>
  <c r="D435" i="8"/>
  <c r="H435" i="8" s="1"/>
  <c r="H434" i="8"/>
  <c r="D433" i="8"/>
  <c r="H433" i="8" s="1"/>
  <c r="H432" i="8"/>
  <c r="H431" i="8"/>
  <c r="D430" i="8"/>
  <c r="H430" i="8" s="1"/>
  <c r="D429" i="8"/>
  <c r="H429" i="8" s="1"/>
  <c r="D428" i="8"/>
  <c r="H428" i="8" s="1"/>
  <c r="D427" i="8"/>
  <c r="H427" i="8" s="1"/>
  <c r="D426" i="8"/>
  <c r="H426" i="8" s="1"/>
  <c r="H425" i="8"/>
  <c r="H424" i="8"/>
  <c r="D423" i="8"/>
  <c r="H423" i="8" s="1"/>
  <c r="D422" i="8"/>
  <c r="H422" i="8" s="1"/>
  <c r="D421" i="8"/>
  <c r="H421" i="8" s="1"/>
  <c r="D420" i="8"/>
  <c r="H420" i="8" s="1"/>
  <c r="D419" i="8"/>
  <c r="H419" i="8" s="1"/>
  <c r="D418" i="8"/>
  <c r="H418" i="8" s="1"/>
  <c r="D417" i="8"/>
  <c r="H417" i="8" s="1"/>
  <c r="D416" i="8"/>
  <c r="H416" i="8" s="1"/>
  <c r="D415" i="8"/>
  <c r="H415" i="8" s="1"/>
  <c r="D414" i="8"/>
  <c r="H414" i="8" s="1"/>
  <c r="D413" i="8"/>
  <c r="H413" i="8" s="1"/>
  <c r="D412" i="8"/>
  <c r="H412" i="8" s="1"/>
  <c r="D411" i="8"/>
  <c r="H411" i="8" s="1"/>
  <c r="D410" i="8"/>
  <c r="H410" i="8" s="1"/>
  <c r="D409" i="8"/>
  <c r="H409" i="8" s="1"/>
  <c r="D408" i="8"/>
  <c r="H408" i="8" s="1"/>
  <c r="D407" i="8"/>
  <c r="H407" i="8" s="1"/>
  <c r="D406" i="8"/>
  <c r="H406" i="8" s="1"/>
  <c r="D405" i="8"/>
  <c r="H405" i="8" s="1"/>
  <c r="H404" i="8"/>
  <c r="D403" i="8"/>
  <c r="H403" i="8" s="1"/>
  <c r="H402" i="8"/>
  <c r="H401" i="8"/>
  <c r="H400" i="8"/>
  <c r="H399" i="8"/>
  <c r="H398" i="8"/>
  <c r="H397" i="8"/>
  <c r="H396" i="8"/>
  <c r="H395" i="8"/>
  <c r="H394" i="8"/>
  <c r="D393" i="8"/>
  <c r="H393" i="8" s="1"/>
  <c r="D392" i="8"/>
  <c r="H392" i="8" s="1"/>
  <c r="H386" i="8"/>
  <c r="H385" i="8"/>
  <c r="H384" i="8"/>
  <c r="H383" i="8"/>
  <c r="H382" i="8"/>
  <c r="H381" i="8"/>
  <c r="H380" i="8"/>
  <c r="H379" i="8"/>
  <c r="H378" i="8"/>
  <c r="H377" i="8"/>
  <c r="H376" i="8"/>
  <c r="H375" i="8"/>
  <c r="H374" i="8"/>
  <c r="H373" i="8"/>
  <c r="H372" i="8"/>
  <c r="H371" i="8"/>
  <c r="H370" i="8"/>
  <c r="D369" i="8"/>
  <c r="H369" i="8" s="1"/>
  <c r="D368" i="8"/>
  <c r="H368" i="8" s="1"/>
  <c r="D367" i="8"/>
  <c r="H367" i="8" s="1"/>
  <c r="D366" i="8"/>
  <c r="H366" i="8" s="1"/>
  <c r="D365" i="8"/>
  <c r="H365" i="8" s="1"/>
  <c r="H364" i="8"/>
  <c r="D363" i="8"/>
  <c r="H363" i="8" s="1"/>
  <c r="D362" i="8"/>
  <c r="H362" i="8" s="1"/>
  <c r="D361" i="8"/>
  <c r="H361" i="8" s="1"/>
  <c r="D360" i="8"/>
  <c r="H360" i="8" s="1"/>
  <c r="D359" i="8"/>
  <c r="H359" i="8" s="1"/>
  <c r="D358" i="8"/>
  <c r="H358" i="8" s="1"/>
  <c r="D357" i="8"/>
  <c r="H357" i="8" s="1"/>
  <c r="D353" i="8"/>
  <c r="H353" i="8" s="1"/>
  <c r="D352" i="8"/>
  <c r="H352" i="8" s="1"/>
  <c r="D351" i="8"/>
  <c r="H351" i="8" s="1"/>
  <c r="D350" i="8"/>
  <c r="H350" i="8" s="1"/>
  <c r="D349" i="8"/>
  <c r="H349" i="8" s="1"/>
  <c r="D348" i="8"/>
  <c r="H348" i="8" s="1"/>
  <c r="D347" i="8"/>
  <c r="H347" i="8" s="1"/>
  <c r="D346" i="8"/>
  <c r="H346" i="8" s="1"/>
  <c r="H345" i="8"/>
  <c r="D344" i="8"/>
  <c r="H344" i="8" s="1"/>
  <c r="H343" i="8"/>
  <c r="H342" i="8"/>
  <c r="H341" i="8"/>
  <c r="H340" i="8"/>
  <c r="H339" i="8"/>
  <c r="H338" i="8"/>
  <c r="H337" i="8"/>
  <c r="H336" i="8"/>
  <c r="H335" i="8"/>
  <c r="H334" i="8"/>
  <c r="D333" i="8"/>
  <c r="H333" i="8" s="1"/>
  <c r="D332" i="8"/>
  <c r="H332" i="8" s="1"/>
  <c r="G329" i="8"/>
  <c r="E329" i="8"/>
  <c r="H329" i="8" s="1"/>
  <c r="H326" i="8"/>
  <c r="H325" i="8"/>
  <c r="H324" i="8"/>
  <c r="H323" i="8"/>
  <c r="H322" i="8"/>
  <c r="H321" i="8"/>
  <c r="H320" i="8"/>
  <c r="D319" i="8"/>
  <c r="H319" i="8" s="1"/>
  <c r="D318" i="8"/>
  <c r="H318" i="8" s="1"/>
  <c r="H317" i="8"/>
  <c r="D316" i="8"/>
  <c r="H316" i="8" s="1"/>
  <c r="H315" i="8"/>
  <c r="H314" i="8"/>
  <c r="H313" i="8"/>
  <c r="H312" i="8"/>
  <c r="H311" i="8"/>
  <c r="H310" i="8"/>
  <c r="H309" i="8"/>
  <c r="H308" i="8"/>
  <c r="H307" i="8"/>
  <c r="H306" i="8"/>
  <c r="H305" i="8"/>
  <c r="H304" i="8"/>
  <c r="H303" i="8"/>
  <c r="D302" i="8"/>
  <c r="H302" i="8" s="1"/>
  <c r="H301" i="8"/>
  <c r="D299" i="8"/>
  <c r="H299" i="8" s="1"/>
  <c r="H298" i="8"/>
  <c r="H297" i="8"/>
  <c r="H296" i="8"/>
  <c r="H295" i="8"/>
  <c r="H294" i="8"/>
  <c r="H293" i="8"/>
  <c r="H292" i="8"/>
  <c r="H291" i="8"/>
  <c r="H290" i="8"/>
  <c r="H289" i="8"/>
  <c r="D288" i="8"/>
  <c r="H288" i="8" s="1"/>
  <c r="H285" i="8"/>
  <c r="H284" i="8"/>
  <c r="H280" i="8"/>
  <c r="H279" i="8"/>
  <c r="D278" i="8"/>
  <c r="H278" i="8" s="1"/>
  <c r="D276" i="8"/>
  <c r="H276" i="8" s="1"/>
  <c r="D275" i="8"/>
  <c r="D277" i="8" s="1"/>
  <c r="H274" i="8"/>
  <c r="D273" i="8"/>
  <c r="H273" i="8" s="1"/>
  <c r="D272" i="8"/>
  <c r="H272" i="8" s="1"/>
  <c r="H271" i="8"/>
  <c r="D270" i="8"/>
  <c r="H270" i="8" s="1"/>
  <c r="D269" i="8"/>
  <c r="H269" i="8" s="1"/>
  <c r="D268" i="8"/>
  <c r="H268" i="8" s="1"/>
  <c r="D267" i="8"/>
  <c r="H267" i="8" s="1"/>
  <c r="D266" i="8"/>
  <c r="H266" i="8" s="1"/>
  <c r="H265" i="8"/>
  <c r="D264" i="8"/>
  <c r="H264" i="8" s="1"/>
  <c r="D263" i="8"/>
  <c r="H263" i="8" s="1"/>
  <c r="D262" i="8"/>
  <c r="H262" i="8" s="1"/>
  <c r="D261" i="8"/>
  <c r="H261" i="8" s="1"/>
  <c r="D260" i="8"/>
  <c r="H260" i="8" s="1"/>
  <c r="D259" i="8"/>
  <c r="H259" i="8" s="1"/>
  <c r="D258" i="8"/>
  <c r="H258" i="8" s="1"/>
  <c r="D257" i="8"/>
  <c r="H257" i="8" s="1"/>
  <c r="D256" i="8"/>
  <c r="H256" i="8" s="1"/>
  <c r="D255" i="8"/>
  <c r="H255" i="8" s="1"/>
  <c r="D254" i="8"/>
  <c r="H254" i="8" s="1"/>
  <c r="D253" i="8"/>
  <c r="H253" i="8" s="1"/>
  <c r="H252" i="8"/>
  <c r="D251" i="8"/>
  <c r="H251" i="8" s="1"/>
  <c r="D250" i="8"/>
  <c r="H250" i="8" s="1"/>
  <c r="D249" i="8"/>
  <c r="H249" i="8" s="1"/>
  <c r="D248" i="8"/>
  <c r="H248" i="8" s="1"/>
  <c r="D247" i="8"/>
  <c r="H247" i="8" s="1"/>
  <c r="D246" i="8"/>
  <c r="H246" i="8" s="1"/>
  <c r="D245" i="8"/>
  <c r="H245" i="8" s="1"/>
  <c r="D244" i="8"/>
  <c r="H244" i="8" s="1"/>
  <c r="H243" i="8"/>
  <c r="H242" i="8"/>
  <c r="H241" i="8"/>
  <c r="D240" i="8"/>
  <c r="H240" i="8" s="1"/>
  <c r="D239" i="8"/>
  <c r="H239" i="8" s="1"/>
  <c r="H238" i="8"/>
  <c r="D237" i="8"/>
  <c r="H237" i="8" s="1"/>
  <c r="H236" i="8"/>
  <c r="H235" i="8"/>
  <c r="D234" i="8"/>
  <c r="H234" i="8" s="1"/>
  <c r="D233" i="8"/>
  <c r="H233" i="8" s="1"/>
  <c r="D232" i="8"/>
  <c r="H232" i="8" s="1"/>
  <c r="D231" i="8"/>
  <c r="H231" i="8" s="1"/>
  <c r="D230" i="8"/>
  <c r="H230" i="8" s="1"/>
  <c r="D229" i="8"/>
  <c r="H229" i="8" s="1"/>
  <c r="H228" i="8"/>
  <c r="D227" i="8"/>
  <c r="H227" i="8" s="1"/>
  <c r="D226" i="8"/>
  <c r="H226" i="8" s="1"/>
  <c r="D225" i="8"/>
  <c r="H225" i="8" s="1"/>
  <c r="D224" i="8"/>
  <c r="H224" i="8" s="1"/>
  <c r="H223" i="8"/>
  <c r="D222" i="8"/>
  <c r="H222" i="8" s="1"/>
  <c r="D221" i="8"/>
  <c r="H221" i="8" s="1"/>
  <c r="D220" i="8"/>
  <c r="H220" i="8" s="1"/>
  <c r="D219" i="8"/>
  <c r="H219" i="8" s="1"/>
  <c r="D218" i="8"/>
  <c r="H218" i="8" s="1"/>
  <c r="D217" i="8"/>
  <c r="H217" i="8" s="1"/>
  <c r="D216" i="8"/>
  <c r="H216" i="8" s="1"/>
  <c r="D215" i="8"/>
  <c r="H215" i="8" s="1"/>
  <c r="D214" i="8"/>
  <c r="H214" i="8" s="1"/>
  <c r="D213" i="8"/>
  <c r="H213" i="8" s="1"/>
  <c r="D212" i="8"/>
  <c r="H212" i="8" s="1"/>
  <c r="D211" i="8"/>
  <c r="H211" i="8" s="1"/>
  <c r="H209" i="8"/>
  <c r="D208" i="8"/>
  <c r="H208" i="8" s="1"/>
  <c r="D207" i="8"/>
  <c r="H207" i="8" s="1"/>
  <c r="D206" i="8"/>
  <c r="H206" i="8" s="1"/>
  <c r="H205" i="8"/>
  <c r="H204" i="8"/>
  <c r="D203" i="8"/>
  <c r="H203" i="8" s="1"/>
  <c r="D202" i="8"/>
  <c r="H202" i="8" s="1"/>
  <c r="H200" i="8"/>
  <c r="H199" i="8"/>
  <c r="H198" i="8"/>
  <c r="H197" i="8"/>
  <c r="H196" i="8"/>
  <c r="H195" i="8"/>
  <c r="H194" i="8"/>
  <c r="H193" i="8"/>
  <c r="H192" i="8"/>
  <c r="H191" i="8"/>
  <c r="H190" i="8"/>
  <c r="H189" i="8"/>
  <c r="D188" i="8"/>
  <c r="H188" i="8" s="1"/>
  <c r="D187" i="8"/>
  <c r="H187" i="8" s="1"/>
  <c r="D186" i="8"/>
  <c r="H186" i="8" s="1"/>
  <c r="H185" i="8"/>
  <c r="D179" i="8"/>
  <c r="H179" i="8" s="1"/>
  <c r="D178" i="8"/>
  <c r="H178" i="8" s="1"/>
  <c r="D177" i="8"/>
  <c r="H177" i="8" s="1"/>
  <c r="D176" i="8"/>
  <c r="H176" i="8" s="1"/>
  <c r="H175" i="8"/>
  <c r="H174" i="8"/>
  <c r="H173" i="8"/>
  <c r="H172" i="8"/>
  <c r="H171" i="8"/>
  <c r="H170" i="8"/>
  <c r="H169" i="8"/>
  <c r="H168" i="8"/>
  <c r="H167" i="8"/>
  <c r="H166" i="8"/>
  <c r="D165" i="8"/>
  <c r="H165" i="8" s="1"/>
  <c r="D164" i="8"/>
  <c r="H164" i="8" s="1"/>
  <c r="H163" i="8"/>
  <c r="D162" i="8"/>
  <c r="H162" i="8" s="1"/>
  <c r="H161" i="8"/>
  <c r="H160" i="8"/>
  <c r="D159" i="8"/>
  <c r="H159" i="8" s="1"/>
  <c r="D158" i="8"/>
  <c r="H158" i="8" s="1"/>
  <c r="D157" i="8"/>
  <c r="H157" i="8" s="1"/>
  <c r="D156" i="8"/>
  <c r="H156" i="8" s="1"/>
  <c r="D155" i="8"/>
  <c r="H155" i="8" s="1"/>
  <c r="D154" i="8"/>
  <c r="H154" i="8" s="1"/>
  <c r="D153" i="8"/>
  <c r="H153" i="8" s="1"/>
  <c r="D152" i="8"/>
  <c r="H152" i="8" s="1"/>
  <c r="D151" i="8"/>
  <c r="H151" i="8" s="1"/>
  <c r="D150" i="8"/>
  <c r="H150" i="8" s="1"/>
  <c r="D149" i="8"/>
  <c r="H149" i="8" s="1"/>
  <c r="H148" i="8"/>
  <c r="H147" i="8"/>
  <c r="H146" i="8"/>
  <c r="D145" i="8"/>
  <c r="H145" i="8" s="1"/>
  <c r="D144" i="8"/>
  <c r="H144" i="8" s="1"/>
  <c r="H143" i="8"/>
  <c r="D142" i="8"/>
  <c r="H142" i="8" s="1"/>
  <c r="H141" i="8"/>
  <c r="H140" i="8"/>
  <c r="D139" i="8"/>
  <c r="H139" i="8" s="1"/>
  <c r="D138" i="8"/>
  <c r="H138" i="8" s="1"/>
  <c r="D137" i="8"/>
  <c r="H137" i="8" s="1"/>
  <c r="D136" i="8"/>
  <c r="H136" i="8" s="1"/>
  <c r="D135" i="8"/>
  <c r="H135" i="8" s="1"/>
  <c r="D134" i="8"/>
  <c r="H134" i="8" s="1"/>
  <c r="H133" i="8"/>
  <c r="H132" i="8"/>
  <c r="D131" i="8"/>
  <c r="H131" i="8" s="1"/>
  <c r="D130" i="8"/>
  <c r="H130" i="8" s="1"/>
  <c r="D129" i="8"/>
  <c r="H129" i="8" s="1"/>
  <c r="D128" i="8"/>
  <c r="H128" i="8" s="1"/>
  <c r="D127" i="8"/>
  <c r="H127" i="8" s="1"/>
  <c r="H126" i="8"/>
  <c r="H125" i="8"/>
  <c r="H124" i="8"/>
  <c r="D123" i="8"/>
  <c r="H123" i="8" s="1"/>
  <c r="D122" i="8"/>
  <c r="H122" i="8" s="1"/>
  <c r="D121" i="8"/>
  <c r="H121" i="8" s="1"/>
  <c r="D120" i="8"/>
  <c r="H120" i="8" s="1"/>
  <c r="D119" i="8"/>
  <c r="H119" i="8" s="1"/>
  <c r="D118" i="8"/>
  <c r="H118" i="8" s="1"/>
  <c r="D117" i="8"/>
  <c r="H117" i="8" s="1"/>
  <c r="D116" i="8"/>
  <c r="H116" i="8" s="1"/>
  <c r="D115" i="8"/>
  <c r="H115" i="8" s="1"/>
  <c r="D114" i="8"/>
  <c r="H114" i="8" s="1"/>
  <c r="H113" i="8"/>
  <c r="D112" i="8"/>
  <c r="H112" i="8" s="1"/>
  <c r="H111" i="8"/>
  <c r="H110" i="8"/>
  <c r="H109" i="8"/>
  <c r="H108" i="8"/>
  <c r="D107" i="8"/>
  <c r="H107" i="8" s="1"/>
  <c r="D106" i="8"/>
  <c r="H106" i="8" s="1"/>
  <c r="H105" i="8"/>
  <c r="H104" i="8"/>
  <c r="H96" i="8"/>
  <c r="D95" i="8"/>
  <c r="H95" i="8" s="1"/>
  <c r="D87" i="8"/>
  <c r="H87" i="8" s="1"/>
  <c r="H86" i="8"/>
  <c r="H85" i="8"/>
  <c r="H84" i="8"/>
  <c r="D83" i="8"/>
  <c r="H83" i="8" s="1"/>
  <c r="D82" i="8"/>
  <c r="H82" i="8" s="1"/>
  <c r="D81" i="8"/>
  <c r="H81" i="8" s="1"/>
  <c r="D80" i="8"/>
  <c r="H80" i="8" s="1"/>
  <c r="D79" i="8"/>
  <c r="H79" i="8" s="1"/>
  <c r="D78" i="8"/>
  <c r="H78" i="8" s="1"/>
  <c r="D77" i="8"/>
  <c r="H77" i="8" s="1"/>
  <c r="D76" i="8"/>
  <c r="H76" i="8" s="1"/>
  <c r="D75" i="8"/>
  <c r="H75" i="8" s="1"/>
  <c r="D74" i="8"/>
  <c r="H74" i="8" s="1"/>
  <c r="D73" i="8"/>
  <c r="H73" i="8" s="1"/>
  <c r="H72" i="8"/>
  <c r="H71" i="8"/>
  <c r="H70" i="8"/>
  <c r="H69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D52" i="8"/>
  <c r="H52" i="8" s="1"/>
  <c r="D51" i="8"/>
  <c r="H51" i="8" s="1"/>
  <c r="H50" i="8"/>
  <c r="D49" i="8"/>
  <c r="H49" i="8" s="1"/>
  <c r="D48" i="8"/>
  <c r="H48" i="8" s="1"/>
  <c r="D47" i="8"/>
  <c r="H47" i="8" s="1"/>
  <c r="H46" i="8"/>
  <c r="H42" i="8"/>
  <c r="H41" i="8"/>
  <c r="D40" i="8"/>
  <c r="H40" i="8" s="1"/>
  <c r="D39" i="8"/>
  <c r="H39" i="8" s="1"/>
  <c r="D38" i="8"/>
  <c r="H38" i="8" s="1"/>
  <c r="D37" i="8"/>
  <c r="H37" i="8" s="1"/>
  <c r="D36" i="8"/>
  <c r="H36" i="8" s="1"/>
  <c r="D35" i="8"/>
  <c r="H35" i="8" s="1"/>
  <c r="D34" i="8"/>
  <c r="H34" i="8" s="1"/>
  <c r="D33" i="8"/>
  <c r="H33" i="8" s="1"/>
  <c r="D32" i="8"/>
  <c r="H32" i="8" s="1"/>
  <c r="H31" i="8"/>
  <c r="D30" i="8"/>
  <c r="H30" i="8" s="1"/>
  <c r="H29" i="8"/>
  <c r="H28" i="8"/>
  <c r="D27" i="8"/>
  <c r="H27" i="8" s="1"/>
  <c r="H26" i="8"/>
  <c r="H25" i="8"/>
  <c r="H24" i="8"/>
  <c r="H23" i="8"/>
  <c r="H22" i="8"/>
  <c r="H21" i="8"/>
  <c r="H20" i="8"/>
  <c r="H19" i="8"/>
  <c r="H18" i="8"/>
  <c r="D17" i="8"/>
  <c r="H17" i="8" s="1"/>
  <c r="D16" i="8"/>
  <c r="H16" i="8" s="1"/>
  <c r="H470" i="7"/>
  <c r="H469" i="7"/>
  <c r="H468" i="7"/>
  <c r="H467" i="7"/>
  <c r="H466" i="7"/>
  <c r="H461" i="7"/>
  <c r="H458" i="7"/>
  <c r="H457" i="7"/>
  <c r="H456" i="7"/>
  <c r="H455" i="7"/>
  <c r="H454" i="7"/>
  <c r="H453" i="7"/>
  <c r="H448" i="7"/>
  <c r="H447" i="7"/>
  <c r="H446" i="7"/>
  <c r="H445" i="7"/>
  <c r="H444" i="7"/>
  <c r="H440" i="7"/>
  <c r="H438" i="7"/>
  <c r="H437" i="7"/>
  <c r="H433" i="7"/>
  <c r="H432" i="7"/>
  <c r="H431" i="7"/>
  <c r="D430" i="7"/>
  <c r="H430" i="7" s="1"/>
  <c r="D429" i="7"/>
  <c r="H429" i="7" s="1"/>
  <c r="H428" i="7"/>
  <c r="D427" i="7"/>
  <c r="H427" i="7" s="1"/>
  <c r="H426" i="7"/>
  <c r="H425" i="7"/>
  <c r="D424" i="7"/>
  <c r="H424" i="7" s="1"/>
  <c r="D423" i="7"/>
  <c r="H423" i="7" s="1"/>
  <c r="D422" i="7"/>
  <c r="H422" i="7" s="1"/>
  <c r="H421" i="7"/>
  <c r="H420" i="7"/>
  <c r="H419" i="7"/>
  <c r="H418" i="7"/>
  <c r="H417" i="7"/>
  <c r="H416" i="7"/>
  <c r="H415" i="7"/>
  <c r="H414" i="7"/>
  <c r="H408" i="7"/>
  <c r="H407" i="7"/>
  <c r="H406" i="7"/>
  <c r="H405" i="7"/>
  <c r="H400" i="7"/>
  <c r="H398" i="7"/>
  <c r="H396" i="7"/>
  <c r="H395" i="7"/>
  <c r="H394" i="7"/>
  <c r="H393" i="7"/>
  <c r="H392" i="7"/>
  <c r="H391" i="7"/>
  <c r="H390" i="7"/>
  <c r="H389" i="7"/>
  <c r="H388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367" i="7"/>
  <c r="H366" i="7"/>
  <c r="H365" i="7"/>
  <c r="H364" i="7"/>
  <c r="H363" i="7"/>
  <c r="H362" i="7"/>
  <c r="D361" i="7"/>
  <c r="H361" i="7" s="1"/>
  <c r="D360" i="7"/>
  <c r="H360" i="7" s="1"/>
  <c r="H359" i="7"/>
  <c r="D358" i="7"/>
  <c r="H358" i="7" s="1"/>
  <c r="D357" i="7"/>
  <c r="H357" i="7" s="1"/>
  <c r="D356" i="7"/>
  <c r="H356" i="7" s="1"/>
  <c r="H351" i="7"/>
  <c r="H350" i="7"/>
  <c r="H349" i="7"/>
  <c r="H343" i="7"/>
  <c r="D342" i="7"/>
  <c r="H342" i="7" s="1"/>
  <c r="H341" i="7"/>
  <c r="D340" i="7"/>
  <c r="H340" i="7" s="1"/>
  <c r="H339" i="7"/>
  <c r="H338" i="7"/>
  <c r="H337" i="7"/>
  <c r="H336" i="7"/>
  <c r="H335" i="7"/>
  <c r="H334" i="7"/>
  <c r="H333" i="7"/>
  <c r="D332" i="7"/>
  <c r="H332" i="7" s="1"/>
  <c r="D331" i="7"/>
  <c r="H331" i="7" s="1"/>
  <c r="H320" i="7"/>
  <c r="D319" i="7"/>
  <c r="H319" i="7" s="1"/>
  <c r="D318" i="7"/>
  <c r="H318" i="7" s="1"/>
  <c r="H317" i="7"/>
  <c r="D316" i="7"/>
  <c r="H316" i="7" s="1"/>
  <c r="D315" i="7"/>
  <c r="H315" i="7" s="1"/>
  <c r="D314" i="7"/>
  <c r="H314" i="7" s="1"/>
  <c r="D313" i="7"/>
  <c r="H313" i="7" s="1"/>
  <c r="H309" i="7"/>
  <c r="H308" i="7"/>
  <c r="H301" i="7"/>
  <c r="D299" i="7"/>
  <c r="H299" i="7" s="1"/>
  <c r="H298" i="7"/>
  <c r="H297" i="7"/>
  <c r="H296" i="7"/>
  <c r="H295" i="7"/>
  <c r="H294" i="7"/>
  <c r="H293" i="7"/>
  <c r="H292" i="7"/>
  <c r="H291" i="7"/>
  <c r="H290" i="7"/>
  <c r="H289" i="7"/>
  <c r="D288" i="7"/>
  <c r="H288" i="7" s="1"/>
  <c r="H285" i="7"/>
  <c r="H284" i="7"/>
  <c r="H281" i="7"/>
  <c r="H280" i="7"/>
  <c r="H279" i="7"/>
  <c r="H278" i="7"/>
  <c r="H277" i="7"/>
  <c r="H276" i="7"/>
  <c r="H275" i="7"/>
  <c r="H274" i="7"/>
  <c r="H273" i="7"/>
  <c r="H270" i="7"/>
  <c r="H269" i="7"/>
  <c r="H268" i="7"/>
  <c r="H267" i="7"/>
  <c r="H266" i="7"/>
  <c r="H265" i="7"/>
  <c r="H264" i="7"/>
  <c r="H262" i="7"/>
  <c r="H261" i="7"/>
  <c r="H260" i="7"/>
  <c r="H259" i="7"/>
  <c r="H258" i="7"/>
  <c r="H255" i="7"/>
  <c r="H252" i="7"/>
  <c r="H248" i="7"/>
  <c r="H246" i="7"/>
  <c r="H243" i="7"/>
  <c r="H242" i="7"/>
  <c r="H241" i="7"/>
  <c r="D240" i="7"/>
  <c r="H240" i="7" s="1"/>
  <c r="D239" i="7"/>
  <c r="H239" i="7" s="1"/>
  <c r="H238" i="7"/>
  <c r="D237" i="7"/>
  <c r="H237" i="7" s="1"/>
  <c r="H236" i="7"/>
  <c r="H235" i="7"/>
  <c r="D234" i="7"/>
  <c r="H234" i="7" s="1"/>
  <c r="D233" i="7"/>
  <c r="H233" i="7" s="1"/>
  <c r="D232" i="7"/>
  <c r="H232" i="7" s="1"/>
  <c r="H209" i="7"/>
  <c r="D208" i="7"/>
  <c r="H208" i="7" s="1"/>
  <c r="D207" i="7"/>
  <c r="H207" i="7" s="1"/>
  <c r="D206" i="7"/>
  <c r="H206" i="7" s="1"/>
  <c r="H205" i="7"/>
  <c r="D203" i="7"/>
  <c r="H203" i="7" s="1"/>
  <c r="D202" i="7"/>
  <c r="H202" i="7" s="1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D188" i="7"/>
  <c r="H188" i="7" s="1"/>
  <c r="D187" i="7"/>
  <c r="H187" i="7" s="1"/>
  <c r="D186" i="7"/>
  <c r="H186" i="7" s="1"/>
  <c r="H180" i="7"/>
  <c r="D179" i="7"/>
  <c r="H179" i="7" s="1"/>
  <c r="D178" i="7"/>
  <c r="H178" i="7" s="1"/>
  <c r="D177" i="7"/>
  <c r="H177" i="7" s="1"/>
  <c r="H176" i="7"/>
  <c r="H175" i="7"/>
  <c r="H174" i="7"/>
  <c r="H173" i="7"/>
  <c r="H172" i="7"/>
  <c r="D171" i="7"/>
  <c r="H171" i="7" s="1"/>
  <c r="D170" i="7"/>
  <c r="H170" i="7" s="1"/>
  <c r="D169" i="7"/>
  <c r="H169" i="7" s="1"/>
  <c r="D168" i="7"/>
  <c r="H168" i="7" s="1"/>
  <c r="D167" i="7"/>
  <c r="H167" i="7" s="1"/>
  <c r="H162" i="7"/>
  <c r="H161" i="7"/>
  <c r="H159" i="7"/>
  <c r="H158" i="7"/>
  <c r="H157" i="7"/>
  <c r="H156" i="7"/>
  <c r="H155" i="7"/>
  <c r="H154" i="7"/>
  <c r="H153" i="7"/>
  <c r="H152" i="7"/>
  <c r="H151" i="7"/>
  <c r="H149" i="7"/>
  <c r="H148" i="7"/>
  <c r="H147" i="7"/>
  <c r="D146" i="7"/>
  <c r="H146" i="7" s="1"/>
  <c r="D145" i="7"/>
  <c r="H145" i="7" s="1"/>
  <c r="H144" i="7"/>
  <c r="D143" i="7"/>
  <c r="H143" i="7" s="1"/>
  <c r="H142" i="7"/>
  <c r="H141" i="7"/>
  <c r="D140" i="7"/>
  <c r="H140" i="7" s="1"/>
  <c r="D139" i="7"/>
  <c r="H139" i="7" s="1"/>
  <c r="D138" i="7"/>
  <c r="H138" i="7" s="1"/>
  <c r="H137" i="7"/>
  <c r="H136" i="7"/>
  <c r="H135" i="7"/>
  <c r="H134" i="7"/>
  <c r="H133" i="7"/>
  <c r="H132" i="7"/>
  <c r="H131" i="7"/>
  <c r="H130" i="7"/>
  <c r="D129" i="7"/>
  <c r="H129" i="7" s="1"/>
  <c r="D128" i="7"/>
  <c r="H128" i="7" s="1"/>
  <c r="D127" i="7"/>
  <c r="H127" i="7" s="1"/>
  <c r="D126" i="7"/>
  <c r="H126" i="7" s="1"/>
  <c r="H125" i="7"/>
  <c r="D124" i="7"/>
  <c r="H124" i="7" s="1"/>
  <c r="D123" i="7"/>
  <c r="H123" i="7" s="1"/>
  <c r="D122" i="7"/>
  <c r="H122" i="7" s="1"/>
  <c r="D121" i="7"/>
  <c r="H121" i="7" s="1"/>
  <c r="D120" i="7"/>
  <c r="H120" i="7" s="1"/>
  <c r="D119" i="7"/>
  <c r="H119" i="7" s="1"/>
  <c r="H118" i="7"/>
  <c r="H117" i="7"/>
  <c r="D116" i="7"/>
  <c r="H116" i="7" s="1"/>
  <c r="D115" i="7"/>
  <c r="H115" i="7" s="1"/>
  <c r="D110" i="7"/>
  <c r="H110" i="7" s="1"/>
  <c r="H109" i="7"/>
  <c r="D108" i="7"/>
  <c r="H108" i="7" s="1"/>
  <c r="D107" i="7"/>
  <c r="H107" i="7" s="1"/>
  <c r="H106" i="7"/>
  <c r="H105" i="7"/>
  <c r="H97" i="7"/>
  <c r="D96" i="7"/>
  <c r="H96" i="7" s="1"/>
  <c r="D88" i="7"/>
  <c r="H88" i="7" s="1"/>
  <c r="H87" i="7"/>
  <c r="H86" i="7"/>
  <c r="H85" i="7"/>
  <c r="D84" i="7"/>
  <c r="H84" i="7" s="1"/>
  <c r="D83" i="7"/>
  <c r="H83" i="7" s="1"/>
  <c r="D82" i="7"/>
  <c r="H82" i="7" s="1"/>
  <c r="D81" i="7"/>
  <c r="H81" i="7" s="1"/>
  <c r="H80" i="7"/>
  <c r="D79" i="7"/>
  <c r="H79" i="7" s="1"/>
  <c r="D78" i="7"/>
  <c r="H78" i="7" s="1"/>
  <c r="D77" i="7"/>
  <c r="H77" i="7" s="1"/>
  <c r="D76" i="7"/>
  <c r="H76" i="7" s="1"/>
  <c r="H75" i="7"/>
  <c r="H74" i="7"/>
  <c r="H73" i="7"/>
  <c r="H72" i="7"/>
  <c r="H71" i="7"/>
  <c r="H70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D53" i="7"/>
  <c r="H53" i="7" s="1"/>
  <c r="D52" i="7"/>
  <c r="H52" i="7" s="1"/>
  <c r="H51" i="7"/>
  <c r="D50" i="7"/>
  <c r="H50" i="7" s="1"/>
  <c r="D49" i="7"/>
  <c r="H49" i="7" s="1"/>
  <c r="D48" i="7"/>
  <c r="H48" i="7" s="1"/>
  <c r="H46" i="7"/>
  <c r="D45" i="7"/>
  <c r="H45" i="7" s="1"/>
  <c r="D44" i="7"/>
  <c r="H44" i="7" s="1"/>
  <c r="D43" i="7"/>
  <c r="H43" i="7" s="1"/>
  <c r="D42" i="7"/>
  <c r="H42" i="7" s="1"/>
  <c r="D41" i="7"/>
  <c r="H41" i="7" s="1"/>
  <c r="D40" i="7"/>
  <c r="H40" i="7" s="1"/>
  <c r="D39" i="7"/>
  <c r="H39" i="7" s="1"/>
  <c r="D38" i="7"/>
  <c r="H38" i="7" s="1"/>
  <c r="D37" i="7"/>
  <c r="H37" i="7" s="1"/>
  <c r="D36" i="7"/>
  <c r="H36" i="7" s="1"/>
  <c r="D35" i="7"/>
  <c r="H35" i="7" s="1"/>
  <c r="D34" i="7"/>
  <c r="H34" i="7" s="1"/>
  <c r="D33" i="7"/>
  <c r="H33" i="7" s="1"/>
  <c r="D32" i="7"/>
  <c r="H32" i="7" s="1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D17" i="7"/>
  <c r="H17" i="7" s="1"/>
  <c r="D16" i="7"/>
  <c r="H16" i="7" s="1"/>
  <c r="G15" i="7"/>
  <c r="E15" i="7"/>
  <c r="H15" i="7" s="1"/>
  <c r="G14" i="7"/>
  <c r="E14" i="7"/>
  <c r="H14" i="7" s="1"/>
  <c r="I343" i="5"/>
  <c r="I251" i="5"/>
  <c r="I160" i="5"/>
  <c r="I79" i="5"/>
  <c r="I61" i="5"/>
  <c r="H178" i="6"/>
  <c r="G418" i="6"/>
  <c r="F418" i="6"/>
  <c r="E418" i="6"/>
  <c r="F392" i="6"/>
  <c r="G348" i="6"/>
  <c r="F348" i="6"/>
  <c r="E348" i="6"/>
  <c r="H348" i="6" s="1"/>
  <c r="H414" i="6" s="1"/>
  <c r="G347" i="6"/>
  <c r="F347" i="6"/>
  <c r="E347" i="6"/>
  <c r="H347" i="6" s="1"/>
  <c r="G257" i="6"/>
  <c r="F257" i="6"/>
  <c r="E257" i="6"/>
  <c r="G256" i="6"/>
  <c r="F256" i="6"/>
  <c r="E256" i="6"/>
  <c r="H256" i="6" s="1"/>
  <c r="F220" i="6"/>
  <c r="D193" i="6"/>
  <c r="H193" i="6" s="1"/>
  <c r="H182" i="6"/>
  <c r="H185" i="6"/>
  <c r="H186" i="6"/>
  <c r="H188" i="6"/>
  <c r="G166" i="6"/>
  <c r="F166" i="6"/>
  <c r="E166" i="6"/>
  <c r="H166" i="6" s="1"/>
  <c r="G165" i="6"/>
  <c r="F165" i="6"/>
  <c r="E165" i="6"/>
  <c r="H165" i="6" s="1"/>
  <c r="G164" i="6"/>
  <c r="F164" i="6"/>
  <c r="E164" i="6"/>
  <c r="H164" i="6" s="1"/>
  <c r="G163" i="6"/>
  <c r="F163" i="6"/>
  <c r="E163" i="6"/>
  <c r="H163" i="6" s="1"/>
  <c r="G95" i="6"/>
  <c r="F95" i="6"/>
  <c r="E95" i="6"/>
  <c r="H95" i="6" s="1"/>
  <c r="G94" i="6"/>
  <c r="F94" i="6"/>
  <c r="E94" i="6"/>
  <c r="H94" i="6" s="1"/>
  <c r="H161" i="6" s="1"/>
  <c r="H417" i="5"/>
  <c r="G417" i="5"/>
  <c r="F417" i="5"/>
  <c r="G391" i="5"/>
  <c r="H347" i="5"/>
  <c r="G347" i="5"/>
  <c r="F347" i="5"/>
  <c r="H346" i="5"/>
  <c r="G346" i="5"/>
  <c r="F346" i="5"/>
  <c r="I346" i="5" s="1"/>
  <c r="H294" i="5"/>
  <c r="G294" i="5"/>
  <c r="F294" i="5"/>
  <c r="I294" i="5" s="1"/>
  <c r="H293" i="5"/>
  <c r="G293" i="5"/>
  <c r="F293" i="5"/>
  <c r="I293" i="5" s="1"/>
  <c r="G292" i="5"/>
  <c r="H256" i="5"/>
  <c r="G256" i="5"/>
  <c r="F256" i="5"/>
  <c r="H255" i="5"/>
  <c r="G255" i="5"/>
  <c r="F255" i="5"/>
  <c r="I255" i="5" s="1"/>
  <c r="G219" i="5"/>
  <c r="I190" i="5"/>
  <c r="I185" i="5"/>
  <c r="I180" i="5"/>
  <c r="I181" i="5"/>
  <c r="H165" i="5"/>
  <c r="G165" i="5"/>
  <c r="F165" i="5"/>
  <c r="I165" i="5" s="1"/>
  <c r="H163" i="5"/>
  <c r="G163" i="5"/>
  <c r="F163" i="5"/>
  <c r="I163" i="5" s="1"/>
  <c r="H162" i="5"/>
  <c r="G162" i="5"/>
  <c r="F162" i="5"/>
  <c r="I162" i="5" s="1"/>
  <c r="H106" i="4"/>
  <c r="H105" i="4"/>
  <c r="H104" i="4"/>
  <c r="H94" i="5"/>
  <c r="G94" i="5"/>
  <c r="F94" i="5"/>
  <c r="I94" i="5" s="1"/>
  <c r="H93" i="5"/>
  <c r="G93" i="5"/>
  <c r="F93" i="5"/>
  <c r="I93" i="5" s="1"/>
  <c r="H63" i="5"/>
  <c r="G63" i="5"/>
  <c r="F63" i="5"/>
  <c r="I63" i="5" s="1"/>
  <c r="H54" i="4"/>
  <c r="H53" i="4"/>
  <c r="H52" i="4"/>
  <c r="H51" i="4"/>
  <c r="I31" i="5"/>
  <c r="I26" i="5"/>
  <c r="I29" i="5"/>
  <c r="I30" i="5"/>
  <c r="I27" i="5"/>
  <c r="F18" i="4"/>
  <c r="G14" i="5"/>
  <c r="G15" i="5"/>
  <c r="D169" i="4"/>
  <c r="F413" i="4"/>
  <c r="E343" i="4"/>
  <c r="H343" i="4" s="1"/>
  <c r="E295" i="4"/>
  <c r="H295" i="4" s="1"/>
  <c r="F257" i="4"/>
  <c r="E167" i="4"/>
  <c r="H167" i="4" s="1"/>
  <c r="F165" i="4"/>
  <c r="E97" i="4"/>
  <c r="H97" i="4" s="1"/>
  <c r="F66" i="4"/>
  <c r="F17" i="4"/>
  <c r="H298" i="6"/>
  <c r="I347" i="5"/>
  <c r="H164" i="5"/>
  <c r="G164" i="5"/>
  <c r="F164" i="5"/>
  <c r="I164" i="5" s="1"/>
  <c r="G96" i="4"/>
  <c r="F96" i="4"/>
  <c r="H96" i="4" s="1"/>
  <c r="E96" i="4"/>
  <c r="G97" i="4"/>
  <c r="F97" i="4"/>
  <c r="I421" i="5"/>
  <c r="I420" i="5"/>
  <c r="I419" i="5"/>
  <c r="I418" i="5"/>
  <c r="I417" i="5"/>
  <c r="I422" i="5" s="1"/>
  <c r="I412" i="5"/>
  <c r="I411" i="5"/>
  <c r="I410" i="5"/>
  <c r="I409" i="5"/>
  <c r="I408" i="5"/>
  <c r="I407" i="5"/>
  <c r="I406" i="5"/>
  <c r="I405" i="5"/>
  <c r="E404" i="5"/>
  <c r="I404" i="5" s="1"/>
  <c r="E403" i="5"/>
  <c r="I403" i="5" s="1"/>
  <c r="E402" i="5"/>
  <c r="I402" i="5" s="1"/>
  <c r="E401" i="5"/>
  <c r="I401" i="5" s="1"/>
  <c r="E400" i="5"/>
  <c r="I400" i="5" s="1"/>
  <c r="E399" i="5"/>
  <c r="I399" i="5" s="1"/>
  <c r="E398" i="5"/>
  <c r="I398" i="5" s="1"/>
  <c r="E397" i="5"/>
  <c r="I397" i="5" s="1"/>
  <c r="E396" i="5"/>
  <c r="I396" i="5" s="1"/>
  <c r="E395" i="5"/>
  <c r="I395" i="5" s="1"/>
  <c r="E394" i="5"/>
  <c r="I394" i="5" s="1"/>
  <c r="I393" i="5"/>
  <c r="I392" i="5"/>
  <c r="I391" i="5"/>
  <c r="E390" i="5"/>
  <c r="I390" i="5" s="1"/>
  <c r="E389" i="5"/>
  <c r="I389" i="5" s="1"/>
  <c r="I388" i="5"/>
  <c r="E387" i="5"/>
  <c r="I387" i="5" s="1"/>
  <c r="E386" i="5"/>
  <c r="I386" i="5" s="1"/>
  <c r="E385" i="5"/>
  <c r="I385" i="5" s="1"/>
  <c r="I384" i="5"/>
  <c r="E383" i="5"/>
  <c r="I383" i="5" s="1"/>
  <c r="E382" i="5"/>
  <c r="I382" i="5" s="1"/>
  <c r="I381" i="5"/>
  <c r="I380" i="5"/>
  <c r="E379" i="5"/>
  <c r="I379" i="5" s="1"/>
  <c r="E378" i="5"/>
  <c r="I378" i="5" s="1"/>
  <c r="E377" i="5"/>
  <c r="I377" i="5" s="1"/>
  <c r="E376" i="5"/>
  <c r="I376" i="5" s="1"/>
  <c r="E375" i="5"/>
  <c r="I375" i="5" s="1"/>
  <c r="E374" i="5"/>
  <c r="I374" i="5" s="1"/>
  <c r="E373" i="5"/>
  <c r="I373" i="5" s="1"/>
  <c r="E372" i="5"/>
  <c r="I372" i="5" s="1"/>
  <c r="E371" i="5"/>
  <c r="I371" i="5" s="1"/>
  <c r="E370" i="5"/>
  <c r="I370" i="5" s="1"/>
  <c r="E369" i="5"/>
  <c r="I369" i="5" s="1"/>
  <c r="E368" i="5"/>
  <c r="I368" i="5" s="1"/>
  <c r="E367" i="5"/>
  <c r="I367" i="5" s="1"/>
  <c r="E366" i="5"/>
  <c r="I366" i="5" s="1"/>
  <c r="E365" i="5"/>
  <c r="I365" i="5" s="1"/>
  <c r="E364" i="5"/>
  <c r="I364" i="5" s="1"/>
  <c r="E363" i="5"/>
  <c r="I363" i="5" s="1"/>
  <c r="E362" i="5"/>
  <c r="I362" i="5" s="1"/>
  <c r="E361" i="5"/>
  <c r="I361" i="5" s="1"/>
  <c r="I360" i="5"/>
  <c r="E359" i="5"/>
  <c r="I359" i="5" s="1"/>
  <c r="I358" i="5"/>
  <c r="I357" i="5"/>
  <c r="I356" i="5"/>
  <c r="I355" i="5"/>
  <c r="I354" i="5"/>
  <c r="I353" i="5"/>
  <c r="I413" i="5" s="1"/>
  <c r="I414" i="5" s="1"/>
  <c r="I352" i="5"/>
  <c r="I351" i="5"/>
  <c r="I350" i="5"/>
  <c r="E349" i="5"/>
  <c r="I349" i="5" s="1"/>
  <c r="E348" i="5"/>
  <c r="I348" i="5" s="1"/>
  <c r="I342" i="5"/>
  <c r="I341" i="5"/>
  <c r="I340" i="5"/>
  <c r="I339" i="5"/>
  <c r="I338" i="5"/>
  <c r="I337" i="5"/>
  <c r="I336" i="5"/>
  <c r="I335" i="5"/>
  <c r="I334" i="5"/>
  <c r="I333" i="5"/>
  <c r="I332" i="5"/>
  <c r="I331" i="5"/>
  <c r="I330" i="5"/>
  <c r="I329" i="5"/>
  <c r="I328" i="5"/>
  <c r="I327" i="5"/>
  <c r="I326" i="5"/>
  <c r="E325" i="5"/>
  <c r="I325" i="5" s="1"/>
  <c r="E324" i="5"/>
  <c r="I324" i="5" s="1"/>
  <c r="E323" i="5"/>
  <c r="I323" i="5" s="1"/>
  <c r="E322" i="5"/>
  <c r="I322" i="5" s="1"/>
  <c r="E321" i="5"/>
  <c r="I321" i="5" s="1"/>
  <c r="E320" i="5"/>
  <c r="I320" i="5" s="1"/>
  <c r="I319" i="5"/>
  <c r="I318" i="5"/>
  <c r="I317" i="5"/>
  <c r="E316" i="5"/>
  <c r="I316" i="5" s="1"/>
  <c r="E315" i="5"/>
  <c r="I315" i="5" s="1"/>
  <c r="E314" i="5"/>
  <c r="I314" i="5" s="1"/>
  <c r="E313" i="5"/>
  <c r="I313" i="5" s="1"/>
  <c r="E312" i="5"/>
  <c r="I312" i="5" s="1"/>
  <c r="E311" i="5"/>
  <c r="I311" i="5" s="1"/>
  <c r="E310" i="5"/>
  <c r="I310" i="5" s="1"/>
  <c r="E309" i="5"/>
  <c r="I309" i="5" s="1"/>
  <c r="I308" i="5"/>
  <c r="E307" i="5"/>
  <c r="I307" i="5" s="1"/>
  <c r="I306" i="5"/>
  <c r="I305" i="5"/>
  <c r="I304" i="5"/>
  <c r="I303" i="5"/>
  <c r="I302" i="5"/>
  <c r="I301" i="5"/>
  <c r="I300" i="5"/>
  <c r="I299" i="5"/>
  <c r="I298" i="5"/>
  <c r="I297" i="5"/>
  <c r="E296" i="5"/>
  <c r="I296" i="5" s="1"/>
  <c r="E295" i="5"/>
  <c r="I295" i="5" s="1"/>
  <c r="H292" i="5"/>
  <c r="F292" i="5"/>
  <c r="I292" i="5" s="1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E276" i="5"/>
  <c r="I276" i="5" s="1"/>
  <c r="I275" i="5"/>
  <c r="I274" i="5"/>
  <c r="I273" i="5"/>
  <c r="E272" i="5"/>
  <c r="I272" i="5" s="1"/>
  <c r="E271" i="5"/>
  <c r="I271" i="5" s="1"/>
  <c r="E270" i="5"/>
  <c r="I270" i="5" s="1"/>
  <c r="I269" i="5"/>
  <c r="E268" i="5"/>
  <c r="I268" i="5" s="1"/>
  <c r="I267" i="5"/>
  <c r="I266" i="5"/>
  <c r="I265" i="5"/>
  <c r="I264" i="5"/>
  <c r="I263" i="5"/>
  <c r="I262" i="5"/>
  <c r="I261" i="5"/>
  <c r="I260" i="5"/>
  <c r="I259" i="5"/>
  <c r="I258" i="5"/>
  <c r="E257" i="5"/>
  <c r="I257" i="5" s="1"/>
  <c r="I256" i="5"/>
  <c r="I254" i="5"/>
  <c r="I253" i="5"/>
  <c r="I249" i="5"/>
  <c r="I248" i="5"/>
  <c r="E247" i="5"/>
  <c r="I247" i="5" s="1"/>
  <c r="E245" i="5"/>
  <c r="I245" i="5" s="1"/>
  <c r="E244" i="5"/>
  <c r="E246" i="5" s="1"/>
  <c r="I243" i="5"/>
  <c r="E242" i="5"/>
  <c r="I242" i="5" s="1"/>
  <c r="E241" i="5"/>
  <c r="I241" i="5" s="1"/>
  <c r="I240" i="5"/>
  <c r="E239" i="5"/>
  <c r="I239" i="5" s="1"/>
  <c r="E238" i="5"/>
  <c r="I238" i="5" s="1"/>
  <c r="E237" i="5"/>
  <c r="I237" i="5" s="1"/>
  <c r="E236" i="5"/>
  <c r="I236" i="5" s="1"/>
  <c r="E235" i="5"/>
  <c r="I235" i="5" s="1"/>
  <c r="I234" i="5"/>
  <c r="E233" i="5"/>
  <c r="I233" i="5" s="1"/>
  <c r="E232" i="5"/>
  <c r="I232" i="5" s="1"/>
  <c r="E231" i="5"/>
  <c r="I231" i="5" s="1"/>
  <c r="E230" i="5"/>
  <c r="I230" i="5" s="1"/>
  <c r="E229" i="5"/>
  <c r="I229" i="5" s="1"/>
  <c r="E228" i="5"/>
  <c r="I228" i="5" s="1"/>
  <c r="E227" i="5"/>
  <c r="I227" i="5" s="1"/>
  <c r="E226" i="5"/>
  <c r="I226" i="5" s="1"/>
  <c r="E225" i="5"/>
  <c r="I225" i="5" s="1"/>
  <c r="E224" i="5"/>
  <c r="I224" i="5" s="1"/>
  <c r="E223" i="5"/>
  <c r="I223" i="5" s="1"/>
  <c r="E222" i="5"/>
  <c r="I222" i="5" s="1"/>
  <c r="I221" i="5"/>
  <c r="E220" i="5"/>
  <c r="I220" i="5" s="1"/>
  <c r="E219" i="5"/>
  <c r="I219" i="5" s="1"/>
  <c r="E218" i="5"/>
  <c r="I218" i="5" s="1"/>
  <c r="E217" i="5"/>
  <c r="I217" i="5" s="1"/>
  <c r="E216" i="5"/>
  <c r="I216" i="5" s="1"/>
  <c r="E215" i="5"/>
  <c r="I215" i="5" s="1"/>
  <c r="E214" i="5"/>
  <c r="I214" i="5" s="1"/>
  <c r="E213" i="5"/>
  <c r="I213" i="5" s="1"/>
  <c r="I212" i="5"/>
  <c r="E211" i="5"/>
  <c r="I211" i="5" s="1"/>
  <c r="E210" i="5"/>
  <c r="I210" i="5" s="1"/>
  <c r="E209" i="5"/>
  <c r="I209" i="5" s="1"/>
  <c r="I208" i="5"/>
  <c r="E207" i="5"/>
  <c r="I207" i="5" s="1"/>
  <c r="E206" i="5"/>
  <c r="I206" i="5" s="1"/>
  <c r="E205" i="5"/>
  <c r="I205" i="5" s="1"/>
  <c r="E204" i="5"/>
  <c r="I204" i="5" s="1"/>
  <c r="I203" i="5"/>
  <c r="E202" i="5"/>
  <c r="I202" i="5" s="1"/>
  <c r="E201" i="5"/>
  <c r="I201" i="5" s="1"/>
  <c r="E200" i="5"/>
  <c r="I200" i="5" s="1"/>
  <c r="E199" i="5"/>
  <c r="I199" i="5" s="1"/>
  <c r="E198" i="5"/>
  <c r="I198" i="5" s="1"/>
  <c r="E197" i="5"/>
  <c r="I197" i="5" s="1"/>
  <c r="E196" i="5"/>
  <c r="I196" i="5" s="1"/>
  <c r="E195" i="5"/>
  <c r="I195" i="5" s="1"/>
  <c r="E194" i="5"/>
  <c r="I194" i="5" s="1"/>
  <c r="E193" i="5"/>
  <c r="I193" i="5" s="1"/>
  <c r="E192" i="5"/>
  <c r="I192" i="5" s="1"/>
  <c r="E191" i="5"/>
  <c r="I191" i="5" s="1"/>
  <c r="E189" i="5"/>
  <c r="I189" i="5" s="1"/>
  <c r="E188" i="5"/>
  <c r="I188" i="5" s="1"/>
  <c r="E187" i="5"/>
  <c r="I187" i="5" s="1"/>
  <c r="E186" i="5"/>
  <c r="I186" i="5" s="1"/>
  <c r="I184" i="5"/>
  <c r="E183" i="5"/>
  <c r="I183" i="5" s="1"/>
  <c r="E182" i="5"/>
  <c r="I182" i="5" s="1"/>
  <c r="I179" i="5"/>
  <c r="I178" i="5"/>
  <c r="I177" i="5"/>
  <c r="I176" i="5"/>
  <c r="I175" i="5"/>
  <c r="I174" i="5"/>
  <c r="I173" i="5"/>
  <c r="I172" i="5"/>
  <c r="I171" i="5"/>
  <c r="I170" i="5"/>
  <c r="I169" i="5"/>
  <c r="E168" i="5"/>
  <c r="I168" i="5" s="1"/>
  <c r="E167" i="5"/>
  <c r="I167" i="5" s="1"/>
  <c r="E166" i="5"/>
  <c r="I166" i="5" s="1"/>
  <c r="E159" i="5"/>
  <c r="I159" i="5" s="1"/>
  <c r="E158" i="5"/>
  <c r="I158" i="5" s="1"/>
  <c r="E157" i="5"/>
  <c r="I157" i="5" s="1"/>
  <c r="E156" i="5"/>
  <c r="I156" i="5" s="1"/>
  <c r="I155" i="5"/>
  <c r="I154" i="5"/>
  <c r="I153" i="5"/>
  <c r="I152" i="5"/>
  <c r="I151" i="5"/>
  <c r="I150" i="5"/>
  <c r="I149" i="5"/>
  <c r="I148" i="5"/>
  <c r="I147" i="5"/>
  <c r="I146" i="5"/>
  <c r="E145" i="5"/>
  <c r="I145" i="5" s="1"/>
  <c r="E144" i="5"/>
  <c r="I144" i="5" s="1"/>
  <c r="I143" i="5"/>
  <c r="E142" i="5"/>
  <c r="I142" i="5" s="1"/>
  <c r="I141" i="5"/>
  <c r="I140" i="5"/>
  <c r="E139" i="5"/>
  <c r="I139" i="5" s="1"/>
  <c r="E138" i="5"/>
  <c r="I138" i="5" s="1"/>
  <c r="E137" i="5"/>
  <c r="I137" i="5" s="1"/>
  <c r="E136" i="5"/>
  <c r="I136" i="5" s="1"/>
  <c r="E135" i="5"/>
  <c r="I135" i="5" s="1"/>
  <c r="E134" i="5"/>
  <c r="I134" i="5" s="1"/>
  <c r="E133" i="5"/>
  <c r="I133" i="5" s="1"/>
  <c r="E132" i="5"/>
  <c r="I132" i="5" s="1"/>
  <c r="E131" i="5"/>
  <c r="I131" i="5" s="1"/>
  <c r="E130" i="5"/>
  <c r="I130" i="5" s="1"/>
  <c r="E129" i="5"/>
  <c r="I129" i="5" s="1"/>
  <c r="I128" i="5"/>
  <c r="E127" i="5"/>
  <c r="I127" i="5" s="1"/>
  <c r="E126" i="5"/>
  <c r="I126" i="5" s="1"/>
  <c r="E125" i="5"/>
  <c r="I125" i="5" s="1"/>
  <c r="I124" i="5"/>
  <c r="I123" i="5"/>
  <c r="E122" i="5"/>
  <c r="I122" i="5" s="1"/>
  <c r="E121" i="5"/>
  <c r="I121" i="5" s="1"/>
  <c r="E120" i="5"/>
  <c r="I120" i="5" s="1"/>
  <c r="E119" i="5"/>
  <c r="I119" i="5" s="1"/>
  <c r="E118" i="5"/>
  <c r="I118" i="5" s="1"/>
  <c r="I117" i="5"/>
  <c r="I116" i="5"/>
  <c r="I115" i="5"/>
  <c r="E114" i="5"/>
  <c r="I114" i="5" s="1"/>
  <c r="E113" i="5"/>
  <c r="I113" i="5" s="1"/>
  <c r="E112" i="5"/>
  <c r="I112" i="5" s="1"/>
  <c r="E111" i="5"/>
  <c r="I111" i="5" s="1"/>
  <c r="E110" i="5"/>
  <c r="I110" i="5" s="1"/>
  <c r="E109" i="5"/>
  <c r="I109" i="5" s="1"/>
  <c r="E108" i="5"/>
  <c r="I108" i="5" s="1"/>
  <c r="E107" i="5"/>
  <c r="I107" i="5" s="1"/>
  <c r="E106" i="5"/>
  <c r="I106" i="5" s="1"/>
  <c r="E105" i="5"/>
  <c r="I105" i="5" s="1"/>
  <c r="I104" i="5"/>
  <c r="E103" i="5"/>
  <c r="I103" i="5" s="1"/>
  <c r="I102" i="5"/>
  <c r="I101" i="5"/>
  <c r="I100" i="5"/>
  <c r="I99" i="5"/>
  <c r="E98" i="5"/>
  <c r="I98" i="5" s="1"/>
  <c r="E97" i="5"/>
  <c r="I97" i="5" s="1"/>
  <c r="I96" i="5"/>
  <c r="I95" i="5"/>
  <c r="I87" i="5"/>
  <c r="E86" i="5"/>
  <c r="I86" i="5" s="1"/>
  <c r="E78" i="5"/>
  <c r="I78" i="5" s="1"/>
  <c r="E77" i="5"/>
  <c r="I77" i="5" s="1"/>
  <c r="E76" i="5"/>
  <c r="I76" i="5" s="1"/>
  <c r="E75" i="5"/>
  <c r="I75" i="5" s="1"/>
  <c r="E74" i="5"/>
  <c r="I74" i="5" s="1"/>
  <c r="E73" i="5"/>
  <c r="I73" i="5" s="1"/>
  <c r="E72" i="5"/>
  <c r="I72" i="5" s="1"/>
  <c r="E71" i="5"/>
  <c r="I71" i="5" s="1"/>
  <c r="E70" i="5"/>
  <c r="I70" i="5" s="1"/>
  <c r="E69" i="5"/>
  <c r="I69" i="5" s="1"/>
  <c r="E68" i="5"/>
  <c r="I68" i="5" s="1"/>
  <c r="I67" i="5"/>
  <c r="I66" i="5"/>
  <c r="I65" i="5"/>
  <c r="I64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E46" i="5"/>
  <c r="I46" i="5" s="1"/>
  <c r="E45" i="5"/>
  <c r="I45" i="5" s="1"/>
  <c r="E44" i="5"/>
  <c r="I44" i="5" s="1"/>
  <c r="E43" i="5"/>
  <c r="I43" i="5" s="1"/>
  <c r="E42" i="5"/>
  <c r="I42" i="5" s="1"/>
  <c r="E41" i="5"/>
  <c r="I41" i="5" s="1"/>
  <c r="E40" i="5"/>
  <c r="I40" i="5" s="1"/>
  <c r="E39" i="5"/>
  <c r="I39" i="5" s="1"/>
  <c r="E38" i="5"/>
  <c r="I38" i="5" s="1"/>
  <c r="E37" i="5"/>
  <c r="I37" i="5" s="1"/>
  <c r="E36" i="5"/>
  <c r="I36" i="5" s="1"/>
  <c r="E35" i="5"/>
  <c r="I35" i="5" s="1"/>
  <c r="E34" i="5"/>
  <c r="I34" i="5" s="1"/>
  <c r="E33" i="5"/>
  <c r="I33" i="5" s="1"/>
  <c r="E32" i="5"/>
  <c r="I32" i="5" s="1"/>
  <c r="I28" i="5"/>
  <c r="I25" i="5"/>
  <c r="I24" i="5"/>
  <c r="I23" i="5"/>
  <c r="I22" i="5"/>
  <c r="I21" i="5"/>
  <c r="I20" i="5"/>
  <c r="I19" i="5"/>
  <c r="I18" i="5"/>
  <c r="E17" i="5"/>
  <c r="I17" i="5" s="1"/>
  <c r="E16" i="5"/>
  <c r="I16" i="5" s="1"/>
  <c r="H15" i="5"/>
  <c r="F15" i="5"/>
  <c r="I15" i="5" s="1"/>
  <c r="H14" i="5"/>
  <c r="F14" i="5"/>
  <c r="I14" i="5" s="1"/>
  <c r="G342" i="4"/>
  <c r="G343" i="4"/>
  <c r="F343" i="4"/>
  <c r="F342" i="4"/>
  <c r="E342" i="4"/>
  <c r="H342" i="4" s="1"/>
  <c r="G167" i="4"/>
  <c r="F167" i="4"/>
  <c r="G166" i="4"/>
  <c r="F166" i="4"/>
  <c r="E166" i="4"/>
  <c r="H166" i="4" s="1"/>
  <c r="G258" i="4"/>
  <c r="G294" i="4"/>
  <c r="F294" i="4"/>
  <c r="E294" i="4"/>
  <c r="H294" i="4" s="1"/>
  <c r="G295" i="4"/>
  <c r="H417" i="4"/>
  <c r="H416" i="4"/>
  <c r="H415" i="4"/>
  <c r="H414" i="4"/>
  <c r="G413" i="4"/>
  <c r="E413" i="4"/>
  <c r="H413" i="4" s="1"/>
  <c r="H408" i="4"/>
  <c r="D407" i="4"/>
  <c r="H407" i="4" s="1"/>
  <c r="D406" i="4"/>
  <c r="H406" i="4" s="1"/>
  <c r="H405" i="4"/>
  <c r="H404" i="4"/>
  <c r="H403" i="4"/>
  <c r="H402" i="4"/>
  <c r="H401" i="4"/>
  <c r="H400" i="4"/>
  <c r="D399" i="4"/>
  <c r="H399" i="4" s="1"/>
  <c r="D398" i="4"/>
  <c r="H398" i="4" s="1"/>
  <c r="D397" i="4"/>
  <c r="H397" i="4" s="1"/>
  <c r="D396" i="4"/>
  <c r="H396" i="4" s="1"/>
  <c r="D395" i="4"/>
  <c r="H395" i="4" s="1"/>
  <c r="D394" i="4"/>
  <c r="H394" i="4" s="1"/>
  <c r="D393" i="4"/>
  <c r="H393" i="4" s="1"/>
  <c r="D392" i="4"/>
  <c r="H392" i="4" s="1"/>
  <c r="D391" i="4"/>
  <c r="H391" i="4" s="1"/>
  <c r="D390" i="4"/>
  <c r="H390" i="4" s="1"/>
  <c r="D389" i="4"/>
  <c r="H389" i="4" s="1"/>
  <c r="D388" i="4"/>
  <c r="H388" i="4" s="1"/>
  <c r="F387" i="4"/>
  <c r="D387" i="4"/>
  <c r="H387" i="4" s="1"/>
  <c r="D386" i="4"/>
  <c r="H386" i="4" s="1"/>
  <c r="H385" i="4"/>
  <c r="D384" i="4"/>
  <c r="H384" i="4" s="1"/>
  <c r="D383" i="4"/>
  <c r="H383" i="4" s="1"/>
  <c r="D382" i="4"/>
  <c r="H382" i="4" s="1"/>
  <c r="D381" i="4"/>
  <c r="H381" i="4" s="1"/>
  <c r="H380" i="4"/>
  <c r="H379" i="4"/>
  <c r="H378" i="4"/>
  <c r="H377" i="4"/>
  <c r="H376" i="4"/>
  <c r="D375" i="4"/>
  <c r="H375" i="4" s="1"/>
  <c r="D374" i="4"/>
  <c r="H374" i="4" s="1"/>
  <c r="D373" i="4"/>
  <c r="H373" i="4" s="1"/>
  <c r="D372" i="4"/>
  <c r="H372" i="4" s="1"/>
  <c r="D371" i="4"/>
  <c r="H371" i="4" s="1"/>
  <c r="D370" i="4"/>
  <c r="H370" i="4" s="1"/>
  <c r="D369" i="4"/>
  <c r="H369" i="4" s="1"/>
  <c r="D368" i="4"/>
  <c r="H368" i="4" s="1"/>
  <c r="D367" i="4"/>
  <c r="H367" i="4" s="1"/>
  <c r="D366" i="4"/>
  <c r="H366" i="4" s="1"/>
  <c r="D365" i="4"/>
  <c r="H365" i="4" s="1"/>
  <c r="D364" i="4"/>
  <c r="H364" i="4" s="1"/>
  <c r="D363" i="4"/>
  <c r="H363" i="4" s="1"/>
  <c r="D362" i="4"/>
  <c r="H362" i="4" s="1"/>
  <c r="D361" i="4"/>
  <c r="H361" i="4" s="1"/>
  <c r="D360" i="4"/>
  <c r="H360" i="4" s="1"/>
  <c r="D359" i="4"/>
  <c r="H359" i="4" s="1"/>
  <c r="D358" i="4"/>
  <c r="H358" i="4" s="1"/>
  <c r="D357" i="4"/>
  <c r="H357" i="4" s="1"/>
  <c r="H356" i="4"/>
  <c r="D355" i="4"/>
  <c r="H355" i="4" s="1"/>
  <c r="H354" i="4"/>
  <c r="H353" i="4"/>
  <c r="H352" i="4"/>
  <c r="H351" i="4"/>
  <c r="H350" i="4"/>
  <c r="H349" i="4"/>
  <c r="H348" i="4"/>
  <c r="H347" i="4"/>
  <c r="H346" i="4"/>
  <c r="D345" i="4"/>
  <c r="H345" i="4" s="1"/>
  <c r="D344" i="4"/>
  <c r="H344" i="4" s="1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D319" i="4"/>
  <c r="H319" i="4" s="1"/>
  <c r="D318" i="4"/>
  <c r="H318" i="4" s="1"/>
  <c r="D317" i="4"/>
  <c r="H317" i="4" s="1"/>
  <c r="H316" i="4"/>
  <c r="H315" i="4"/>
  <c r="H314" i="4"/>
  <c r="D313" i="4"/>
  <c r="H313" i="4" s="1"/>
  <c r="D312" i="4"/>
  <c r="H312" i="4" s="1"/>
  <c r="D311" i="4"/>
  <c r="H311" i="4" s="1"/>
  <c r="D310" i="4"/>
  <c r="H310" i="4" s="1"/>
  <c r="D309" i="4"/>
  <c r="H309" i="4" s="1"/>
  <c r="H308" i="4"/>
  <c r="D307" i="4"/>
  <c r="H307" i="4" s="1"/>
  <c r="H306" i="4"/>
  <c r="D305" i="4"/>
  <c r="H305" i="4" s="1"/>
  <c r="H304" i="4"/>
  <c r="H303" i="4"/>
  <c r="H302" i="4"/>
  <c r="H301" i="4"/>
  <c r="H300" i="4"/>
  <c r="H299" i="4"/>
  <c r="H298" i="4"/>
  <c r="D297" i="4"/>
  <c r="H297" i="4" s="1"/>
  <c r="D296" i="4"/>
  <c r="H296" i="4" s="1"/>
  <c r="F295" i="4"/>
  <c r="D291" i="4"/>
  <c r="H291" i="4" s="1"/>
  <c r="D290" i="4"/>
  <c r="H290" i="4" s="1"/>
  <c r="D289" i="4"/>
  <c r="H289" i="4" s="1"/>
  <c r="D288" i="4"/>
  <c r="H288" i="4" s="1"/>
  <c r="D287" i="4"/>
  <c r="H287" i="4" s="1"/>
  <c r="D286" i="4"/>
  <c r="H286" i="4" s="1"/>
  <c r="H285" i="4"/>
  <c r="D284" i="4"/>
  <c r="H284" i="4" s="1"/>
  <c r="D283" i="4"/>
  <c r="H283" i="4" s="1"/>
  <c r="D282" i="4"/>
  <c r="H282" i="4" s="1"/>
  <c r="H281" i="4"/>
  <c r="H280" i="4"/>
  <c r="D279" i="4"/>
  <c r="H279" i="4" s="1"/>
  <c r="D278" i="4"/>
  <c r="H278" i="4" s="1"/>
  <c r="D277" i="4"/>
  <c r="H277" i="4" s="1"/>
  <c r="D276" i="4"/>
  <c r="H276" i="4" s="1"/>
  <c r="D275" i="4"/>
  <c r="H275" i="4" s="1"/>
  <c r="D274" i="4"/>
  <c r="H274" i="4" s="1"/>
  <c r="H273" i="4"/>
  <c r="D272" i="4"/>
  <c r="H272" i="4" s="1"/>
  <c r="H271" i="4"/>
  <c r="D270" i="4"/>
  <c r="H270" i="4" s="1"/>
  <c r="H269" i="4"/>
  <c r="H268" i="4"/>
  <c r="H267" i="4"/>
  <c r="H266" i="4"/>
  <c r="H265" i="4"/>
  <c r="H264" i="4"/>
  <c r="H263" i="4"/>
  <c r="H262" i="4"/>
  <c r="H261" i="4"/>
  <c r="H260" i="4"/>
  <c r="D259" i="4"/>
  <c r="H259" i="4" s="1"/>
  <c r="F258" i="4"/>
  <c r="E258" i="4"/>
  <c r="H258" i="4" s="1"/>
  <c r="G257" i="4"/>
  <c r="E257" i="4"/>
  <c r="H257" i="4" s="1"/>
  <c r="H256" i="4"/>
  <c r="H255" i="4"/>
  <c r="H252" i="4"/>
  <c r="H251" i="4"/>
  <c r="H250" i="4"/>
  <c r="H249" i="4"/>
  <c r="H248" i="4"/>
  <c r="H247" i="4"/>
  <c r="H246" i="4"/>
  <c r="H245" i="4"/>
  <c r="H244" i="4"/>
  <c r="D243" i="4"/>
  <c r="H243" i="4" s="1"/>
  <c r="D242" i="4"/>
  <c r="H242" i="4" s="1"/>
  <c r="H241" i="4"/>
  <c r="H240" i="4"/>
  <c r="H239" i="4"/>
  <c r="H238" i="4"/>
  <c r="H237" i="4"/>
  <c r="H236" i="4"/>
  <c r="H235" i="4"/>
  <c r="D234" i="4"/>
  <c r="H234" i="4" s="1"/>
  <c r="H233" i="4"/>
  <c r="H232" i="4"/>
  <c r="H231" i="4"/>
  <c r="H230" i="4"/>
  <c r="H229" i="4"/>
  <c r="D228" i="4"/>
  <c r="H228" i="4" s="1"/>
  <c r="D227" i="4"/>
  <c r="H227" i="4" s="1"/>
  <c r="H226" i="4"/>
  <c r="D225" i="4"/>
  <c r="H225" i="4" s="1"/>
  <c r="D224" i="4"/>
  <c r="H224" i="4" s="1"/>
  <c r="H223" i="4"/>
  <c r="D222" i="4"/>
  <c r="H222" i="4" s="1"/>
  <c r="F221" i="4"/>
  <c r="D221" i="4"/>
  <c r="H221" i="4" s="1"/>
  <c r="D220" i="4"/>
  <c r="H220" i="4" s="1"/>
  <c r="D219" i="4"/>
  <c r="H219" i="4" s="1"/>
  <c r="D218" i="4"/>
  <c r="H218" i="4" s="1"/>
  <c r="H217" i="4"/>
  <c r="D216" i="4"/>
  <c r="H216" i="4" s="1"/>
  <c r="D215" i="4"/>
  <c r="H215" i="4" s="1"/>
  <c r="H214" i="4"/>
  <c r="D213" i="4"/>
  <c r="H213" i="4" s="1"/>
  <c r="D212" i="4"/>
  <c r="H212" i="4" s="1"/>
  <c r="D211" i="4"/>
  <c r="H211" i="4" s="1"/>
  <c r="D210" i="4"/>
  <c r="H210" i="4" s="1"/>
  <c r="D209" i="4"/>
  <c r="H209" i="4" s="1"/>
  <c r="D208" i="4"/>
  <c r="H208" i="4" s="1"/>
  <c r="D207" i="4"/>
  <c r="H207" i="4" s="1"/>
  <c r="D206" i="4"/>
  <c r="H206" i="4" s="1"/>
  <c r="D205" i="4"/>
  <c r="H205" i="4" s="1"/>
  <c r="D204" i="4"/>
  <c r="H204" i="4" s="1"/>
  <c r="D203" i="4"/>
  <c r="H203" i="4" s="1"/>
  <c r="D202" i="4"/>
  <c r="H202" i="4" s="1"/>
  <c r="D201" i="4"/>
  <c r="H201" i="4" s="1"/>
  <c r="D200" i="4"/>
  <c r="H200" i="4" s="1"/>
  <c r="D199" i="4"/>
  <c r="H199" i="4" s="1"/>
  <c r="D198" i="4"/>
  <c r="H198" i="4" s="1"/>
  <c r="D197" i="4"/>
  <c r="H197" i="4" s="1"/>
  <c r="D196" i="4"/>
  <c r="H196" i="4" s="1"/>
  <c r="D195" i="4"/>
  <c r="H195" i="4" s="1"/>
  <c r="D194" i="4"/>
  <c r="H194" i="4" s="1"/>
  <c r="D193" i="4"/>
  <c r="H193" i="4" s="1"/>
  <c r="D192" i="4"/>
  <c r="H192" i="4" s="1"/>
  <c r="H191" i="4"/>
  <c r="D190" i="4"/>
  <c r="H190" i="4" s="1"/>
  <c r="D189" i="4"/>
  <c r="H189" i="4" s="1"/>
  <c r="D188" i="4"/>
  <c r="H188" i="4" s="1"/>
  <c r="H187" i="4"/>
  <c r="H186" i="4"/>
  <c r="D185" i="4"/>
  <c r="H185" i="4" s="1"/>
  <c r="D184" i="4"/>
  <c r="H184" i="4" s="1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D170" i="4"/>
  <c r="H170" i="4" s="1"/>
  <c r="H169" i="4"/>
  <c r="D168" i="4"/>
  <c r="H168" i="4" s="1"/>
  <c r="G165" i="4"/>
  <c r="E165" i="4"/>
  <c r="H165" i="4" s="1"/>
  <c r="H162" i="4"/>
  <c r="D161" i="4"/>
  <c r="H161" i="4" s="1"/>
  <c r="D160" i="4"/>
  <c r="H160" i="4" s="1"/>
  <c r="D159" i="4"/>
  <c r="H159" i="4" s="1"/>
  <c r="H158" i="4"/>
  <c r="H157" i="4"/>
  <c r="H156" i="4"/>
  <c r="H155" i="4"/>
  <c r="H154" i="4"/>
  <c r="D153" i="4"/>
  <c r="H153" i="4" s="1"/>
  <c r="D152" i="4"/>
  <c r="H152" i="4" s="1"/>
  <c r="D151" i="4"/>
  <c r="H151" i="4" s="1"/>
  <c r="D150" i="4"/>
  <c r="H150" i="4" s="1"/>
  <c r="D149" i="4"/>
  <c r="H149" i="4" s="1"/>
  <c r="D148" i="4"/>
  <c r="H148" i="4" s="1"/>
  <c r="D147" i="4"/>
  <c r="H147" i="4" s="1"/>
  <c r="D146" i="4"/>
  <c r="H146" i="4" s="1"/>
  <c r="D145" i="4"/>
  <c r="H145" i="4" s="1"/>
  <c r="H144" i="4"/>
  <c r="H143" i="4"/>
  <c r="D142" i="4"/>
  <c r="H142" i="4" s="1"/>
  <c r="H141" i="4"/>
  <c r="H140" i="4"/>
  <c r="H139" i="4"/>
  <c r="H138" i="4"/>
  <c r="H137" i="4"/>
  <c r="H136" i="4"/>
  <c r="H135" i="4"/>
  <c r="H134" i="4"/>
  <c r="H133" i="4"/>
  <c r="D132" i="4"/>
  <c r="H132" i="4" s="1"/>
  <c r="H131" i="4"/>
  <c r="H130" i="4"/>
  <c r="H129" i="4"/>
  <c r="H128" i="4"/>
  <c r="H127" i="4"/>
  <c r="H126" i="4"/>
  <c r="H125" i="4"/>
  <c r="H124" i="4"/>
  <c r="H123" i="4"/>
  <c r="D122" i="4"/>
  <c r="H122" i="4" s="1"/>
  <c r="D121" i="4"/>
  <c r="H121" i="4" s="1"/>
  <c r="D120" i="4"/>
  <c r="H120" i="4" s="1"/>
  <c r="D119" i="4"/>
  <c r="H119" i="4" s="1"/>
  <c r="H118" i="4"/>
  <c r="D117" i="4"/>
  <c r="H117" i="4" s="1"/>
  <c r="D116" i="4"/>
  <c r="H116" i="4" s="1"/>
  <c r="D115" i="4"/>
  <c r="H115" i="4" s="1"/>
  <c r="D114" i="4"/>
  <c r="D113" i="4"/>
  <c r="H113" i="4" s="1"/>
  <c r="D112" i="4"/>
  <c r="H112" i="4" s="1"/>
  <c r="H111" i="4"/>
  <c r="H110" i="4"/>
  <c r="D109" i="4"/>
  <c r="H109" i="4" s="1"/>
  <c r="D108" i="4"/>
  <c r="H108" i="4" s="1"/>
  <c r="H107" i="4"/>
  <c r="D103" i="4"/>
  <c r="H103" i="4" s="1"/>
  <c r="H102" i="4"/>
  <c r="D101" i="4"/>
  <c r="H101" i="4" s="1"/>
  <c r="D100" i="4"/>
  <c r="H100" i="4" s="1"/>
  <c r="H99" i="4"/>
  <c r="H98" i="4"/>
  <c r="H90" i="4"/>
  <c r="H89" i="4"/>
  <c r="D81" i="4"/>
  <c r="H81" i="4" s="1"/>
  <c r="D80" i="4"/>
  <c r="H80" i="4" s="1"/>
  <c r="D79" i="4"/>
  <c r="H79" i="4" s="1"/>
  <c r="D78" i="4"/>
  <c r="H78" i="4" s="1"/>
  <c r="H77" i="4"/>
  <c r="D76" i="4"/>
  <c r="H76" i="4" s="1"/>
  <c r="D75" i="4"/>
  <c r="H75" i="4" s="1"/>
  <c r="D74" i="4"/>
  <c r="H74" i="4" s="1"/>
  <c r="D73" i="4"/>
  <c r="H73" i="4" s="1"/>
  <c r="H72" i="4"/>
  <c r="H71" i="4"/>
  <c r="H70" i="4"/>
  <c r="H69" i="4"/>
  <c r="H68" i="4"/>
  <c r="H67" i="4"/>
  <c r="G66" i="4"/>
  <c r="E66" i="4"/>
  <c r="H66" i="4" s="1"/>
  <c r="H63" i="4"/>
  <c r="H62" i="4"/>
  <c r="H61" i="4"/>
  <c r="H60" i="4"/>
  <c r="H59" i="4"/>
  <c r="H58" i="4"/>
  <c r="H57" i="4"/>
  <c r="H56" i="4"/>
  <c r="H55" i="4"/>
  <c r="H50" i="4"/>
  <c r="D49" i="4"/>
  <c r="H49" i="4" s="1"/>
  <c r="D48" i="4"/>
  <c r="H48" i="4" s="1"/>
  <c r="D47" i="4"/>
  <c r="H47" i="4" s="1"/>
  <c r="D46" i="4"/>
  <c r="H46" i="4" s="1"/>
  <c r="D45" i="4"/>
  <c r="H45" i="4" s="1"/>
  <c r="D44" i="4"/>
  <c r="H44" i="4" s="1"/>
  <c r="D43" i="4"/>
  <c r="H43" i="4" s="1"/>
  <c r="D42" i="4"/>
  <c r="H42" i="4" s="1"/>
  <c r="D41" i="4"/>
  <c r="H41" i="4" s="1"/>
  <c r="D40" i="4"/>
  <c r="H40" i="4" s="1"/>
  <c r="D39" i="4"/>
  <c r="H39" i="4" s="1"/>
  <c r="D38" i="4"/>
  <c r="H38" i="4" s="1"/>
  <c r="D36" i="4"/>
  <c r="H36" i="4" s="1"/>
  <c r="D35" i="4"/>
  <c r="H35" i="4" s="1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D20" i="4"/>
  <c r="H20" i="4" s="1"/>
  <c r="D19" i="4"/>
  <c r="H19" i="4" s="1"/>
  <c r="G18" i="4"/>
  <c r="E18" i="4"/>
  <c r="H18" i="4" s="1"/>
  <c r="G17" i="4"/>
  <c r="E17" i="4"/>
  <c r="H17" i="4" s="1"/>
  <c r="H259" i="6"/>
  <c r="H260" i="6"/>
  <c r="H261" i="6"/>
  <c r="H262" i="6"/>
  <c r="H263" i="6"/>
  <c r="H264" i="6"/>
  <c r="H265" i="6"/>
  <c r="H266" i="6"/>
  <c r="H267" i="6"/>
  <c r="H268" i="6"/>
  <c r="H270" i="6"/>
  <c r="H274" i="6"/>
  <c r="H275" i="6"/>
  <c r="H276" i="6"/>
  <c r="H277" i="6"/>
  <c r="H124" i="6"/>
  <c r="H125" i="6"/>
  <c r="H129" i="6"/>
  <c r="H141" i="6"/>
  <c r="H144" i="6"/>
  <c r="H147" i="6"/>
  <c r="H148" i="6"/>
  <c r="H149" i="6"/>
  <c r="H151" i="6"/>
  <c r="H152" i="6"/>
  <c r="H153" i="6"/>
  <c r="H154" i="6"/>
  <c r="H155" i="6"/>
  <c r="H156" i="6"/>
  <c r="H105" i="6"/>
  <c r="H117" i="6"/>
  <c r="H118" i="6"/>
  <c r="H103" i="6"/>
  <c r="H102" i="6"/>
  <c r="H101" i="6"/>
  <c r="H97" i="6"/>
  <c r="H100" i="6"/>
  <c r="H96" i="6"/>
  <c r="H88" i="6"/>
  <c r="D391" i="6"/>
  <c r="H391" i="6" s="1"/>
  <c r="D389" i="6"/>
  <c r="H389" i="6" s="1"/>
  <c r="D380" i="6"/>
  <c r="H380" i="6" s="1"/>
  <c r="D379" i="6"/>
  <c r="H379" i="6" s="1"/>
  <c r="D378" i="6"/>
  <c r="H378" i="6" s="1"/>
  <c r="D377" i="6"/>
  <c r="H377" i="6" s="1"/>
  <c r="D372" i="6"/>
  <c r="H372" i="6" s="1"/>
  <c r="D370" i="6"/>
  <c r="H370" i="6" s="1"/>
  <c r="D364" i="6"/>
  <c r="H364" i="6" s="1"/>
  <c r="D363" i="6"/>
  <c r="H363" i="6" s="1"/>
  <c r="D362" i="6"/>
  <c r="H362" i="6" s="1"/>
  <c r="D360" i="6"/>
  <c r="H360" i="6" s="1"/>
  <c r="H358" i="6"/>
  <c r="D324" i="6"/>
  <c r="H324" i="6" s="1"/>
  <c r="D323" i="6"/>
  <c r="H323" i="6" s="1"/>
  <c r="D314" i="6"/>
  <c r="H314" i="6" s="1"/>
  <c r="D313" i="6"/>
  <c r="H313" i="6" s="1"/>
  <c r="D311" i="6"/>
  <c r="H311" i="6" s="1"/>
  <c r="D310" i="6"/>
  <c r="H310" i="6" s="1"/>
  <c r="H307" i="6"/>
  <c r="D273" i="6"/>
  <c r="H273" i="6" s="1"/>
  <c r="D272" i="6"/>
  <c r="H272" i="6" s="1"/>
  <c r="D271" i="6"/>
  <c r="H271" i="6" s="1"/>
  <c r="D258" i="6"/>
  <c r="H258" i="6" s="1"/>
  <c r="D226" i="6"/>
  <c r="H226" i="6" s="1"/>
  <c r="D227" i="6"/>
  <c r="H227" i="6" s="1"/>
  <c r="D211" i="6"/>
  <c r="H211" i="6" s="1"/>
  <c r="D208" i="6"/>
  <c r="H208" i="6" s="1"/>
  <c r="D207" i="6"/>
  <c r="H207" i="6" s="1"/>
  <c r="D204" i="6"/>
  <c r="H204" i="6" s="1"/>
  <c r="D205" i="6"/>
  <c r="H205" i="6" s="1"/>
  <c r="D198" i="6"/>
  <c r="H198" i="6" s="1"/>
  <c r="D199" i="6"/>
  <c r="H199" i="6" s="1"/>
  <c r="D200" i="6"/>
  <c r="H200" i="6" s="1"/>
  <c r="D192" i="6"/>
  <c r="H192" i="6" s="1"/>
  <c r="D190" i="6"/>
  <c r="H190" i="6" s="1"/>
  <c r="D189" i="6"/>
  <c r="H189" i="6" s="1"/>
  <c r="D187" i="6"/>
  <c r="H187" i="6" s="1"/>
  <c r="D169" i="6"/>
  <c r="H169" i="6" s="1"/>
  <c r="D168" i="6"/>
  <c r="H168" i="6" s="1"/>
  <c r="D159" i="6"/>
  <c r="H159" i="6" s="1"/>
  <c r="D158" i="6"/>
  <c r="H158" i="6" s="1"/>
  <c r="D140" i="6"/>
  <c r="H140" i="6" s="1"/>
  <c r="D132" i="6"/>
  <c r="H132" i="6" s="1"/>
  <c r="D123" i="6"/>
  <c r="H123" i="6" s="1"/>
  <c r="D114" i="6"/>
  <c r="H114" i="6" s="1"/>
  <c r="D113" i="6"/>
  <c r="H113" i="6" s="1"/>
  <c r="D109" i="6"/>
  <c r="H109" i="6" s="1"/>
  <c r="D108" i="6"/>
  <c r="H108" i="6" s="1"/>
  <c r="D99" i="6"/>
  <c r="H99" i="6" s="1"/>
  <c r="D98" i="6"/>
  <c r="H98" i="6" s="1"/>
  <c r="D39" i="6"/>
  <c r="H39" i="6" s="1"/>
  <c r="H26" i="6"/>
  <c r="H422" i="6"/>
  <c r="H421" i="6"/>
  <c r="H420" i="6"/>
  <c r="H419" i="6"/>
  <c r="H418" i="6"/>
  <c r="H413" i="6"/>
  <c r="H412" i="6"/>
  <c r="H411" i="6"/>
  <c r="H410" i="6"/>
  <c r="H409" i="6"/>
  <c r="H408" i="6"/>
  <c r="H407" i="6"/>
  <c r="H406" i="6"/>
  <c r="H405" i="6"/>
  <c r="H404" i="6"/>
  <c r="H403" i="6"/>
  <c r="H402" i="6"/>
  <c r="H401" i="6"/>
  <c r="H400" i="6"/>
  <c r="H399" i="6"/>
  <c r="H398" i="6"/>
  <c r="H397" i="6"/>
  <c r="H396" i="6"/>
  <c r="H395" i="6"/>
  <c r="H394" i="6"/>
  <c r="H393" i="6"/>
  <c r="H392" i="6"/>
  <c r="H390" i="6"/>
  <c r="D388" i="6"/>
  <c r="H388" i="6" s="1"/>
  <c r="D387" i="6"/>
  <c r="H387" i="6" s="1"/>
  <c r="D386" i="6"/>
  <c r="H386" i="6" s="1"/>
  <c r="H385" i="6"/>
  <c r="D384" i="6"/>
  <c r="H384" i="6" s="1"/>
  <c r="D383" i="6"/>
  <c r="H383" i="6" s="1"/>
  <c r="H382" i="6"/>
  <c r="H381" i="6"/>
  <c r="H376" i="6"/>
  <c r="D375" i="6"/>
  <c r="H375" i="6" s="1"/>
  <c r="D374" i="6"/>
  <c r="H374" i="6" s="1"/>
  <c r="D373" i="6"/>
  <c r="H373" i="6" s="1"/>
  <c r="D371" i="6"/>
  <c r="H371" i="6" s="1"/>
  <c r="D369" i="6"/>
  <c r="H369" i="6" s="1"/>
  <c r="D368" i="6"/>
  <c r="H368" i="6" s="1"/>
  <c r="D367" i="6"/>
  <c r="H367" i="6" s="1"/>
  <c r="D366" i="6"/>
  <c r="H366" i="6" s="1"/>
  <c r="D365" i="6"/>
  <c r="H365" i="6" s="1"/>
  <c r="H361" i="6"/>
  <c r="H359" i="6"/>
  <c r="H357" i="6"/>
  <c r="H356" i="6"/>
  <c r="H355" i="6"/>
  <c r="H354" i="6"/>
  <c r="H353" i="6"/>
  <c r="H352" i="6"/>
  <c r="H351" i="6"/>
  <c r="D350" i="6"/>
  <c r="H350" i="6" s="1"/>
  <c r="D349" i="6"/>
  <c r="H349" i="6" s="1"/>
  <c r="H343" i="6"/>
  <c r="H342" i="6"/>
  <c r="H341" i="6"/>
  <c r="H340" i="6"/>
  <c r="H339" i="6"/>
  <c r="H338" i="6"/>
  <c r="H337" i="6"/>
  <c r="H336" i="6"/>
  <c r="H335" i="6"/>
  <c r="H334" i="6"/>
  <c r="H333" i="6"/>
  <c r="H332" i="6"/>
  <c r="H331" i="6"/>
  <c r="H330" i="6"/>
  <c r="H329" i="6"/>
  <c r="H328" i="6"/>
  <c r="H327" i="6"/>
  <c r="H326" i="6"/>
  <c r="H325" i="6"/>
  <c r="H322" i="6"/>
  <c r="D321" i="6"/>
  <c r="H321" i="6" s="1"/>
  <c r="H320" i="6"/>
  <c r="H319" i="6"/>
  <c r="H318" i="6"/>
  <c r="D317" i="6"/>
  <c r="H317" i="6" s="1"/>
  <c r="D316" i="6"/>
  <c r="H316" i="6" s="1"/>
  <c r="D315" i="6"/>
  <c r="H315" i="6" s="1"/>
  <c r="D312" i="6"/>
  <c r="H312" i="6" s="1"/>
  <c r="H309" i="6"/>
  <c r="D308" i="6"/>
  <c r="H308" i="6" s="1"/>
  <c r="H306" i="6"/>
  <c r="H305" i="6"/>
  <c r="H304" i="6"/>
  <c r="H303" i="6"/>
  <c r="H302" i="6"/>
  <c r="H301" i="6"/>
  <c r="H300" i="6"/>
  <c r="H299" i="6"/>
  <c r="D297" i="6"/>
  <c r="H297" i="6" s="1"/>
  <c r="D296" i="6"/>
  <c r="H296" i="6" s="1"/>
  <c r="H295" i="6"/>
  <c r="F295" i="6"/>
  <c r="F294" i="6"/>
  <c r="E294" i="6"/>
  <c r="H294" i="6" s="1"/>
  <c r="G293" i="6"/>
  <c r="F293" i="6"/>
  <c r="E293" i="6"/>
  <c r="H293" i="6" s="1"/>
  <c r="H344" i="6" s="1"/>
  <c r="H290" i="6"/>
  <c r="H289" i="6"/>
  <c r="H288" i="6"/>
  <c r="H287" i="6"/>
  <c r="H286" i="6"/>
  <c r="H285" i="6"/>
  <c r="H284" i="6"/>
  <c r="H283" i="6"/>
  <c r="H282" i="6"/>
  <c r="H281" i="6"/>
  <c r="H280" i="6"/>
  <c r="H279" i="6"/>
  <c r="H278" i="6"/>
  <c r="D269" i="6"/>
  <c r="H269" i="6" s="1"/>
  <c r="H257" i="6"/>
  <c r="H255" i="6"/>
  <c r="H254" i="6"/>
  <c r="H291" i="6" s="1"/>
  <c r="H250" i="6"/>
  <c r="H249" i="6"/>
  <c r="H244" i="6"/>
  <c r="D243" i="6"/>
  <c r="H243" i="6" s="1"/>
  <c r="H242" i="6"/>
  <c r="H241" i="6"/>
  <c r="H240" i="6"/>
  <c r="H239" i="6"/>
  <c r="H238" i="6"/>
  <c r="H237" i="6"/>
  <c r="H236" i="6"/>
  <c r="H235" i="6"/>
  <c r="H234" i="6"/>
  <c r="H233" i="6"/>
  <c r="D232" i="6"/>
  <c r="H232" i="6" s="1"/>
  <c r="D231" i="6"/>
  <c r="H231" i="6" s="1"/>
  <c r="D230" i="6"/>
  <c r="H230" i="6" s="1"/>
  <c r="D229" i="6"/>
  <c r="H229" i="6" s="1"/>
  <c r="D228" i="6"/>
  <c r="H228" i="6" s="1"/>
  <c r="D225" i="6"/>
  <c r="H225" i="6" s="1"/>
  <c r="D224" i="6"/>
  <c r="H224" i="6" s="1"/>
  <c r="D223" i="6"/>
  <c r="H223" i="6" s="1"/>
  <c r="D222" i="6"/>
  <c r="H222" i="6" s="1"/>
  <c r="D221" i="6"/>
  <c r="H221" i="6" s="1"/>
  <c r="D220" i="6"/>
  <c r="H220" i="6" s="1"/>
  <c r="D219" i="6"/>
  <c r="H219" i="6" s="1"/>
  <c r="D218" i="6"/>
  <c r="H218" i="6" s="1"/>
  <c r="D217" i="6"/>
  <c r="H217" i="6" s="1"/>
  <c r="H216" i="6"/>
  <c r="D215" i="6"/>
  <c r="H215" i="6" s="1"/>
  <c r="D214" i="6"/>
  <c r="H214" i="6" s="1"/>
  <c r="H213" i="6"/>
  <c r="D212" i="6"/>
  <c r="H212" i="6" s="1"/>
  <c r="D210" i="6"/>
  <c r="H210" i="6" s="1"/>
  <c r="H209" i="6"/>
  <c r="H206" i="6"/>
  <c r="D203" i="6"/>
  <c r="H203" i="6" s="1"/>
  <c r="H202" i="6"/>
  <c r="D201" i="6"/>
  <c r="H201" i="6" s="1"/>
  <c r="D197" i="6"/>
  <c r="H197" i="6" s="1"/>
  <c r="D196" i="6"/>
  <c r="H196" i="6" s="1"/>
  <c r="D195" i="6"/>
  <c r="H195" i="6" s="1"/>
  <c r="D194" i="6"/>
  <c r="H194" i="6" s="1"/>
  <c r="D191" i="6"/>
  <c r="H191" i="6" s="1"/>
  <c r="D184" i="6"/>
  <c r="H184" i="6" s="1"/>
  <c r="D183" i="6"/>
  <c r="H183" i="6" s="1"/>
  <c r="H181" i="6"/>
  <c r="H180" i="6"/>
  <c r="H179" i="6"/>
  <c r="H177" i="6"/>
  <c r="H176" i="6"/>
  <c r="H175" i="6"/>
  <c r="H174" i="6"/>
  <c r="H173" i="6"/>
  <c r="H172" i="6"/>
  <c r="H171" i="6"/>
  <c r="H170" i="6"/>
  <c r="D167" i="6"/>
  <c r="H167" i="6" s="1"/>
  <c r="D160" i="6"/>
  <c r="H160" i="6" s="1"/>
  <c r="D157" i="6"/>
  <c r="H157" i="6" s="1"/>
  <c r="D150" i="6"/>
  <c r="H150" i="6" s="1"/>
  <c r="D146" i="6"/>
  <c r="H146" i="6" s="1"/>
  <c r="D145" i="6"/>
  <c r="H145" i="6" s="1"/>
  <c r="D143" i="6"/>
  <c r="H143" i="6" s="1"/>
  <c r="D142" i="6"/>
  <c r="H142" i="6" s="1"/>
  <c r="D139" i="6"/>
  <c r="H139" i="6" s="1"/>
  <c r="D138" i="6"/>
  <c r="H138" i="6" s="1"/>
  <c r="D137" i="6"/>
  <c r="H137" i="6" s="1"/>
  <c r="D136" i="6"/>
  <c r="H136" i="6" s="1"/>
  <c r="D135" i="6"/>
  <c r="H135" i="6" s="1"/>
  <c r="D134" i="6"/>
  <c r="H134" i="6" s="1"/>
  <c r="D133" i="6"/>
  <c r="H133" i="6" s="1"/>
  <c r="D131" i="6"/>
  <c r="H131" i="6" s="1"/>
  <c r="D130" i="6"/>
  <c r="H130" i="6" s="1"/>
  <c r="D128" i="6"/>
  <c r="H128" i="6" s="1"/>
  <c r="D127" i="6"/>
  <c r="H127" i="6" s="1"/>
  <c r="D126" i="6"/>
  <c r="H126" i="6" s="1"/>
  <c r="D122" i="6"/>
  <c r="H122" i="6" s="1"/>
  <c r="D121" i="6"/>
  <c r="H121" i="6" s="1"/>
  <c r="D120" i="6"/>
  <c r="H120" i="6" s="1"/>
  <c r="D119" i="6"/>
  <c r="H119" i="6" s="1"/>
  <c r="D116" i="6"/>
  <c r="H116" i="6" s="1"/>
  <c r="D115" i="6"/>
  <c r="H115" i="6" s="1"/>
  <c r="D112" i="6"/>
  <c r="H112" i="6" s="1"/>
  <c r="D111" i="6"/>
  <c r="H111" i="6" s="1"/>
  <c r="D110" i="6"/>
  <c r="H110" i="6" s="1"/>
  <c r="D107" i="6"/>
  <c r="H107" i="6" s="1"/>
  <c r="D106" i="6"/>
  <c r="H106" i="6" s="1"/>
  <c r="D104" i="6"/>
  <c r="H104" i="6" s="1"/>
  <c r="D87" i="6"/>
  <c r="D246" i="6" s="1"/>
  <c r="H246" i="6" s="1"/>
  <c r="H79" i="6"/>
  <c r="H78" i="6"/>
  <c r="H77" i="6"/>
  <c r="H76" i="6"/>
  <c r="H75" i="6"/>
  <c r="H74" i="6"/>
  <c r="H73" i="6"/>
  <c r="H72" i="6"/>
  <c r="D71" i="6"/>
  <c r="H71" i="6" s="1"/>
  <c r="D70" i="6"/>
  <c r="H70" i="6" s="1"/>
  <c r="D69" i="6"/>
  <c r="H69" i="6" s="1"/>
  <c r="H68" i="6"/>
  <c r="H67" i="6"/>
  <c r="H66" i="6"/>
  <c r="H80" i="6" s="1"/>
  <c r="D65" i="6"/>
  <c r="H65" i="6" s="1"/>
  <c r="G64" i="6"/>
  <c r="F64" i="6"/>
  <c r="E64" i="6"/>
  <c r="H64" i="6" s="1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D43" i="6"/>
  <c r="H43" i="6" s="1"/>
  <c r="D42" i="6"/>
  <c r="H42" i="6" s="1"/>
  <c r="D41" i="6"/>
  <c r="H41" i="6" s="1"/>
  <c r="D40" i="6"/>
  <c r="H40" i="6" s="1"/>
  <c r="D38" i="6"/>
  <c r="H38" i="6" s="1"/>
  <c r="D37" i="6"/>
  <c r="H37" i="6" s="1"/>
  <c r="D36" i="6"/>
  <c r="H36" i="6" s="1"/>
  <c r="H35" i="6"/>
  <c r="D34" i="6"/>
  <c r="H34" i="6" s="1"/>
  <c r="D33" i="6"/>
  <c r="H33" i="6" s="1"/>
  <c r="H32" i="6"/>
  <c r="D31" i="6"/>
  <c r="H31" i="6" s="1"/>
  <c r="H30" i="6"/>
  <c r="H29" i="6"/>
  <c r="D28" i="6"/>
  <c r="H28" i="6" s="1"/>
  <c r="H27" i="6"/>
  <c r="H25" i="6"/>
  <c r="H24" i="6"/>
  <c r="H23" i="6"/>
  <c r="H22" i="6"/>
  <c r="H21" i="6"/>
  <c r="H20" i="6"/>
  <c r="H19" i="6"/>
  <c r="H18" i="6"/>
  <c r="D17" i="6"/>
  <c r="H17" i="6" s="1"/>
  <c r="D16" i="6"/>
  <c r="H16" i="6" s="1"/>
  <c r="G15" i="6"/>
  <c r="F15" i="6"/>
  <c r="E15" i="6"/>
  <c r="H15" i="6" s="1"/>
  <c r="G14" i="6"/>
  <c r="F14" i="6"/>
  <c r="E14" i="6"/>
  <c r="H14" i="6" s="1"/>
  <c r="H62" i="6" s="1"/>
  <c r="H64" i="4" l="1"/>
  <c r="H82" i="4"/>
  <c r="H327" i="9"/>
  <c r="H387" i="9"/>
  <c r="H468" i="9"/>
  <c r="H469" i="9" s="1"/>
  <c r="H181" i="9"/>
  <c r="H89" i="9"/>
  <c r="H477" i="9"/>
  <c r="H477" i="8"/>
  <c r="H468" i="8"/>
  <c r="H469" i="8" s="1"/>
  <c r="H387" i="8"/>
  <c r="H327" i="8"/>
  <c r="H180" i="8"/>
  <c r="H88" i="8"/>
  <c r="H66" i="8"/>
  <c r="H97" i="8"/>
  <c r="H99" i="8" s="1"/>
  <c r="H462" i="7"/>
  <c r="H382" i="7"/>
  <c r="H327" i="7"/>
  <c r="H282" i="7"/>
  <c r="H181" i="7"/>
  <c r="H89" i="7"/>
  <c r="H67" i="7"/>
  <c r="H98" i="7"/>
  <c r="H100" i="7" s="1"/>
  <c r="H471" i="7"/>
  <c r="H67" i="9"/>
  <c r="D275" i="9"/>
  <c r="H96" i="9"/>
  <c r="H98" i="9" s="1"/>
  <c r="H100" i="9" s="1"/>
  <c r="D276" i="9"/>
  <c r="H276" i="9" s="1"/>
  <c r="H277" i="8"/>
  <c r="D281" i="8"/>
  <c r="H281" i="8" s="1"/>
  <c r="H275" i="8"/>
  <c r="H415" i="6"/>
  <c r="I290" i="5"/>
  <c r="I88" i="5"/>
  <c r="I90" i="5" s="1"/>
  <c r="H292" i="4"/>
  <c r="H163" i="4"/>
  <c r="H340" i="4"/>
  <c r="H418" i="4"/>
  <c r="H253" i="4"/>
  <c r="H409" i="4"/>
  <c r="E250" i="5"/>
  <c r="I250" i="5" s="1"/>
  <c r="I246" i="5"/>
  <c r="I244" i="5"/>
  <c r="H91" i="4"/>
  <c r="H93" i="4" s="1"/>
  <c r="H87" i="6"/>
  <c r="H89" i="6" s="1"/>
  <c r="H91" i="6" s="1"/>
  <c r="H423" i="6"/>
  <c r="D248" i="6"/>
  <c r="H248" i="6" s="1"/>
  <c r="D245" i="6"/>
  <c r="H282" i="8" l="1"/>
  <c r="H388" i="8" s="1"/>
  <c r="H89" i="8"/>
  <c r="H463" i="7"/>
  <c r="H476" i="7" s="1"/>
  <c r="H90" i="7"/>
  <c r="H90" i="9"/>
  <c r="D277" i="9"/>
  <c r="H275" i="9"/>
  <c r="I344" i="5"/>
  <c r="H83" i="4"/>
  <c r="I80" i="5"/>
  <c r="H410" i="4"/>
  <c r="H81" i="6"/>
  <c r="H245" i="6"/>
  <c r="D247" i="6"/>
  <c r="H483" i="8" l="1"/>
  <c r="H484" i="8" s="1"/>
  <c r="H485" i="8" s="1"/>
  <c r="H477" i="7"/>
  <c r="H478" i="7" s="1"/>
  <c r="H479" i="7" s="1"/>
  <c r="H277" i="9"/>
  <c r="D281" i="9"/>
  <c r="H281" i="9" s="1"/>
  <c r="H252" i="6"/>
  <c r="I427" i="5"/>
  <c r="I428" i="5" s="1"/>
  <c r="I429" i="5" s="1"/>
  <c r="I430" i="5" s="1"/>
  <c r="H423" i="4"/>
  <c r="H424" i="4" s="1"/>
  <c r="H425" i="4" s="1"/>
  <c r="H426" i="4" s="1"/>
  <c r="H247" i="6"/>
  <c r="D251" i="6"/>
  <c r="H251" i="6" s="1"/>
  <c r="H282" i="9" l="1"/>
  <c r="H388" i="9" s="1"/>
  <c r="H345" i="6"/>
  <c r="H428" i="6" s="1"/>
  <c r="H482" i="9" l="1"/>
  <c r="H483" i="9" s="1"/>
  <c r="H484" i="9" s="1"/>
  <c r="H485" i="9" s="1"/>
  <c r="H429" i="6"/>
  <c r="H430" i="6" s="1"/>
  <c r="H431" i="6" s="1"/>
</calcChain>
</file>

<file path=xl/sharedStrings.xml><?xml version="1.0" encoding="utf-8"?>
<sst xmlns="http://schemas.openxmlformats.org/spreadsheetml/2006/main" count="8119" uniqueCount="857">
  <si>
    <t xml:space="preserve"> </t>
  </si>
  <si>
    <t>Projeto: JUNTOS PELO ARAGUAIA - LOTE PILOTO</t>
  </si>
  <si>
    <t>PRAZO: 36 MESES</t>
  </si>
  <si>
    <t>ÁREA DE ABRANGÊNCIA: 50.000 ha</t>
  </si>
  <si>
    <t>META I - DIAGNÓSTICO MEIO BIOFÍSICO</t>
  </si>
  <si>
    <t>1</t>
  </si>
  <si>
    <t xml:space="preserve"> Realizado pela UFV - Universidade Federal de Viçosa</t>
  </si>
  <si>
    <t>Unidade</t>
  </si>
  <si>
    <t>QTDE</t>
  </si>
  <si>
    <t>VALOR TOTAL</t>
  </si>
  <si>
    <t>META II - MOBILIZAÇÃO INSTITUCIONAL E DIRETA</t>
  </si>
  <si>
    <t xml:space="preserve">ETAPA 1 - MOBILIZAÇÃO E SENSIBILIZAÇÃO SOCIAL COM PROPRITÁRIOS RURAIS - ORGANIZAÇÕES E LIDERANÇAS LOCAIS </t>
  </si>
  <si>
    <t>1.1</t>
  </si>
  <si>
    <t>mês</t>
  </si>
  <si>
    <t>1.2</t>
  </si>
  <si>
    <t>vb</t>
  </si>
  <si>
    <t>1.3</t>
  </si>
  <si>
    <t>Equipamento: Notebook intel core i7, com as especificações mínimas ou similares: 16 GB, SSD 256 a 512 GB, tela 15 a 16, windows</t>
  </si>
  <si>
    <t>uni</t>
  </si>
  <si>
    <t>1.4</t>
  </si>
  <si>
    <t>1.5</t>
  </si>
  <si>
    <t>1.6</t>
  </si>
  <si>
    <t>1.7</t>
  </si>
  <si>
    <t>1.8</t>
  </si>
  <si>
    <t>1.9</t>
  </si>
  <si>
    <t>1.10</t>
  </si>
  <si>
    <t>Equipamento: Serviços de telefonia móvel</t>
  </si>
  <si>
    <t>1.11</t>
  </si>
  <si>
    <t>1.12</t>
  </si>
  <si>
    <t>1.13</t>
  </si>
  <si>
    <t>1.14</t>
  </si>
  <si>
    <t>Litro</t>
  </si>
  <si>
    <t>1.15</t>
  </si>
  <si>
    <t>1.16</t>
  </si>
  <si>
    <t>1.17</t>
  </si>
  <si>
    <t xml:space="preserve">EPI - Uniforme - Calça de brim estilo cargo
</t>
  </si>
  <si>
    <t xml:space="preserve">EPI - Uniforme - Camisa social com bolso e logotipo bordado no bolso e nas mangas
</t>
  </si>
  <si>
    <t>1.18</t>
  </si>
  <si>
    <t>EPI - Uniforme - Camisa de malha PV com logotipo silcado na frente e nas costas</t>
  </si>
  <si>
    <t>1.19</t>
  </si>
  <si>
    <t>1.20</t>
  </si>
  <si>
    <t>EPI - Bota ponteira de PVC nobuck com cadarço</t>
  </si>
  <si>
    <t>1.21</t>
  </si>
  <si>
    <t>EPI - Perneira com velcro</t>
  </si>
  <si>
    <t>1.22</t>
  </si>
  <si>
    <t>EPI - Chapéu de Palha / boné árabe</t>
  </si>
  <si>
    <t>1.23</t>
  </si>
  <si>
    <t>EPI - Luvas mista 20 mm x 1/2" - vaqueta ou multitato</t>
  </si>
  <si>
    <t>1.24</t>
  </si>
  <si>
    <t>1.25</t>
  </si>
  <si>
    <t>EPI - Capa de chuva - calça e capa manga longa</t>
  </si>
  <si>
    <t>1.26</t>
  </si>
  <si>
    <t>EPI - Bota Galocha/PVC</t>
  </si>
  <si>
    <t>1.27</t>
  </si>
  <si>
    <t>EPI - Cantil de 2lt</t>
  </si>
  <si>
    <t>1.28</t>
  </si>
  <si>
    <t>1.29</t>
  </si>
  <si>
    <t>1.30</t>
  </si>
  <si>
    <t>1.31</t>
  </si>
  <si>
    <t>1.32</t>
  </si>
  <si>
    <t>1.33</t>
  </si>
  <si>
    <t>Material grafico: Crachás</t>
  </si>
  <si>
    <t>1.34</t>
  </si>
  <si>
    <t>Material grafico: Flyers</t>
  </si>
  <si>
    <t>1.35</t>
  </si>
  <si>
    <t>Material gráfico: banner do projeto 2x1,5mt</t>
  </si>
  <si>
    <t>1.36</t>
  </si>
  <si>
    <t>Material reuniões: canetas esferograficas</t>
  </si>
  <si>
    <t>cx</t>
  </si>
  <si>
    <t>1.37</t>
  </si>
  <si>
    <t>Material reuniões: pranchetas</t>
  </si>
  <si>
    <t>1.38</t>
  </si>
  <si>
    <t>Material reuniões: Papel sulfite</t>
  </si>
  <si>
    <t>1.39</t>
  </si>
  <si>
    <t>Material reuniões: cartolinas</t>
  </si>
  <si>
    <t>1.40</t>
  </si>
  <si>
    <t>Material reuniões: canetas hidrograficas grossas</t>
  </si>
  <si>
    <t>1.41</t>
  </si>
  <si>
    <t>1.42</t>
  </si>
  <si>
    <t>1.43</t>
  </si>
  <si>
    <t>2</t>
  </si>
  <si>
    <t>2.1</t>
  </si>
  <si>
    <t>Equipe: Analista de ambiental + encargos trabalhistas (incluso rescisão) - (2 pessoas)</t>
  </si>
  <si>
    <t>2.2</t>
  </si>
  <si>
    <t>2.3</t>
  </si>
  <si>
    <t>2.4</t>
  </si>
  <si>
    <t>2.5</t>
  </si>
  <si>
    <t>2.6</t>
  </si>
  <si>
    <t>2.7</t>
  </si>
  <si>
    <t>2.8</t>
  </si>
  <si>
    <t>EPI - Uniforme - Camisa de manha PV manga longa, com logotipo silcado na frente e nas costas</t>
  </si>
  <si>
    <t>2.9</t>
  </si>
  <si>
    <t>2.10</t>
  </si>
  <si>
    <t>2.11</t>
  </si>
  <si>
    <t>2.12</t>
  </si>
  <si>
    <t>2.13</t>
  </si>
  <si>
    <t>EPI - Filtro Solar 2lt</t>
  </si>
  <si>
    <t>2.14</t>
  </si>
  <si>
    <t>2.15</t>
  </si>
  <si>
    <t>2.16</t>
  </si>
  <si>
    <t>META III - PRODUÇÃO E/OU AQUISIÇÃO DE SEMENTES E MUDAS</t>
  </si>
  <si>
    <t xml:space="preserve">ETAPA 1 - PRODUÇÃO E/OU AQUISIÇÃO DE SEMENTES E MUDAS </t>
  </si>
  <si>
    <t>META III - ETAPA 1 - PARCIAL</t>
  </si>
  <si>
    <t>rolo</t>
  </si>
  <si>
    <t>AQUISIÇÃO DE MUDAS</t>
  </si>
  <si>
    <t>1.3.1</t>
  </si>
  <si>
    <t>Equipamento: Aparelho celular com câmera fotogradica e roteador wifi</t>
  </si>
  <si>
    <t>Equipamento - Roçadeira costal + manutenção preventiva</t>
  </si>
  <si>
    <t>lt</t>
  </si>
  <si>
    <t>tubo</t>
  </si>
  <si>
    <t>sc</t>
  </si>
  <si>
    <t>META III - ETAPA 1</t>
  </si>
  <si>
    <t>META IV - IMPLEMENTAÇÃO DOS PROJETOS DA META I</t>
  </si>
  <si>
    <t>ETAPA 1 - PRÉ-PLANTIO: CERCAMENTO</t>
  </si>
  <si>
    <t>Equipe: Encarregado de  plantio + encargos trabalhistas (incluso rescisão) (1 pessoa)</t>
  </si>
  <si>
    <t>Equipe: Auxiliares de plantio + encargos trabalhistas (incluso rescisão) - (4 pessoa)</t>
  </si>
  <si>
    <t>1.44</t>
  </si>
  <si>
    <t>Equipamento - Perfurador de solo + manutenção preventiva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</si>
  <si>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</si>
  <si>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</si>
  <si>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</si>
  <si>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</si>
  <si>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</si>
  <si>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</si>
  <si>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</si>
  <si>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</si>
  <si>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</si>
  <si>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</si>
  <si>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</si>
  <si>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</si>
  <si>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</si>
  <si>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</si>
  <si>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</si>
  <si>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</si>
  <si>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</si>
  <si>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</si>
  <si>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</si>
  <si>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</si>
  <si>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kg</t>
  </si>
  <si>
    <t>META IV- ETAPA 1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</si>
  <si>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</si>
  <si>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</si>
  <si>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</si>
  <si>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</si>
  <si>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</si>
  <si>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</si>
  <si>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</si>
  <si>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</si>
  <si>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</si>
  <si>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</si>
  <si>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</si>
  <si>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</si>
  <si>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</si>
  <si>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</si>
  <si>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</si>
  <si>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</si>
  <si>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</si>
  <si>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</si>
  <si>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</si>
  <si>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</si>
  <si>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</si>
  <si>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</si>
  <si>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</si>
  <si>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</si>
  <si>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</si>
  <si>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</si>
  <si>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</si>
  <si>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</si>
  <si>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</si>
  <si>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</si>
  <si>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</si>
  <si>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2.49</t>
  </si>
  <si>
    <t>2.48</t>
  </si>
  <si>
    <t>2.50</t>
  </si>
  <si>
    <t>2.51</t>
  </si>
  <si>
    <t>2.52</t>
  </si>
  <si>
    <t>2.53</t>
  </si>
  <si>
    <t>2.54</t>
  </si>
  <si>
    <t>2.55</t>
  </si>
  <si>
    <t>2.56</t>
  </si>
  <si>
    <t>2.57</t>
  </si>
  <si>
    <t>2.58</t>
  </si>
  <si>
    <t>2.59</t>
  </si>
  <si>
    <t>2.60</t>
  </si>
  <si>
    <t>2.61</t>
  </si>
  <si>
    <t>2.62</t>
  </si>
  <si>
    <t>2.63</t>
  </si>
  <si>
    <t>2.64</t>
  </si>
  <si>
    <t>2.65</t>
  </si>
  <si>
    <t>2.66</t>
  </si>
  <si>
    <t>2.67</t>
  </si>
  <si>
    <t>2.68</t>
  </si>
  <si>
    <t>2.69</t>
  </si>
  <si>
    <t>2.70</t>
  </si>
  <si>
    <t>2.71</t>
  </si>
  <si>
    <t>2.72</t>
  </si>
  <si>
    <t>2.73</t>
  </si>
  <si>
    <t>2.74</t>
  </si>
  <si>
    <t>2.75</t>
  </si>
  <si>
    <t>2.76</t>
  </si>
  <si>
    <t>2.77</t>
  </si>
  <si>
    <t>2.78</t>
  </si>
  <si>
    <t>2.79</t>
  </si>
  <si>
    <t>2.80</t>
  </si>
  <si>
    <t>2.81</t>
  </si>
  <si>
    <t>2.82</t>
  </si>
  <si>
    <t>2.83</t>
  </si>
  <si>
    <t>2.84</t>
  </si>
  <si>
    <t>2.85</t>
  </si>
  <si>
    <t>2.86</t>
  </si>
  <si>
    <t>META IV - ETAPA 2</t>
  </si>
  <si>
    <t>3</t>
  </si>
  <si>
    <t>3.1</t>
  </si>
  <si>
    <t xml:space="preserve">Hora máquina terraceamento/subsolagem - Retro desnivel de 1,5 a 2mts - </t>
  </si>
  <si>
    <t>hr</t>
  </si>
  <si>
    <t>3.2</t>
  </si>
  <si>
    <t>Hora máquina barraguinha - pá carregadeira</t>
  </si>
  <si>
    <t>3.3</t>
  </si>
  <si>
    <t>Equipe: Analista Ambiental de conservação de solo + encargos trabalhistas (incluso rescisão) (1 pessoa)</t>
  </si>
  <si>
    <t>3.4</t>
  </si>
  <si>
    <t>Equipe: Apropriador  + encargos trabalhistas (incluso rescisão)(2 pessoas)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</si>
  <si>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</si>
  <si>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</si>
  <si>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</si>
  <si>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</si>
  <si>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</si>
  <si>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</si>
  <si>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</si>
  <si>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</si>
  <si>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</si>
  <si>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</si>
  <si>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</si>
  <si>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</si>
  <si>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</si>
  <si>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</si>
  <si>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</si>
  <si>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</si>
  <si>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</si>
  <si>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</si>
  <si>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</si>
  <si>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</si>
  <si>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</si>
  <si>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</si>
  <si>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</si>
  <si>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</si>
  <si>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</si>
  <si>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</si>
  <si>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</si>
  <si>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</si>
  <si>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</si>
  <si>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</si>
  <si>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</si>
  <si>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</si>
  <si>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META IV - ETAPA 3</t>
  </si>
  <si>
    <t xml:space="preserve">META IV </t>
  </si>
  <si>
    <t>META V - ETAPA 1</t>
  </si>
  <si>
    <t>3.5</t>
  </si>
  <si>
    <t>4</t>
  </si>
  <si>
    <t>ETAPA 4 - MONITORAMENTO  ECOLÓGICO - ÁREAS RECUPERADAS</t>
  </si>
  <si>
    <t>4.1</t>
  </si>
  <si>
    <t>Equipe: Analistas de Implantação + encargos trabalhistas (incluso rescisão)(monitoramento e manutenção) (1 pessoa)</t>
  </si>
  <si>
    <t>4.2</t>
  </si>
  <si>
    <t>Encarregado de monitoramento + encargos trabalhistas (incluso rescisão) (1 pessoa)</t>
  </si>
  <si>
    <t>4.3</t>
  </si>
  <si>
    <t>Auxiliar de produção monitoramento + encargos trabalhistas (incluso rescisão)(2 pessoa)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</si>
  <si>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</si>
  <si>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</si>
  <si>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</si>
  <si>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</si>
  <si>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</si>
  <si>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</si>
  <si>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</si>
  <si>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</si>
  <si>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</si>
  <si>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</si>
  <si>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</si>
  <si>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</si>
  <si>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</si>
  <si>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</si>
  <si>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</si>
  <si>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</si>
  <si>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</si>
  <si>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</si>
  <si>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</si>
  <si>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</si>
  <si>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</si>
  <si>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</si>
  <si>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</si>
  <si>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</si>
  <si>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</si>
  <si>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</si>
  <si>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</si>
  <si>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</si>
  <si>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</si>
  <si>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</si>
  <si>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</si>
  <si>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</si>
  <si>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</si>
  <si>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</si>
  <si>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</si>
  <si>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</si>
  <si>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</si>
  <si>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Insumo: Placa branca para identificação das parcelas</t>
  </si>
  <si>
    <t>4.43</t>
  </si>
  <si>
    <t>4.44</t>
  </si>
  <si>
    <t>4.45</t>
  </si>
  <si>
    <t>4.46</t>
  </si>
  <si>
    <t>4.47</t>
  </si>
  <si>
    <t>4.48</t>
  </si>
  <si>
    <t>4.49</t>
  </si>
  <si>
    <t>META V - ETAPA 4</t>
  </si>
  <si>
    <t>5</t>
  </si>
  <si>
    <t>ETAPA 5 - MANUTENÇÃO ÁREAS RECUPERADAS</t>
  </si>
  <si>
    <t>5.1</t>
  </si>
  <si>
    <t>Encarregado de Manutenção + encargos trabalhistas (incluso rescisão) (1 pessoa)</t>
  </si>
  <si>
    <t>5.2</t>
  </si>
  <si>
    <t>Auxiliar de produção + encargos trabalhistas (incluso rescisão)(4 pessoas)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</si>
  <si>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</si>
  <si>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</si>
  <si>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</si>
  <si>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</si>
  <si>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</si>
  <si>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</si>
  <si>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</si>
  <si>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</si>
  <si>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</si>
  <si>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</si>
  <si>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</si>
  <si>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</si>
  <si>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</si>
  <si>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</si>
  <si>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</si>
  <si>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</si>
  <si>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</si>
  <si>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</si>
  <si>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</si>
  <si>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</si>
  <si>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</si>
  <si>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</si>
  <si>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</si>
  <si>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</si>
  <si>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</si>
  <si>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</si>
  <si>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</si>
  <si>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</si>
  <si>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</si>
  <si>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</si>
  <si>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</si>
  <si>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</si>
  <si>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</si>
  <si>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</si>
  <si>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</si>
  <si>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</si>
  <si>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</si>
  <si>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</si>
  <si>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</si>
  <si>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</si>
  <si>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</si>
  <si>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</si>
  <si>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</si>
  <si>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</si>
  <si>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</si>
  <si>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5.48</t>
  </si>
  <si>
    <t>5.49</t>
  </si>
  <si>
    <t>5.50</t>
  </si>
  <si>
    <t>5.51</t>
  </si>
  <si>
    <t>5.52</t>
  </si>
  <si>
    <t>5.53</t>
  </si>
  <si>
    <t>5.54</t>
  </si>
  <si>
    <t>5.55</t>
  </si>
  <si>
    <t>5.56</t>
  </si>
  <si>
    <t>5.57</t>
  </si>
  <si>
    <t>5.58</t>
  </si>
  <si>
    <t>5.59</t>
  </si>
  <si>
    <t>5.60</t>
  </si>
  <si>
    <t>5.61</t>
  </si>
  <si>
    <t>5.62</t>
  </si>
  <si>
    <t>5.63</t>
  </si>
  <si>
    <t>5.64</t>
  </si>
  <si>
    <t>5.65</t>
  </si>
  <si>
    <t>5.66</t>
  </si>
  <si>
    <t>5.67</t>
  </si>
  <si>
    <t>1.</t>
  </si>
  <si>
    <t xml:space="preserve">ETAPA 1 - AÇÕES DE COMUNICAÇÃO DO PROJETO E DAS AÇÕES </t>
  </si>
  <si>
    <t>4.21</t>
  </si>
  <si>
    <t>4.22</t>
  </si>
  <si>
    <t xml:space="preserve">META III </t>
  </si>
  <si>
    <t>2.87</t>
  </si>
  <si>
    <t>2.88</t>
  </si>
  <si>
    <t>META IV - ETAPA 4</t>
  </si>
  <si>
    <t xml:space="preserve">META V - COMUNICAÇÃO DO PROJETO E DAS AÇÕES </t>
  </si>
  <si>
    <t>META VI - GESTÃO ADMINISTRATIVA, TÉCNICA, INSTITUCIONAL E CONSULTORIA</t>
  </si>
  <si>
    <t>META II - ETAPA 2</t>
  </si>
  <si>
    <t>META II</t>
  </si>
  <si>
    <t>ETAPA 2 - ELABORAÇÃO DE PROJETOS POR PROPRIEDADE + INTELIGENCIA TERRITORIAL</t>
  </si>
  <si>
    <t xml:space="preserve">ETAPA 2 - RESTAURAÇÃO FLORESTAL - PLANTIO </t>
  </si>
  <si>
    <t>Equipe: Analista de Implantação (cercamento, plantio)  + encargos trabalhistas (incluso rescisão)(1 pessoa)</t>
  </si>
  <si>
    <t>Equipe: Auxiliares de plantio  + encargos trabalhistas (incluso rescisão) (12 pessoas)</t>
  </si>
  <si>
    <t>Transporte de EQUIPE VAN</t>
  </si>
  <si>
    <t>Equipe: Apropriador  + encargos trabalhistas (incluso rescisão)(1 pessoa)</t>
  </si>
  <si>
    <t>Encarregado de plantio + encargos trabalhistas (incluso rescisão)(1 pessoa)</t>
  </si>
  <si>
    <t>Auxiliar de produção monitoramento + encargos trabalhistas (incluso rescisão)(1 pessoa)</t>
  </si>
  <si>
    <t>PJ - Filmagem e edição de 5 vídeos institucionais explicativos com imagens de antes e depois (feitas por terra e por drone) retratando as ações de recuperação e de mobilização do projeto</t>
  </si>
  <si>
    <t>PJ - Filmagem e edição de 20 vídeos curtos (minuto) para postagens em redes sociais</t>
  </si>
  <si>
    <t>PJ - Elaboração de enxoval e identidade visual do projeto</t>
  </si>
  <si>
    <t>Equipe: Analista de comunicação</t>
  </si>
  <si>
    <t>Insumo: Placas de divulgação do projeto instaladas em áreas de implementação do projeto</t>
  </si>
  <si>
    <t xml:space="preserve">Frete para entrega das mudas </t>
  </si>
  <si>
    <t>Orçamento 2</t>
  </si>
  <si>
    <t>Orçamento 3</t>
  </si>
  <si>
    <t>Orçamento 1</t>
  </si>
  <si>
    <t>Material grafico - Cartilhas</t>
  </si>
  <si>
    <t>Material grafico - Folders</t>
  </si>
  <si>
    <t>Material grafico - Crachás</t>
  </si>
  <si>
    <t>Material grafico - Flyers</t>
  </si>
  <si>
    <t>Diárias para alimentação e hospedagem (Home)</t>
  </si>
  <si>
    <t>Encarregado de restauração  + encargos trabalhistas (incluso rescisão)(2 pessoas)</t>
  </si>
  <si>
    <t>balde</t>
  </si>
  <si>
    <t>META II - ETAPA 1</t>
  </si>
  <si>
    <t>1.3.2</t>
  </si>
  <si>
    <t>Equipe: Encarregado de  plantio + encargos trabalhistas (incluso rescisão) (2 pessoas)</t>
  </si>
  <si>
    <t>Equipe: Auxiliares de plantio + encargos trabalhistas (incluso rescisão) - (8 pessoas)</t>
  </si>
  <si>
    <t>Equipe: Auxiliares de produção  + encargos trabalhistas (incluso rescisão) (24 pessoas)</t>
  </si>
  <si>
    <t>Equipe: Analistas de Implantação + encargos trabalhistas (incluso rescisão)(cercamento, plantio) (1 pessoa)</t>
  </si>
  <si>
    <t>ETAPA 3 -RECUPERAÇÃO DE SOLO 30HA</t>
  </si>
  <si>
    <t>META IV- ETAPA 2</t>
  </si>
  <si>
    <t>4.50</t>
  </si>
  <si>
    <t>4.51</t>
  </si>
  <si>
    <t>4.52</t>
  </si>
  <si>
    <t>4.53</t>
  </si>
  <si>
    <t>Auxiliar de produção + encargos trabalhistas (incluso rescisão)(8 pessoas)</t>
  </si>
  <si>
    <t>6.1</t>
  </si>
  <si>
    <t>6.2</t>
  </si>
  <si>
    <t>6.3</t>
  </si>
  <si>
    <t>6.4</t>
  </si>
  <si>
    <t>6.5</t>
  </si>
  <si>
    <t>Equipe: Analista de comunicação (2 pesssoas)</t>
  </si>
  <si>
    <t>Encarregado de Manutenção + encargos trabalhistas (incluso rescisão) (2 pessoas)</t>
  </si>
  <si>
    <t>Equipe: Apropriador  + encargos trabalhistas (incluso rescisão)(4 pessoas)</t>
  </si>
  <si>
    <t>ETAPA 3 -ATIVIDADES DE PRÁTICAS MECÂNICAS DE CONSERVAÇÃO DE SOLO E DA ÁGUA  (15HA)</t>
  </si>
  <si>
    <t xml:space="preserve">ÁREA RECUPERADA: 50 ha. </t>
  </si>
  <si>
    <t xml:space="preserve">PRÁTICAS MECÂNICAS: 15  ha. </t>
  </si>
  <si>
    <t xml:space="preserve">RESTAURAÇÃO FLORESTAL: 35 ha. </t>
  </si>
  <si>
    <t>ÁREA DE ABRANGÊNCIA: 100.000 ha</t>
  </si>
  <si>
    <t xml:space="preserve">ÁREA RECUPERADA: 100 ha. </t>
  </si>
  <si>
    <t xml:space="preserve">RESTAURAÇÃO FLORESTAL: 70 ha. </t>
  </si>
  <si>
    <t>CERCAMENTO: 20km</t>
  </si>
  <si>
    <t>ÁREA DE ABRANGÊNCIA: 200.000 ha</t>
  </si>
  <si>
    <t xml:space="preserve">ÁREA RECUPERADA: 200 ha. </t>
  </si>
  <si>
    <t xml:space="preserve">PRÁTICAS MECÂNICAS: 60  ha. </t>
  </si>
  <si>
    <t xml:space="preserve">RESTAURAÇÃO FLORESTAL: 140 ha. </t>
  </si>
  <si>
    <t>Equipe: Encarregado de  plantio + encargos trabalhistas (incluso rescisão) (4 pessoas)</t>
  </si>
  <si>
    <t>Equipe: Auxiliares de plantio + encargos trabalhistas (incluso rescisão) - (16 pessoas)</t>
  </si>
  <si>
    <t>CERCAMENTO: 40km</t>
  </si>
  <si>
    <t>CERCAMENTO: 10km</t>
  </si>
  <si>
    <t>Equipe: Auxiliares de produção  + encargos trabalhistas (incluso rescisão) (48 pessoas)</t>
  </si>
  <si>
    <t>Hora máquina terraceamento/subsolagem - Retro desnivel de 1,5 a 2mts -</t>
  </si>
  <si>
    <t>Equipe: Analista ambiental + encargos trabalhistas (incluso rescisão) - (1 analista de produção)</t>
  </si>
  <si>
    <t>EMPRESAS COM RISCO 3 e 4</t>
  </si>
  <si>
    <t>PJ - Filmagem e edição de 3 vídeos institucionais explicativos com imagens de antes e depois (feitas por terra e por drone) retratando as ações de recuperação e de mobilização do projeto</t>
  </si>
  <si>
    <t>Equipe: Analista ambiental + encargos trabalhistas (incluso rescisão) - (1 analista institucional )</t>
  </si>
  <si>
    <t>Equipamento - Drone com lente otimizada 4k - 1 equipamento/colaborador</t>
  </si>
  <si>
    <t>Equipamento: Serviços de telefonia móvel - pacote mensal</t>
  </si>
  <si>
    <t>Transporte: Veiculo - Plotagem (2 veículos) - 1 plotagem x veiculo</t>
  </si>
  <si>
    <t>Transporte: Mensalidade rastreador - 1 equipamento por veiculo x mês</t>
  </si>
  <si>
    <t>Transporte: Veiculo -  Rastreador (2 veículos) - 1 equipamento por veículo</t>
  </si>
  <si>
    <t>Transporte: Combustivel (gasolina/etanol) 36 meses - 1 tanque/semana x mês x 36 meses</t>
  </si>
  <si>
    <t>Transporte: Combustivel (gasolina/etanol) 9 meses - 1 tanque/semana x mês x 9 meses</t>
  </si>
  <si>
    <t>Transporte: Kit primeiros socorros - veículos - 1 kit x veiculo x ano</t>
  </si>
  <si>
    <t>EPI - Uniforme - Calça de brim estilo cargo - 6 calças x colaborador x ano</t>
  </si>
  <si>
    <t>EPI - Uniforme - Camisa social com bolso e logotipo bordado no bolso e nas  - 6 camisas x colaborador x ano</t>
  </si>
  <si>
    <t>EPI - Bota ponteira de PVC nobuck com cadarço - 2 botas x colaborador x ano</t>
  </si>
  <si>
    <t>EPI - Perneira com velcro - 2 perneiras x colaborador x ano</t>
  </si>
  <si>
    <t>EPI - Luvas mista 20 mm x 1/2" - vaqueta ou multitato - 10 luvas x colaborador</t>
  </si>
  <si>
    <t>EPI - Capa de chuva - calça e capa manga longa - 1 capa x colaborador x ano</t>
  </si>
  <si>
    <t>EPI - Bota Galocha/PVC - 1 bota x colaborador x ano</t>
  </si>
  <si>
    <t>EPI - Filtro Solar - 2lt - 2 unidades x colaborador x ano</t>
  </si>
  <si>
    <t>EPI - Cantil de 2lt - 1 cantil x colaborador x ano</t>
  </si>
  <si>
    <t>EPI - Calço de segurança para veiculo utilitário - 1 calço x veiculo x ano</t>
  </si>
  <si>
    <t>Diárias (hospedagem e  alimentação) - 8 diárias para validação de dados</t>
  </si>
  <si>
    <t>Equipamento: Notebook intel core i7, com as especificações mínimas ou similares: 16 GB, SSD 256 a 512 GB, tela 15 a 16, windows - 1 equipamento x colaborador</t>
  </si>
  <si>
    <t>Equipamento: Aparelho celular com câmera fotogradica e roteador wifi - 1 equipamento x colaborador</t>
  </si>
  <si>
    <t>EPI - Uniforme - Calça de brim estilo cargo - 4 calças x colaborador x ano</t>
  </si>
  <si>
    <t>EPI - Uniforme - Camisa social com bolso e logotipo bordado no bolso e nas mangas - 4 camisas x colaborador x ano</t>
  </si>
  <si>
    <t>EPI - Uniforme - Camisa de manha PV manga longa, com logotipo silcado na frente e nas costas - 2 camisas x colaborador x ano</t>
  </si>
  <si>
    <t>EPI - Chapéu de Palha / boné árabe - 2 chapéus x colaborador x ano</t>
  </si>
  <si>
    <t>EPI - Luvas mista 20 mm x 1/2" - vaqueta ou multitato - 2 luvas x colaborador</t>
  </si>
  <si>
    <t>Diárias (hospedagem e  alimentação) - 3 dias/semana x mês x 36 meses x colaborador</t>
  </si>
  <si>
    <t>Diárias (hospedagem e  alimentação) - 4 dias/semana x mês x 9 meses x colaborador</t>
  </si>
  <si>
    <t>Equipamento: Projetor multimidia com no minimo 3400 Lúmens, XGA, HDMI e Bivolt - 1 equipamento x analista institucional</t>
  </si>
  <si>
    <t>Transporte: Veiculo: Plotagem (1 veículo) - 1 plotagem x veiculo</t>
  </si>
  <si>
    <t>EPI - Filtro Solar 2lt - 2 unidades x colaborador x ano</t>
  </si>
  <si>
    <t>EPI - Bota Galocha / PVC - 1 bota x colaborador x ano</t>
  </si>
  <si>
    <t>EPI - Calço de seguraça para veículo utilitário - 1 calço x veiculo</t>
  </si>
  <si>
    <t>EPI - Cones de sinalização de segurança - 50 ou 75 cm - 2 cones x veículo</t>
  </si>
  <si>
    <t>EPI - Catracas 50mm - 2 catracas x veículo</t>
  </si>
  <si>
    <t>EPI - Catracas 24mm - 4 catracas x veículo</t>
  </si>
  <si>
    <t>Papelaria: canetas esferograficas - 1 caixa x equipe</t>
  </si>
  <si>
    <t>Papelaria: pranchetas - 2 pranchetas x equipe</t>
  </si>
  <si>
    <t>PRODUÇÃO DE MUDAS: 50.400</t>
  </si>
  <si>
    <t>Transporte: Kit primeiros socorros - 1 kit x veiculo x ano</t>
  </si>
  <si>
    <t>EPI - Uniforme - Camisa de manga PV manga longa, com logotipo silcado na frente e nas costas - 6 camisas x colaborador x ano</t>
  </si>
  <si>
    <t>EPI - Luvas multitato - 2 luvas x colaborador x mês</t>
  </si>
  <si>
    <t>EPI - Filtro Solar 2lt - 1 unidades x mês</t>
  </si>
  <si>
    <t>EPI - Avental de raspa  - roçadeira - 2 aventais x roçadeira</t>
  </si>
  <si>
    <t>EPI - Protetor facial - roçadeira - 2 protetores x roçadeira</t>
  </si>
  <si>
    <t>EPI - Luvas de alto impacto - roçadeira - 4 luvas x roçadeira</t>
  </si>
  <si>
    <t>EPI - Cinto segurança - roçadeira - 2 cintos x roçadeira</t>
  </si>
  <si>
    <t>EPI - Óculos de Segurança Policarbonato incolor - roçadeira - 2 óculos x roçadeira</t>
  </si>
  <si>
    <t>Equipamento - Combustivel gasolina (roçadeira) - 10lt/semana x roçadeira x mês</t>
  </si>
  <si>
    <t>Equipamento - Óleo 2 tempos Sthtill - 10lt x roçadeira</t>
  </si>
  <si>
    <t>Equipamento - Graxa Sthill para roçadeira - 10 tubos x roçadeira</t>
  </si>
  <si>
    <t>Equipamento - Chave cachimbo - 4 chave x roçadeira</t>
  </si>
  <si>
    <t>Ferramentas: Lima KF com 20 limas - 8 limas x mês</t>
  </si>
  <si>
    <t>Insumo: Balde de 12 lt - 3 baldes x colaborador x ano</t>
  </si>
  <si>
    <t>Alimentação de equipe de campo (almoço) - 20 marmitas x colaborador x mês</t>
  </si>
  <si>
    <t>Lanche equipe de campo - 20 marmitas x colaborador x mês</t>
  </si>
  <si>
    <t>Transporte: Veículo utilitario: categoria 1.0 - Mobi, Gol, entre outros (1 veículo) - 1 veiculo x analista institutcional</t>
  </si>
  <si>
    <t>Transporte: Veículo utilitario: categoria 1.0 - Mobi, Gol, entre outros (1 veículo) - 1 veiculo x analista de produção</t>
  </si>
  <si>
    <t>EPI - Uniforme - Camisa social com bolso e logotipo bordado no bolso e nas mangas (analista) - 6 camisas x analista x ano</t>
  </si>
  <si>
    <t>EPI - Bota ponteira de PVC nobuck com cadarço - 2 botas x analista x ano</t>
  </si>
  <si>
    <t>Equipamento: Aparelho celular com câmera fotogradica e roteador wifi - 1 equipamento x encarregado</t>
  </si>
  <si>
    <t>Transporte: Veículo 4x4  (1 veiculo) - 1 veiculo x encarregado x mês</t>
  </si>
  <si>
    <t>Transporte: Combustivel diesel S10 -  1 tanque/semana x mês x 10 meses</t>
  </si>
  <si>
    <t>EPI - Uniforme - Calça de brim estilo cargo - 5 calças x colaborador x ano</t>
  </si>
  <si>
    <t>EPI - Uniforme - Camisa de manga PV manga longa, com logotipo silcado na frente e nas costas - 5 camisas x colaborador x ano</t>
  </si>
  <si>
    <t>EPI - Bota de Segurança c/ Elástico Couro  Bico Pvc - 2 botas x colaborador  x ano</t>
  </si>
  <si>
    <t>EPI - Perneira de Proteção com velcro - 2 perneiras x encarregado x ano</t>
  </si>
  <si>
    <t>EPI - Chapéu de Palha - estilo mexicano - 2 chapéus x colaborador x ano</t>
  </si>
  <si>
    <t>EPI - Luvas mista 20 mm x 1/2" - vaqueta - 3 luvas x colaborador x mês</t>
  </si>
  <si>
    <t>EPI - Luvas multitato - 3 luvas x colaborador x mês</t>
  </si>
  <si>
    <t>EPI - Luvas de alto impacto - perfurador - 4 luvas x perfurador de solo x ano</t>
  </si>
  <si>
    <t>EPI - Óculos de Segurança Policarbonato escuro - 2 óculos x colaborador</t>
  </si>
  <si>
    <t>EPI - Avental de raspa  - roçadeira/perfurador de solo - 2 aventais x roçadeira</t>
  </si>
  <si>
    <t>EPI - Protetor facial - roçadeira/perfurador de solo - 2 protetores x roçadeira</t>
  </si>
  <si>
    <t>EPI - Protetor auditivo concha - roçadeira/perfurador de solo - 4 protetores x roçadeira/perfurador de solo</t>
  </si>
  <si>
    <t>EPI - Tapume/cerquite - rolo 50mt - 2 rolos x equipe</t>
  </si>
  <si>
    <t>Equipamento - Laminas de 3 pontas - 3 laminas x mês</t>
  </si>
  <si>
    <t xml:space="preserve">Equipamento - Prato/copo giratório - roçadeira - 3 pratos x mês </t>
  </si>
  <si>
    <t xml:space="preserve">Equipamento - Vela de ignição - 1 vela x mês </t>
  </si>
  <si>
    <t xml:space="preserve">Equipamento - Kit pré-filtro e filtro - 1 kits x mês </t>
  </si>
  <si>
    <t>Equipamento - Roçadeira costal + manutenção preventiva (uso estimado nesta etapa - 8 meses)</t>
  </si>
  <si>
    <t>Equipamento - Brocas (perfurador de solo) - 2 brocas x perfurador</t>
  </si>
  <si>
    <t>Equipamento - Ponteira para perfurador de solo - 1 ponteira x broca x mês</t>
  </si>
  <si>
    <t>Equipamento - Furadeira profissional com bateria - 1 furadeira x equipe</t>
  </si>
  <si>
    <t>Ferramentas: Enxada estreita com cabo 250 x 235 mm - 2 enxadas x colaborador x ano</t>
  </si>
  <si>
    <t>Ferramentas: Enxadão - 1 enxadão x colaborador x ano</t>
  </si>
  <si>
    <t>Ferramentas: Cavadeira articulada com cabo 300 x 120 mm - 2 cavadeiras x colaborador x ano</t>
  </si>
  <si>
    <t>Ferramentas: Foice roçadeira com cabo - 2 foices x colaborador x ano</t>
  </si>
  <si>
    <t>Ferramentas: Martelo unha 27 mm - 2 martelos x colaborados x ano</t>
  </si>
  <si>
    <t>Ferramentas: Torques armador 12 - 2 torques x colaborador x ano</t>
  </si>
  <si>
    <t>Ferramentas: Facão para mato 18 - 2 facões x equipe</t>
  </si>
  <si>
    <t>Ferramentas: Alavanca redonda 1 X 1,8 m ponta e pa reta - 1 pá x colaborador</t>
  </si>
  <si>
    <t>Ferramentas: Chave combinada 9 mm - 2 chavs x equipe</t>
  </si>
  <si>
    <t>Insumo: Garrafas térmicas 5 L  - 1 garrafa x colaborador x ano</t>
  </si>
  <si>
    <t>Insumo: Cadeira dobrável - 1 cadeira x colaborador x ano</t>
  </si>
  <si>
    <t>Insumo: Mesa dobrável  - 1 mesa x equipe</t>
  </si>
  <si>
    <t>Insumo: Tenda Gazebo Xf l e x 300 x 300 x 250 cm  - 2 tendas x equipe</t>
  </si>
  <si>
    <t>Insumo: Mourões - 8 a 10mm x 2,20m - (10km) - 340mourões x 1km de cerca</t>
  </si>
  <si>
    <t>Insumo: Arames - rolos de 500mt - 18 rolos x 1km cerca</t>
  </si>
  <si>
    <t>Insumo: Grampo para cerca - pacotes de 1 kg - 17 pacotes x 1 km de cerca</t>
  </si>
  <si>
    <t>Insumo: Esticadeira para arame farpado - 2 balancinhos x 1 km cerca</t>
  </si>
  <si>
    <t>Ferramentas: Material para manutenção de equipamentos (cabo, parafusos, etc.) - estimativa de valor</t>
  </si>
  <si>
    <t>Diárias (hospedagem e  alimentação) - 5 dias/semana x mês x 16 meses x analista</t>
  </si>
  <si>
    <t>Equipamento: Notebook intel core i7, com as especificações mínimas ou similares: 16 GB, SSD 256 a 512 GB, tela 15 a 16, windows - 1 equipamento x analista</t>
  </si>
  <si>
    <t>Equipamento: Tablet 128GB tela 10,4" - 1 equipamento x analista</t>
  </si>
  <si>
    <t>Equipamento: Receptor GPS 4Gb com slot para cartão microSD para georeferenciamento e acessórios - MAP 64X Garmim - 1 equipamento x analista - 1 equipamento x encarregado</t>
  </si>
  <si>
    <t>Equipamento: Carregador + 4 pilhas carregáveis (para GPS) - 1 equipamento x gps</t>
  </si>
  <si>
    <t>Equipamneto: Aparelho celular com câmera fotogradica e roteador wifi - 1 equipamento x analista - 1 equipamento x encarregado</t>
  </si>
  <si>
    <t>Equipamento: Notebook intel core i7, com as especificações mínimas ou similares: 16 GB, SSD 256 a 512 GB, tela 15 a 16, windows - 1 equipamento x analista institucional</t>
  </si>
  <si>
    <t>Equipamento: Tablet 128GB tela 10,4" - 1 equipamento x analista de produção</t>
  </si>
  <si>
    <t>Equipamento: Receptor GPS 4Gb com slot para cartão microSD para georeferenciamento e acessórios - MAP 64X Garmim - 1 equipamento x analistas</t>
  </si>
  <si>
    <t>Equipamento: Carregador + 4 pilhas carregáveis (para GPS) - 1 equipamento x GPS</t>
  </si>
  <si>
    <t>Equipamento: Aparelho celular com câmera fotográfica e roteador wifi - 1 equipamento x analistas</t>
  </si>
  <si>
    <t>Lanche equipe de campo - 20 lanches x colaborador x mês</t>
  </si>
  <si>
    <t>Equipamento: Plantadeira de mudas manual tubo100mm p/500ml gel + 15l capacidade - 1 plantadeira x colaborador</t>
  </si>
  <si>
    <t>Transporte: Veiculo 4x4 (1 veiculo) -  1 veiculo x encarregado</t>
  </si>
  <si>
    <t>Transporte: Veículo para transporte Pick up (1 veículo) - 1 veiculo x encarregado</t>
  </si>
  <si>
    <t>Transporte: Veiculo: Plotagem (3 veículos) - 1 plotagem x veiculo</t>
  </si>
  <si>
    <t xml:space="preserve">Transporte: Veiculo: Rastreador (2 veículos) instalação - 1 equipamento por veiculo </t>
  </si>
  <si>
    <t>Transporte: Combustivel (gasolina/etanol) - 1 tanque/semana x mês x 16 meses</t>
  </si>
  <si>
    <t>Transporte: Combustivel diesel S10 / 4X4 E VAN - 1 tanque/semana x mês x 15  x veículo</t>
  </si>
  <si>
    <t>Insumo: Serviço de manutenção de ferramentas (enxada, alavanca, pá, etc).- valor estimado</t>
  </si>
  <si>
    <t>EPI - Perneira de Proteção com velcro  (analista e encarregado) - 2 perneiras x colaborador x ano</t>
  </si>
  <si>
    <t>EPI - Perneira de Proteção sem velcro - 2 perneiras x colaborador x ano</t>
  </si>
  <si>
    <t>EPI - Luvas nitrilica para produtos quimicos (hidrogel e formicida) - 2 luvas x 2 colaboradores x mês</t>
  </si>
  <si>
    <t xml:space="preserve">EPI - Filtro Solar 2lt - 3 unidades x mês x equipe </t>
  </si>
  <si>
    <t>EPI - Protetor auricular tipo plug  - 2 plugs x colaborador x mês</t>
  </si>
  <si>
    <t xml:space="preserve">Equipamento - Prato/copo giratório - roçadeira - 3 pratos x roçadeira x mês </t>
  </si>
  <si>
    <t xml:space="preserve">Equipamento - Kit pré-filtro e filtro - 1 kits x 3 x mês </t>
  </si>
  <si>
    <t xml:space="preserve">Equipamento - Vela de ignição - 1 vela x 3 x mês </t>
  </si>
  <si>
    <t>Ferramentas: Cavadeira articulada com cabo 300 x 120 mm - 3 cavadeiras x colaborador x ano</t>
  </si>
  <si>
    <t>Ferramentas: Foice roçadeira com cabo - 2 foices x 4 colaboradores x ano</t>
  </si>
  <si>
    <t>Ferramentas: Torques armador 12 - 2 torques x 4 colaboradores x ano</t>
  </si>
  <si>
    <t>Ferramentas: Martelo unha 27 mm - 2 martelos x 4 colaboradores x ano</t>
  </si>
  <si>
    <t>Ferramentas: Facão para mato 18 - 2 facões x 4 colaboradores x ano</t>
  </si>
  <si>
    <t>Ferramentas: Chave combinada 9 mm - 2 chaves x 4 colaboradores x ano</t>
  </si>
  <si>
    <t>Insumo: Mesa dobrável  - 1 mesa / 4 cadeiras</t>
  </si>
  <si>
    <t>Insumo: Galão-bombona poliet 20 Lts  - 2 unidades x ano</t>
  </si>
  <si>
    <t>Insumo: Bombona redonda 50 L  - 2 unidades x ano</t>
  </si>
  <si>
    <t>Insumo: Bombona Plástica 100 L - 2 unidades x ano</t>
  </si>
  <si>
    <t>Insumo: Regador 12 L  - 1 regador x ano</t>
  </si>
  <si>
    <t>Insumo: NPK 04-14-08, NPK 8-28-16 ou similar - sacos de 50kg - 100gr/muda</t>
  </si>
  <si>
    <t>Insumo: Fosfato - sacos de 50kg - 100gr/muda</t>
  </si>
  <si>
    <t>Insumo: Calcário - sacos de 50kg - 80gr/muda</t>
  </si>
  <si>
    <t>Insumo: Hidrogel - balde de 20kg - 6gr/muda</t>
  </si>
  <si>
    <t>Insumo: NPK 20-05-20 ou similar - sacos de 50kg - 150gr/muda</t>
  </si>
  <si>
    <t>Insumo: Adubo orgânico - 100gr/muda</t>
  </si>
  <si>
    <t>Diárias (hospedagem e  alimentação) - 5 dias/semana x mês x 5 meses x colaboradores</t>
  </si>
  <si>
    <t xml:space="preserve">Equipamento: Receptor GPS 4Gb com slot para cartão microSD para georeferenciamento e acessórios - MAP 64X Garmim - 1 equipamento x analista </t>
  </si>
  <si>
    <t xml:space="preserve">Equipamneto: Aparelho celular com câmera fotogradica e roteador wifi - 1 equipamento x analista </t>
  </si>
  <si>
    <t>Equipamento: Carregador + 4 pilhas carregáveis - 1 equipamento x GPS</t>
  </si>
  <si>
    <t>Transporte: Veículo utilitário: categoria saveiros , entre outros (2 veículos) -  1 veículo x colaborador x mês</t>
  </si>
  <si>
    <t>Transporte: Veiculo -Rastreador - mensalidade (2 veiculos) - 1 equipamento por veiculo x mês</t>
  </si>
  <si>
    <t xml:space="preserve">Transporte: Veiculo -  Rastreador (2 veículos) - 1 equipamento por veiculo </t>
  </si>
  <si>
    <t>Transporte: Combustivel gasolina - 1 tanque/semana x mês x 5 meses</t>
  </si>
  <si>
    <t>EPI - Uniforme - Camisa social com bolso e logotipo bordado no bolso e nas mangas (analista) - 5 camisas x analista x ano</t>
  </si>
  <si>
    <t>EPI - Bota ponteira de PVC nobuck com cadarço - 2 botas x colaboradores x ano</t>
  </si>
  <si>
    <t>EPI - Chapéu de Palha - estilo surf - 2 chapéus x colaborador x ano</t>
  </si>
  <si>
    <t xml:space="preserve">EPI - Filtro Solar 2lt - 2 unidades x mês x equipe </t>
  </si>
  <si>
    <t>EPI - Óculos de Segurança Policarbonato Incolor  - 2 óculos x colaboradores</t>
  </si>
  <si>
    <t>EPI - Calço de seguraça para veículos - 1 calço x veiculo</t>
  </si>
  <si>
    <t>Ferramentas: Lima KF - caixa com 20 - 8 limas x mês</t>
  </si>
  <si>
    <t>Ferramentas: Enxada estreita com cabo 250 x 235 mm - 1 enxada x colaborador x ano</t>
  </si>
  <si>
    <t>Ferramentas: Cavadeira articulada com cabo 300 x 120 mm - 1 cavadeira x colaborador x ano</t>
  </si>
  <si>
    <t>Ferramentas: Foice roçadeira com cabo - 1 foice x colaborador x ano</t>
  </si>
  <si>
    <t>Ferramentas: Martelo unha 27 mm - 1 martelo x colaborador x ano</t>
  </si>
  <si>
    <t>Ferramentas: Torques armador 12 - 1 torques x colaboradores x ano</t>
  </si>
  <si>
    <t>Equipamento: Drone com lente otimizada 4k - equipamento x equipe</t>
  </si>
  <si>
    <t xml:space="preserve">Equipamento: Aparelho celular com câmera fotogradica e roteador wifi - 1 equipamento x analista </t>
  </si>
  <si>
    <t>Transporte: Veiculo pik-up (1 veiculo) - 1 veiculo x encarregado</t>
  </si>
  <si>
    <t xml:space="preserve">Transporte: Veiculo: Rastreador (1 veículo) instalação - 1 equipamento por veiculo </t>
  </si>
  <si>
    <t>Transporte : Rastreador -mensalidade - 1 equipamento por veiculo x mês</t>
  </si>
  <si>
    <t>Transporte: Combustivel (gasolina/etanol) - 1 tanque/semana x mês x 12 meses</t>
  </si>
  <si>
    <t>Transporte: Kit primeiros socorros  - 1 kit x veiculo x ano</t>
  </si>
  <si>
    <t>Ferramenta: Trena manual 5m - 1 trena x colaborador x ano</t>
  </si>
  <si>
    <t>Ferramenta: Trena manual 50m - 1 trena x colaborador x ano</t>
  </si>
  <si>
    <t>Equipamento: Trado holandês ou similar - 1 trado x colaborador x ano</t>
  </si>
  <si>
    <t>Equipamento: Penetrometro - 1 penetrometro x colaborador x ano</t>
  </si>
  <si>
    <t>Equipamento - Paquimetro digital - 1 paquimetro x colaborador x ano</t>
  </si>
  <si>
    <t>Equipamento: Trena digital - 1 trena x colaborador x ano</t>
  </si>
  <si>
    <t xml:space="preserve">Insumo: Estaca para marcação de parcelas - </t>
  </si>
  <si>
    <t xml:space="preserve">Insumo: Prego - sacos de 1kg </t>
  </si>
  <si>
    <t>Insumo: Barbantes - 10 rolos x equipe</t>
  </si>
  <si>
    <t>Insumo: Garrafas térmicas 5L  - 1 garrafa x colaborador x ano</t>
  </si>
  <si>
    <t>Insumo: Balde de 12 lt - 1 balde x colaborador x ano</t>
  </si>
  <si>
    <t>Papelaria: Papel quadriculado A3 - 10 folhas x equipe</t>
  </si>
  <si>
    <t>Papelaria: canetas hifrograficas permanentes - 1 caixa x equipe</t>
  </si>
  <si>
    <t>Papelaria: Fita Zebrada - rolo 200mt - 5 rolos x equipe</t>
  </si>
  <si>
    <t>Papelaria: Fio de nylon - rolo de 50mt - 2 rolos x equipe</t>
  </si>
  <si>
    <t>Papelaria: Saco zip loc 40 x 30cm - 4 caixas x equipe</t>
  </si>
  <si>
    <t>Equipamento: Receptor GPS 4Gb com slot para cartão microSD para georeferenciamento e acessórios - MAP 64X Garmim - 1 equipamento x encarregado</t>
  </si>
  <si>
    <t>Equipamneto: Aparelho celular com câmera fotogradica e roteador wifi - 1 equipamento x encarregado</t>
  </si>
  <si>
    <t>Equipamento: Plantadeira de mudas manual tubo100mm p/500ml gel + 15l capacidade - 2 plantadeiras x colaborador</t>
  </si>
  <si>
    <t>Transporte: Rastreador mensalidade -1 equipamento por veiculo x mês</t>
  </si>
  <si>
    <t>Transporte: Combustivel diesel S10 - 1 tanque/semana x mês x 17 meses  x veículo</t>
  </si>
  <si>
    <t>EPI - Luvas mista 20 mm x 1/2" - vaqueta  - 3 luvas x colaborador x mês</t>
  </si>
  <si>
    <t>EPI - Protetor auricular abafador tipo concha - roçadeira -  4 protetores x roçadeira/perfurador de solo</t>
  </si>
  <si>
    <t>EPI - Luvas de alto impacto - roçadeira/perfurador de solo - 4 luvas x roçadeira</t>
  </si>
  <si>
    <t>EPI - Calço de segurança para veículos - 1 calço x veiculo</t>
  </si>
  <si>
    <t>Equipamento - Combustivel gasolina (roçadeira e perfurador) - 10lt/semana x roçadeira x mês</t>
  </si>
  <si>
    <t>Ferramentas: Foice roçadeira com cabo - 1 foice x 4 colaboradores x ano</t>
  </si>
  <si>
    <t>Ferramentas: Martelo unha 27 mm - 1 martelo x 4 colaboradores x ano</t>
  </si>
  <si>
    <t>Ferramentas: Torques armador 12 - 1 torque x 4 colaboradores x ano</t>
  </si>
  <si>
    <t>Ferramentas: Facão para mato 18 - 2 facões x equipe x ano</t>
  </si>
  <si>
    <t>Ferramentas: Chave combinada 9 mm - 2 chaves x equipe x ano</t>
  </si>
  <si>
    <t>Insumo: Regador 12 L  - 1 regador x colaborador x ano</t>
  </si>
  <si>
    <t>Transporte: Mensalidade rastreador - 1 equipamento x veículo</t>
  </si>
  <si>
    <t>EPI - Perneira de Proteção com velcro - 2 perneiras x encarregado x ano - 2perneiras x analista x ano</t>
  </si>
  <si>
    <t>PRODUÇÃO DE MUDAS: 100.800</t>
  </si>
  <si>
    <t>Equipe: Analista de ambiental + encargos trabalhistas (incluso rescisão) - (1 institucional)</t>
  </si>
  <si>
    <t>Equipe: Analista de ambiental + encargos trabalhistas (incluso rescisão) - (2 produção)</t>
  </si>
  <si>
    <t>Transporte: Veiculo -  Rastreador (2 veículos) mensalidade</t>
  </si>
  <si>
    <t>Transporte: instalação rastreador</t>
  </si>
  <si>
    <t>Transporte: Veiculo - Plotagem (2 veículos)</t>
  </si>
  <si>
    <t>pct</t>
  </si>
  <si>
    <t xml:space="preserve">PRÁTICAS MECÂNICAS: 30 ha. </t>
  </si>
  <si>
    <t>EPI - Óculos de Segurança Policarbonato Incolor  - 4 unidades x colaborador x ano</t>
  </si>
  <si>
    <t>Material reuniões: locação espaço para reuniões/eventos institucionais - valor estimado</t>
  </si>
  <si>
    <t>Material reuniões: coffe break  - valor estimado</t>
  </si>
  <si>
    <t>Material reuniões: impressões, cópias e scan - valor estimado</t>
  </si>
  <si>
    <t>EPI - Uniforme - Calça de brim estilo cargo - 3 calças x colaborador x ano</t>
  </si>
  <si>
    <t>EPI - Uniforme - Camisa de manga PV manga longa, com logotipo silcado na frente e nas costas - 3 camisas x colaborador x ano</t>
  </si>
  <si>
    <t>EPI - Bota de Segurança c/ Elástico Couro  Bico Pvc - 1 botas x colaborador  x ano</t>
  </si>
  <si>
    <t>EPI - Perneira de Proteção sem velcro  - 1 perneiras x encarregado x ano</t>
  </si>
  <si>
    <t>EPI - Chapéu de Palha - estilo mexicano - 1 chapéu x colaborador x ano</t>
  </si>
  <si>
    <t>EPI - Bota ponteira de PVC nobuck com cadarço -1 botas x encarregado x ano</t>
  </si>
  <si>
    <t>EPI - Perneira de Proteção com velcro - 1 perneiras x encarregado x ano</t>
  </si>
  <si>
    <t>EPI - Chapéu de Palha - estilo mexicano - 1 chapéus x colaborador x ano</t>
  </si>
  <si>
    <t>EPI - Bota de Segurança c/ Elástico Couro  Bico Pvc - 1 bota x colaborador  x ano</t>
  </si>
  <si>
    <t>EPI - Bota ponteira de PVC nobuck com cadarço - 1 bota x encarregado x ano</t>
  </si>
  <si>
    <t>EPI - Perneira de Proteção com velcro -1 perneira x encarregado x ano</t>
  </si>
  <si>
    <t>EPI - Perneira de Proteção sem velcro  - 1 perneira x encarregado x ano</t>
  </si>
  <si>
    <t>Equipamneto: Aparelho celular com câmera fotogradica e roteador wifi - 1 equipamento x analista - 1 equipamento x encarregado - 1 equipamento x apropriador</t>
  </si>
  <si>
    <t>Transporte: Veiculo 4x4 (2 veiculos) -  1 veiculo x encarregado x mês</t>
  </si>
  <si>
    <t>Transporte: Veículo para transporte Pick up (1 veículo) - 1 veiculo x analista x mês</t>
  </si>
  <si>
    <t>Transporte: Combustivel diesel S10 / 4X4 E VAN - (3 veículos) - 1 tanque/semana x mês x 15  x veículo</t>
  </si>
  <si>
    <t>EPI - Perneira de Proteção com velcro  (analista e encarregado) - 2 perneiras x analista e encarregado x ano</t>
  </si>
  <si>
    <t>EPI - Luvas nitrilica para produtos quimicos (hidrogel e formicida) - 2 luvas x roçadeira x mês</t>
  </si>
  <si>
    <t>Insumo: Formicida granulado (isca) -5gr/muda (caixa 5kg)</t>
  </si>
  <si>
    <t>Insumo: Formicida em pó - 130gr/muda (caixa 10kg)</t>
  </si>
  <si>
    <t>Transporte: Veículo utilitário: categoria saveiros , entre outros (3 veículos) -  1 veículo x colaborador x mês</t>
  </si>
  <si>
    <t>Transporte: Veiculo - Plotagem (3 veículos) - 1 plotagem x veiculo</t>
  </si>
  <si>
    <t>Transporte: Veiculo -Rastreador - mensalidade (3 veiculos) - 1 equipamento por veiculo x mês</t>
  </si>
  <si>
    <t xml:space="preserve">Transporte: Veiculo -  Rastreador (3 veículos) - 1 equipamento por veiculo </t>
  </si>
  <si>
    <t>EPI - Uniforme - Camisa social com bolso e logotipo bordado no bolso e nas mangas (analista) - 3 camisas x analista x ano</t>
  </si>
  <si>
    <t>Transporte: Veiculo pik-up (2 veiculos) - 1 veiculo x encarregado</t>
  </si>
  <si>
    <t>Transporte: Veiculo: Plotagem (2 veículos) - 1 plotagem x veiculo</t>
  </si>
  <si>
    <t>Transporte: Veiculo 4x4 (2 veiculo2) -  1 veiculo x encarregado</t>
  </si>
  <si>
    <t xml:space="preserve">PRODUÇÃO DE MUDAS: 168.000  </t>
  </si>
  <si>
    <t>Equipe: Analista de ambiental + encargos trabalhistas (incluso rescisão) - (2 institucional)</t>
  </si>
  <si>
    <t>Equipe: Analista de ambiental + encargos trabalhistas (incluso rescisão) - (3 produção)</t>
  </si>
  <si>
    <t>Equipe: Analistas de Implantação + encargos trabalhistas (incluso rescisão)(cercamento, plantio) (2 pessoa)</t>
  </si>
  <si>
    <t>ETAPA 3 - RECUPERAÇÃO DE SOLO 60HA</t>
  </si>
  <si>
    <t>Encarregado de Manutenção + encargos trabalhistas (incluso rescisão) (3 pessoas)</t>
  </si>
  <si>
    <t>Auxiliar de produção + encargos trabalhistas (incluso rescisão)(12 pessoas)</t>
  </si>
  <si>
    <t>Transporte: Veículo utilitario: categoria 1.0 - Mobi, Gol, entre outros (3 veículos) - 1 veiculo x analista de produção</t>
  </si>
  <si>
    <t>Transporte: Veículo utilitario: categoria 1.0 - Mobi, Gol, entre outros (2 veículos) - 1 veiculo x analista institutcional</t>
  </si>
  <si>
    <t>Transporte: Veiculo -  Rastreador (3 veículos) mensalidade - 1 equipamento por veículo</t>
  </si>
  <si>
    <t xml:space="preserve">Insumo: Estaca para marcação de parcelas </t>
  </si>
  <si>
    <t>Transporte: Veiculo 4x4 (2 veiculos) -  1 veiculo x encarregado</t>
  </si>
  <si>
    <r>
      <t xml:space="preserve">AQUISIÇÃO DE SEMENTES - </t>
    </r>
    <r>
      <rPr>
        <b/>
        <sz val="11"/>
        <color rgb="FFFF0000"/>
        <rFont val="Calibri"/>
        <family val="2"/>
      </rPr>
      <t>DESCONSIDERADO PARA PROJETOS DE 100ha</t>
    </r>
  </si>
  <si>
    <r>
      <t xml:space="preserve">COLETA DE SEMENTES - </t>
    </r>
    <r>
      <rPr>
        <b/>
        <sz val="11"/>
        <color rgb="FFFF0000"/>
        <rFont val="Calibri"/>
        <family val="2"/>
      </rPr>
      <t>DESCONSIDERADO PARA PROJETOS DE 100ha</t>
    </r>
  </si>
  <si>
    <r>
      <t xml:space="preserve">PRODUÇÃO DE MUDAS NOS CENTROS DE PRODUÇÃO - </t>
    </r>
    <r>
      <rPr>
        <b/>
        <sz val="11"/>
        <color rgb="FFFF0000"/>
        <rFont val="Calibri"/>
        <family val="2"/>
      </rPr>
      <t>DESCONSIDERADO PARA PROJETOS DE 100ha</t>
    </r>
  </si>
  <si>
    <r>
      <t xml:space="preserve">ETAPA 1 - GESTÃO ADMINISTRATIVA, TÉCNICA, INSTITUCIONAL E CONSULTORIA - </t>
    </r>
    <r>
      <rPr>
        <b/>
        <sz val="11"/>
        <color rgb="FFFF0000"/>
        <rFont val="Calibri"/>
        <family val="2"/>
      </rPr>
      <t>INCLUSO NO DBI</t>
    </r>
  </si>
  <si>
    <r>
      <t xml:space="preserve">ETAPA 2 - FORTALECIMENTO DE CAPACIDADES DAS EQUIPES  E PARA AS COMUNIDADES ATENDIDAS PELO PROJETO- ADM - </t>
    </r>
    <r>
      <rPr>
        <b/>
        <sz val="11"/>
        <color rgb="FFFF0000"/>
        <rFont val="Calibri"/>
        <family val="2"/>
      </rPr>
      <t>DESCONSIDERADO PELO PROJETO EXECUTIVO</t>
    </r>
  </si>
  <si>
    <r>
      <t xml:space="preserve">AQUISIÇÃO DE SEMENTES  </t>
    </r>
    <r>
      <rPr>
        <b/>
        <sz val="11"/>
        <color rgb="FFFF0000"/>
        <rFont val="Calibri"/>
        <family val="2"/>
      </rPr>
      <t>-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rgb="FFFF0000"/>
        <rFont val="Calibri"/>
        <family val="2"/>
      </rPr>
      <t>DESCONSIDERADO PARA PROJETOS DE 200ha</t>
    </r>
  </si>
  <si>
    <r>
      <t>COLETA DE SEMENTES</t>
    </r>
    <r>
      <rPr>
        <b/>
        <sz val="11"/>
        <color rgb="FFFF0000"/>
        <rFont val="Calibri"/>
        <family val="2"/>
      </rPr>
      <t xml:space="preserve"> - ESCONSIDERADO PARA PROJETOS DE 200ha</t>
    </r>
  </si>
  <si>
    <r>
      <t>PRODUÇÃO DE MUDAS NOS CENTROS DE PRODUÇÃO</t>
    </r>
    <r>
      <rPr>
        <b/>
        <sz val="11"/>
        <color rgb="FFFF0000"/>
        <rFont val="Calibri"/>
        <family val="2"/>
      </rPr>
      <t xml:space="preserve"> - DESCONSIDERADO PARA PROJETOS DE 200ha</t>
    </r>
  </si>
  <si>
    <r>
      <t xml:space="preserve">ETAPA 1 - GESTÃO ADMINISTRATIVA, TÉCNICA, INSTITUCIONAL E CONSULTORIA </t>
    </r>
    <r>
      <rPr>
        <b/>
        <sz val="11"/>
        <color rgb="FFFF0000"/>
        <rFont val="Calibri"/>
        <family val="2"/>
      </rPr>
      <t>- INCLUSO NO DBI</t>
    </r>
  </si>
  <si>
    <r>
      <t>ETAPA 2 - FORTALECIMENTO DE CAPACIDADES DAS EQUIPES  E PARA AS COMUNIDADES ATENDIDAS PELO PROJETO</t>
    </r>
    <r>
      <rPr>
        <b/>
        <sz val="11"/>
        <color rgb="FFFF0000"/>
        <rFont val="Calibri"/>
        <family val="2"/>
      </rPr>
      <t>- ADM- DESCONSIDERADO PELO PROJETO EXECUTIVO</t>
    </r>
  </si>
  <si>
    <r>
      <t xml:space="preserve">COLETA DE SEMENTES - </t>
    </r>
    <r>
      <rPr>
        <b/>
        <sz val="11"/>
        <color rgb="FFFF0000"/>
        <rFont val="Calibri"/>
        <family val="2"/>
      </rPr>
      <t>DESCONSIDERADO PARA PROJETOS DE 50HA</t>
    </r>
  </si>
  <si>
    <t>1.65</t>
  </si>
  <si>
    <t>1.66</t>
  </si>
  <si>
    <t>1.67</t>
  </si>
  <si>
    <t>CUSTO DIRETO POR HA:</t>
  </si>
  <si>
    <t>BENEFÍCIOS E DESPESAS INDIRETAS (%):</t>
  </si>
  <si>
    <t>VALOR TOTAL POR HA:</t>
  </si>
  <si>
    <t>CUSTO DIRETO TOTAL PARA 200 HA:</t>
  </si>
  <si>
    <t xml:space="preserve">META V </t>
  </si>
  <si>
    <t>1.3*</t>
  </si>
  <si>
    <t>INVESTIMENTO</t>
  </si>
  <si>
    <t>Hectare</t>
  </si>
  <si>
    <t>Transporte: Mensalidade  rastreador- 1 equipamento por veiculo x mês</t>
  </si>
  <si>
    <t>EPI - Óculos de Segurança Policarbonato Incolor  -</t>
  </si>
  <si>
    <t>EPI - Uniforme - Camisa de malha PV com logotipo silcado na frente e nas costas -  4 camisas x colaborador x ano</t>
  </si>
  <si>
    <t>Material reuniões: impressões, cópias e scan - valor estimado depende do local do projeto</t>
  </si>
  <si>
    <t>Material reuniões: locação espaço para reuniões/eventos institucionais - valor estimado depende do local do projeto</t>
  </si>
  <si>
    <t>Material reuniões: coffe break - valor estimado depende do local do projeto</t>
  </si>
  <si>
    <t>Transporte de EQUIPE VAN - valor estimado depende dos valores praticados em cada municipio</t>
  </si>
  <si>
    <t>Insum+231:235o: Tenda Gazebo Xf l e x 300 x 300 x 250 cm  - 2 tendas x equipe</t>
  </si>
  <si>
    <r>
      <t>ETAPA 1 - GESTÃO ADMINISTRATIVA, TÉCNICA, INSTITUCIONAL E CONSULTORIA -</t>
    </r>
    <r>
      <rPr>
        <b/>
        <sz val="11"/>
        <color rgb="FFFF0000"/>
        <rFont val="Calibri"/>
        <family val="2"/>
      </rPr>
      <t xml:space="preserve"> INCLUSO NO DBI</t>
    </r>
  </si>
  <si>
    <t>Aquisição de mudas de espécies arbóreas nativas (valor varia conforme espécie e peso - usado valor estimado)</t>
  </si>
  <si>
    <r>
      <t xml:space="preserve">PRODUÇÃO DE MUDAS NOS CENTROS DE PRODUÇÃO - </t>
    </r>
    <r>
      <rPr>
        <b/>
        <sz val="11"/>
        <color rgb="FFFF0000"/>
        <rFont val="Calibri"/>
        <family val="2"/>
      </rPr>
      <t>DESCONSIDERADO PARA PROJETOS DE 50HA</t>
    </r>
  </si>
  <si>
    <r>
      <t xml:space="preserve">AQUISIÇÃO DE SEMENTES - </t>
    </r>
    <r>
      <rPr>
        <b/>
        <sz val="11"/>
        <color rgb="FFFF0000"/>
        <rFont val="Calibri"/>
        <family val="2"/>
      </rPr>
      <t>DESCONSIDERADO PARA PROJETOS DE 50ha</t>
    </r>
  </si>
  <si>
    <t>Material grafico: Folders 17,50</t>
  </si>
  <si>
    <t xml:space="preserve">Material grafico: Cartilhas </t>
  </si>
  <si>
    <t>EMPRESAS COM RISCO 1 e 2</t>
  </si>
  <si>
    <t>Transporte: Veiculo -  Rastreador (3 veículos) - 1 equipamento por veículo</t>
  </si>
  <si>
    <t>Transporte: Veiculo -  Rastreador (2 veículos) mensalidade - 1 equipamento por veículo</t>
  </si>
  <si>
    <t>Transporte: Rastreador - 1 equipamento x veículo</t>
  </si>
  <si>
    <t>Aquisição de mudas de espécies arbóreas nativas (valor varia conforme espécie e peso - usado valor estimado): 1200 mudas/ha + 20% adicional manutenção</t>
  </si>
  <si>
    <t>Transporte: Veiculo - Plotagem (1 veículo)</t>
  </si>
  <si>
    <t>Transporte: Veiculo -  Rastreador (1 veículo) mensalidade</t>
  </si>
  <si>
    <t>META IV</t>
  </si>
  <si>
    <t>META V</t>
  </si>
  <si>
    <t>META VI</t>
  </si>
  <si>
    <r>
      <t>ETAPA 2 - FORTALECIMENTO DE CAPACIDADES DAS EQUIPES  E PARA AS COMUNIDADES ATENDIDAS PELO PROJETO- ADM -</t>
    </r>
    <r>
      <rPr>
        <b/>
        <sz val="11"/>
        <color rgb="FFFF0000"/>
        <rFont val="Calibri"/>
        <family val="2"/>
      </rPr>
      <t xml:space="preserve"> DESCONSIDERADO PELO PROJETO EXECUTIVO</t>
    </r>
  </si>
  <si>
    <t>Transporte: Veiculo - Plotagem (5 veículos) - 1 plotagem x veiculo</t>
  </si>
  <si>
    <t>Transporte: Mensalidade  - 1 equipamento por veiculo x mês</t>
  </si>
  <si>
    <t>Transporte: Kit primeiros socorros - veículos</t>
  </si>
  <si>
    <t>EPI - Óculos de Segurança Policarbonato Incolor  - 4 camisas x colaborador x ano</t>
  </si>
  <si>
    <t>EPI - Capacete completo para SSO - 1 capacete x colaborador x ano</t>
  </si>
  <si>
    <t>EPI - Trava rodas -  - 4 unidades x veiculo x ano</t>
  </si>
  <si>
    <t>EPI - Luva HyFlex Ansell - 2 luvas x colaborador x mês</t>
  </si>
  <si>
    <t>EPI - Kit primeiros socorros  - 1 kit x veiculo x ano</t>
  </si>
  <si>
    <t>EPI - Capuz de fuga - 1 capacete x colaborador x ano</t>
  </si>
  <si>
    <t>EPI - Bala Clava - 1 capacete x colaborador x ano</t>
  </si>
  <si>
    <t>Material grafico: Cartilhas</t>
  </si>
  <si>
    <t>Material grafico: Folders</t>
  </si>
  <si>
    <t>Material reuniões: coffe break - valor estimado</t>
  </si>
  <si>
    <r>
      <rPr>
        <b/>
        <sz val="11"/>
        <color theme="1"/>
        <rFont val="Calibri"/>
      </rPr>
      <t xml:space="preserve">AQUISIÇÃO DE SEMENTES - </t>
    </r>
    <r>
      <rPr>
        <b/>
        <sz val="11"/>
        <color rgb="FFFF0000"/>
        <rFont val="Calibri"/>
      </rPr>
      <t>DESCONSIDERADO PARA PROJETOS DE 50 HÁ</t>
    </r>
  </si>
  <si>
    <r>
      <rPr>
        <b/>
        <sz val="11"/>
        <color theme="1"/>
        <rFont val="Calibri"/>
      </rPr>
      <t xml:space="preserve">COLETA DE SEMENTES - </t>
    </r>
    <r>
      <rPr>
        <b/>
        <sz val="11"/>
        <color rgb="FFFF0000"/>
        <rFont val="Calibri"/>
      </rPr>
      <t>DESCONSIDERADO PARA PROJETOS DE 50HA</t>
    </r>
  </si>
  <si>
    <t>EPI - Lava olhos - 2 lava olhos x colaborador x ano</t>
  </si>
  <si>
    <t>EPI - Conjunto Apicutor - 1 conjunto x equipe x ano</t>
  </si>
  <si>
    <t>PRODUÇÃO DE MUDAS NOS CENTROS DE PRODUÇÃO</t>
  </si>
  <si>
    <t>EPI - Lixeiras Coleta Seletiva - 1 lixeira x equipe</t>
  </si>
  <si>
    <t>EPI - Lavatório Portátil - 1 lavatorio x equipe</t>
  </si>
  <si>
    <t xml:space="preserve">EPI - Banheiros portateis - 2 banheiros  x equipe </t>
  </si>
  <si>
    <t>1.68</t>
  </si>
  <si>
    <t>1.69</t>
  </si>
  <si>
    <t>1.70</t>
  </si>
  <si>
    <t>1.71</t>
  </si>
  <si>
    <t>1.72</t>
  </si>
  <si>
    <t>1.73</t>
  </si>
  <si>
    <t>1.74</t>
  </si>
  <si>
    <t>2.89</t>
  </si>
  <si>
    <t>2.90</t>
  </si>
  <si>
    <t>2.91</t>
  </si>
  <si>
    <t>2.92</t>
  </si>
  <si>
    <t>2.93</t>
  </si>
  <si>
    <t>2.94</t>
  </si>
  <si>
    <t>2.95</t>
  </si>
  <si>
    <t>2.96</t>
  </si>
  <si>
    <t>2.97</t>
  </si>
  <si>
    <t>2.98</t>
  </si>
  <si>
    <t>3.38</t>
  </si>
  <si>
    <t>3.39</t>
  </si>
  <si>
    <t>3.40</t>
  </si>
  <si>
    <t>3.41</t>
  </si>
  <si>
    <t>3.42</t>
  </si>
  <si>
    <t>3.43</t>
  </si>
  <si>
    <t>5.68</t>
  </si>
  <si>
    <t>5.69</t>
  </si>
  <si>
    <t>5.70</t>
  </si>
  <si>
    <t>5.71</t>
  </si>
  <si>
    <t>5.72</t>
  </si>
  <si>
    <t>5.73</t>
  </si>
  <si>
    <t>5.74</t>
  </si>
  <si>
    <t>5.75</t>
  </si>
  <si>
    <t>5.76</t>
  </si>
  <si>
    <t>5.77</t>
  </si>
  <si>
    <t>5.78</t>
  </si>
  <si>
    <r>
      <rPr>
        <b/>
        <sz val="11"/>
        <color theme="1"/>
        <rFont val="Calibri"/>
      </rPr>
      <t xml:space="preserve">ETAPA 1 - GESTÃO ADMINISTRATIVA, TÉCNICA, INSTITUCIONAL E CONSULTORIA - </t>
    </r>
    <r>
      <rPr>
        <b/>
        <sz val="11"/>
        <color rgb="FFFF0000"/>
        <rFont val="Calibri"/>
      </rPr>
      <t>INCLUSO NO DBI</t>
    </r>
  </si>
  <si>
    <r>
      <rPr>
        <b/>
        <sz val="11"/>
        <color theme="1"/>
        <rFont val="Calibri"/>
      </rPr>
      <t xml:space="preserve">ETAPA 2 - FORTALECIMENTO DE CAPACIDADES DAS EQUIPES  E PARA AS COMUNIDADES ATENDIDAS PELO PROJETO- ADM - </t>
    </r>
    <r>
      <rPr>
        <b/>
        <sz val="11"/>
        <color rgb="FFFF0000"/>
        <rFont val="Calibri"/>
      </rPr>
      <t>DESCONSIDERADO PELO PROJETO EXECUTIVO</t>
    </r>
  </si>
  <si>
    <t>Transporte: Veiculo -  Rastreador (1 veículos) mensalidade - 1 equipamento por veículo</t>
  </si>
  <si>
    <r>
      <rPr>
        <b/>
        <sz val="11"/>
        <color theme="1"/>
        <rFont val="Calibri"/>
      </rPr>
      <t xml:space="preserve">AQUISIÇÃO DE SEMENTES - </t>
    </r>
    <r>
      <rPr>
        <b/>
        <sz val="11"/>
        <color rgb="FFFF0000"/>
        <rFont val="Calibri"/>
      </rPr>
      <t>DESCONSIDERADO PARA PROJETOS DE 100ha</t>
    </r>
  </si>
  <si>
    <r>
      <rPr>
        <b/>
        <sz val="11"/>
        <color theme="1"/>
        <rFont val="Calibri"/>
      </rPr>
      <t xml:space="preserve">COLETA DE SEMENTES - </t>
    </r>
    <r>
      <rPr>
        <b/>
        <sz val="11"/>
        <color rgb="FFFF0000"/>
        <rFont val="Calibri"/>
      </rPr>
      <t>DESCONSIDERADO PARA PROJETOS DE 100ha</t>
    </r>
  </si>
  <si>
    <r>
      <rPr>
        <b/>
        <sz val="11"/>
        <color theme="1"/>
        <rFont val="Calibri"/>
      </rPr>
      <t xml:space="preserve">PRODUÇÃO DE MUDAS NOS CENTROS DE PRODUÇÃO - </t>
    </r>
    <r>
      <rPr>
        <b/>
        <sz val="11"/>
        <color rgb="FFFF0000"/>
        <rFont val="Calibri"/>
      </rPr>
      <t>DESCONSIDERADO PARA PROJETOS DE 100ha</t>
    </r>
  </si>
  <si>
    <t>1.75</t>
  </si>
  <si>
    <t>1.76</t>
  </si>
  <si>
    <t>1.77</t>
  </si>
  <si>
    <t>1.78</t>
  </si>
  <si>
    <t>3.44</t>
  </si>
  <si>
    <t>4.54</t>
  </si>
  <si>
    <t>4.55</t>
  </si>
  <si>
    <t>4.56</t>
  </si>
  <si>
    <t>4.57</t>
  </si>
  <si>
    <t>4.58</t>
  </si>
  <si>
    <t>4.59</t>
  </si>
  <si>
    <r>
      <rPr>
        <b/>
        <sz val="11"/>
        <color theme="1"/>
        <rFont val="Calibri"/>
      </rPr>
      <t xml:space="preserve">AQUISIÇÃO DE SEMENTES  </t>
    </r>
    <r>
      <rPr>
        <b/>
        <sz val="11"/>
        <color rgb="FFFF0000"/>
        <rFont val="Calibri"/>
      </rPr>
      <t>-</t>
    </r>
    <r>
      <rPr>
        <b/>
        <sz val="11"/>
        <color theme="1"/>
        <rFont val="Calibri"/>
      </rPr>
      <t xml:space="preserve"> </t>
    </r>
    <r>
      <rPr>
        <b/>
        <sz val="11"/>
        <color rgb="FFFF0000"/>
        <rFont val="Calibri"/>
      </rPr>
      <t>DESCONSIDERADO PARA PROJETOS DE 200ha</t>
    </r>
  </si>
  <si>
    <r>
      <rPr>
        <b/>
        <sz val="11"/>
        <color theme="1"/>
        <rFont val="Calibri"/>
      </rPr>
      <t>COLETA DE SEMENTES</t>
    </r>
    <r>
      <rPr>
        <b/>
        <sz val="11"/>
        <color rgb="FFFF0000"/>
        <rFont val="Calibri"/>
      </rPr>
      <t xml:space="preserve"> - ESCONSIDERADO PARA PROJETOS DE 200ha</t>
    </r>
  </si>
  <si>
    <r>
      <rPr>
        <b/>
        <sz val="11"/>
        <color theme="1"/>
        <rFont val="Calibri"/>
      </rPr>
      <t>PRODUÇÃO DE MUDAS NOS CENTROS DE PRODUÇÃO</t>
    </r>
    <r>
      <rPr>
        <b/>
        <sz val="11"/>
        <color rgb="FFFF0000"/>
        <rFont val="Calibri"/>
      </rPr>
      <t xml:space="preserve"> - DESCONSIDERADO PARA PROJETOS DE 200ha</t>
    </r>
  </si>
  <si>
    <r>
      <rPr>
        <b/>
        <sz val="11"/>
        <color theme="1"/>
        <rFont val="Calibri"/>
      </rPr>
      <t xml:space="preserve">ETAPA 1 - GESTÃO ADMINISTRATIVA, TÉCNICA, INSTITUCIONAL E CONSULTORIA </t>
    </r>
    <r>
      <rPr>
        <b/>
        <sz val="11"/>
        <color rgb="FFFF0000"/>
        <rFont val="Calibri"/>
      </rPr>
      <t>- INCLUSO NO DBI</t>
    </r>
  </si>
  <si>
    <r>
      <rPr>
        <b/>
        <sz val="11"/>
        <color theme="1"/>
        <rFont val="Calibri"/>
      </rPr>
      <t>ETAPA 2 - FORTALECIMENTO DE CAPACIDADES DAS EQUIPES  E PARA AS COMUNIDADES ATENDIDAS PELO PROJETO</t>
    </r>
    <r>
      <rPr>
        <b/>
        <sz val="11"/>
        <color rgb="FFFF0000"/>
        <rFont val="Calibri"/>
      </rPr>
      <t>- ADM- DESCONSIDERADO PELO PROJETO EXECUTIVO</t>
    </r>
  </si>
  <si>
    <r>
      <t>META I</t>
    </r>
    <r>
      <rPr>
        <b/>
        <i/>
        <sz val="11"/>
        <color theme="1"/>
        <rFont val="Calibri"/>
        <family val="2"/>
      </rPr>
      <t>I</t>
    </r>
    <r>
      <rPr>
        <b/>
        <sz val="11"/>
        <color theme="1"/>
        <rFont val="Calibri"/>
      </rPr>
      <t xml:space="preserve"> - ETAPA 1</t>
    </r>
  </si>
  <si>
    <t xml:space="preserve">EMPRESAS COM RISCO 3 e 4 </t>
  </si>
  <si>
    <t>META IV - ETAPA 1</t>
  </si>
  <si>
    <t>Despesas indiretas:</t>
  </si>
  <si>
    <t>Valor Final 200 ha =</t>
  </si>
  <si>
    <t>Valor Final 100 ha =</t>
  </si>
  <si>
    <t>ATIVIDADE</t>
  </si>
  <si>
    <t>UNIDADE</t>
  </si>
  <si>
    <t>QTDADE</t>
  </si>
  <si>
    <t>ORÇAMENTO 1</t>
  </si>
  <si>
    <t>ORÇAMENTO 2</t>
  </si>
  <si>
    <t>ORÇAMENTO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</si>
</sst>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\ * #,##0.00_-;\-&quot;R$&quot;\ * #,##0.00_-;_-&quot;R$&quot;\ * &quot;-&quot;??_-;_-@"/>
    <numFmt numFmtId="165" formatCode="_(* #,##0.00_);_(* \(#,##0.00\);_(* &quot;-&quot;??_);_(@_)"/>
    <numFmt numFmtId="166" formatCode="_(* #,##0_);_(* \(#,##0\);_(* &quot;-&quot;??_);_(@_)"/>
  </numFmts>
  <fonts count="3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i/>
      <sz val="11"/>
      <color theme="0"/>
      <name val="Calibri"/>
      <family val="2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rgb="FF000000"/>
      <name val="Calibri"/>
      <family val="2"/>
    </font>
    <font>
      <i/>
      <sz val="11"/>
      <color theme="0"/>
      <name val="Calibri"/>
      <family val="2"/>
    </font>
    <font>
      <i/>
      <sz val="11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i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1"/>
      <color theme="5" tint="-0.249977111117893"/>
      <name val="Calibri"/>
      <family val="2"/>
    </font>
    <font>
      <b/>
      <sz val="11"/>
      <color theme="5" tint="-0.249977111117893"/>
      <name val="Calibri"/>
      <family val="2"/>
    </font>
    <font>
      <i/>
      <sz val="11"/>
      <color theme="5" tint="-0.249977111117893"/>
      <name val="Calibri"/>
      <family val="2"/>
    </font>
    <font>
      <sz val="11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color rgb="FFFF0000"/>
      <name val="Calibri"/>
    </font>
    <font>
      <b/>
      <sz val="11"/>
      <color theme="0"/>
      <name val="Calibri"/>
    </font>
    <font>
      <sz val="11"/>
      <name val="Calibri"/>
    </font>
    <font>
      <b/>
      <i/>
      <sz val="11"/>
      <color theme="0"/>
      <name val="Calibri"/>
    </font>
    <font>
      <b/>
      <i/>
      <sz val="11"/>
      <color theme="1"/>
      <name val="Calibri"/>
    </font>
    <font>
      <i/>
      <sz val="11"/>
      <color theme="1"/>
      <name val="Calibri"/>
    </font>
    <font>
      <sz val="11"/>
      <color rgb="FF000000"/>
      <name val="Calibri"/>
    </font>
    <font>
      <i/>
      <sz val="11"/>
      <color theme="0"/>
      <name val="Calibri"/>
    </font>
    <font>
      <b/>
      <sz val="11"/>
      <color rgb="FFFF0000"/>
      <name val="Calibri"/>
    </font>
    <font>
      <sz val="11"/>
      <color rgb="FF385623"/>
      <name val="Calibri"/>
    </font>
    <font>
      <sz val="11"/>
      <color theme="0"/>
      <name val="Calibri"/>
    </font>
  </fonts>
  <fills count="8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D9E2F3"/>
      </patternFill>
    </fill>
    <fill>
      <patternFill patternType="solid">
        <fgColor theme="0"/>
        <bgColor rgb="FFCFE2F3"/>
      </patternFill>
    </fill>
    <fill>
      <patternFill patternType="solid">
        <fgColor theme="0"/>
        <bgColor rgb="FFEAD1DC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rgb="FFFFE598"/>
      </patternFill>
    </fill>
    <fill>
      <patternFill patternType="solid">
        <fgColor theme="0"/>
        <bgColor rgb="FF93C47D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E06666"/>
      </patternFill>
    </fill>
    <fill>
      <patternFill patternType="solid">
        <fgColor theme="0"/>
        <bgColor rgb="FFFBE4D5"/>
      </patternFill>
    </fill>
    <fill>
      <patternFill patternType="solid">
        <fgColor theme="0"/>
        <bgColor rgb="FFF4CCCC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A8D08D"/>
      </patternFill>
    </fill>
    <fill>
      <patternFill patternType="solid">
        <fgColor theme="0"/>
        <bgColor rgb="FF3C78D8"/>
      </patternFill>
    </fill>
    <fill>
      <patternFill patternType="solid">
        <fgColor theme="0"/>
        <bgColor rgb="FFA64D79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1C232"/>
      </patternFill>
    </fill>
    <fill>
      <patternFill patternType="solid">
        <fgColor theme="0"/>
        <bgColor rgb="FFF4B083"/>
      </patternFill>
    </fill>
    <fill>
      <patternFill patternType="solid">
        <fgColor theme="0"/>
        <bgColor rgb="FF9900FF"/>
      </patternFill>
    </fill>
    <fill>
      <patternFill patternType="solid">
        <fgColor theme="0"/>
        <bgColor rgb="FF999999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rgb="FFD0E0E3"/>
      </patternFill>
    </fill>
    <fill>
      <patternFill patternType="solid">
        <fgColor theme="0"/>
        <bgColor rgb="FF6AA84F"/>
      </patternFill>
    </fill>
    <fill>
      <patternFill patternType="solid">
        <fgColor theme="0"/>
        <bgColor rgb="FF1155CC"/>
      </patternFill>
    </fill>
    <fill>
      <patternFill patternType="solid">
        <fgColor theme="0"/>
        <bgColor rgb="FFCC0000"/>
      </patternFill>
    </fill>
    <fill>
      <patternFill patternType="solid">
        <fgColor theme="0"/>
        <bgColor rgb="FF9FC5E8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D966"/>
      </patternFill>
    </fill>
    <fill>
      <patternFill patternType="solid">
        <fgColor theme="0"/>
        <bgColor rgb="FFC27BA0"/>
      </patternFill>
    </fill>
    <fill>
      <patternFill patternType="solid">
        <fgColor theme="0"/>
        <bgColor rgb="FF0B539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4A7D6"/>
      </patternFill>
    </fill>
    <fill>
      <patternFill patternType="solid">
        <fgColor theme="0"/>
        <bgColor rgb="FFD8BEE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265FF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B7B7B7"/>
      </patternFill>
    </fill>
    <fill>
      <patternFill patternType="solid">
        <fgColor theme="0"/>
        <bgColor rgb="FF7F6000"/>
      </patternFill>
    </fill>
    <fill>
      <patternFill patternType="solid">
        <fgColor theme="9" tint="-0.249977111117893"/>
        <bgColor rgb="FF595959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rgb="FFA5A5A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rgb="FF595959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0"/>
        <bgColor rgb="FF59595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C2433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48135"/>
        <bgColor rgb="FF548135"/>
      </patternFill>
    </fill>
    <fill>
      <patternFill patternType="solid">
        <fgColor rgb="FFA8D08D"/>
        <bgColor rgb="FFA8D08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0070C0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  <fill>
      <patternFill patternType="solid">
        <fgColor theme="2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rgb="FFC55A1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FFE5"/>
        <bgColor theme="0"/>
      </patternFill>
    </fill>
    <fill>
      <patternFill patternType="solid">
        <fgColor rgb="FFE7FFE5"/>
        <bgColor rgb="FFFBE4D5"/>
      </patternFill>
    </fill>
    <fill>
      <patternFill patternType="solid">
        <fgColor rgb="FFE7FFE5"/>
        <bgColor indexed="64"/>
      </patternFill>
    </fill>
    <fill>
      <patternFill patternType="solid">
        <fgColor rgb="FFE7FFE5"/>
        <bgColor rgb="FFC55A11"/>
      </patternFill>
    </fill>
    <fill>
      <patternFill patternType="solid">
        <fgColor rgb="FFE7FFE5"/>
        <bgColor rgb="FFF7CAAC"/>
      </patternFill>
    </fill>
    <fill>
      <patternFill patternType="solid">
        <fgColor rgb="FFE7FFE5"/>
        <bgColor rgb="FFF4B083"/>
      </patternFill>
    </fill>
    <fill>
      <patternFill patternType="solid">
        <fgColor rgb="FFC5E0B3"/>
        <bgColor rgb="FFE2EFD9"/>
      </patternFill>
    </fill>
    <fill>
      <patternFill patternType="solid">
        <fgColor rgb="FFC5E0B3"/>
        <bgColor rgb="FFF2F2F2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2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theme="9" tint="0.59999389629810485"/>
        <bgColor rgb="FFE2EFD9"/>
      </patternFill>
    </fill>
    <fill>
      <patternFill patternType="solid">
        <fgColor theme="9" tint="0.39997558519241921"/>
        <bgColor rgb="FFA8D08D"/>
      </patternFill>
    </fill>
    <fill>
      <patternFill patternType="solid">
        <fgColor theme="9" tint="0.59999389629810485"/>
        <bgColor rgb="FFF2F2F2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C55A11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indexed="64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</borders>
  <cellStyleXfs count="4">
    <xf numFmtId="0" fontId="0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66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9" fillId="2" borderId="2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right" vertical="center"/>
    </xf>
    <xf numFmtId="164" fontId="9" fillId="5" borderId="2" xfId="0" applyNumberFormat="1" applyFont="1" applyFill="1" applyBorder="1" applyAlignment="1">
      <alignment horizontal="right" vertical="center"/>
    </xf>
    <xf numFmtId="164" fontId="2" fillId="6" borderId="2" xfId="0" applyNumberFormat="1" applyFont="1" applyFill="1" applyBorder="1" applyAlignment="1">
      <alignment horizontal="right" vertical="center"/>
    </xf>
    <xf numFmtId="164" fontId="9" fillId="3" borderId="2" xfId="0" applyNumberFormat="1" applyFont="1" applyFill="1" applyBorder="1" applyAlignment="1">
      <alignment horizontal="right" vertical="center"/>
    </xf>
    <xf numFmtId="0" fontId="2" fillId="7" borderId="2" xfId="0" applyFont="1" applyFill="1" applyBorder="1" applyAlignment="1">
      <alignment horizontal="center" vertical="center"/>
    </xf>
    <xf numFmtId="164" fontId="2" fillId="7" borderId="2" xfId="0" applyNumberFormat="1" applyFont="1" applyFill="1" applyBorder="1" applyAlignment="1">
      <alignment horizontal="right" vertical="center"/>
    </xf>
    <xf numFmtId="164" fontId="9" fillId="7" borderId="2" xfId="0" applyNumberFormat="1" applyFont="1" applyFill="1" applyBorder="1" applyAlignment="1">
      <alignment horizontal="right" vertical="center"/>
    </xf>
    <xf numFmtId="0" fontId="2" fillId="8" borderId="2" xfId="0" applyFont="1" applyFill="1" applyBorder="1" applyAlignment="1">
      <alignment horizontal="center" vertical="center"/>
    </xf>
    <xf numFmtId="164" fontId="2" fillId="9" borderId="2" xfId="0" applyNumberFormat="1" applyFont="1" applyFill="1" applyBorder="1" applyAlignment="1">
      <alignment horizontal="right" vertical="center"/>
    </xf>
    <xf numFmtId="164" fontId="9" fillId="10" borderId="2" xfId="0" applyNumberFormat="1" applyFont="1" applyFill="1" applyBorder="1" applyAlignment="1">
      <alignment horizontal="right" vertical="center"/>
    </xf>
    <xf numFmtId="164" fontId="2" fillId="11" borderId="2" xfId="0" applyNumberFormat="1" applyFont="1" applyFill="1" applyBorder="1" applyAlignment="1">
      <alignment horizontal="right" vertical="center"/>
    </xf>
    <xf numFmtId="164" fontId="9" fillId="8" borderId="2" xfId="0" applyNumberFormat="1" applyFont="1" applyFill="1" applyBorder="1" applyAlignment="1">
      <alignment horizontal="right" vertical="center"/>
    </xf>
    <xf numFmtId="164" fontId="9" fillId="9" borderId="2" xfId="0" applyNumberFormat="1" applyFont="1" applyFill="1" applyBorder="1" applyAlignment="1">
      <alignment horizontal="right" vertical="center"/>
    </xf>
    <xf numFmtId="164" fontId="2" fillId="12" borderId="2" xfId="0" applyNumberFormat="1" applyFont="1" applyFill="1" applyBorder="1" applyAlignment="1">
      <alignment horizontal="right" vertical="center"/>
    </xf>
    <xf numFmtId="164" fontId="2" fillId="13" borderId="2" xfId="0" applyNumberFormat="1" applyFont="1" applyFill="1" applyBorder="1" applyAlignment="1">
      <alignment horizontal="right" vertical="center"/>
    </xf>
    <xf numFmtId="164" fontId="9" fillId="14" borderId="2" xfId="0" applyNumberFormat="1" applyFont="1" applyFill="1" applyBorder="1" applyAlignment="1">
      <alignment horizontal="right" vertical="center"/>
    </xf>
    <xf numFmtId="164" fontId="2" fillId="10" borderId="2" xfId="0" applyNumberFormat="1" applyFont="1" applyFill="1" applyBorder="1" applyAlignment="1">
      <alignment horizontal="right" vertical="center"/>
    </xf>
    <xf numFmtId="164" fontId="2" fillId="16" borderId="2" xfId="0" applyNumberFormat="1" applyFont="1" applyFill="1" applyBorder="1" applyAlignment="1">
      <alignment horizontal="right" vertical="center"/>
    </xf>
    <xf numFmtId="164" fontId="9" fillId="17" borderId="2" xfId="0" applyNumberFormat="1" applyFont="1" applyFill="1" applyBorder="1" applyAlignment="1">
      <alignment horizontal="right" vertical="center"/>
    </xf>
    <xf numFmtId="164" fontId="2" fillId="18" borderId="2" xfId="0" applyNumberFormat="1" applyFont="1" applyFill="1" applyBorder="1" applyAlignment="1">
      <alignment horizontal="right" vertical="center"/>
    </xf>
    <xf numFmtId="0" fontId="2" fillId="21" borderId="2" xfId="0" applyFont="1" applyFill="1" applyBorder="1" applyAlignment="1">
      <alignment horizontal="center" vertical="center"/>
    </xf>
    <xf numFmtId="164" fontId="2" fillId="22" borderId="2" xfId="0" applyNumberFormat="1" applyFont="1" applyFill="1" applyBorder="1" applyAlignment="1">
      <alignment horizontal="right" vertical="center"/>
    </xf>
    <xf numFmtId="164" fontId="2" fillId="23" borderId="2" xfId="0" applyNumberFormat="1" applyFont="1" applyFill="1" applyBorder="1" applyAlignment="1">
      <alignment horizontal="right" vertical="center"/>
    </xf>
    <xf numFmtId="164" fontId="9" fillId="24" borderId="2" xfId="0" applyNumberFormat="1" applyFont="1" applyFill="1" applyBorder="1" applyAlignment="1">
      <alignment horizontal="right" vertical="center"/>
    </xf>
    <xf numFmtId="164" fontId="2" fillId="21" borderId="2" xfId="0" applyNumberFormat="1" applyFont="1" applyFill="1" applyBorder="1" applyAlignment="1">
      <alignment horizontal="right" vertical="center"/>
    </xf>
    <xf numFmtId="164" fontId="2" fillId="26" borderId="2" xfId="0" applyNumberFormat="1" applyFont="1" applyFill="1" applyBorder="1" applyAlignment="1">
      <alignment horizontal="right" vertical="center"/>
    </xf>
    <xf numFmtId="164" fontId="2" fillId="27" borderId="2" xfId="0" applyNumberFormat="1" applyFont="1" applyFill="1" applyBorder="1" applyAlignment="1">
      <alignment horizontal="right" vertical="center"/>
    </xf>
    <xf numFmtId="164" fontId="2" fillId="28" borderId="2" xfId="0" applyNumberFormat="1" applyFont="1" applyFill="1" applyBorder="1" applyAlignment="1">
      <alignment horizontal="right" vertical="center"/>
    </xf>
    <xf numFmtId="164" fontId="9" fillId="26" borderId="2" xfId="0" applyNumberFormat="1" applyFont="1" applyFill="1" applyBorder="1" applyAlignment="1">
      <alignment horizontal="right" vertical="center"/>
    </xf>
    <xf numFmtId="164" fontId="2" fillId="29" borderId="2" xfId="0" applyNumberFormat="1" applyFont="1" applyFill="1" applyBorder="1" applyAlignment="1">
      <alignment horizontal="right" vertical="center"/>
    </xf>
    <xf numFmtId="164" fontId="2" fillId="25" borderId="2" xfId="0" applyNumberFormat="1" applyFont="1" applyFill="1" applyBorder="1" applyAlignment="1">
      <alignment horizontal="right" vertical="center"/>
    </xf>
    <xf numFmtId="164" fontId="9" fillId="30" borderId="2" xfId="0" applyNumberFormat="1" applyFont="1" applyFill="1" applyBorder="1" applyAlignment="1">
      <alignment horizontal="right" vertical="center"/>
    </xf>
    <xf numFmtId="164" fontId="9" fillId="28" borderId="2" xfId="0" applyNumberFormat="1" applyFont="1" applyFill="1" applyBorder="1" applyAlignment="1">
      <alignment horizontal="right" vertical="center"/>
    </xf>
    <xf numFmtId="164" fontId="2" fillId="31" borderId="2" xfId="0" applyNumberFormat="1" applyFont="1" applyFill="1" applyBorder="1" applyAlignment="1">
      <alignment horizontal="right" vertical="center"/>
    </xf>
    <xf numFmtId="164" fontId="9" fillId="12" borderId="2" xfId="0" applyNumberFormat="1" applyFont="1" applyFill="1" applyBorder="1" applyAlignment="1">
      <alignment horizontal="right" vertical="center"/>
    </xf>
    <xf numFmtId="164" fontId="2" fillId="32" borderId="2" xfId="0" applyNumberFormat="1" applyFont="1" applyFill="1" applyBorder="1" applyAlignment="1">
      <alignment horizontal="right" vertical="center"/>
    </xf>
    <xf numFmtId="164" fontId="9" fillId="15" borderId="2" xfId="0" applyNumberFormat="1" applyFont="1" applyFill="1" applyBorder="1" applyAlignment="1">
      <alignment horizontal="right" vertical="center"/>
    </xf>
    <xf numFmtId="0" fontId="2" fillId="15" borderId="2" xfId="0" applyFont="1" applyFill="1" applyBorder="1" applyAlignment="1">
      <alignment horizontal="center" vertical="center"/>
    </xf>
    <xf numFmtId="164" fontId="9" fillId="34" borderId="2" xfId="0" applyNumberFormat="1" applyFont="1" applyFill="1" applyBorder="1" applyAlignment="1">
      <alignment horizontal="right" vertical="center"/>
    </xf>
    <xf numFmtId="164" fontId="2" fillId="35" borderId="2" xfId="0" applyNumberFormat="1" applyFont="1" applyFill="1" applyBorder="1" applyAlignment="1">
      <alignment horizontal="right" vertical="center"/>
    </xf>
    <xf numFmtId="164" fontId="2" fillId="36" borderId="2" xfId="0" applyNumberFormat="1" applyFont="1" applyFill="1" applyBorder="1" applyAlignment="1">
      <alignment horizontal="right" vertical="center"/>
    </xf>
    <xf numFmtId="164" fontId="9" fillId="36" borderId="2" xfId="0" applyNumberFormat="1" applyFont="1" applyFill="1" applyBorder="1" applyAlignment="1">
      <alignment horizontal="right" vertical="center"/>
    </xf>
    <xf numFmtId="164" fontId="9" fillId="33" borderId="2" xfId="0" applyNumberFormat="1" applyFont="1" applyFill="1" applyBorder="1" applyAlignment="1">
      <alignment horizontal="right" vertical="center"/>
    </xf>
    <xf numFmtId="0" fontId="2" fillId="38" borderId="2" xfId="0" applyFont="1" applyFill="1" applyBorder="1" applyAlignment="1">
      <alignment horizontal="center" vertical="center"/>
    </xf>
    <xf numFmtId="0" fontId="0" fillId="39" borderId="0" xfId="0" applyFill="1"/>
    <xf numFmtId="0" fontId="2" fillId="40" borderId="2" xfId="0" applyFont="1" applyFill="1" applyBorder="1" applyAlignment="1">
      <alignment horizontal="center" vertical="center"/>
    </xf>
    <xf numFmtId="164" fontId="2" fillId="38" borderId="2" xfId="0" applyNumberFormat="1" applyFont="1" applyFill="1" applyBorder="1" applyAlignment="1">
      <alignment horizontal="right" vertical="center"/>
    </xf>
    <xf numFmtId="164" fontId="9" fillId="7" borderId="2" xfId="0" applyNumberFormat="1" applyFont="1" applyFill="1" applyBorder="1" applyAlignment="1">
      <alignment horizontal="center" vertical="center"/>
    </xf>
    <xf numFmtId="164" fontId="9" fillId="25" borderId="6" xfId="0" applyNumberFormat="1" applyFont="1" applyFill="1" applyBorder="1" applyAlignment="1">
      <alignment horizontal="center" vertical="center"/>
    </xf>
    <xf numFmtId="164" fontId="9" fillId="37" borderId="2" xfId="0" applyNumberFormat="1" applyFont="1" applyFill="1" applyBorder="1" applyAlignment="1">
      <alignment horizontal="center" vertical="center"/>
    </xf>
    <xf numFmtId="164" fontId="2" fillId="42" borderId="2" xfId="0" applyNumberFormat="1" applyFont="1" applyFill="1" applyBorder="1" applyAlignment="1">
      <alignment horizontal="right" vertical="center"/>
    </xf>
    <xf numFmtId="164" fontId="5" fillId="6" borderId="2" xfId="0" applyNumberFormat="1" applyFont="1" applyFill="1" applyBorder="1" applyAlignment="1">
      <alignment horizontal="right" vertical="center"/>
    </xf>
    <xf numFmtId="164" fontId="12" fillId="3" borderId="2" xfId="0" applyNumberFormat="1" applyFont="1" applyFill="1" applyBorder="1" applyAlignment="1">
      <alignment horizontal="right" vertical="center"/>
    </xf>
    <xf numFmtId="164" fontId="12" fillId="26" borderId="2" xfId="0" applyNumberFormat="1" applyFont="1" applyFill="1" applyBorder="1" applyAlignment="1">
      <alignment horizontal="right" vertical="center"/>
    </xf>
    <xf numFmtId="164" fontId="12" fillId="7" borderId="2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right" vertical="center"/>
    </xf>
    <xf numFmtId="164" fontId="12" fillId="2" borderId="2" xfId="0" applyNumberFormat="1" applyFont="1" applyFill="1" applyBorder="1" applyAlignment="1">
      <alignment horizontal="right" vertical="center"/>
    </xf>
    <xf numFmtId="164" fontId="5" fillId="19" borderId="2" xfId="0" applyNumberFormat="1" applyFont="1" applyFill="1" applyBorder="1" applyAlignment="1">
      <alignment horizontal="right" vertical="center"/>
    </xf>
    <xf numFmtId="0" fontId="5" fillId="21" borderId="2" xfId="0" applyFont="1" applyFill="1" applyBorder="1" applyAlignment="1">
      <alignment horizontal="center" vertical="center"/>
    </xf>
    <xf numFmtId="164" fontId="5" fillId="42" borderId="2" xfId="0" applyNumberFormat="1" applyFont="1" applyFill="1" applyBorder="1" applyAlignment="1">
      <alignment horizontal="right" vertical="center"/>
    </xf>
    <xf numFmtId="164" fontId="5" fillId="36" borderId="2" xfId="0" applyNumberFormat="1" applyFont="1" applyFill="1" applyBorder="1" applyAlignment="1">
      <alignment horizontal="right" vertical="center"/>
    </xf>
    <xf numFmtId="164" fontId="12" fillId="19" borderId="2" xfId="0" applyNumberFormat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/>
    </xf>
    <xf numFmtId="0" fontId="2" fillId="20" borderId="2" xfId="0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164" fontId="9" fillId="3" borderId="8" xfId="0" applyNumberFormat="1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center" vertical="center"/>
    </xf>
    <xf numFmtId="0" fontId="2" fillId="43" borderId="2" xfId="0" applyFont="1" applyFill="1" applyBorder="1" applyAlignment="1">
      <alignment horizontal="center" vertical="center"/>
    </xf>
    <xf numFmtId="4" fontId="6" fillId="44" borderId="2" xfId="0" applyNumberFormat="1" applyFont="1" applyFill="1" applyBorder="1" applyAlignment="1">
      <alignment horizontal="center" vertical="center"/>
    </xf>
    <xf numFmtId="164" fontId="7" fillId="44" borderId="2" xfId="0" applyNumberFormat="1" applyFont="1" applyFill="1" applyBorder="1" applyAlignment="1">
      <alignment horizontal="center" vertical="center"/>
    </xf>
    <xf numFmtId="164" fontId="7" fillId="44" borderId="2" xfId="0" applyNumberFormat="1" applyFont="1" applyFill="1" applyBorder="1" applyAlignment="1">
      <alignment horizontal="right" vertical="center"/>
    </xf>
    <xf numFmtId="4" fontId="3" fillId="46" borderId="2" xfId="0" applyNumberFormat="1" applyFont="1" applyFill="1" applyBorder="1" applyAlignment="1">
      <alignment horizontal="center" vertical="center"/>
    </xf>
    <xf numFmtId="164" fontId="8" fillId="46" borderId="2" xfId="0" applyNumberFormat="1" applyFont="1" applyFill="1" applyBorder="1" applyAlignment="1">
      <alignment horizontal="center" vertical="center"/>
    </xf>
    <xf numFmtId="164" fontId="8" fillId="46" borderId="2" xfId="0" applyNumberFormat="1" applyFont="1" applyFill="1" applyBorder="1" applyAlignment="1">
      <alignment horizontal="right" vertical="center"/>
    </xf>
    <xf numFmtId="164" fontId="11" fillId="44" borderId="2" xfId="0" applyNumberFormat="1" applyFont="1" applyFill="1" applyBorder="1" applyAlignment="1">
      <alignment horizontal="right" vertical="center"/>
    </xf>
    <xf numFmtId="4" fontId="6" fillId="44" borderId="2" xfId="0" applyNumberFormat="1" applyFont="1" applyFill="1" applyBorder="1" applyAlignment="1">
      <alignment horizontal="left" vertical="center"/>
    </xf>
    <xf numFmtId="164" fontId="11" fillId="44" borderId="2" xfId="0" applyNumberFormat="1" applyFont="1" applyFill="1" applyBorder="1" applyAlignment="1">
      <alignment horizontal="left" vertical="center"/>
    </xf>
    <xf numFmtId="0" fontId="5" fillId="21" borderId="8" xfId="0" applyFont="1" applyFill="1" applyBorder="1" applyAlignment="1">
      <alignment horizontal="center" vertical="center"/>
    </xf>
    <xf numFmtId="0" fontId="5" fillId="21" borderId="17" xfId="0" applyFont="1" applyFill="1" applyBorder="1" applyAlignment="1">
      <alignment horizontal="center" vertical="center"/>
    </xf>
    <xf numFmtId="164" fontId="8" fillId="46" borderId="3" xfId="0" applyNumberFormat="1" applyFont="1" applyFill="1" applyBorder="1" applyAlignment="1">
      <alignment horizontal="right" vertical="center"/>
    </xf>
    <xf numFmtId="164" fontId="9" fillId="3" borderId="15" xfId="0" applyNumberFormat="1" applyFont="1" applyFill="1" applyBorder="1" applyAlignment="1">
      <alignment horizontal="right" vertical="center"/>
    </xf>
    <xf numFmtId="164" fontId="3" fillId="47" borderId="15" xfId="0" applyNumberFormat="1" applyFont="1" applyFill="1" applyBorder="1"/>
    <xf numFmtId="0" fontId="4" fillId="0" borderId="0" xfId="0" applyFont="1"/>
    <xf numFmtId="44" fontId="2" fillId="0" borderId="0" xfId="1" applyFont="1" applyAlignment="1">
      <alignment horizontal="center" vertical="center"/>
    </xf>
    <xf numFmtId="0" fontId="2" fillId="19" borderId="2" xfId="0" applyFont="1" applyFill="1" applyBorder="1" applyAlignment="1">
      <alignment horizontal="center" vertical="center"/>
    </xf>
    <xf numFmtId="164" fontId="8" fillId="46" borderId="13" xfId="0" applyNumberFormat="1" applyFont="1" applyFill="1" applyBorder="1" applyAlignment="1">
      <alignment horizontal="right" vertical="center"/>
    </xf>
    <xf numFmtId="0" fontId="0" fillId="0" borderId="0" xfId="0" applyAlignment="1">
      <alignment vertical="top"/>
    </xf>
    <xf numFmtId="164" fontId="3" fillId="51" borderId="0" xfId="0" applyNumberFormat="1" applyFont="1" applyFill="1"/>
    <xf numFmtId="164" fontId="12" fillId="2" borderId="4" xfId="0" applyNumberFormat="1" applyFont="1" applyFill="1" applyBorder="1" applyAlignment="1">
      <alignment horizontal="right" vertical="center"/>
    </xf>
    <xf numFmtId="164" fontId="5" fillId="2" borderId="4" xfId="0" applyNumberFormat="1" applyFont="1" applyFill="1" applyBorder="1" applyAlignment="1">
      <alignment horizontal="right" vertical="center"/>
    </xf>
    <xf numFmtId="164" fontId="5" fillId="36" borderId="4" xfId="0" applyNumberFormat="1" applyFont="1" applyFill="1" applyBorder="1" applyAlignment="1">
      <alignment horizontal="right" vertical="center"/>
    </xf>
    <xf numFmtId="164" fontId="9" fillId="52" borderId="8" xfId="0" applyNumberFormat="1" applyFont="1" applyFill="1" applyBorder="1" applyAlignment="1">
      <alignment horizontal="right" vertical="center"/>
    </xf>
    <xf numFmtId="0" fontId="2" fillId="52" borderId="15" xfId="0" applyFont="1" applyFill="1" applyBorder="1" applyAlignment="1">
      <alignment horizontal="center" vertical="center" wrapText="1"/>
    </xf>
    <xf numFmtId="1" fontId="2" fillId="52" borderId="15" xfId="0" applyNumberFormat="1" applyFont="1" applyFill="1" applyBorder="1" applyAlignment="1">
      <alignment horizontal="center" vertical="center" wrapText="1"/>
    </xf>
    <xf numFmtId="164" fontId="2" fillId="52" borderId="15" xfId="0" applyNumberFormat="1" applyFont="1" applyFill="1" applyBorder="1" applyAlignment="1">
      <alignment horizontal="left" vertical="center" wrapText="1"/>
    </xf>
    <xf numFmtId="44" fontId="2" fillId="0" borderId="0" xfId="1" applyFont="1"/>
    <xf numFmtId="44" fontId="2" fillId="0" borderId="0" xfId="0" applyNumberFormat="1" applyFont="1"/>
    <xf numFmtId="1" fontId="2" fillId="2" borderId="15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65" fontId="2" fillId="2" borderId="15" xfId="0" applyNumberFormat="1" applyFont="1" applyFill="1" applyBorder="1" applyAlignment="1">
      <alignment horizontal="center" vertical="center"/>
    </xf>
    <xf numFmtId="0" fontId="1" fillId="0" borderId="0" xfId="0" applyFont="1"/>
    <xf numFmtId="49" fontId="3" fillId="46" borderId="2" xfId="0" applyNumberFormat="1" applyFont="1" applyFill="1" applyBorder="1" applyAlignment="1">
      <alignment horizontal="center" vertical="center"/>
    </xf>
    <xf numFmtId="0" fontId="3" fillId="46" borderId="2" xfId="0" applyFont="1" applyFill="1" applyBorder="1" applyAlignment="1">
      <alignment horizontal="left" vertical="center" wrapText="1"/>
    </xf>
    <xf numFmtId="165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1" borderId="2" xfId="0" applyFont="1" applyFill="1" applyBorder="1" applyAlignment="1">
      <alignment horizontal="left" vertical="top" wrapText="1"/>
    </xf>
    <xf numFmtId="0" fontId="2" fillId="21" borderId="2" xfId="0" applyFont="1" applyFill="1" applyBorder="1" applyAlignment="1">
      <alignment horizontal="left" vertical="center" wrapText="1"/>
    </xf>
    <xf numFmtId="0" fontId="2" fillId="15" borderId="2" xfId="0" applyFont="1" applyFill="1" applyBorder="1" applyAlignment="1">
      <alignment horizontal="left" vertical="center" wrapText="1"/>
    </xf>
    <xf numFmtId="0" fontId="2" fillId="15" borderId="1" xfId="0" applyFont="1" applyFill="1" applyBorder="1" applyAlignment="1">
      <alignment horizontal="left" vertical="center" wrapText="1"/>
    </xf>
    <xf numFmtId="0" fontId="2" fillId="15" borderId="4" xfId="0" applyFont="1" applyFill="1" applyBorder="1" applyAlignment="1">
      <alignment horizontal="left" vertical="center" wrapText="1"/>
    </xf>
    <xf numFmtId="0" fontId="2" fillId="15" borderId="5" xfId="0" applyFont="1" applyFill="1" applyBorder="1" applyAlignment="1">
      <alignment horizontal="left" vertical="center" wrapText="1"/>
    </xf>
    <xf numFmtId="0" fontId="3" fillId="46" borderId="4" xfId="0" applyFont="1" applyFill="1" applyBorder="1" applyAlignment="1">
      <alignment horizontal="left" vertical="center" wrapText="1"/>
    </xf>
    <xf numFmtId="0" fontId="15" fillId="48" borderId="4" xfId="0" applyFont="1" applyFill="1" applyBorder="1" applyAlignment="1">
      <alignment horizontal="center" vertical="center" wrapText="1"/>
    </xf>
    <xf numFmtId="0" fontId="2" fillId="21" borderId="6" xfId="0" applyFont="1" applyFill="1" applyBorder="1" applyAlignment="1">
      <alignment horizontal="left" vertical="top" wrapText="1"/>
    </xf>
    <xf numFmtId="0" fontId="2" fillId="21" borderId="7" xfId="0" applyFont="1" applyFill="1" applyBorder="1" applyAlignment="1">
      <alignment horizontal="left" vertical="top" wrapText="1"/>
    </xf>
    <xf numFmtId="0" fontId="2" fillId="21" borderId="1" xfId="0" applyFont="1" applyFill="1" applyBorder="1" applyAlignment="1">
      <alignment horizontal="left" vertical="center" wrapText="1"/>
    </xf>
    <xf numFmtId="0" fontId="2" fillId="21" borderId="7" xfId="0" applyFont="1" applyFill="1" applyBorder="1" applyAlignment="1">
      <alignment horizontal="left" vertical="center" wrapText="1"/>
    </xf>
    <xf numFmtId="0" fontId="2" fillId="21" borderId="8" xfId="0" applyFont="1" applyFill="1" applyBorder="1" applyAlignment="1">
      <alignment horizontal="left" vertical="center" wrapText="1"/>
    </xf>
    <xf numFmtId="0" fontId="2" fillId="21" borderId="4" xfId="0" applyFont="1" applyFill="1" applyBorder="1" applyAlignment="1">
      <alignment horizontal="left" vertical="center" wrapText="1"/>
    </xf>
    <xf numFmtId="0" fontId="2" fillId="38" borderId="2" xfId="0" applyFont="1" applyFill="1" applyBorder="1" applyAlignment="1">
      <alignment horizontal="left" vertical="center" wrapText="1"/>
    </xf>
    <xf numFmtId="165" fontId="2" fillId="41" borderId="2" xfId="0" applyNumberFormat="1" applyFont="1" applyFill="1" applyBorder="1" applyAlignment="1">
      <alignment horizontal="center" vertical="center"/>
    </xf>
    <xf numFmtId="0" fontId="2" fillId="52" borderId="4" xfId="0" applyFont="1" applyFill="1" applyBorder="1" applyAlignment="1">
      <alignment horizontal="left" vertical="center" wrapText="1"/>
    </xf>
    <xf numFmtId="0" fontId="2" fillId="52" borderId="6" xfId="0" applyFont="1" applyFill="1" applyBorder="1" applyAlignment="1">
      <alignment horizontal="left" vertical="center" wrapText="1"/>
    </xf>
    <xf numFmtId="0" fontId="2" fillId="21" borderId="15" xfId="0" applyFont="1" applyFill="1" applyBorder="1" applyAlignment="1">
      <alignment horizontal="left" vertical="center" wrapText="1"/>
    </xf>
    <xf numFmtId="0" fontId="2" fillId="40" borderId="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1" borderId="16" xfId="0" applyFont="1" applyFill="1" applyBorder="1" applyAlignment="1">
      <alignment horizontal="left" vertical="center" wrapText="1"/>
    </xf>
    <xf numFmtId="0" fontId="2" fillId="21" borderId="12" xfId="0" applyFont="1" applyFill="1" applyBorder="1" applyAlignment="1">
      <alignment horizontal="left" vertical="center" wrapText="1"/>
    </xf>
    <xf numFmtId="0" fontId="2" fillId="38" borderId="8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1" borderId="6" xfId="0" applyFont="1" applyFill="1" applyBorder="1" applyAlignment="1">
      <alignment horizontal="left" vertical="top" wrapText="1"/>
    </xf>
    <xf numFmtId="0" fontId="5" fillId="21" borderId="7" xfId="0" applyFont="1" applyFill="1" applyBorder="1" applyAlignment="1">
      <alignment horizontal="left" vertical="top" wrapText="1"/>
    </xf>
    <xf numFmtId="0" fontId="5" fillId="21" borderId="15" xfId="0" applyFont="1" applyFill="1" applyBorder="1" applyAlignment="1">
      <alignment horizontal="left" vertical="center" wrapText="1"/>
    </xf>
    <xf numFmtId="0" fontId="5" fillId="21" borderId="7" xfId="0" applyFont="1" applyFill="1" applyBorder="1" applyAlignment="1">
      <alignment horizontal="left" vertical="center" wrapText="1"/>
    </xf>
    <xf numFmtId="0" fontId="5" fillId="21" borderId="2" xfId="0" applyFont="1" applyFill="1" applyBorder="1" applyAlignment="1">
      <alignment horizontal="left" vertical="center" wrapText="1"/>
    </xf>
    <xf numFmtId="0" fontId="5" fillId="21" borderId="1" xfId="0" applyFont="1" applyFill="1" applyBorder="1" applyAlignment="1">
      <alignment horizontal="left" vertical="center" wrapText="1"/>
    </xf>
    <xf numFmtId="0" fontId="5" fillId="21" borderId="8" xfId="0" applyFont="1" applyFill="1" applyBorder="1" applyAlignment="1">
      <alignment horizontal="left" vertical="center" wrapText="1"/>
    </xf>
    <xf numFmtId="0" fontId="5" fillId="21" borderId="16" xfId="0" applyFont="1" applyFill="1" applyBorder="1" applyAlignment="1">
      <alignment horizontal="left" vertical="center" wrapText="1"/>
    </xf>
    <xf numFmtId="0" fontId="5" fillId="40" borderId="2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166" fontId="3" fillId="49" borderId="4" xfId="0" applyNumberFormat="1" applyFont="1" applyFill="1" applyBorder="1" applyAlignment="1">
      <alignment horizontal="left" vertical="center"/>
    </xf>
    <xf numFmtId="165" fontId="2" fillId="2" borderId="2" xfId="0" applyNumberFormat="1" applyFont="1" applyFill="1" applyBorder="1" applyAlignment="1">
      <alignment horizontal="center" vertical="center"/>
    </xf>
    <xf numFmtId="0" fontId="2" fillId="15" borderId="9" xfId="0" applyFont="1" applyFill="1" applyBorder="1" applyAlignment="1">
      <alignment horizontal="left" vertical="center" wrapText="1"/>
    </xf>
    <xf numFmtId="165" fontId="2" fillId="3" borderId="4" xfId="0" applyNumberFormat="1" applyFont="1" applyFill="1" applyBorder="1" applyAlignment="1">
      <alignment horizontal="center" vertical="center"/>
    </xf>
    <xf numFmtId="0" fontId="2" fillId="15" borderId="15" xfId="0" applyFont="1" applyFill="1" applyBorder="1" applyAlignment="1">
      <alignment horizontal="left" vertical="center" wrapText="1"/>
    </xf>
    <xf numFmtId="1" fontId="3" fillId="49" borderId="4" xfId="0" applyNumberFormat="1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/>
    </xf>
    <xf numFmtId="165" fontId="2" fillId="2" borderId="18" xfId="0" applyNumberFormat="1" applyFont="1" applyFill="1" applyBorder="1" applyAlignment="1">
      <alignment horizontal="center" vertical="center"/>
    </xf>
    <xf numFmtId="0" fontId="10" fillId="21" borderId="2" xfId="0" applyFont="1" applyFill="1" applyBorder="1"/>
    <xf numFmtId="1" fontId="3" fillId="49" borderId="4" xfId="2" applyNumberFormat="1" applyFont="1" applyFill="1" applyBorder="1" applyAlignment="1">
      <alignment horizontal="center" vertical="center"/>
    </xf>
    <xf numFmtId="0" fontId="5" fillId="50" borderId="4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43" borderId="2" xfId="0" applyFont="1" applyFill="1" applyBorder="1" applyAlignment="1">
      <alignment horizontal="left" vertical="center" wrapText="1"/>
    </xf>
    <xf numFmtId="0" fontId="3" fillId="46" borderId="2" xfId="0" applyFont="1" applyFill="1" applyBorder="1" applyAlignment="1">
      <alignment horizontal="center" vertical="center"/>
    </xf>
    <xf numFmtId="165" fontId="2" fillId="10" borderId="17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3" fillId="51" borderId="0" xfId="0" applyFont="1" applyFill="1"/>
    <xf numFmtId="0" fontId="3" fillId="51" borderId="0" xfId="0" applyFont="1" applyFill="1" applyAlignment="1">
      <alignment horizontal="center" vertical="center"/>
    </xf>
    <xf numFmtId="164" fontId="3" fillId="51" borderId="0" xfId="0" applyNumberFormat="1" applyFont="1" applyFill="1" applyAlignment="1">
      <alignment horizontal="right"/>
    </xf>
    <xf numFmtId="164" fontId="3" fillId="53" borderId="15" xfId="0" applyNumberFormat="1" applyFont="1" applyFill="1" applyBorder="1"/>
    <xf numFmtId="0" fontId="2" fillId="53" borderId="0" xfId="0" applyFont="1" applyFill="1"/>
    <xf numFmtId="0" fontId="2" fillId="53" borderId="0" xfId="0" applyFont="1" applyFill="1" applyAlignment="1">
      <alignment horizontal="center" vertical="center"/>
    </xf>
    <xf numFmtId="164" fontId="2" fillId="53" borderId="0" xfId="0" applyNumberFormat="1" applyFont="1" applyFill="1"/>
    <xf numFmtId="164" fontId="3" fillId="53" borderId="0" xfId="0" applyNumberFormat="1" applyFont="1" applyFill="1" applyAlignment="1">
      <alignment horizontal="right"/>
    </xf>
    <xf numFmtId="9" fontId="18" fillId="53" borderId="0" xfId="3" applyFont="1" applyFill="1" applyAlignment="1">
      <alignment horizontal="center"/>
    </xf>
    <xf numFmtId="0" fontId="2" fillId="0" borderId="1" xfId="0" applyFont="1" applyBorder="1"/>
    <xf numFmtId="0" fontId="19" fillId="0" borderId="0" xfId="0" applyFont="1"/>
    <xf numFmtId="0" fontId="19" fillId="0" borderId="0" xfId="0" applyFont="1" applyAlignment="1">
      <alignment horizontal="center" vertical="center"/>
    </xf>
    <xf numFmtId="164" fontId="19" fillId="0" borderId="0" xfId="0" applyNumberFormat="1" applyFont="1"/>
    <xf numFmtId="165" fontId="19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/>
    </xf>
    <xf numFmtId="164" fontId="19" fillId="2" borderId="2" xfId="0" applyNumberFormat="1" applyFont="1" applyFill="1" applyBorder="1" applyAlignment="1">
      <alignment horizontal="right" vertical="center"/>
    </xf>
    <xf numFmtId="164" fontId="21" fillId="2" borderId="2" xfId="0" applyNumberFormat="1" applyFont="1" applyFill="1" applyBorder="1" applyAlignment="1">
      <alignment horizontal="right" vertical="center"/>
    </xf>
    <xf numFmtId="164" fontId="21" fillId="36" borderId="2" xfId="0" applyNumberFormat="1" applyFont="1" applyFill="1" applyBorder="1" applyAlignment="1">
      <alignment horizontal="right" vertical="center"/>
    </xf>
    <xf numFmtId="164" fontId="21" fillId="54" borderId="2" xfId="0" applyNumberFormat="1" applyFont="1" applyFill="1" applyBorder="1" applyAlignment="1">
      <alignment horizontal="right" vertical="center"/>
    </xf>
    <xf numFmtId="4" fontId="20" fillId="54" borderId="2" xfId="0" applyNumberFormat="1" applyFont="1" applyFill="1" applyBorder="1" applyAlignment="1">
      <alignment horizontal="left" vertical="center"/>
    </xf>
    <xf numFmtId="164" fontId="21" fillId="54" borderId="2" xfId="0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22" fillId="0" borderId="0" xfId="0" applyFont="1"/>
    <xf numFmtId="164" fontId="15" fillId="57" borderId="1" xfId="0" applyNumberFormat="1" applyFont="1" applyFill="1" applyBorder="1"/>
    <xf numFmtId="0" fontId="19" fillId="0" borderId="0" xfId="0" applyFont="1" applyAlignment="1">
      <alignment vertical="center"/>
    </xf>
    <xf numFmtId="165" fontId="5" fillId="2" borderId="2" xfId="0" applyNumberFormat="1" applyFont="1" applyFill="1" applyBorder="1" applyAlignment="1">
      <alignment horizontal="center" vertical="center"/>
    </xf>
    <xf numFmtId="164" fontId="12" fillId="2" borderId="8" xfId="0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61" borderId="2" xfId="0" applyFont="1" applyFill="1" applyBorder="1" applyAlignment="1">
      <alignment horizontal="left" vertical="top" wrapText="1"/>
    </xf>
    <xf numFmtId="165" fontId="5" fillId="56" borderId="2" xfId="0" applyNumberFormat="1" applyFont="1" applyFill="1" applyBorder="1" applyAlignment="1">
      <alignment horizontal="center" vertical="center"/>
    </xf>
    <xf numFmtId="0" fontId="5" fillId="19" borderId="2" xfId="0" applyFont="1" applyFill="1" applyBorder="1" applyAlignment="1">
      <alignment horizontal="center" vertical="center"/>
    </xf>
    <xf numFmtId="164" fontId="5" fillId="56" borderId="2" xfId="0" applyNumberFormat="1" applyFont="1" applyFill="1" applyBorder="1" applyAlignment="1">
      <alignment horizontal="right" vertical="center"/>
    </xf>
    <xf numFmtId="0" fontId="5" fillId="0" borderId="0" xfId="0" applyFont="1"/>
    <xf numFmtId="0" fontId="15" fillId="0" borderId="2" xfId="0" applyFont="1" applyBorder="1"/>
    <xf numFmtId="0" fontId="5" fillId="0" borderId="0" xfId="0" applyFont="1" applyAlignment="1">
      <alignment horizontal="center" vertical="center"/>
    </xf>
    <xf numFmtId="164" fontId="5" fillId="0" borderId="0" xfId="0" applyNumberFormat="1" applyFont="1"/>
    <xf numFmtId="0" fontId="5" fillId="0" borderId="2" xfId="0" applyFont="1" applyBorder="1"/>
    <xf numFmtId="0" fontId="5" fillId="2" borderId="2" xfId="0" applyFont="1" applyFill="1" applyBorder="1"/>
    <xf numFmtId="4" fontId="15" fillId="54" borderId="2" xfId="0" applyNumberFormat="1" applyFont="1" applyFill="1" applyBorder="1" applyAlignment="1">
      <alignment horizontal="center" vertical="center"/>
    </xf>
    <xf numFmtId="164" fontId="16" fillId="54" borderId="2" xfId="0" applyNumberFormat="1" applyFont="1" applyFill="1" applyBorder="1" applyAlignment="1">
      <alignment horizontal="center" vertical="center"/>
    </xf>
    <xf numFmtId="164" fontId="16" fillId="54" borderId="2" xfId="0" applyNumberFormat="1" applyFont="1" applyFill="1" applyBorder="1" applyAlignment="1">
      <alignment horizontal="right" vertical="center"/>
    </xf>
    <xf numFmtId="49" fontId="15" fillId="55" borderId="2" xfId="0" applyNumberFormat="1" applyFont="1" applyFill="1" applyBorder="1" applyAlignment="1">
      <alignment horizontal="center" vertical="center"/>
    </xf>
    <xf numFmtId="0" fontId="15" fillId="55" borderId="2" xfId="0" applyFont="1" applyFill="1" applyBorder="1" applyAlignment="1">
      <alignment horizontal="left" vertical="center" wrapText="1"/>
    </xf>
    <xf numFmtId="4" fontId="15" fillId="55" borderId="2" xfId="0" applyNumberFormat="1" applyFont="1" applyFill="1" applyBorder="1" applyAlignment="1">
      <alignment horizontal="center" vertical="center"/>
    </xf>
    <xf numFmtId="164" fontId="16" fillId="55" borderId="2" xfId="0" applyNumberFormat="1" applyFont="1" applyFill="1" applyBorder="1" applyAlignment="1">
      <alignment horizontal="center" vertical="center"/>
    </xf>
    <xf numFmtId="164" fontId="16" fillId="55" borderId="2" xfId="0" applyNumberFormat="1" applyFont="1" applyFill="1" applyBorder="1" applyAlignment="1">
      <alignment horizontal="right" vertical="center"/>
    </xf>
    <xf numFmtId="164" fontId="5" fillId="8" borderId="2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 vertical="center" wrapText="1"/>
    </xf>
    <xf numFmtId="0" fontId="15" fillId="55" borderId="4" xfId="0" applyFont="1" applyFill="1" applyBorder="1" applyAlignment="1">
      <alignment horizontal="left" vertical="center" wrapText="1"/>
    </xf>
    <xf numFmtId="164" fontId="12" fillId="36" borderId="2" xfId="0" applyNumberFormat="1" applyFont="1" applyFill="1" applyBorder="1" applyAlignment="1">
      <alignment horizontal="right" vertical="center"/>
    </xf>
    <xf numFmtId="164" fontId="12" fillId="56" borderId="2" xfId="0" applyNumberFormat="1" applyFont="1" applyFill="1" applyBorder="1" applyAlignment="1">
      <alignment horizontal="right" vertical="center"/>
    </xf>
    <xf numFmtId="0" fontId="23" fillId="0" borderId="0" xfId="0" applyFont="1"/>
    <xf numFmtId="165" fontId="15" fillId="60" borderId="2" xfId="0" applyNumberFormat="1" applyFont="1" applyFill="1" applyBorder="1" applyAlignment="1">
      <alignment horizontal="center" vertical="center"/>
    </xf>
    <xf numFmtId="0" fontId="15" fillId="60" borderId="2" xfId="0" applyFont="1" applyFill="1" applyBorder="1" applyAlignment="1">
      <alignment horizontal="left" vertical="center" wrapText="1"/>
    </xf>
    <xf numFmtId="0" fontId="15" fillId="60" borderId="2" xfId="0" applyFont="1" applyFill="1" applyBorder="1" applyAlignment="1">
      <alignment horizontal="center" vertical="center" wrapText="1"/>
    </xf>
    <xf numFmtId="164" fontId="15" fillId="60" borderId="2" xfId="0" applyNumberFormat="1" applyFont="1" applyFill="1" applyBorder="1" applyAlignment="1">
      <alignment horizontal="left" vertical="center" wrapText="1"/>
    </xf>
    <xf numFmtId="165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64" fontId="15" fillId="2" borderId="3" xfId="0" applyNumberFormat="1" applyFont="1" applyFill="1" applyBorder="1" applyAlignment="1">
      <alignment horizontal="left" vertical="center" wrapText="1"/>
    </xf>
    <xf numFmtId="164" fontId="5" fillId="2" borderId="3" xfId="0" applyNumberFormat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15" fillId="2" borderId="2" xfId="0" applyNumberFormat="1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left" vertical="center" wrapText="1"/>
    </xf>
    <xf numFmtId="164" fontId="12" fillId="2" borderId="8" xfId="0" applyNumberFormat="1" applyFont="1" applyFill="1" applyBorder="1" applyAlignment="1">
      <alignment horizontal="right" vertical="center"/>
    </xf>
    <xf numFmtId="3" fontId="15" fillId="60" borderId="2" xfId="0" applyNumberFormat="1" applyFont="1" applyFill="1" applyBorder="1" applyAlignment="1">
      <alignment horizontal="center" vertical="center" wrapText="1"/>
    </xf>
    <xf numFmtId="164" fontId="12" fillId="25" borderId="6" xfId="0" applyNumberFormat="1" applyFont="1" applyFill="1" applyBorder="1" applyAlignment="1">
      <alignment horizontal="center" vertical="center"/>
    </xf>
    <xf numFmtId="164" fontId="12" fillId="37" borderId="2" xfId="0" applyNumberFormat="1" applyFont="1" applyFill="1" applyBorder="1" applyAlignment="1">
      <alignment horizontal="center" vertical="center"/>
    </xf>
    <xf numFmtId="164" fontId="12" fillId="7" borderId="2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right" vertical="center"/>
    </xf>
    <xf numFmtId="164" fontId="12" fillId="37" borderId="2" xfId="0" applyNumberFormat="1" applyFont="1" applyFill="1" applyBorder="1" applyAlignment="1">
      <alignment horizontal="right" vertical="center"/>
    </xf>
    <xf numFmtId="164" fontId="16" fillId="55" borderId="3" xfId="0" applyNumberFormat="1" applyFont="1" applyFill="1" applyBorder="1" applyAlignment="1">
      <alignment horizontal="right" vertical="center"/>
    </xf>
    <xf numFmtId="164" fontId="5" fillId="58" borderId="2" xfId="0" applyNumberFormat="1" applyFont="1" applyFill="1" applyBorder="1" applyAlignment="1">
      <alignment horizontal="right" vertical="center"/>
    </xf>
    <xf numFmtId="164" fontId="12" fillId="58" borderId="2" xfId="0" applyNumberFormat="1" applyFont="1" applyFill="1" applyBorder="1" applyAlignment="1">
      <alignment horizontal="right" vertical="center"/>
    </xf>
    <xf numFmtId="4" fontId="15" fillId="44" borderId="2" xfId="0" applyNumberFormat="1" applyFont="1" applyFill="1" applyBorder="1" applyAlignment="1">
      <alignment horizontal="center" vertical="center"/>
    </xf>
    <xf numFmtId="164" fontId="12" fillId="44" borderId="2" xfId="0" applyNumberFormat="1" applyFont="1" applyFill="1" applyBorder="1" applyAlignment="1">
      <alignment horizontal="right" vertical="center"/>
    </xf>
    <xf numFmtId="164" fontId="12" fillId="54" borderId="2" xfId="0" applyNumberFormat="1" applyFont="1" applyFill="1" applyBorder="1" applyAlignment="1">
      <alignment horizontal="right" vertical="center"/>
    </xf>
    <xf numFmtId="164" fontId="12" fillId="2" borderId="13" xfId="0" applyNumberFormat="1" applyFont="1" applyFill="1" applyBorder="1" applyAlignment="1">
      <alignment horizontal="right" vertical="center"/>
    </xf>
    <xf numFmtId="0" fontId="5" fillId="19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/>
    </xf>
    <xf numFmtId="164" fontId="5" fillId="37" borderId="2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44" fontId="0" fillId="0" borderId="0" xfId="1" applyFont="1"/>
    <xf numFmtId="0" fontId="5" fillId="2" borderId="13" xfId="0" applyFont="1" applyFill="1" applyBorder="1" applyAlignment="1">
      <alignment horizontal="center" vertical="center"/>
    </xf>
    <xf numFmtId="164" fontId="5" fillId="36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right"/>
    </xf>
    <xf numFmtId="4" fontId="15" fillId="54" borderId="2" xfId="0" applyNumberFormat="1" applyFont="1" applyFill="1" applyBorder="1" applyAlignment="1">
      <alignment horizontal="left" vertical="center"/>
    </xf>
    <xf numFmtId="164" fontId="12" fillId="54" borderId="2" xfId="0" applyNumberFormat="1" applyFont="1" applyFill="1" applyBorder="1" applyAlignment="1">
      <alignment horizontal="left" vertical="center"/>
    </xf>
    <xf numFmtId="0" fontId="15" fillId="55" borderId="2" xfId="0" applyFont="1" applyFill="1" applyBorder="1" applyAlignment="1">
      <alignment horizontal="center" vertical="center"/>
    </xf>
    <xf numFmtId="164" fontId="5" fillId="54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164" fontId="15" fillId="59" borderId="2" xfId="0" applyNumberFormat="1" applyFont="1" applyFill="1" applyBorder="1"/>
    <xf numFmtId="164" fontId="15" fillId="0" borderId="2" xfId="0" applyNumberFormat="1" applyFont="1" applyBorder="1"/>
    <xf numFmtId="164" fontId="5" fillId="0" borderId="0" xfId="0" applyNumberFormat="1" applyFont="1" applyAlignment="1">
      <alignment horizontal="right"/>
    </xf>
    <xf numFmtId="9" fontId="15" fillId="0" borderId="0" xfId="0" applyNumberFormat="1" applyFont="1"/>
    <xf numFmtId="0" fontId="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5" fontId="15" fillId="62" borderId="12" xfId="0" applyNumberFormat="1" applyFont="1" applyFill="1" applyBorder="1" applyAlignment="1">
      <alignment horizontal="left" vertical="center"/>
    </xf>
    <xf numFmtId="165" fontId="15" fillId="62" borderId="5" xfId="0" applyNumberFormat="1" applyFont="1" applyFill="1" applyBorder="1" applyAlignment="1">
      <alignment horizontal="left" vertical="center"/>
    </xf>
    <xf numFmtId="165" fontId="15" fillId="62" borderId="5" xfId="0" applyNumberFormat="1" applyFont="1" applyFill="1" applyBorder="1" applyAlignment="1">
      <alignment horizontal="center" vertical="center"/>
    </xf>
    <xf numFmtId="164" fontId="15" fillId="62" borderId="5" xfId="0" applyNumberFormat="1" applyFont="1" applyFill="1" applyBorder="1" applyAlignment="1">
      <alignment horizontal="left" vertical="center"/>
    </xf>
    <xf numFmtId="165" fontId="15" fillId="62" borderId="4" xfId="0" applyNumberFormat="1" applyFont="1" applyFill="1" applyBorder="1" applyAlignment="1">
      <alignment horizontal="left" vertical="center"/>
    </xf>
    <xf numFmtId="165" fontId="15" fillId="62" borderId="6" xfId="0" applyNumberFormat="1" applyFont="1" applyFill="1" applyBorder="1" applyAlignment="1">
      <alignment horizontal="left" vertical="center"/>
    </xf>
    <xf numFmtId="165" fontId="15" fillId="62" borderId="6" xfId="0" applyNumberFormat="1" applyFont="1" applyFill="1" applyBorder="1" applyAlignment="1">
      <alignment horizontal="center" vertical="center"/>
    </xf>
    <xf numFmtId="164" fontId="15" fillId="62" borderId="6" xfId="0" applyNumberFormat="1" applyFont="1" applyFill="1" applyBorder="1" applyAlignment="1">
      <alignment horizontal="left" vertical="center"/>
    </xf>
    <xf numFmtId="0" fontId="23" fillId="64" borderId="0" xfId="0" applyFont="1" applyFill="1"/>
    <xf numFmtId="165" fontId="15" fillId="65" borderId="4" xfId="0" applyNumberFormat="1" applyFont="1" applyFill="1" applyBorder="1" applyAlignment="1">
      <alignment horizontal="left" vertical="center"/>
    </xf>
    <xf numFmtId="165" fontId="15" fillId="65" borderId="6" xfId="0" applyNumberFormat="1" applyFont="1" applyFill="1" applyBorder="1" applyAlignment="1">
      <alignment horizontal="left" vertical="center"/>
    </xf>
    <xf numFmtId="165" fontId="15" fillId="65" borderId="6" xfId="0" applyNumberFormat="1" applyFont="1" applyFill="1" applyBorder="1" applyAlignment="1">
      <alignment horizontal="center" vertical="center"/>
    </xf>
    <xf numFmtId="164" fontId="15" fillId="65" borderId="6" xfId="0" applyNumberFormat="1" applyFont="1" applyFill="1" applyBorder="1" applyAlignment="1">
      <alignment horizontal="left" vertical="center"/>
    </xf>
    <xf numFmtId="164" fontId="12" fillId="66" borderId="2" xfId="0" applyNumberFormat="1" applyFont="1" applyFill="1" applyBorder="1" applyAlignment="1">
      <alignment horizontal="right" vertical="center"/>
    </xf>
    <xf numFmtId="164" fontId="16" fillId="63" borderId="2" xfId="0" applyNumberFormat="1" applyFont="1" applyFill="1" applyBorder="1" applyAlignment="1">
      <alignment horizontal="right" vertical="center"/>
    </xf>
    <xf numFmtId="0" fontId="23" fillId="67" borderId="0" xfId="0" applyFont="1" applyFill="1"/>
    <xf numFmtId="164" fontId="16" fillId="66" borderId="2" xfId="0" applyNumberFormat="1" applyFont="1" applyFill="1" applyBorder="1" applyAlignment="1">
      <alignment horizontal="right" vertical="center"/>
    </xf>
    <xf numFmtId="0" fontId="5" fillId="67" borderId="6" xfId="0" applyFont="1" applyFill="1" applyBorder="1"/>
    <xf numFmtId="164" fontId="16" fillId="66" borderId="8" xfId="0" applyNumberFormat="1" applyFont="1" applyFill="1" applyBorder="1" applyAlignment="1">
      <alignment horizontal="right" vertical="center"/>
    </xf>
    <xf numFmtId="44" fontId="5" fillId="2" borderId="2" xfId="1" applyFont="1" applyFill="1" applyBorder="1" applyAlignment="1">
      <alignment horizontal="center" vertical="center"/>
    </xf>
    <xf numFmtId="44" fontId="5" fillId="2" borderId="2" xfId="1" applyFont="1" applyFill="1" applyBorder="1" applyAlignment="1">
      <alignment horizontal="left" vertical="center" wrapText="1"/>
    </xf>
    <xf numFmtId="44" fontId="5" fillId="2" borderId="2" xfId="1" applyFont="1" applyFill="1" applyBorder="1" applyAlignment="1">
      <alignment horizontal="right" vertical="center"/>
    </xf>
    <xf numFmtId="44" fontId="12" fillId="2" borderId="2" xfId="1" applyFont="1" applyFill="1" applyBorder="1" applyAlignment="1">
      <alignment horizontal="right" vertical="center"/>
    </xf>
    <xf numFmtId="44" fontId="23" fillId="0" borderId="0" xfId="1" applyFont="1"/>
    <xf numFmtId="164" fontId="5" fillId="66" borderId="8" xfId="0" applyNumberFormat="1" applyFont="1" applyFill="1" applyBorder="1" applyAlignment="1">
      <alignment horizontal="right" vertical="center"/>
    </xf>
    <xf numFmtId="164" fontId="16" fillId="68" borderId="2" xfId="0" applyNumberFormat="1" applyFont="1" applyFill="1" applyBorder="1" applyAlignment="1">
      <alignment horizontal="right" vertical="center"/>
    </xf>
    <xf numFmtId="0" fontId="5" fillId="64" borderId="6" xfId="0" applyFont="1" applyFill="1" applyBorder="1"/>
    <xf numFmtId="0" fontId="5" fillId="67" borderId="5" xfId="0" applyFont="1" applyFill="1" applyBorder="1"/>
    <xf numFmtId="164" fontId="12" fillId="68" borderId="2" xfId="0" applyNumberFormat="1" applyFont="1" applyFill="1" applyBorder="1" applyAlignment="1">
      <alignment horizontal="right" vertical="center"/>
    </xf>
    <xf numFmtId="164" fontId="12" fillId="69" borderId="2" xfId="0" applyNumberFormat="1" applyFont="1" applyFill="1" applyBorder="1" applyAlignment="1">
      <alignment horizontal="right" vertical="center"/>
    </xf>
    <xf numFmtId="0" fontId="5" fillId="64" borderId="6" xfId="0" applyFont="1" applyFill="1" applyBorder="1" applyAlignment="1">
      <alignment horizontal="center"/>
    </xf>
    <xf numFmtId="0" fontId="5" fillId="64" borderId="8" xfId="0" applyFont="1" applyFill="1" applyBorder="1"/>
    <xf numFmtId="0" fontId="15" fillId="0" borderId="0" xfId="0" applyFont="1"/>
    <xf numFmtId="0" fontId="5" fillId="0" borderId="0" xfId="0" applyFont="1" applyAlignment="1">
      <alignment vertical="center"/>
    </xf>
    <xf numFmtId="0" fontId="5" fillId="2" borderId="1" xfId="0" applyFont="1" applyFill="1" applyBorder="1"/>
    <xf numFmtId="164" fontId="5" fillId="0" borderId="0" xfId="0" applyNumberFormat="1" applyFont="1" applyAlignment="1">
      <alignment horizontal="center" vertical="center"/>
    </xf>
    <xf numFmtId="0" fontId="23" fillId="39" borderId="0" xfId="0" applyFont="1" applyFill="1"/>
    <xf numFmtId="164" fontId="16" fillId="70" borderId="2" xfId="0" applyNumberFormat="1" applyFont="1" applyFill="1" applyBorder="1" applyAlignment="1">
      <alignment horizontal="right" vertical="center"/>
    </xf>
    <xf numFmtId="164" fontId="12" fillId="70" borderId="2" xfId="0" applyNumberFormat="1" applyFont="1" applyFill="1" applyBorder="1" applyAlignment="1">
      <alignment horizontal="right" vertical="center"/>
    </xf>
    <xf numFmtId="164" fontId="5" fillId="70" borderId="2" xfId="0" applyNumberFormat="1" applyFont="1" applyFill="1" applyBorder="1" applyAlignment="1">
      <alignment horizontal="right" vertical="center"/>
    </xf>
    <xf numFmtId="0" fontId="5" fillId="39" borderId="5" xfId="0" applyFont="1" applyFill="1" applyBorder="1"/>
    <xf numFmtId="0" fontId="5" fillId="64" borderId="5" xfId="0" applyFont="1" applyFill="1" applyBorder="1"/>
    <xf numFmtId="0" fontId="15" fillId="55" borderId="4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5" fontId="15" fillId="71" borderId="2" xfId="0" applyNumberFormat="1" applyFont="1" applyFill="1" applyBorder="1" applyAlignment="1">
      <alignment horizontal="center" vertical="center"/>
    </xf>
    <xf numFmtId="0" fontId="15" fillId="71" borderId="2" xfId="0" applyFont="1" applyFill="1" applyBorder="1" applyAlignment="1">
      <alignment horizontal="left" vertical="center" wrapText="1"/>
    </xf>
    <xf numFmtId="0" fontId="15" fillId="71" borderId="2" xfId="0" applyFont="1" applyFill="1" applyBorder="1" applyAlignment="1">
      <alignment horizontal="center" vertical="center" wrapText="1"/>
    </xf>
    <xf numFmtId="0" fontId="15" fillId="71" borderId="3" xfId="0" applyFont="1" applyFill="1" applyBorder="1" applyAlignment="1">
      <alignment horizontal="left" vertical="center" wrapText="1"/>
    </xf>
    <xf numFmtId="0" fontId="15" fillId="71" borderId="3" xfId="0" applyFont="1" applyFill="1" applyBorder="1" applyAlignment="1">
      <alignment horizontal="center" vertical="center" wrapText="1"/>
    </xf>
    <xf numFmtId="3" fontId="15" fillId="71" borderId="2" xfId="0" applyNumberFormat="1" applyFont="1" applyFill="1" applyBorder="1" applyAlignment="1">
      <alignment horizontal="center" vertical="center" wrapText="1"/>
    </xf>
    <xf numFmtId="3" fontId="15" fillId="71" borderId="2" xfId="0" applyNumberFormat="1" applyFont="1" applyFill="1" applyBorder="1" applyAlignment="1">
      <alignment horizontal="left" vertical="center" wrapText="1"/>
    </xf>
    <xf numFmtId="164" fontId="16" fillId="55" borderId="13" xfId="0" applyNumberFormat="1" applyFont="1" applyFill="1" applyBorder="1" applyAlignment="1">
      <alignment horizontal="right" vertical="center"/>
    </xf>
    <xf numFmtId="166" fontId="15" fillId="55" borderId="4" xfId="0" applyNumberFormat="1" applyFont="1" applyFill="1" applyBorder="1" applyAlignment="1">
      <alignment horizontal="left" vertical="center"/>
    </xf>
    <xf numFmtId="164" fontId="5" fillId="39" borderId="2" xfId="0" applyNumberFormat="1" applyFont="1" applyFill="1" applyBorder="1" applyAlignment="1">
      <alignment horizontal="right" vertical="center"/>
    </xf>
    <xf numFmtId="164" fontId="16" fillId="69" borderId="2" xfId="0" applyNumberFormat="1" applyFont="1" applyFill="1" applyBorder="1" applyAlignment="1">
      <alignment horizontal="right" vertical="center"/>
    </xf>
    <xf numFmtId="164" fontId="5" fillId="69" borderId="2" xfId="0" applyNumberFormat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left" vertical="center" wrapText="1"/>
    </xf>
    <xf numFmtId="1" fontId="5" fillId="2" borderId="2" xfId="0" applyNumberFormat="1" applyFont="1" applyFill="1" applyBorder="1" applyAlignment="1">
      <alignment horizontal="center" vertical="center"/>
    </xf>
    <xf numFmtId="165" fontId="15" fillId="65" borderId="5" xfId="0" applyNumberFormat="1" applyFont="1" applyFill="1" applyBorder="1" applyAlignment="1">
      <alignment horizontal="left" vertical="center"/>
    </xf>
    <xf numFmtId="164" fontId="16" fillId="63" borderId="3" xfId="0" applyNumberFormat="1" applyFont="1" applyFill="1" applyBorder="1" applyAlignment="1">
      <alignment horizontal="right" vertical="center"/>
    </xf>
    <xf numFmtId="165" fontId="5" fillId="2" borderId="4" xfId="0" applyNumberFormat="1" applyFont="1" applyFill="1" applyBorder="1" applyAlignment="1">
      <alignment horizontal="center" vertical="center"/>
    </xf>
    <xf numFmtId="1" fontId="15" fillId="55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64" fontId="9" fillId="39" borderId="2" xfId="0" applyNumberFormat="1" applyFont="1" applyFill="1" applyBorder="1" applyAlignment="1">
      <alignment horizontal="right" vertical="center"/>
    </xf>
    <xf numFmtId="164" fontId="8" fillId="2" borderId="2" xfId="0" applyNumberFormat="1" applyFont="1" applyFill="1" applyBorder="1" applyAlignment="1">
      <alignment horizontal="right" vertical="center"/>
    </xf>
    <xf numFmtId="165" fontId="3" fillId="65" borderId="4" xfId="0" applyNumberFormat="1" applyFont="1" applyFill="1" applyBorder="1" applyAlignment="1">
      <alignment horizontal="left" vertical="center"/>
    </xf>
    <xf numFmtId="165" fontId="3" fillId="65" borderId="6" xfId="0" applyNumberFormat="1" applyFont="1" applyFill="1" applyBorder="1" applyAlignment="1">
      <alignment horizontal="left" vertical="center"/>
    </xf>
    <xf numFmtId="164" fontId="9" fillId="65" borderId="2" xfId="0" applyNumberFormat="1" applyFont="1" applyFill="1" applyBorder="1" applyAlignment="1">
      <alignment horizontal="right" vertical="center"/>
    </xf>
    <xf numFmtId="165" fontId="3" fillId="62" borderId="4" xfId="0" applyNumberFormat="1" applyFont="1" applyFill="1" applyBorder="1" applyAlignment="1">
      <alignment horizontal="left" vertical="center"/>
    </xf>
    <xf numFmtId="165" fontId="3" fillId="62" borderId="6" xfId="0" applyNumberFormat="1" applyFont="1" applyFill="1" applyBorder="1" applyAlignment="1">
      <alignment horizontal="left" vertical="center"/>
    </xf>
    <xf numFmtId="164" fontId="8" fillId="62" borderId="2" xfId="0" applyNumberFormat="1" applyFont="1" applyFill="1" applyBorder="1" applyAlignment="1">
      <alignment horizontal="right" vertical="center"/>
    </xf>
    <xf numFmtId="165" fontId="3" fillId="72" borderId="2" xfId="0" applyNumberFormat="1" applyFont="1" applyFill="1" applyBorder="1" applyAlignment="1">
      <alignment horizontal="center" vertical="center"/>
    </xf>
    <xf numFmtId="0" fontId="3" fillId="72" borderId="2" xfId="0" applyFont="1" applyFill="1" applyBorder="1" applyAlignment="1">
      <alignment horizontal="left" vertical="center" wrapText="1"/>
    </xf>
    <xf numFmtId="0" fontId="3" fillId="72" borderId="2" xfId="0" applyFont="1" applyFill="1" applyBorder="1" applyAlignment="1">
      <alignment horizontal="center" vertical="center" wrapText="1"/>
    </xf>
    <xf numFmtId="0" fontId="3" fillId="72" borderId="3" xfId="0" applyFont="1" applyFill="1" applyBorder="1" applyAlignment="1">
      <alignment horizontal="left" vertical="center" wrapText="1"/>
    </xf>
    <xf numFmtId="0" fontId="3" fillId="72" borderId="3" xfId="0" applyFont="1" applyFill="1" applyBorder="1" applyAlignment="1">
      <alignment horizontal="center" vertical="center" wrapText="1"/>
    </xf>
    <xf numFmtId="164" fontId="16" fillId="65" borderId="2" xfId="0" applyNumberFormat="1" applyFont="1" applyFill="1" applyBorder="1" applyAlignment="1">
      <alignment horizontal="right" vertical="center"/>
    </xf>
    <xf numFmtId="164" fontId="12" fillId="65" borderId="2" xfId="0" applyNumberFormat="1" applyFont="1" applyFill="1" applyBorder="1" applyAlignment="1">
      <alignment horizontal="right" vertical="center"/>
    </xf>
    <xf numFmtId="3" fontId="3" fillId="72" borderId="2" xfId="0" applyNumberFormat="1" applyFont="1" applyFill="1" applyBorder="1" applyAlignment="1">
      <alignment horizontal="center" vertical="center" wrapText="1"/>
    </xf>
    <xf numFmtId="3" fontId="3" fillId="72" borderId="2" xfId="0" applyNumberFormat="1" applyFont="1" applyFill="1" applyBorder="1" applyAlignment="1">
      <alignment horizontal="left" vertical="center" wrapText="1"/>
    </xf>
    <xf numFmtId="0" fontId="2" fillId="39" borderId="2" xfId="0" applyFont="1" applyFill="1" applyBorder="1" applyAlignment="1">
      <alignment horizontal="center" vertical="center"/>
    </xf>
    <xf numFmtId="0" fontId="5" fillId="39" borderId="2" xfId="0" applyFont="1" applyFill="1" applyBorder="1" applyAlignment="1">
      <alignment horizontal="center" vertical="center"/>
    </xf>
    <xf numFmtId="164" fontId="8" fillId="65" borderId="2" xfId="0" applyNumberFormat="1" applyFont="1" applyFill="1" applyBorder="1" applyAlignment="1">
      <alignment horizontal="right" vertical="center"/>
    </xf>
    <xf numFmtId="164" fontId="12" fillId="39" borderId="2" xfId="0" applyNumberFormat="1" applyFont="1" applyFill="1" applyBorder="1" applyAlignment="1">
      <alignment horizontal="right" vertical="center"/>
    </xf>
    <xf numFmtId="164" fontId="3" fillId="65" borderId="6" xfId="0" applyNumberFormat="1" applyFont="1" applyFill="1" applyBorder="1" applyAlignment="1">
      <alignment horizontal="left" vertical="center"/>
    </xf>
    <xf numFmtId="165" fontId="3" fillId="65" borderId="5" xfId="0" applyNumberFormat="1" applyFont="1" applyFill="1" applyBorder="1" applyAlignment="1">
      <alignment horizontal="left" vertical="center"/>
    </xf>
    <xf numFmtId="164" fontId="3" fillId="62" borderId="6" xfId="0" applyNumberFormat="1" applyFont="1" applyFill="1" applyBorder="1" applyAlignment="1">
      <alignment horizontal="left" vertical="center"/>
    </xf>
    <xf numFmtId="164" fontId="8" fillId="62" borderId="3" xfId="0" applyNumberFormat="1" applyFont="1" applyFill="1" applyBorder="1" applyAlignment="1">
      <alignment horizontal="right" vertical="center"/>
    </xf>
    <xf numFmtId="164" fontId="9" fillId="3" borderId="13" xfId="0" applyNumberFormat="1" applyFont="1" applyFill="1" applyBorder="1" applyAlignment="1">
      <alignment horizontal="right" vertical="center"/>
    </xf>
    <xf numFmtId="164" fontId="16" fillId="62" borderId="2" xfId="0" applyNumberFormat="1" applyFont="1" applyFill="1" applyBorder="1" applyAlignment="1">
      <alignment horizontal="right" vertical="center"/>
    </xf>
    <xf numFmtId="164" fontId="8" fillId="65" borderId="14" xfId="0" applyNumberFormat="1" applyFont="1" applyFill="1" applyBorder="1" applyAlignment="1">
      <alignment horizontal="right" vertical="center"/>
    </xf>
    <xf numFmtId="44" fontId="23" fillId="0" borderId="0" xfId="1" applyFont="1" applyAlignment="1">
      <alignment horizontal="center"/>
    </xf>
    <xf numFmtId="44" fontId="23" fillId="39" borderId="0" xfId="1" applyFont="1" applyFill="1"/>
    <xf numFmtId="0" fontId="24" fillId="0" borderId="0" xfId="0" applyFont="1"/>
    <xf numFmtId="0" fontId="25" fillId="0" borderId="2" xfId="0" applyFont="1" applyBorder="1"/>
    <xf numFmtId="0" fontId="24" fillId="0" borderId="0" xfId="0" applyFont="1" applyAlignment="1">
      <alignment horizontal="center" vertical="center"/>
    </xf>
    <xf numFmtId="164" fontId="24" fillId="0" borderId="0" xfId="0" applyNumberFormat="1" applyFont="1"/>
    <xf numFmtId="0" fontId="24" fillId="0" borderId="2" xfId="0" applyFont="1" applyBorder="1"/>
    <xf numFmtId="0" fontId="24" fillId="2" borderId="2" xfId="0" applyFont="1" applyFill="1" applyBorder="1"/>
    <xf numFmtId="0" fontId="26" fillId="0" borderId="0" xfId="0" applyFont="1"/>
    <xf numFmtId="0" fontId="3" fillId="0" borderId="2" xfId="0" applyFont="1" applyBorder="1"/>
    <xf numFmtId="164" fontId="26" fillId="0" borderId="0" xfId="0" applyNumberFormat="1" applyFont="1"/>
    <xf numFmtId="4" fontId="27" fillId="54" borderId="2" xfId="0" applyNumberFormat="1" applyFont="1" applyFill="1" applyBorder="1" applyAlignment="1">
      <alignment horizontal="center" vertical="center"/>
    </xf>
    <xf numFmtId="164" fontId="29" fillId="54" borderId="2" xfId="0" applyNumberFormat="1" applyFont="1" applyFill="1" applyBorder="1" applyAlignment="1">
      <alignment horizontal="center" vertical="center"/>
    </xf>
    <xf numFmtId="164" fontId="29" fillId="54" borderId="2" xfId="0" applyNumberFormat="1" applyFont="1" applyFill="1" applyBorder="1" applyAlignment="1">
      <alignment horizontal="right" vertical="center"/>
    </xf>
    <xf numFmtId="49" fontId="25" fillId="55" borderId="2" xfId="0" applyNumberFormat="1" applyFont="1" applyFill="1" applyBorder="1" applyAlignment="1">
      <alignment horizontal="center" vertical="center"/>
    </xf>
    <xf numFmtId="0" fontId="25" fillId="55" borderId="2" xfId="0" applyFont="1" applyFill="1" applyBorder="1" applyAlignment="1">
      <alignment horizontal="left" vertical="center" wrapText="1"/>
    </xf>
    <xf numFmtId="4" fontId="25" fillId="55" borderId="2" xfId="0" applyNumberFormat="1" applyFont="1" applyFill="1" applyBorder="1" applyAlignment="1">
      <alignment horizontal="center" vertical="center"/>
    </xf>
    <xf numFmtId="164" fontId="30" fillId="55" borderId="2" xfId="0" applyNumberFormat="1" applyFont="1" applyFill="1" applyBorder="1" applyAlignment="1">
      <alignment horizontal="center" vertical="center"/>
    </xf>
    <xf numFmtId="164" fontId="30" fillId="55" borderId="2" xfId="0" applyNumberFormat="1" applyFont="1" applyFill="1" applyBorder="1" applyAlignment="1">
      <alignment horizontal="right" vertical="center"/>
    </xf>
    <xf numFmtId="165" fontId="24" fillId="2" borderId="2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center" vertical="center"/>
    </xf>
    <xf numFmtId="164" fontId="24" fillId="2" borderId="2" xfId="0" applyNumberFormat="1" applyFont="1" applyFill="1" applyBorder="1" applyAlignment="1">
      <alignment horizontal="right" vertical="center"/>
    </xf>
    <xf numFmtId="164" fontId="31" fillId="2" borderId="2" xfId="0" applyNumberFormat="1" applyFont="1" applyFill="1" applyBorder="1" applyAlignment="1">
      <alignment horizontal="right" vertical="center"/>
    </xf>
    <xf numFmtId="164" fontId="24" fillId="8" borderId="2" xfId="0" applyNumberFormat="1" applyFont="1" applyFill="1" applyBorder="1" applyAlignment="1">
      <alignment horizontal="right" vertical="center"/>
    </xf>
    <xf numFmtId="164" fontId="24" fillId="19" borderId="2" xfId="0" applyNumberFormat="1" applyFont="1" applyFill="1" applyBorder="1" applyAlignment="1">
      <alignment horizontal="right" vertical="center"/>
    </xf>
    <xf numFmtId="0" fontId="24" fillId="2" borderId="3" xfId="0" applyFont="1" applyFill="1" applyBorder="1" applyAlignment="1">
      <alignment horizontal="left" vertical="center" wrapText="1"/>
    </xf>
    <xf numFmtId="164" fontId="24" fillId="36" borderId="2" xfId="0" applyNumberFormat="1" applyFont="1" applyFill="1" applyBorder="1" applyAlignment="1">
      <alignment horizontal="right" vertical="center"/>
    </xf>
    <xf numFmtId="164" fontId="31" fillId="36" borderId="2" xfId="0" applyNumberFormat="1" applyFont="1" applyFill="1" applyBorder="1" applyAlignment="1">
      <alignment horizontal="right" vertical="center"/>
    </xf>
    <xf numFmtId="164" fontId="31" fillId="19" borderId="2" xfId="0" applyNumberFormat="1" applyFont="1" applyFill="1" applyBorder="1" applyAlignment="1">
      <alignment horizontal="right" vertical="center"/>
    </xf>
    <xf numFmtId="0" fontId="24" fillId="2" borderId="2" xfId="0" applyFont="1" applyFill="1" applyBorder="1" applyAlignment="1">
      <alignment horizontal="left" vertical="top" wrapText="1"/>
    </xf>
    <xf numFmtId="164" fontId="32" fillId="56" borderId="2" xfId="0" applyNumberFormat="1" applyFont="1" applyFill="1" applyBorder="1" applyAlignment="1">
      <alignment horizontal="right" vertical="center"/>
    </xf>
    <xf numFmtId="0" fontId="24" fillId="74" borderId="2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left" vertical="center" wrapText="1"/>
    </xf>
    <xf numFmtId="0" fontId="32" fillId="2" borderId="2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left" vertical="center" wrapText="1"/>
    </xf>
    <xf numFmtId="0" fontId="24" fillId="2" borderId="5" xfId="0" applyFont="1" applyFill="1" applyBorder="1" applyAlignment="1">
      <alignment horizontal="left" vertical="center" wrapText="1"/>
    </xf>
    <xf numFmtId="0" fontId="25" fillId="55" borderId="4" xfId="0" applyFont="1" applyFill="1" applyBorder="1" applyAlignment="1">
      <alignment horizontal="left" vertical="center" wrapText="1"/>
    </xf>
    <xf numFmtId="164" fontId="31" fillId="56" borderId="2" xfId="0" applyNumberFormat="1" applyFont="1" applyFill="1" applyBorder="1" applyAlignment="1">
      <alignment horizontal="right" vertical="center"/>
    </xf>
    <xf numFmtId="165" fontId="2" fillId="73" borderId="2" xfId="0" applyNumberFormat="1" applyFont="1" applyFill="1" applyBorder="1" applyAlignment="1">
      <alignment horizontal="center" vertical="center"/>
    </xf>
    <xf numFmtId="164" fontId="33" fillId="54" borderId="2" xfId="0" applyNumberFormat="1" applyFont="1" applyFill="1" applyBorder="1" applyAlignment="1">
      <alignment horizontal="right" vertical="center"/>
    </xf>
    <xf numFmtId="165" fontId="25" fillId="60" borderId="2" xfId="0" applyNumberFormat="1" applyFont="1" applyFill="1" applyBorder="1" applyAlignment="1">
      <alignment horizontal="center" vertical="center"/>
    </xf>
    <xf numFmtId="0" fontId="25" fillId="60" borderId="2" xfId="0" applyFont="1" applyFill="1" applyBorder="1" applyAlignment="1">
      <alignment horizontal="left" vertical="center" wrapText="1"/>
    </xf>
    <xf numFmtId="0" fontId="25" fillId="60" borderId="2" xfId="0" applyFont="1" applyFill="1" applyBorder="1" applyAlignment="1">
      <alignment horizontal="center" vertical="center" wrapText="1"/>
    </xf>
    <xf numFmtId="164" fontId="25" fillId="60" borderId="2" xfId="0" applyNumberFormat="1" applyFont="1" applyFill="1" applyBorder="1" applyAlignment="1">
      <alignment horizontal="left" vertical="center" wrapText="1"/>
    </xf>
    <xf numFmtId="164" fontId="25" fillId="2" borderId="2" xfId="0" applyNumberFormat="1" applyFont="1" applyFill="1" applyBorder="1" applyAlignment="1">
      <alignment horizontal="left" vertical="center" wrapText="1"/>
    </xf>
    <xf numFmtId="0" fontId="24" fillId="2" borderId="6" xfId="0" applyFont="1" applyFill="1" applyBorder="1" applyAlignment="1">
      <alignment horizontal="left" vertical="top" wrapText="1"/>
    </xf>
    <xf numFmtId="0" fontId="24" fillId="2" borderId="7" xfId="0" applyFont="1" applyFill="1" applyBorder="1" applyAlignment="1">
      <alignment horizontal="left" vertical="top" wrapText="1"/>
    </xf>
    <xf numFmtId="0" fontId="24" fillId="2" borderId="8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0" fontId="24" fillId="2" borderId="7" xfId="0" applyFont="1" applyFill="1" applyBorder="1" applyAlignment="1">
      <alignment horizontal="left" vertical="center" wrapText="1"/>
    </xf>
    <xf numFmtId="0" fontId="24" fillId="2" borderId="8" xfId="0" applyFont="1" applyFill="1" applyBorder="1" applyAlignment="1">
      <alignment horizontal="left" vertical="center" wrapText="1"/>
    </xf>
    <xf numFmtId="0" fontId="24" fillId="2" borderId="9" xfId="0" applyFont="1" applyFill="1" applyBorder="1" applyAlignment="1">
      <alignment horizontal="left" vertical="center" wrapText="1"/>
    </xf>
    <xf numFmtId="165" fontId="24" fillId="2" borderId="3" xfId="0" applyNumberFormat="1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 wrapText="1"/>
    </xf>
    <xf numFmtId="164" fontId="25" fillId="2" borderId="3" xfId="0" applyNumberFormat="1" applyFont="1" applyFill="1" applyBorder="1" applyAlignment="1">
      <alignment horizontal="left" vertical="center" wrapText="1"/>
    </xf>
    <xf numFmtId="164" fontId="24" fillId="2" borderId="3" xfId="0" applyNumberFormat="1" applyFont="1" applyFill="1" applyBorder="1" applyAlignment="1">
      <alignment horizontal="left" vertical="center" wrapText="1"/>
    </xf>
    <xf numFmtId="0" fontId="24" fillId="2" borderId="6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center" vertical="center" wrapText="1"/>
    </xf>
    <xf numFmtId="164" fontId="24" fillId="2" borderId="2" xfId="0" applyNumberFormat="1" applyFont="1" applyFill="1" applyBorder="1" applyAlignment="1">
      <alignment horizontal="left" vertical="center" wrapText="1"/>
    </xf>
    <xf numFmtId="164" fontId="31" fillId="2" borderId="8" xfId="0" applyNumberFormat="1" applyFont="1" applyFill="1" applyBorder="1" applyAlignment="1">
      <alignment horizontal="right" vertical="center"/>
    </xf>
    <xf numFmtId="3" fontId="25" fillId="60" borderId="2" xfId="0" applyNumberFormat="1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164" fontId="24" fillId="2" borderId="2" xfId="0" applyNumberFormat="1" applyFont="1" applyFill="1" applyBorder="1" applyAlignment="1">
      <alignment horizontal="center" vertical="center"/>
    </xf>
    <xf numFmtId="164" fontId="31" fillId="2" borderId="3" xfId="0" applyNumberFormat="1" applyFont="1" applyFill="1" applyBorder="1" applyAlignment="1">
      <alignment horizontal="right" vertical="center"/>
    </xf>
    <xf numFmtId="164" fontId="31" fillId="2" borderId="4" xfId="0" applyNumberFormat="1" applyFont="1" applyFill="1" applyBorder="1" applyAlignment="1">
      <alignment horizontal="right" vertical="center"/>
    </xf>
    <xf numFmtId="164" fontId="31" fillId="2" borderId="13" xfId="0" applyNumberFormat="1" applyFont="1" applyFill="1" applyBorder="1" applyAlignment="1">
      <alignment horizontal="right" vertical="center"/>
    </xf>
    <xf numFmtId="0" fontId="24" fillId="2" borderId="12" xfId="0" applyFont="1" applyFill="1" applyBorder="1" applyAlignment="1">
      <alignment horizontal="left" vertical="center" wrapText="1"/>
    </xf>
    <xf numFmtId="0" fontId="24" fillId="2" borderId="10" xfId="0" applyFont="1" applyFill="1" applyBorder="1" applyAlignment="1">
      <alignment horizontal="left" vertical="center" wrapText="1"/>
    </xf>
    <xf numFmtId="0" fontId="24" fillId="2" borderId="11" xfId="0" applyFont="1" applyFill="1" applyBorder="1" applyAlignment="1">
      <alignment horizontal="left" vertical="center" wrapText="1"/>
    </xf>
    <xf numFmtId="164" fontId="24" fillId="2" borderId="4" xfId="0" applyNumberFormat="1" applyFont="1" applyFill="1" applyBorder="1" applyAlignment="1">
      <alignment horizontal="right" vertical="center"/>
    </xf>
    <xf numFmtId="164" fontId="30" fillId="55" borderId="3" xfId="0" applyNumberFormat="1" applyFont="1" applyFill="1" applyBorder="1" applyAlignment="1">
      <alignment horizontal="right" vertical="center"/>
    </xf>
    <xf numFmtId="0" fontId="32" fillId="2" borderId="2" xfId="0" applyFont="1" applyFill="1" applyBorder="1"/>
    <xf numFmtId="164" fontId="24" fillId="54" borderId="2" xfId="0" applyNumberFormat="1" applyFont="1" applyFill="1" applyBorder="1" applyAlignment="1">
      <alignment horizontal="center" vertical="center"/>
    </xf>
    <xf numFmtId="49" fontId="24" fillId="2" borderId="2" xfId="0" applyNumberFormat="1" applyFont="1" applyFill="1" applyBorder="1" applyAlignment="1">
      <alignment horizontal="center" vertical="center"/>
    </xf>
    <xf numFmtId="4" fontId="24" fillId="2" borderId="2" xfId="0" applyNumberFormat="1" applyFont="1" applyFill="1" applyBorder="1" applyAlignment="1">
      <alignment horizontal="center" vertical="center"/>
    </xf>
    <xf numFmtId="3" fontId="24" fillId="2" borderId="4" xfId="0" applyNumberFormat="1" applyFont="1" applyFill="1" applyBorder="1" applyAlignment="1">
      <alignment horizontal="center" vertical="center"/>
    </xf>
    <xf numFmtId="4" fontId="27" fillId="54" borderId="2" xfId="0" applyNumberFormat="1" applyFont="1" applyFill="1" applyBorder="1" applyAlignment="1">
      <alignment horizontal="left" vertical="center"/>
    </xf>
    <xf numFmtId="164" fontId="33" fillId="54" borderId="2" xfId="0" applyNumberFormat="1" applyFont="1" applyFill="1" applyBorder="1" applyAlignment="1">
      <alignment horizontal="left" vertical="center"/>
    </xf>
    <xf numFmtId="0" fontId="25" fillId="55" borderId="2" xfId="0" applyFont="1" applyFill="1" applyBorder="1" applyAlignment="1">
      <alignment horizontal="center" vertical="center"/>
    </xf>
    <xf numFmtId="164" fontId="25" fillId="59" borderId="2" xfId="0" applyNumberFormat="1" applyFont="1" applyFill="1" applyBorder="1"/>
    <xf numFmtId="164" fontId="25" fillId="0" borderId="2" xfId="0" applyNumberFormat="1" applyFont="1" applyBorder="1"/>
    <xf numFmtId="9" fontId="34" fillId="0" borderId="0" xfId="0" applyNumberFormat="1" applyFont="1"/>
    <xf numFmtId="164" fontId="25" fillId="57" borderId="1" xfId="0" applyNumberFormat="1" applyFont="1" applyFill="1" applyBorder="1"/>
    <xf numFmtId="0" fontId="24" fillId="0" borderId="0" xfId="0" applyFont="1" applyAlignment="1">
      <alignment horizontal="center"/>
    </xf>
    <xf numFmtId="0" fontId="25" fillId="0" borderId="0" xfId="0" applyFont="1"/>
    <xf numFmtId="0" fontId="24" fillId="0" borderId="0" xfId="0" applyFont="1" applyAlignment="1">
      <alignment vertical="center"/>
    </xf>
    <xf numFmtId="0" fontId="24" fillId="2" borderId="1" xfId="0" applyFont="1" applyFill="1" applyBorder="1"/>
    <xf numFmtId="164" fontId="24" fillId="0" borderId="0" xfId="0" applyNumberFormat="1" applyFont="1" applyAlignment="1">
      <alignment horizontal="center" vertical="center"/>
    </xf>
    <xf numFmtId="0" fontId="25" fillId="55" borderId="4" xfId="0" applyFont="1" applyFill="1" applyBorder="1" applyAlignment="1">
      <alignment horizontal="center" vertical="center" wrapText="1"/>
    </xf>
    <xf numFmtId="165" fontId="25" fillId="75" borderId="2" xfId="0" applyNumberFormat="1" applyFont="1" applyFill="1" applyBorder="1" applyAlignment="1">
      <alignment horizontal="center" vertical="center"/>
    </xf>
    <xf numFmtId="0" fontId="25" fillId="75" borderId="2" xfId="0" applyFont="1" applyFill="1" applyBorder="1" applyAlignment="1">
      <alignment horizontal="left" vertical="center" wrapText="1"/>
    </xf>
    <xf numFmtId="1" fontId="24" fillId="2" borderId="2" xfId="0" applyNumberFormat="1" applyFont="1" applyFill="1" applyBorder="1" applyAlignment="1">
      <alignment horizontal="center" vertical="center" wrapText="1"/>
    </xf>
    <xf numFmtId="3" fontId="25" fillId="75" borderId="2" xfId="0" applyNumberFormat="1" applyFont="1" applyFill="1" applyBorder="1" applyAlignment="1">
      <alignment horizontal="center" vertical="center" wrapText="1"/>
    </xf>
    <xf numFmtId="3" fontId="25" fillId="75" borderId="2" xfId="0" applyNumberFormat="1" applyFont="1" applyFill="1" applyBorder="1" applyAlignment="1">
      <alignment horizontal="left" vertical="center" wrapText="1"/>
    </xf>
    <xf numFmtId="164" fontId="30" fillId="55" borderId="13" xfId="0" applyNumberFormat="1" applyFont="1" applyFill="1" applyBorder="1" applyAlignment="1">
      <alignment horizontal="right" vertical="center"/>
    </xf>
    <xf numFmtId="166" fontId="25" fillId="55" borderId="4" xfId="0" applyNumberFormat="1" applyFont="1" applyFill="1" applyBorder="1" applyAlignment="1">
      <alignment horizontal="left" vertical="center"/>
    </xf>
    <xf numFmtId="1" fontId="24" fillId="2" borderId="2" xfId="0" applyNumberFormat="1" applyFont="1" applyFill="1" applyBorder="1" applyAlignment="1">
      <alignment horizontal="center" vertical="center"/>
    </xf>
    <xf numFmtId="1" fontId="25" fillId="55" borderId="4" xfId="0" applyNumberFormat="1" applyFont="1" applyFill="1" applyBorder="1" applyAlignment="1">
      <alignment horizontal="center" vertical="center"/>
    </xf>
    <xf numFmtId="165" fontId="24" fillId="2" borderId="4" xfId="0" applyNumberFormat="1" applyFont="1" applyFill="1" applyBorder="1" applyAlignment="1">
      <alignment horizontal="center" vertical="center"/>
    </xf>
    <xf numFmtId="165" fontId="35" fillId="54" borderId="2" xfId="0" applyNumberFormat="1" applyFont="1" applyFill="1" applyBorder="1" applyAlignment="1">
      <alignment horizontal="center" vertical="center"/>
    </xf>
    <xf numFmtId="0" fontId="24" fillId="54" borderId="8" xfId="0" applyFont="1" applyFill="1" applyBorder="1" applyAlignment="1">
      <alignment horizontal="left"/>
    </xf>
    <xf numFmtId="0" fontId="24" fillId="2" borderId="4" xfId="0" applyFont="1" applyFill="1" applyBorder="1" applyAlignment="1">
      <alignment horizontal="center" vertical="center" wrapText="1"/>
    </xf>
    <xf numFmtId="164" fontId="27" fillId="54" borderId="2" xfId="0" applyNumberFormat="1" applyFont="1" applyFill="1" applyBorder="1" applyAlignment="1">
      <alignment horizontal="center" vertical="center"/>
    </xf>
    <xf numFmtId="164" fontId="27" fillId="54" borderId="2" xfId="0" applyNumberFormat="1" applyFont="1" applyFill="1" applyBorder="1" applyAlignment="1">
      <alignment horizontal="right" vertical="center"/>
    </xf>
    <xf numFmtId="164" fontId="25" fillId="55" borderId="2" xfId="0" applyNumberFormat="1" applyFont="1" applyFill="1" applyBorder="1" applyAlignment="1">
      <alignment horizontal="center" vertical="center"/>
    </xf>
    <xf numFmtId="164" fontId="25" fillId="55" borderId="2" xfId="0" applyNumberFormat="1" applyFont="1" applyFill="1" applyBorder="1" applyAlignment="1">
      <alignment horizontal="right" vertical="center"/>
    </xf>
    <xf numFmtId="164" fontId="36" fillId="54" borderId="2" xfId="0" applyNumberFormat="1" applyFont="1" applyFill="1" applyBorder="1" applyAlignment="1">
      <alignment horizontal="right" vertical="center"/>
    </xf>
    <xf numFmtId="164" fontId="24" fillId="2" borderId="8" xfId="0" applyNumberFormat="1" applyFont="1" applyFill="1" applyBorder="1" applyAlignment="1">
      <alignment horizontal="right" vertical="center"/>
    </xf>
    <xf numFmtId="164" fontId="25" fillId="55" borderId="13" xfId="0" applyNumberFormat="1" applyFont="1" applyFill="1" applyBorder="1" applyAlignment="1">
      <alignment horizontal="right" vertical="center"/>
    </xf>
    <xf numFmtId="164" fontId="25" fillId="55" borderId="3" xfId="0" applyNumberFormat="1" applyFont="1" applyFill="1" applyBorder="1" applyAlignment="1">
      <alignment horizontal="right" vertical="center"/>
    </xf>
    <xf numFmtId="164" fontId="24" fillId="2" borderId="13" xfId="0" applyNumberFormat="1" applyFont="1" applyFill="1" applyBorder="1" applyAlignment="1">
      <alignment horizontal="right" vertical="center"/>
    </xf>
    <xf numFmtId="164" fontId="36" fillId="54" borderId="2" xfId="0" applyNumberFormat="1" applyFont="1" applyFill="1" applyBorder="1" applyAlignment="1">
      <alignment horizontal="left" vertical="center"/>
    </xf>
    <xf numFmtId="0" fontId="24" fillId="19" borderId="2" xfId="0" applyFont="1" applyFill="1" applyBorder="1" applyAlignment="1">
      <alignment horizontal="center" vertical="center"/>
    </xf>
    <xf numFmtId="164" fontId="31" fillId="66" borderId="2" xfId="0" applyNumberFormat="1" applyFont="1" applyFill="1" applyBorder="1" applyAlignment="1">
      <alignment horizontal="right" vertical="center"/>
    </xf>
    <xf numFmtId="165" fontId="25" fillId="65" borderId="4" xfId="0" applyNumberFormat="1" applyFont="1" applyFill="1" applyBorder="1" applyAlignment="1">
      <alignment horizontal="left" vertical="center"/>
    </xf>
    <xf numFmtId="164" fontId="31" fillId="69" borderId="2" xfId="0" applyNumberFormat="1" applyFont="1" applyFill="1" applyBorder="1" applyAlignment="1">
      <alignment horizontal="right" vertical="center"/>
    </xf>
    <xf numFmtId="165" fontId="25" fillId="62" borderId="4" xfId="0" applyNumberFormat="1" applyFont="1" applyFill="1" applyBorder="1" applyAlignment="1">
      <alignment horizontal="left" vertical="center"/>
    </xf>
    <xf numFmtId="0" fontId="24" fillId="64" borderId="6" xfId="0" applyFont="1" applyFill="1" applyBorder="1" applyAlignment="1">
      <alignment horizontal="center"/>
    </xf>
    <xf numFmtId="0" fontId="24" fillId="64" borderId="6" xfId="0" applyFont="1" applyFill="1" applyBorder="1"/>
    <xf numFmtId="0" fontId="24" fillId="64" borderId="8" xfId="0" applyFont="1" applyFill="1" applyBorder="1"/>
    <xf numFmtId="164" fontId="8" fillId="63" borderId="2" xfId="0" applyNumberFormat="1" applyFont="1" applyFill="1" applyBorder="1" applyAlignment="1">
      <alignment horizontal="right" vertical="center"/>
    </xf>
    <xf numFmtId="164" fontId="30" fillId="68" borderId="2" xfId="0" applyNumberFormat="1" applyFont="1" applyFill="1" applyBorder="1" applyAlignment="1">
      <alignment horizontal="right" vertical="center"/>
    </xf>
    <xf numFmtId="164" fontId="30" fillId="63" borderId="2" xfId="0" applyNumberFormat="1" applyFont="1" applyFill="1" applyBorder="1" applyAlignment="1">
      <alignment horizontal="right" vertical="center"/>
    </xf>
    <xf numFmtId="164" fontId="31" fillId="66" borderId="8" xfId="0" applyNumberFormat="1" applyFont="1" applyFill="1" applyBorder="1" applyAlignment="1">
      <alignment horizontal="right" vertical="center"/>
    </xf>
    <xf numFmtId="164" fontId="30" fillId="66" borderId="8" xfId="0" applyNumberFormat="1" applyFont="1" applyFill="1" applyBorder="1" applyAlignment="1">
      <alignment horizontal="right" vertical="center"/>
    </xf>
    <xf numFmtId="165" fontId="25" fillId="65" borderId="6" xfId="0" applyNumberFormat="1" applyFont="1" applyFill="1" applyBorder="1" applyAlignment="1">
      <alignment horizontal="left" vertical="center"/>
    </xf>
    <xf numFmtId="165" fontId="25" fillId="65" borderId="6" xfId="0" applyNumberFormat="1" applyFont="1" applyFill="1" applyBorder="1" applyAlignment="1">
      <alignment horizontal="center" vertical="center"/>
    </xf>
    <xf numFmtId="164" fontId="25" fillId="65" borderId="6" xfId="0" applyNumberFormat="1" applyFont="1" applyFill="1" applyBorder="1" applyAlignment="1">
      <alignment horizontal="left" vertical="center"/>
    </xf>
    <xf numFmtId="165" fontId="25" fillId="62" borderId="6" xfId="0" applyNumberFormat="1" applyFont="1" applyFill="1" applyBorder="1" applyAlignment="1">
      <alignment horizontal="left" vertical="center"/>
    </xf>
    <xf numFmtId="165" fontId="25" fillId="62" borderId="6" xfId="0" applyNumberFormat="1" applyFont="1" applyFill="1" applyBorder="1" applyAlignment="1">
      <alignment horizontal="center" vertical="center"/>
    </xf>
    <xf numFmtId="164" fontId="25" fillId="62" borderId="6" xfId="0" applyNumberFormat="1" applyFont="1" applyFill="1" applyBorder="1" applyAlignment="1">
      <alignment horizontal="left" vertical="center"/>
    </xf>
    <xf numFmtId="165" fontId="25" fillId="62" borderId="12" xfId="0" applyNumberFormat="1" applyFont="1" applyFill="1" applyBorder="1" applyAlignment="1">
      <alignment horizontal="left" vertical="center"/>
    </xf>
    <xf numFmtId="165" fontId="25" fillId="62" borderId="5" xfId="0" applyNumberFormat="1" applyFont="1" applyFill="1" applyBorder="1" applyAlignment="1">
      <alignment horizontal="left" vertical="center"/>
    </xf>
    <xf numFmtId="165" fontId="25" fillId="62" borderId="5" xfId="0" applyNumberFormat="1" applyFont="1" applyFill="1" applyBorder="1" applyAlignment="1">
      <alignment horizontal="center" vertical="center"/>
    </xf>
    <xf numFmtId="164" fontId="25" fillId="62" borderId="5" xfId="0" applyNumberFormat="1" applyFont="1" applyFill="1" applyBorder="1" applyAlignment="1">
      <alignment horizontal="left" vertical="center"/>
    </xf>
    <xf numFmtId="0" fontId="24" fillId="67" borderId="5" xfId="0" applyFont="1" applyFill="1" applyBorder="1"/>
    <xf numFmtId="164" fontId="30" fillId="70" borderId="2" xfId="0" applyNumberFormat="1" applyFont="1" applyFill="1" applyBorder="1" applyAlignment="1">
      <alignment horizontal="right" vertical="center"/>
    </xf>
    <xf numFmtId="164" fontId="31" fillId="70" borderId="2" xfId="0" applyNumberFormat="1" applyFont="1" applyFill="1" applyBorder="1" applyAlignment="1">
      <alignment horizontal="right" vertical="center"/>
    </xf>
    <xf numFmtId="0" fontId="24" fillId="64" borderId="5" xfId="0" applyFont="1" applyFill="1" applyBorder="1"/>
    <xf numFmtId="165" fontId="25" fillId="76" borderId="2" xfId="0" applyNumberFormat="1" applyFont="1" applyFill="1" applyBorder="1" applyAlignment="1">
      <alignment horizontal="center" vertical="center"/>
    </xf>
    <xf numFmtId="0" fontId="25" fillId="76" borderId="2" xfId="0" applyFont="1" applyFill="1" applyBorder="1" applyAlignment="1">
      <alignment horizontal="left" vertical="center" wrapText="1"/>
    </xf>
    <xf numFmtId="0" fontId="25" fillId="76" borderId="2" xfId="0" applyFont="1" applyFill="1" applyBorder="1" applyAlignment="1">
      <alignment horizontal="center" vertical="center" wrapText="1"/>
    </xf>
    <xf numFmtId="0" fontId="25" fillId="76" borderId="3" xfId="0" applyFont="1" applyFill="1" applyBorder="1" applyAlignment="1">
      <alignment horizontal="left" vertical="center" wrapText="1"/>
    </xf>
    <xf numFmtId="0" fontId="25" fillId="76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4" fillId="67" borderId="6" xfId="0" applyFont="1" applyFill="1" applyBorder="1"/>
    <xf numFmtId="3" fontId="25" fillId="76" borderId="2" xfId="0" applyNumberFormat="1" applyFont="1" applyFill="1" applyBorder="1" applyAlignment="1">
      <alignment horizontal="center" vertical="center" wrapText="1"/>
    </xf>
    <xf numFmtId="3" fontId="25" fillId="76" borderId="2" xfId="0" applyNumberFormat="1" applyFont="1" applyFill="1" applyBorder="1" applyAlignment="1">
      <alignment horizontal="left" vertical="center" wrapText="1"/>
    </xf>
    <xf numFmtId="164" fontId="30" fillId="69" borderId="2" xfId="0" applyNumberFormat="1" applyFont="1" applyFill="1" applyBorder="1" applyAlignment="1">
      <alignment horizontal="right" vertical="center"/>
    </xf>
    <xf numFmtId="166" fontId="25" fillId="77" borderId="4" xfId="0" applyNumberFormat="1" applyFont="1" applyFill="1" applyBorder="1" applyAlignment="1">
      <alignment horizontal="left" vertical="center"/>
    </xf>
    <xf numFmtId="0" fontId="25" fillId="77" borderId="2" xfId="0" applyFont="1" applyFill="1" applyBorder="1" applyAlignment="1">
      <alignment horizontal="left" vertical="center" wrapText="1"/>
    </xf>
    <xf numFmtId="4" fontId="25" fillId="77" borderId="2" xfId="0" applyNumberFormat="1" applyFont="1" applyFill="1" applyBorder="1" applyAlignment="1">
      <alignment horizontal="center" vertical="center"/>
    </xf>
    <xf numFmtId="164" fontId="30" fillId="77" borderId="2" xfId="0" applyNumberFormat="1" applyFont="1" applyFill="1" applyBorder="1" applyAlignment="1">
      <alignment horizontal="center" vertical="center"/>
    </xf>
    <xf numFmtId="164" fontId="30" fillId="77" borderId="2" xfId="0" applyNumberFormat="1" applyFont="1" applyFill="1" applyBorder="1" applyAlignment="1">
      <alignment horizontal="right" vertical="center"/>
    </xf>
    <xf numFmtId="165" fontId="25" fillId="65" borderId="5" xfId="0" applyNumberFormat="1" applyFont="1" applyFill="1" applyBorder="1" applyAlignment="1">
      <alignment horizontal="left" vertical="center"/>
    </xf>
    <xf numFmtId="164" fontId="9" fillId="66" borderId="2" xfId="0" applyNumberFormat="1" applyFont="1" applyFill="1" applyBorder="1" applyAlignment="1">
      <alignment horizontal="right" vertical="center"/>
    </xf>
    <xf numFmtId="165" fontId="3" fillId="62" borderId="5" xfId="0" applyNumberFormat="1" applyFont="1" applyFill="1" applyBorder="1" applyAlignment="1">
      <alignment horizontal="left" vertical="center"/>
    </xf>
    <xf numFmtId="164" fontId="3" fillId="62" borderId="5" xfId="0" applyNumberFormat="1" applyFont="1" applyFill="1" applyBorder="1" applyAlignment="1">
      <alignment horizontal="left" vertical="center"/>
    </xf>
    <xf numFmtId="164" fontId="32" fillId="36" borderId="2" xfId="0" applyNumberFormat="1" applyFont="1" applyFill="1" applyBorder="1" applyAlignment="1">
      <alignment horizontal="right" vertical="center"/>
    </xf>
    <xf numFmtId="164" fontId="25" fillId="70" borderId="2" xfId="0" applyNumberFormat="1" applyFont="1" applyFill="1" applyBorder="1" applyAlignment="1">
      <alignment horizontal="right" vertical="center"/>
    </xf>
    <xf numFmtId="164" fontId="24" fillId="70" borderId="2" xfId="0" applyNumberFormat="1" applyFont="1" applyFill="1" applyBorder="1" applyAlignment="1">
      <alignment horizontal="right" vertical="center"/>
    </xf>
    <xf numFmtId="164" fontId="25" fillId="63" borderId="2" xfId="0" applyNumberFormat="1" applyFont="1" applyFill="1" applyBorder="1" applyAlignment="1">
      <alignment horizontal="right" vertical="center"/>
    </xf>
    <xf numFmtId="165" fontId="25" fillId="78" borderId="2" xfId="0" applyNumberFormat="1" applyFont="1" applyFill="1" applyBorder="1" applyAlignment="1">
      <alignment horizontal="center" vertical="center"/>
    </xf>
    <xf numFmtId="0" fontId="25" fillId="78" borderId="2" xfId="0" applyFont="1" applyFill="1" applyBorder="1" applyAlignment="1">
      <alignment horizontal="left" vertical="center" wrapText="1"/>
    </xf>
    <xf numFmtId="0" fontId="25" fillId="78" borderId="2" xfId="0" applyFont="1" applyFill="1" applyBorder="1" applyAlignment="1">
      <alignment horizontal="center" vertical="center" wrapText="1"/>
    </xf>
    <xf numFmtId="164" fontId="25" fillId="68" borderId="2" xfId="0" applyNumberFormat="1" applyFont="1" applyFill="1" applyBorder="1" applyAlignment="1">
      <alignment horizontal="right" vertical="center"/>
    </xf>
    <xf numFmtId="165" fontId="25" fillId="79" borderId="4" xfId="0" applyNumberFormat="1" applyFont="1" applyFill="1" applyBorder="1" applyAlignment="1">
      <alignment horizontal="left" vertical="center"/>
    </xf>
    <xf numFmtId="0" fontId="24" fillId="80" borderId="6" xfId="0" applyFont="1" applyFill="1" applyBorder="1"/>
    <xf numFmtId="164" fontId="25" fillId="81" borderId="2" xfId="0" applyNumberFormat="1" applyFont="1" applyFill="1" applyBorder="1" applyAlignment="1">
      <alignment horizontal="right" vertical="center"/>
    </xf>
    <xf numFmtId="164" fontId="25" fillId="69" borderId="2" xfId="0" applyNumberFormat="1" applyFont="1" applyFill="1" applyBorder="1" applyAlignment="1">
      <alignment horizontal="right" vertical="center"/>
    </xf>
    <xf numFmtId="164" fontId="25" fillId="66" borderId="2" xfId="0" applyNumberFormat="1" applyFont="1" applyFill="1" applyBorder="1" applyAlignment="1">
      <alignment horizontal="right" vertical="center"/>
    </xf>
    <xf numFmtId="165" fontId="25" fillId="79" borderId="6" xfId="0" applyNumberFormat="1" applyFont="1" applyFill="1" applyBorder="1" applyAlignment="1">
      <alignment horizontal="left" vertical="center"/>
    </xf>
    <xf numFmtId="164" fontId="25" fillId="79" borderId="6" xfId="0" applyNumberFormat="1" applyFont="1" applyFill="1" applyBorder="1" applyAlignment="1">
      <alignment horizontal="left" vertical="center"/>
    </xf>
    <xf numFmtId="164" fontId="25" fillId="81" borderId="3" xfId="0" applyNumberFormat="1" applyFont="1" applyFill="1" applyBorder="1" applyAlignment="1">
      <alignment horizontal="right" vertical="center"/>
    </xf>
    <xf numFmtId="165" fontId="3" fillId="79" borderId="4" xfId="0" applyNumberFormat="1" applyFont="1" applyFill="1" applyBorder="1" applyAlignment="1">
      <alignment horizontal="left" vertical="center"/>
    </xf>
    <xf numFmtId="164" fontId="24" fillId="66" borderId="2" xfId="0" applyNumberFormat="1" applyFont="1" applyFill="1" applyBorder="1" applyAlignment="1">
      <alignment horizontal="right" vertical="center"/>
    </xf>
    <xf numFmtId="165" fontId="3" fillId="79" borderId="6" xfId="0" applyNumberFormat="1" applyFont="1" applyFill="1" applyBorder="1" applyAlignment="1">
      <alignment horizontal="left" vertical="center"/>
    </xf>
    <xf numFmtId="164" fontId="3" fillId="79" borderId="6" xfId="0" applyNumberFormat="1" applyFont="1" applyFill="1" applyBorder="1" applyAlignment="1">
      <alignment horizontal="left" vertical="center"/>
    </xf>
    <xf numFmtId="164" fontId="3" fillId="81" borderId="2" xfId="0" applyNumberFormat="1" applyFont="1" applyFill="1" applyBorder="1" applyAlignment="1">
      <alignment horizontal="right" vertical="center"/>
    </xf>
    <xf numFmtId="165" fontId="25" fillId="79" borderId="5" xfId="0" applyNumberFormat="1" applyFont="1" applyFill="1" applyBorder="1" applyAlignment="1">
      <alignment horizontal="left" vertical="center"/>
    </xf>
    <xf numFmtId="164" fontId="25" fillId="79" borderId="5" xfId="0" applyNumberFormat="1" applyFont="1" applyFill="1" applyBorder="1" applyAlignment="1">
      <alignment horizontal="left" vertical="center"/>
    </xf>
    <xf numFmtId="0" fontId="15" fillId="59" borderId="4" xfId="0" applyFont="1" applyFill="1" applyBorder="1" applyAlignment="1">
      <alignment horizontal="center"/>
    </xf>
    <xf numFmtId="0" fontId="5" fillId="0" borderId="6" xfId="0" applyFont="1" applyBorder="1"/>
    <xf numFmtId="0" fontId="5" fillId="0" borderId="8" xfId="0" applyFont="1" applyBorder="1"/>
    <xf numFmtId="0" fontId="15" fillId="0" borderId="4" xfId="0" applyFont="1" applyBorder="1" applyAlignment="1">
      <alignment horizontal="right"/>
    </xf>
    <xf numFmtId="165" fontId="15" fillId="62" borderId="4" xfId="0" applyNumberFormat="1" applyFont="1" applyFill="1" applyBorder="1" applyAlignment="1">
      <alignment horizontal="left" vertical="center"/>
    </xf>
    <xf numFmtId="0" fontId="5" fillId="64" borderId="6" xfId="0" applyFont="1" applyFill="1" applyBorder="1"/>
    <xf numFmtId="0" fontId="15" fillId="54" borderId="4" xfId="0" applyFont="1" applyFill="1" applyBorder="1" applyAlignment="1">
      <alignment horizontal="left" vertical="center" wrapText="1"/>
    </xf>
    <xf numFmtId="165" fontId="15" fillId="65" borderId="4" xfId="0" applyNumberFormat="1" applyFont="1" applyFill="1" applyBorder="1" applyAlignment="1">
      <alignment horizontal="left" vertical="center"/>
    </xf>
    <xf numFmtId="0" fontId="5" fillId="67" borderId="6" xfId="0" applyFont="1" applyFill="1" applyBorder="1"/>
    <xf numFmtId="0" fontId="15" fillId="54" borderId="4" xfId="0" applyFont="1" applyFill="1" applyBorder="1" applyAlignment="1">
      <alignment horizontal="center" vertical="center" wrapText="1"/>
    </xf>
    <xf numFmtId="0" fontId="15" fillId="54" borderId="8" xfId="0" applyFont="1" applyFill="1" applyBorder="1" applyAlignment="1">
      <alignment horizontal="center" vertical="center" wrapText="1"/>
    </xf>
    <xf numFmtId="165" fontId="15" fillId="65" borderId="12" xfId="0" applyNumberFormat="1" applyFont="1" applyFill="1" applyBorder="1" applyAlignment="1">
      <alignment horizontal="left" vertical="center"/>
    </xf>
    <xf numFmtId="0" fontId="15" fillId="67" borderId="5" xfId="0" applyFont="1" applyFill="1" applyBorder="1"/>
    <xf numFmtId="0" fontId="5" fillId="67" borderId="5" xfId="0" applyFont="1" applyFill="1" applyBorder="1"/>
    <xf numFmtId="0" fontId="5" fillId="67" borderId="8" xfId="0" applyFont="1" applyFill="1" applyBorder="1"/>
    <xf numFmtId="165" fontId="15" fillId="62" borderId="6" xfId="0" applyNumberFormat="1" applyFont="1" applyFill="1" applyBorder="1" applyAlignment="1">
      <alignment horizontal="left" vertical="center"/>
    </xf>
    <xf numFmtId="165" fontId="5" fillId="54" borderId="4" xfId="0" applyNumberFormat="1" applyFont="1" applyFill="1" applyBorder="1" applyAlignment="1">
      <alignment horizontal="center" vertical="center"/>
    </xf>
    <xf numFmtId="165" fontId="5" fillId="54" borderId="6" xfId="0" applyNumberFormat="1" applyFont="1" applyFill="1" applyBorder="1" applyAlignment="1">
      <alignment horizontal="center" vertical="center"/>
    </xf>
    <xf numFmtId="165" fontId="5" fillId="54" borderId="8" xfId="0" applyNumberFormat="1" applyFont="1" applyFill="1" applyBorder="1" applyAlignment="1">
      <alignment horizontal="center" vertical="center"/>
    </xf>
    <xf numFmtId="165" fontId="15" fillId="65" borderId="6" xfId="0" applyNumberFormat="1" applyFont="1" applyFill="1" applyBorder="1" applyAlignment="1">
      <alignment horizontal="left" vertical="center"/>
    </xf>
    <xf numFmtId="165" fontId="15" fillId="65" borderId="8" xfId="0" applyNumberFormat="1" applyFont="1" applyFill="1" applyBorder="1" applyAlignment="1">
      <alignment horizontal="left" vertical="center"/>
    </xf>
    <xf numFmtId="0" fontId="6" fillId="44" borderId="4" xfId="0" applyFont="1" applyFill="1" applyBorder="1" applyAlignment="1">
      <alignment horizontal="center" vertical="center" wrapText="1"/>
    </xf>
    <xf numFmtId="0" fontId="6" fillId="44" borderId="8" xfId="0" applyFont="1" applyFill="1" applyBorder="1" applyAlignment="1">
      <alignment horizontal="center" vertical="center" wrapText="1"/>
    </xf>
    <xf numFmtId="0" fontId="15" fillId="44" borderId="4" xfId="0" applyFont="1" applyFill="1" applyBorder="1" applyAlignment="1">
      <alignment horizontal="left" vertical="center" wrapText="1"/>
    </xf>
    <xf numFmtId="0" fontId="15" fillId="44" borderId="8" xfId="0" applyFont="1" applyFill="1" applyBorder="1" applyAlignment="1">
      <alignment horizontal="left" vertical="center" wrapText="1"/>
    </xf>
    <xf numFmtId="165" fontId="3" fillId="65" borderId="4" xfId="0" applyNumberFormat="1" applyFont="1" applyFill="1" applyBorder="1" applyAlignment="1">
      <alignment horizontal="left" vertical="center"/>
    </xf>
    <xf numFmtId="165" fontId="3" fillId="65" borderId="6" xfId="0" applyNumberFormat="1" applyFont="1" applyFill="1" applyBorder="1" applyAlignment="1">
      <alignment horizontal="left" vertical="center"/>
    </xf>
    <xf numFmtId="0" fontId="6" fillId="44" borderId="4" xfId="0" applyFont="1" applyFill="1" applyBorder="1" applyAlignment="1">
      <alignment horizontal="left" vertical="center" wrapText="1"/>
    </xf>
    <xf numFmtId="0" fontId="5" fillId="45" borderId="8" xfId="0" applyFont="1" applyFill="1" applyBorder="1"/>
    <xf numFmtId="165" fontId="3" fillId="2" borderId="4" xfId="0" applyNumberFormat="1" applyFont="1" applyFill="1" applyBorder="1" applyAlignment="1">
      <alignment horizontal="left" vertical="center"/>
    </xf>
    <xf numFmtId="165" fontId="3" fillId="2" borderId="6" xfId="0" applyNumberFormat="1" applyFont="1" applyFill="1" applyBorder="1" applyAlignment="1">
      <alignment horizontal="left" vertical="center"/>
    </xf>
    <xf numFmtId="165" fontId="3" fillId="62" borderId="4" xfId="0" applyNumberFormat="1" applyFont="1" applyFill="1" applyBorder="1" applyAlignment="1">
      <alignment horizontal="left" vertical="center"/>
    </xf>
    <xf numFmtId="165" fontId="3" fillId="62" borderId="6" xfId="0" applyNumberFormat="1" applyFont="1" applyFill="1" applyBorder="1" applyAlignment="1">
      <alignment horizontal="left" vertical="center"/>
    </xf>
    <xf numFmtId="0" fontId="3" fillId="53" borderId="15" xfId="0" applyFont="1" applyFill="1" applyBorder="1" applyAlignment="1">
      <alignment horizontal="right"/>
    </xf>
    <xf numFmtId="165" fontId="15" fillId="65" borderId="5" xfId="0" applyNumberFormat="1" applyFont="1" applyFill="1" applyBorder="1" applyAlignment="1">
      <alignment horizontal="left" vertical="center"/>
    </xf>
    <xf numFmtId="165" fontId="3" fillId="65" borderId="8" xfId="0" applyNumberFormat="1" applyFont="1" applyFill="1" applyBorder="1" applyAlignment="1">
      <alignment horizontal="left" vertical="center"/>
    </xf>
    <xf numFmtId="0" fontId="5" fillId="45" borderId="8" xfId="0" applyFont="1" applyFill="1" applyBorder="1" applyAlignment="1">
      <alignment horizontal="left"/>
    </xf>
    <xf numFmtId="0" fontId="3" fillId="47" borderId="15" xfId="0" applyFont="1" applyFill="1" applyBorder="1" applyAlignment="1">
      <alignment horizontal="right"/>
    </xf>
    <xf numFmtId="0" fontId="25" fillId="0" borderId="4" xfId="0" applyFont="1" applyBorder="1" applyAlignment="1">
      <alignment horizontal="right"/>
    </xf>
    <xf numFmtId="0" fontId="28" fillId="0" borderId="6" xfId="0" applyFont="1" applyBorder="1"/>
    <xf numFmtId="0" fontId="28" fillId="0" borderId="8" xfId="0" applyFont="1" applyBorder="1"/>
    <xf numFmtId="165" fontId="25" fillId="65" borderId="12" xfId="0" applyNumberFormat="1" applyFont="1" applyFill="1" applyBorder="1" applyAlignment="1">
      <alignment horizontal="left" vertical="center"/>
    </xf>
    <xf numFmtId="0" fontId="28" fillId="67" borderId="5" xfId="0" applyFont="1" applyFill="1" applyBorder="1"/>
    <xf numFmtId="165" fontId="25" fillId="62" borderId="4" xfId="0" applyNumberFormat="1" applyFont="1" applyFill="1" applyBorder="1" applyAlignment="1">
      <alignment horizontal="left" vertical="center"/>
    </xf>
    <xf numFmtId="0" fontId="28" fillId="64" borderId="6" xfId="0" applyFont="1" applyFill="1" applyBorder="1"/>
    <xf numFmtId="0" fontId="27" fillId="54" borderId="4" xfId="0" applyFont="1" applyFill="1" applyBorder="1" applyAlignment="1">
      <alignment horizontal="left" vertical="center" wrapText="1"/>
    </xf>
    <xf numFmtId="165" fontId="3" fillId="65" borderId="12" xfId="0" applyNumberFormat="1" applyFont="1" applyFill="1" applyBorder="1" applyAlignment="1">
      <alignment horizontal="left" vertical="center"/>
    </xf>
    <xf numFmtId="165" fontId="25" fillId="65" borderId="4" xfId="0" applyNumberFormat="1" applyFont="1" applyFill="1" applyBorder="1" applyAlignment="1">
      <alignment horizontal="left" vertical="center"/>
    </xf>
    <xf numFmtId="0" fontId="28" fillId="67" borderId="6" xfId="0" applyFont="1" applyFill="1" applyBorder="1"/>
    <xf numFmtId="0" fontId="28" fillId="67" borderId="8" xfId="0" applyFont="1" applyFill="1" applyBorder="1"/>
    <xf numFmtId="0" fontId="25" fillId="59" borderId="4" xfId="0" applyFont="1" applyFill="1" applyBorder="1" applyAlignment="1">
      <alignment horizontal="center"/>
    </xf>
    <xf numFmtId="0" fontId="27" fillId="54" borderId="4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right"/>
    </xf>
    <xf numFmtId="0" fontId="25" fillId="0" borderId="8" xfId="0" applyFont="1" applyBorder="1" applyAlignment="1">
      <alignment horizontal="right"/>
    </xf>
    <xf numFmtId="0" fontId="25" fillId="59" borderId="6" xfId="0" applyFont="1" applyFill="1" applyBorder="1" applyAlignment="1">
      <alignment horizontal="center"/>
    </xf>
    <xf numFmtId="0" fontId="25" fillId="59" borderId="8" xfId="0" applyFont="1" applyFill="1" applyBorder="1" applyAlignment="1">
      <alignment horizontal="center"/>
    </xf>
    <xf numFmtId="165" fontId="3" fillId="79" borderId="4" xfId="0" applyNumberFormat="1" applyFont="1" applyFill="1" applyBorder="1" applyAlignment="1">
      <alignment horizontal="left" vertical="center"/>
    </xf>
    <xf numFmtId="165" fontId="3" fillId="79" borderId="6" xfId="0" applyNumberFormat="1" applyFont="1" applyFill="1" applyBorder="1" applyAlignment="1">
      <alignment horizontal="left" vertical="center"/>
    </xf>
    <xf numFmtId="165" fontId="25" fillId="79" borderId="6" xfId="0" applyNumberFormat="1" applyFont="1" applyFill="1" applyBorder="1" applyAlignment="1">
      <alignment horizontal="left" vertical="center"/>
    </xf>
    <xf numFmtId="164" fontId="2" fillId="0" borderId="0" xfId="0" applyNumberFormat="1" applyFont="1" applyAlignment="1">
      <alignment horizontal="right"/>
    </xf>
    <xf numFmtId="165" fontId="24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left" vertical="center" wrapText="1"/>
    </xf>
    <xf numFmtId="165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top" wrapText="1"/>
    </xf>
    <xf numFmtId="0" fontId="24" fillId="0" borderId="4" xfId="0" applyFont="1" applyFill="1" applyBorder="1" applyAlignment="1">
      <alignment horizontal="left" vertical="center" wrapText="1"/>
    </xf>
    <xf numFmtId="0" fontId="24" fillId="0" borderId="12" xfId="0" applyFont="1" applyFill="1" applyBorder="1" applyAlignment="1">
      <alignment horizontal="left" vertical="center" wrapText="1"/>
    </xf>
    <xf numFmtId="165" fontId="5" fillId="0" borderId="2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right" vertical="center"/>
    </xf>
    <xf numFmtId="164" fontId="12" fillId="0" borderId="2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164" fontId="32" fillId="0" borderId="2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164" fontId="31" fillId="0" borderId="2" xfId="0" applyNumberFormat="1" applyFont="1" applyFill="1" applyBorder="1" applyAlignment="1">
      <alignment horizontal="right" vertical="center"/>
    </xf>
    <xf numFmtId="164" fontId="24" fillId="0" borderId="2" xfId="0" applyNumberFormat="1" applyFont="1" applyFill="1" applyBorder="1" applyAlignment="1">
      <alignment horizontal="right" vertical="center"/>
    </xf>
    <xf numFmtId="164" fontId="3" fillId="0" borderId="0" xfId="0" applyNumberFormat="1" applyFont="1" applyAlignment="1">
      <alignment horizontal="right"/>
    </xf>
    <xf numFmtId="0" fontId="15" fillId="0" borderId="8" xfId="0" applyFont="1" applyBorder="1"/>
    <xf numFmtId="0" fontId="15" fillId="51" borderId="8" xfId="0" applyFont="1" applyFill="1" applyBorder="1"/>
    <xf numFmtId="0" fontId="15" fillId="51" borderId="0" xfId="0" applyFont="1" applyFill="1"/>
    <xf numFmtId="0" fontId="15" fillId="51" borderId="0" xfId="0" applyFont="1" applyFill="1" applyAlignment="1">
      <alignment horizontal="center" vertical="center"/>
    </xf>
    <xf numFmtId="164" fontId="15" fillId="51" borderId="0" xfId="0" applyNumberFormat="1" applyFont="1" applyFill="1"/>
  </cellXfs>
  <cellStyles count="4">
    <cellStyle name="Moeda" xfId="1" builtinId="4"/>
    <cellStyle name="Normal" xfId="0" builtinId="0"/>
    <cellStyle name="Porcentagem" xfId="3" builtinId="5"/>
    <cellStyle name="Vírgula" xfId="2" builtinId="3"/>
  </cellStyles>
  <dxfs count="0"/>
  <tableStyles count="0" defaultTableStyle="TableStyleMedium2" defaultPivotStyle="PivotStyleLight16"/>
  <colors>
    <mruColors>
      <color rgb="FFE7FFE5"/>
      <color rgb="FFC5E0B3"/>
      <color rgb="FFFFFDD9"/>
      <color rgb="FFF8FFD1"/>
      <color rgb="FFE4FFC9"/>
      <color rgb="FFF4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06"/>
  <sheetViews>
    <sheetView tabSelected="1" topLeftCell="B9" zoomScale="140" zoomScaleNormal="140" workbookViewId="0">
      <pane ySplit="2040" topLeftCell="A112" activePane="bottomLeft"/>
      <selection activeCell="B9" sqref="B9"/>
      <selection pane="bottomLeft" activeCell="D90" sqref="D90"/>
    </sheetView>
  </sheetViews>
  <sheetFormatPr defaultColWidth="14.44140625" defaultRowHeight="14.4"/>
  <cols>
    <col min="1" max="1" width="8.44140625" style="203" customWidth="1"/>
    <col min="2" max="2" width="57.109375" style="203" customWidth="1"/>
    <col min="3" max="4" width="9.88671875" style="203" customWidth="1"/>
    <col min="5" max="5" width="14" style="203" customWidth="1"/>
    <col min="6" max="6" width="15.44140625" style="203" customWidth="1"/>
    <col min="7" max="7" width="14.88671875" style="203" customWidth="1"/>
    <col min="8" max="8" width="18.109375" style="203" customWidth="1"/>
  </cols>
  <sheetData>
    <row r="1" spans="1:8">
      <c r="A1" s="215" t="s">
        <v>0</v>
      </c>
      <c r="B1" s="216" t="s">
        <v>1</v>
      </c>
      <c r="C1" s="217"/>
      <c r="D1" s="217"/>
      <c r="E1" s="218"/>
      <c r="F1" s="218"/>
      <c r="G1" s="218"/>
      <c r="H1" s="218"/>
    </row>
    <row r="2" spans="1:8">
      <c r="A2" s="215"/>
      <c r="B2" s="219" t="s">
        <v>2</v>
      </c>
      <c r="C2" s="217"/>
      <c r="D2" s="217"/>
      <c r="E2" s="218"/>
      <c r="F2" s="218"/>
      <c r="G2" s="218"/>
      <c r="H2" s="218"/>
    </row>
    <row r="3" spans="1:8">
      <c r="A3" s="215"/>
      <c r="B3" s="220" t="s">
        <v>3</v>
      </c>
      <c r="C3" s="217"/>
      <c r="D3" s="217"/>
      <c r="E3" s="218"/>
      <c r="F3" s="218"/>
      <c r="G3" s="218"/>
      <c r="H3" s="218"/>
    </row>
    <row r="4" spans="1:8">
      <c r="A4" s="215"/>
      <c r="B4" s="219" t="s">
        <v>440</v>
      </c>
      <c r="C4" s="217"/>
      <c r="D4" s="217"/>
      <c r="E4" s="218"/>
      <c r="F4" s="218"/>
      <c r="G4" s="218"/>
      <c r="H4" s="218"/>
    </row>
    <row r="5" spans="1:8">
      <c r="A5" s="215"/>
      <c r="B5" s="219" t="s">
        <v>441</v>
      </c>
      <c r="C5" s="217"/>
      <c r="D5" s="217"/>
      <c r="E5" s="218"/>
      <c r="F5" s="218"/>
      <c r="G5" s="218"/>
      <c r="H5" s="218"/>
    </row>
    <row r="6" spans="1:8">
      <c r="A6" s="215"/>
      <c r="B6" s="219" t="s">
        <v>454</v>
      </c>
      <c r="C6" s="217"/>
      <c r="D6" s="217"/>
      <c r="E6" s="215"/>
      <c r="F6" s="215"/>
      <c r="G6" s="215"/>
      <c r="H6" s="215"/>
    </row>
    <row r="7" spans="1:8">
      <c r="A7" s="215"/>
      <c r="B7" s="219" t="s">
        <v>442</v>
      </c>
      <c r="C7" s="217"/>
      <c r="D7" s="217"/>
      <c r="E7" s="218"/>
      <c r="F7" s="218"/>
      <c r="G7" s="218"/>
      <c r="H7" s="218"/>
    </row>
    <row r="8" spans="1:8">
      <c r="A8" s="215"/>
      <c r="B8" s="219" t="s">
        <v>499</v>
      </c>
      <c r="C8" s="217"/>
      <c r="D8" s="217"/>
      <c r="E8" s="218"/>
      <c r="F8" s="218"/>
      <c r="G8" s="218"/>
      <c r="H8" s="218"/>
    </row>
    <row r="9" spans="1:8">
      <c r="A9" s="215"/>
      <c r="B9" s="216" t="s">
        <v>757</v>
      </c>
      <c r="C9" s="217"/>
      <c r="D9" s="217"/>
      <c r="E9" s="218"/>
      <c r="F9" s="218"/>
      <c r="G9" s="218"/>
      <c r="H9" s="218"/>
    </row>
    <row r="10" spans="1:8">
      <c r="A10" s="215"/>
      <c r="B10" s="658"/>
      <c r="C10" s="217"/>
      <c r="D10" s="217"/>
      <c r="E10" s="218"/>
      <c r="F10" s="218"/>
      <c r="G10" s="218"/>
      <c r="H10" s="218"/>
    </row>
    <row r="11" spans="1:8">
      <c r="A11" s="660"/>
      <c r="B11" s="659" t="s">
        <v>851</v>
      </c>
      <c r="C11" s="661" t="s">
        <v>852</v>
      </c>
      <c r="D11" s="661" t="s">
        <v>853</v>
      </c>
      <c r="E11" s="662" t="s">
        <v>854</v>
      </c>
      <c r="F11" s="662" t="s">
        <v>855</v>
      </c>
      <c r="G11" s="662" t="s">
        <v>856</v>
      </c>
      <c r="H11" s="662" t="s">
        <v>9</v>
      </c>
    </row>
    <row r="12" spans="1:8">
      <c r="A12" s="215"/>
      <c r="B12" s="658"/>
      <c r="C12" s="217"/>
      <c r="D12" s="217"/>
      <c r="E12" s="218"/>
      <c r="F12" s="218"/>
      <c r="G12" s="218"/>
      <c r="H12" s="218"/>
    </row>
    <row r="13" spans="1:8">
      <c r="A13" s="570" t="s">
        <v>4</v>
      </c>
      <c r="B13" s="566"/>
      <c r="C13" s="221"/>
      <c r="D13" s="221"/>
      <c r="E13" s="222"/>
      <c r="F13" s="222"/>
      <c r="G13" s="222"/>
      <c r="H13" s="223"/>
    </row>
    <row r="14" spans="1:8">
      <c r="A14" s="224" t="s">
        <v>5</v>
      </c>
      <c r="B14" s="225" t="s">
        <v>6</v>
      </c>
      <c r="C14" s="226" t="s">
        <v>7</v>
      </c>
      <c r="D14" s="226" t="s">
        <v>8</v>
      </c>
      <c r="E14" s="227" t="s">
        <v>410</v>
      </c>
      <c r="F14" s="227" t="s">
        <v>408</v>
      </c>
      <c r="G14" s="227" t="s">
        <v>409</v>
      </c>
      <c r="H14" s="228" t="s">
        <v>9</v>
      </c>
    </row>
    <row r="15" spans="1:8">
      <c r="A15" s="570" t="s">
        <v>10</v>
      </c>
      <c r="B15" s="566"/>
      <c r="C15" s="221"/>
      <c r="D15" s="221"/>
      <c r="E15" s="222"/>
      <c r="F15" s="222"/>
      <c r="G15" s="222"/>
      <c r="H15" s="223"/>
    </row>
    <row r="16" spans="1:8" ht="28.8">
      <c r="A16" s="224" t="s">
        <v>5</v>
      </c>
      <c r="B16" s="225" t="s">
        <v>11</v>
      </c>
      <c r="C16" s="226" t="s">
        <v>7</v>
      </c>
      <c r="D16" s="226" t="s">
        <v>8</v>
      </c>
      <c r="E16" s="227" t="s">
        <v>410</v>
      </c>
      <c r="F16" s="227" t="s">
        <v>408</v>
      </c>
      <c r="G16" s="227" t="s">
        <v>409</v>
      </c>
      <c r="H16" s="228" t="s">
        <v>9</v>
      </c>
    </row>
    <row r="17" spans="1:8" ht="28.8">
      <c r="A17" s="206" t="s">
        <v>12</v>
      </c>
      <c r="B17" s="151" t="s">
        <v>460</v>
      </c>
      <c r="C17" s="67" t="s">
        <v>13</v>
      </c>
      <c r="D17" s="67">
        <v>36</v>
      </c>
      <c r="E17" s="68">
        <f t="shared" ref="E17:E18" si="0">(3643*97%)+3643</f>
        <v>7176.71</v>
      </c>
      <c r="F17" s="69">
        <f>(5000*97%)+5000</f>
        <v>9850</v>
      </c>
      <c r="G17" s="68">
        <f t="shared" ref="G17:G18" si="1">(5801*97%)+5801</f>
        <v>11427.970000000001</v>
      </c>
      <c r="H17" s="69">
        <f t="shared" ref="H17:H63" si="2">E17*D17</f>
        <v>258361.56</v>
      </c>
    </row>
    <row r="18" spans="1:8" ht="28.8">
      <c r="A18" s="206" t="s">
        <v>14</v>
      </c>
      <c r="B18" s="151" t="s">
        <v>457</v>
      </c>
      <c r="C18" s="67" t="s">
        <v>13</v>
      </c>
      <c r="D18" s="67">
        <v>9</v>
      </c>
      <c r="E18" s="68">
        <f t="shared" si="0"/>
        <v>7176.71</v>
      </c>
      <c r="F18" s="69">
        <f>(5000*97%)+5000</f>
        <v>9850</v>
      </c>
      <c r="G18" s="68">
        <f t="shared" si="1"/>
        <v>11427.970000000001</v>
      </c>
      <c r="H18" s="69">
        <f t="shared" si="2"/>
        <v>64590.39</v>
      </c>
    </row>
    <row r="19" spans="1:8" ht="28.8">
      <c r="A19" s="206" t="s">
        <v>740</v>
      </c>
      <c r="B19" s="151" t="s">
        <v>487</v>
      </c>
      <c r="C19" s="67" t="s">
        <v>15</v>
      </c>
      <c r="D19" s="67">
        <f>3*4*36</f>
        <v>432</v>
      </c>
      <c r="E19" s="229">
        <v>250</v>
      </c>
      <c r="F19" s="69">
        <v>450</v>
      </c>
      <c r="G19" s="68">
        <v>581</v>
      </c>
      <c r="H19" s="69">
        <f t="shared" si="2"/>
        <v>108000</v>
      </c>
    </row>
    <row r="20" spans="1:8" ht="28.8">
      <c r="A20" s="206" t="s">
        <v>19</v>
      </c>
      <c r="B20" s="151" t="s">
        <v>488</v>
      </c>
      <c r="C20" s="67" t="s">
        <v>15</v>
      </c>
      <c r="D20" s="67">
        <f>4*4*9</f>
        <v>144</v>
      </c>
      <c r="E20" s="229">
        <v>250</v>
      </c>
      <c r="F20" s="69">
        <v>450</v>
      </c>
      <c r="G20" s="68">
        <v>581</v>
      </c>
      <c r="H20" s="69">
        <f t="shared" si="2"/>
        <v>36000</v>
      </c>
    </row>
    <row r="21" spans="1:8" ht="43.2">
      <c r="A21" s="206" t="s">
        <v>20</v>
      </c>
      <c r="B21" s="151" t="s">
        <v>569</v>
      </c>
      <c r="C21" s="67" t="s">
        <v>18</v>
      </c>
      <c r="D21" s="67">
        <v>2</v>
      </c>
      <c r="E21" s="68">
        <v>4149</v>
      </c>
      <c r="F21" s="69">
        <v>5299</v>
      </c>
      <c r="G21" s="70">
        <v>5919</v>
      </c>
      <c r="H21" s="69">
        <f t="shared" si="2"/>
        <v>8298</v>
      </c>
    </row>
    <row r="22" spans="1:8" ht="28.8">
      <c r="A22" s="206" t="s">
        <v>21</v>
      </c>
      <c r="B22" s="230" t="s">
        <v>570</v>
      </c>
      <c r="C22" s="67" t="s">
        <v>18</v>
      </c>
      <c r="D22" s="67">
        <v>2</v>
      </c>
      <c r="E22" s="68">
        <v>1849</v>
      </c>
      <c r="F22" s="69">
        <v>2199</v>
      </c>
      <c r="G22" s="68">
        <v>2919</v>
      </c>
      <c r="H22" s="69">
        <f t="shared" si="2"/>
        <v>3698</v>
      </c>
    </row>
    <row r="23" spans="1:8" ht="43.2">
      <c r="A23" s="206" t="s">
        <v>22</v>
      </c>
      <c r="B23" s="151" t="s">
        <v>571</v>
      </c>
      <c r="C23" s="67" t="s">
        <v>18</v>
      </c>
      <c r="D23" s="67">
        <v>2</v>
      </c>
      <c r="E23" s="73">
        <v>1849.77</v>
      </c>
      <c r="F23" s="232">
        <v>2899</v>
      </c>
      <c r="G23" s="68">
        <v>3199</v>
      </c>
      <c r="H23" s="69">
        <f t="shared" si="2"/>
        <v>3699.54</v>
      </c>
    </row>
    <row r="24" spans="1:8" ht="28.8">
      <c r="A24" s="206" t="s">
        <v>23</v>
      </c>
      <c r="B24" s="151" t="s">
        <v>572</v>
      </c>
      <c r="C24" s="67" t="s">
        <v>18</v>
      </c>
      <c r="D24" s="67">
        <v>2</v>
      </c>
      <c r="E24" s="70">
        <v>169.9</v>
      </c>
      <c r="F24" s="69">
        <v>189.9</v>
      </c>
      <c r="G24" s="68">
        <v>197.59</v>
      </c>
      <c r="H24" s="69">
        <f t="shared" si="2"/>
        <v>339.8</v>
      </c>
    </row>
    <row r="25" spans="1:8" ht="28.8">
      <c r="A25" s="206" t="s">
        <v>24</v>
      </c>
      <c r="B25" s="151" t="s">
        <v>461</v>
      </c>
      <c r="C25" s="67" t="s">
        <v>18</v>
      </c>
      <c r="D25" s="67">
        <v>1</v>
      </c>
      <c r="E25" s="73">
        <v>6459.11</v>
      </c>
      <c r="F25" s="68">
        <v>6686</v>
      </c>
      <c r="G25" s="69">
        <v>6892.17</v>
      </c>
      <c r="H25" s="69">
        <f t="shared" si="2"/>
        <v>6459.11</v>
      </c>
    </row>
    <row r="26" spans="1:8" ht="28.8">
      <c r="A26" s="206" t="s">
        <v>25</v>
      </c>
      <c r="B26" s="151" t="s">
        <v>489</v>
      </c>
      <c r="C26" s="67" t="s">
        <v>18</v>
      </c>
      <c r="D26" s="67">
        <v>1</v>
      </c>
      <c r="E26" s="70">
        <v>3598</v>
      </c>
      <c r="F26" s="68">
        <v>3790</v>
      </c>
      <c r="G26" s="68">
        <v>5049</v>
      </c>
      <c r="H26" s="69">
        <f t="shared" si="2"/>
        <v>3598</v>
      </c>
    </row>
    <row r="27" spans="1:8" ht="28.8">
      <c r="A27" s="206" t="s">
        <v>27</v>
      </c>
      <c r="B27" s="151" t="s">
        <v>573</v>
      </c>
      <c r="C27" s="67" t="s">
        <v>18</v>
      </c>
      <c r="D27" s="67">
        <v>2</v>
      </c>
      <c r="E27" s="73">
        <v>1386</v>
      </c>
      <c r="F27" s="68">
        <v>1549</v>
      </c>
      <c r="G27" s="68">
        <v>1649.9</v>
      </c>
      <c r="H27" s="69">
        <f t="shared" si="2"/>
        <v>2772</v>
      </c>
    </row>
    <row r="28" spans="1:8">
      <c r="A28" s="206" t="s">
        <v>28</v>
      </c>
      <c r="B28" s="151" t="s">
        <v>462</v>
      </c>
      <c r="C28" s="67" t="s">
        <v>13</v>
      </c>
      <c r="D28" s="67">
        <v>36</v>
      </c>
      <c r="E28" s="68">
        <v>124.99</v>
      </c>
      <c r="F28" s="69">
        <v>142</v>
      </c>
      <c r="G28" s="68">
        <v>159.9</v>
      </c>
      <c r="H28" s="69">
        <f t="shared" si="2"/>
        <v>4499.6399999999994</v>
      </c>
    </row>
    <row r="29" spans="1:8" ht="28.8">
      <c r="A29" s="206" t="s">
        <v>29</v>
      </c>
      <c r="B29" s="151" t="s">
        <v>517</v>
      </c>
      <c r="C29" s="67" t="s">
        <v>13</v>
      </c>
      <c r="D29" s="67">
        <v>36</v>
      </c>
      <c r="E29" s="68">
        <v>3168.69</v>
      </c>
      <c r="F29" s="74">
        <v>3297.51</v>
      </c>
      <c r="G29" s="68">
        <v>3622.3</v>
      </c>
      <c r="H29" s="69">
        <f t="shared" si="2"/>
        <v>114072.84</v>
      </c>
    </row>
    <row r="30" spans="1:8" ht="28.8">
      <c r="A30" s="206" t="s">
        <v>30</v>
      </c>
      <c r="B30" s="151" t="s">
        <v>518</v>
      </c>
      <c r="C30" s="67" t="s">
        <v>13</v>
      </c>
      <c r="D30" s="67">
        <v>9</v>
      </c>
      <c r="E30" s="68">
        <v>3168.69</v>
      </c>
      <c r="F30" s="74">
        <v>3297.51</v>
      </c>
      <c r="G30" s="68">
        <v>3622.3</v>
      </c>
      <c r="H30" s="69">
        <f t="shared" si="2"/>
        <v>28518.21</v>
      </c>
    </row>
    <row r="31" spans="1:8">
      <c r="A31" s="206" t="s">
        <v>32</v>
      </c>
      <c r="B31" s="151" t="s">
        <v>463</v>
      </c>
      <c r="C31" s="67" t="s">
        <v>15</v>
      </c>
      <c r="D31" s="67">
        <v>2</v>
      </c>
      <c r="E31" s="68">
        <v>300</v>
      </c>
      <c r="F31" s="69">
        <v>600</v>
      </c>
      <c r="G31" s="68">
        <v>975</v>
      </c>
      <c r="H31" s="69">
        <f t="shared" si="2"/>
        <v>600</v>
      </c>
    </row>
    <row r="32" spans="1:8" ht="28.8">
      <c r="A32" s="206" t="s">
        <v>33</v>
      </c>
      <c r="B32" s="151" t="s">
        <v>743</v>
      </c>
      <c r="C32" s="67" t="s">
        <v>13</v>
      </c>
      <c r="D32" s="67">
        <v>36</v>
      </c>
      <c r="E32" s="68">
        <v>49.9</v>
      </c>
      <c r="F32" s="69">
        <v>60</v>
      </c>
      <c r="G32" s="70">
        <v>65.900000000000006</v>
      </c>
      <c r="H32" s="69">
        <f t="shared" si="2"/>
        <v>1796.3999999999999</v>
      </c>
    </row>
    <row r="33" spans="1:8" ht="28.8">
      <c r="A33" s="206" t="s">
        <v>34</v>
      </c>
      <c r="B33" s="151" t="s">
        <v>464</v>
      </c>
      <c r="C33" s="67" t="s">
        <v>13</v>
      </c>
      <c r="D33" s="67">
        <v>9</v>
      </c>
      <c r="E33" s="68">
        <v>49.9</v>
      </c>
      <c r="F33" s="69">
        <v>60</v>
      </c>
      <c r="G33" s="70">
        <v>65.900000000000006</v>
      </c>
      <c r="H33" s="69">
        <f t="shared" si="2"/>
        <v>449.09999999999997</v>
      </c>
    </row>
    <row r="34" spans="1:8" ht="28.8">
      <c r="A34" s="206" t="s">
        <v>37</v>
      </c>
      <c r="B34" s="151" t="s">
        <v>465</v>
      </c>
      <c r="C34" s="67" t="s">
        <v>15</v>
      </c>
      <c r="D34" s="67">
        <v>2</v>
      </c>
      <c r="E34" s="68">
        <v>144.9</v>
      </c>
      <c r="F34" s="69">
        <v>0</v>
      </c>
      <c r="G34" s="68">
        <v>265</v>
      </c>
      <c r="H34" s="69">
        <f t="shared" si="2"/>
        <v>289.8</v>
      </c>
    </row>
    <row r="35" spans="1:8" ht="28.8">
      <c r="A35" s="206" t="s">
        <v>39</v>
      </c>
      <c r="B35" s="151" t="s">
        <v>466</v>
      </c>
      <c r="C35" s="67" t="s">
        <v>31</v>
      </c>
      <c r="D35" s="67">
        <f>55*4*36*1</f>
        <v>7920</v>
      </c>
      <c r="E35" s="68">
        <v>6.08</v>
      </c>
      <c r="F35" s="69">
        <v>6.09</v>
      </c>
      <c r="G35" s="70">
        <v>6.35</v>
      </c>
      <c r="H35" s="69">
        <f t="shared" si="2"/>
        <v>48153.599999999999</v>
      </c>
    </row>
    <row r="36" spans="1:8" ht="28.8">
      <c r="A36" s="206" t="s">
        <v>40</v>
      </c>
      <c r="B36" s="151" t="s">
        <v>467</v>
      </c>
      <c r="C36" s="67" t="s">
        <v>31</v>
      </c>
      <c r="D36" s="67">
        <f>55*4*9*1</f>
        <v>1980</v>
      </c>
      <c r="E36" s="68">
        <v>6.08</v>
      </c>
      <c r="F36" s="69">
        <v>6.09</v>
      </c>
      <c r="G36" s="70">
        <v>6.35</v>
      </c>
      <c r="H36" s="69">
        <f t="shared" si="2"/>
        <v>12038.4</v>
      </c>
    </row>
    <row r="37" spans="1:8" s="234" customFormat="1">
      <c r="A37" s="206" t="s">
        <v>42</v>
      </c>
      <c r="B37" s="151" t="s">
        <v>468</v>
      </c>
      <c r="C37" s="67" t="s">
        <v>18</v>
      </c>
      <c r="D37" s="67">
        <v>4</v>
      </c>
      <c r="E37" s="68">
        <v>99.86</v>
      </c>
      <c r="F37" s="68">
        <v>109.49</v>
      </c>
      <c r="G37" s="69">
        <v>211.19</v>
      </c>
      <c r="H37" s="69">
        <f t="shared" si="2"/>
        <v>399.44</v>
      </c>
    </row>
    <row r="38" spans="1:8" ht="28.8">
      <c r="A38" s="206" t="s">
        <v>44</v>
      </c>
      <c r="B38" s="210" t="s">
        <v>469</v>
      </c>
      <c r="C38" s="67" t="s">
        <v>18</v>
      </c>
      <c r="D38" s="67">
        <f t="shared" ref="D38:D39" si="3">6*3</f>
        <v>18</v>
      </c>
      <c r="E38" s="68">
        <v>60</v>
      </c>
      <c r="F38" s="68">
        <v>65</v>
      </c>
      <c r="G38" s="69">
        <v>70</v>
      </c>
      <c r="H38" s="69">
        <f t="shared" si="2"/>
        <v>1080</v>
      </c>
    </row>
    <row r="39" spans="1:8" ht="28.8">
      <c r="A39" s="206" t="s">
        <v>46</v>
      </c>
      <c r="B39" s="210" t="s">
        <v>470</v>
      </c>
      <c r="C39" s="67" t="s">
        <v>18</v>
      </c>
      <c r="D39" s="67">
        <f t="shared" si="3"/>
        <v>18</v>
      </c>
      <c r="E39" s="68">
        <v>75</v>
      </c>
      <c r="F39" s="68">
        <v>90</v>
      </c>
      <c r="G39" s="69">
        <v>98</v>
      </c>
      <c r="H39" s="69">
        <f t="shared" si="2"/>
        <v>1350</v>
      </c>
    </row>
    <row r="40" spans="1:8" ht="28.8">
      <c r="A40" s="206" t="s">
        <v>48</v>
      </c>
      <c r="B40" s="210" t="s">
        <v>745</v>
      </c>
      <c r="C40" s="67" t="s">
        <v>18</v>
      </c>
      <c r="D40" s="67">
        <f>4*3</f>
        <v>12</v>
      </c>
      <c r="E40" s="68">
        <v>25</v>
      </c>
      <c r="F40" s="68">
        <v>40</v>
      </c>
      <c r="G40" s="69">
        <v>43</v>
      </c>
      <c r="H40" s="69">
        <f t="shared" si="2"/>
        <v>300</v>
      </c>
    </row>
    <row r="41" spans="1:8">
      <c r="A41" s="206" t="s">
        <v>49</v>
      </c>
      <c r="B41" s="211" t="s">
        <v>744</v>
      </c>
      <c r="C41" s="67" t="s">
        <v>18</v>
      </c>
      <c r="D41" s="67">
        <f>9*2</f>
        <v>18</v>
      </c>
      <c r="E41" s="68">
        <v>2.77</v>
      </c>
      <c r="F41" s="74">
        <v>3.75</v>
      </c>
      <c r="G41" s="73">
        <v>3.96</v>
      </c>
      <c r="H41" s="69">
        <f t="shared" si="2"/>
        <v>49.86</v>
      </c>
    </row>
    <row r="42" spans="1:8" ht="28.8">
      <c r="A42" s="206" t="s">
        <v>51</v>
      </c>
      <c r="B42" s="151" t="s">
        <v>471</v>
      </c>
      <c r="C42" s="67" t="s">
        <v>18</v>
      </c>
      <c r="D42" s="67">
        <f t="shared" ref="D42:D43" si="4">6*2</f>
        <v>12</v>
      </c>
      <c r="E42" s="68">
        <v>122</v>
      </c>
      <c r="F42" s="74">
        <v>170.91</v>
      </c>
      <c r="G42" s="68">
        <v>185</v>
      </c>
      <c r="H42" s="69">
        <f t="shared" si="2"/>
        <v>1464</v>
      </c>
    </row>
    <row r="43" spans="1:8">
      <c r="A43" s="206" t="s">
        <v>53</v>
      </c>
      <c r="B43" s="151" t="s">
        <v>472</v>
      </c>
      <c r="C43" s="67" t="s">
        <v>18</v>
      </c>
      <c r="D43" s="67">
        <f t="shared" si="4"/>
        <v>12</v>
      </c>
      <c r="E43" s="68">
        <v>21.8</v>
      </c>
      <c r="F43" s="74">
        <v>36</v>
      </c>
      <c r="G43" s="68">
        <v>46.9</v>
      </c>
      <c r="H43" s="69">
        <f t="shared" si="2"/>
        <v>261.60000000000002</v>
      </c>
    </row>
    <row r="44" spans="1:8">
      <c r="A44" s="206" t="s">
        <v>55</v>
      </c>
      <c r="B44" s="151" t="s">
        <v>485</v>
      </c>
      <c r="C44" s="67" t="s">
        <v>18</v>
      </c>
      <c r="D44" s="67">
        <f>3*2</f>
        <v>6</v>
      </c>
      <c r="E44" s="73">
        <v>13.93</v>
      </c>
      <c r="F44" s="74">
        <v>15.71</v>
      </c>
      <c r="G44" s="68">
        <v>22.5</v>
      </c>
      <c r="H44" s="69">
        <f t="shared" si="2"/>
        <v>83.58</v>
      </c>
    </row>
    <row r="45" spans="1:8" ht="28.8">
      <c r="A45" s="206" t="s">
        <v>56</v>
      </c>
      <c r="B45" s="151" t="s">
        <v>473</v>
      </c>
      <c r="C45" s="67" t="s">
        <v>18</v>
      </c>
      <c r="D45" s="67">
        <f>10*2</f>
        <v>20</v>
      </c>
      <c r="E45" s="70">
        <v>12.4</v>
      </c>
      <c r="F45" s="74">
        <v>13.5</v>
      </c>
      <c r="G45" s="68">
        <v>20.260000000000002</v>
      </c>
      <c r="H45" s="69">
        <f t="shared" si="2"/>
        <v>248</v>
      </c>
    </row>
    <row r="46" spans="1:8">
      <c r="A46" s="206" t="s">
        <v>57</v>
      </c>
      <c r="B46" s="151" t="s">
        <v>476</v>
      </c>
      <c r="C46" s="67" t="s">
        <v>18</v>
      </c>
      <c r="D46" s="67">
        <f>6*2</f>
        <v>12</v>
      </c>
      <c r="E46" s="68">
        <v>160</v>
      </c>
      <c r="F46" s="74">
        <v>163</v>
      </c>
      <c r="G46" s="73">
        <v>193.63</v>
      </c>
      <c r="H46" s="69">
        <f t="shared" si="2"/>
        <v>1920</v>
      </c>
    </row>
    <row r="47" spans="1:8" ht="28.8">
      <c r="A47" s="206" t="s">
        <v>58</v>
      </c>
      <c r="B47" s="151" t="s">
        <v>474</v>
      </c>
      <c r="C47" s="67" t="s">
        <v>18</v>
      </c>
      <c r="D47" s="67">
        <f t="shared" ref="D47:D49" si="5">3*2</f>
        <v>6</v>
      </c>
      <c r="E47" s="70">
        <v>35</v>
      </c>
      <c r="F47" s="74">
        <v>41.4</v>
      </c>
      <c r="G47" s="68">
        <v>168.26</v>
      </c>
      <c r="H47" s="69">
        <f t="shared" si="2"/>
        <v>210</v>
      </c>
    </row>
    <row r="48" spans="1:8">
      <c r="A48" s="206" t="s">
        <v>59</v>
      </c>
      <c r="B48" s="151" t="s">
        <v>475</v>
      </c>
      <c r="C48" s="67" t="s">
        <v>18</v>
      </c>
      <c r="D48" s="67">
        <f t="shared" si="5"/>
        <v>6</v>
      </c>
      <c r="E48" s="73">
        <v>41.4</v>
      </c>
      <c r="F48" s="73">
        <v>42.23</v>
      </c>
      <c r="G48" s="73">
        <v>50</v>
      </c>
      <c r="H48" s="69">
        <f t="shared" si="2"/>
        <v>248.39999999999998</v>
      </c>
    </row>
    <row r="49" spans="1:8">
      <c r="A49" s="212" t="s">
        <v>60</v>
      </c>
      <c r="B49" s="151" t="s">
        <v>477</v>
      </c>
      <c r="C49" s="67" t="s">
        <v>18</v>
      </c>
      <c r="D49" s="67">
        <f t="shared" si="5"/>
        <v>6</v>
      </c>
      <c r="E49" s="68">
        <v>32.979999999999997</v>
      </c>
      <c r="F49" s="69">
        <v>58.66</v>
      </c>
      <c r="G49" s="68">
        <v>60.82</v>
      </c>
      <c r="H49" s="69">
        <f t="shared" si="2"/>
        <v>197.88</v>
      </c>
    </row>
    <row r="50" spans="1:8" ht="28.8">
      <c r="A50" s="206" t="s">
        <v>62</v>
      </c>
      <c r="B50" s="151" t="s">
        <v>478</v>
      </c>
      <c r="C50" s="67" t="s">
        <v>18</v>
      </c>
      <c r="D50" s="213">
        <v>2</v>
      </c>
      <c r="E50" s="73">
        <v>26.5</v>
      </c>
      <c r="F50" s="73">
        <v>61.9</v>
      </c>
      <c r="G50" s="69">
        <v>83.6</v>
      </c>
      <c r="H50" s="69">
        <f t="shared" si="2"/>
        <v>53</v>
      </c>
    </row>
    <row r="51" spans="1:8" s="234" customFormat="1">
      <c r="A51" s="206" t="s">
        <v>64</v>
      </c>
      <c r="B51" s="151" t="s">
        <v>756</v>
      </c>
      <c r="C51" s="75" t="s">
        <v>18</v>
      </c>
      <c r="D51" s="67">
        <v>500</v>
      </c>
      <c r="E51" s="260">
        <v>16.47</v>
      </c>
      <c r="F51" s="260">
        <v>16.899999999999999</v>
      </c>
      <c r="G51" s="260">
        <v>31</v>
      </c>
      <c r="H51" s="69">
        <f t="shared" si="2"/>
        <v>8235</v>
      </c>
    </row>
    <row r="52" spans="1:8" s="234" customFormat="1">
      <c r="A52" s="206" t="s">
        <v>66</v>
      </c>
      <c r="B52" s="151" t="s">
        <v>755</v>
      </c>
      <c r="C52" s="67" t="s">
        <v>18</v>
      </c>
      <c r="D52" s="67">
        <v>250</v>
      </c>
      <c r="E52" s="260">
        <v>1.64</v>
      </c>
      <c r="F52" s="261">
        <v>17.5</v>
      </c>
      <c r="G52" s="261">
        <v>25.9</v>
      </c>
      <c r="H52" s="69">
        <f t="shared" si="2"/>
        <v>410</v>
      </c>
    </row>
    <row r="53" spans="1:8" s="234" customFormat="1">
      <c r="A53" s="206" t="s">
        <v>69</v>
      </c>
      <c r="B53" s="151" t="s">
        <v>61</v>
      </c>
      <c r="C53" s="67" t="s">
        <v>18</v>
      </c>
      <c r="D53" s="67">
        <v>150</v>
      </c>
      <c r="E53" s="260">
        <v>1.5</v>
      </c>
      <c r="F53" s="260">
        <v>2.5</v>
      </c>
      <c r="G53" s="260">
        <v>3.74</v>
      </c>
      <c r="H53" s="69">
        <f t="shared" si="2"/>
        <v>225</v>
      </c>
    </row>
    <row r="54" spans="1:8" s="234" customFormat="1">
      <c r="A54" s="206" t="s">
        <v>71</v>
      </c>
      <c r="B54" s="151" t="s">
        <v>63</v>
      </c>
      <c r="C54" s="67" t="s">
        <v>18</v>
      </c>
      <c r="D54" s="67">
        <v>1500</v>
      </c>
      <c r="E54" s="260">
        <v>0.17</v>
      </c>
      <c r="F54" s="261">
        <v>1</v>
      </c>
      <c r="G54" s="260">
        <v>1.89</v>
      </c>
      <c r="H54" s="69">
        <f t="shared" si="2"/>
        <v>255.00000000000003</v>
      </c>
    </row>
    <row r="55" spans="1:8">
      <c r="A55" s="206" t="s">
        <v>73</v>
      </c>
      <c r="B55" s="151" t="s">
        <v>65</v>
      </c>
      <c r="C55" s="67" t="s">
        <v>18</v>
      </c>
      <c r="D55" s="67">
        <v>6</v>
      </c>
      <c r="E55" s="68">
        <v>320</v>
      </c>
      <c r="F55" s="73">
        <v>480</v>
      </c>
      <c r="G55" s="68">
        <v>614.4</v>
      </c>
      <c r="H55" s="69">
        <f t="shared" si="2"/>
        <v>1920</v>
      </c>
    </row>
    <row r="56" spans="1:8">
      <c r="A56" s="206" t="s">
        <v>75</v>
      </c>
      <c r="B56" s="151" t="s">
        <v>67</v>
      </c>
      <c r="C56" s="67" t="s">
        <v>68</v>
      </c>
      <c r="D56" s="67">
        <v>2</v>
      </c>
      <c r="E56" s="276">
        <v>34.9</v>
      </c>
      <c r="F56" s="207">
        <v>45.9</v>
      </c>
      <c r="G56" s="70">
        <v>48.62</v>
      </c>
      <c r="H56" s="69">
        <f t="shared" si="2"/>
        <v>69.8</v>
      </c>
    </row>
    <row r="57" spans="1:8">
      <c r="A57" s="206" t="s">
        <v>77</v>
      </c>
      <c r="B57" s="151" t="s">
        <v>70</v>
      </c>
      <c r="C57" s="67" t="s">
        <v>18</v>
      </c>
      <c r="D57" s="67">
        <v>15</v>
      </c>
      <c r="E57" s="68">
        <v>14.18</v>
      </c>
      <c r="F57" s="69">
        <v>17.5</v>
      </c>
      <c r="G57" s="68">
        <v>55.99</v>
      </c>
      <c r="H57" s="69">
        <f t="shared" si="2"/>
        <v>212.7</v>
      </c>
    </row>
    <row r="58" spans="1:8">
      <c r="A58" s="206" t="s">
        <v>78</v>
      </c>
      <c r="B58" s="151" t="s">
        <v>72</v>
      </c>
      <c r="C58" s="67" t="s">
        <v>68</v>
      </c>
      <c r="D58" s="67">
        <v>2</v>
      </c>
      <c r="E58" s="68">
        <v>19.989999999999998</v>
      </c>
      <c r="F58" s="69">
        <v>22.2</v>
      </c>
      <c r="G58" s="70">
        <v>24.9</v>
      </c>
      <c r="H58" s="69">
        <f t="shared" si="2"/>
        <v>39.979999999999997</v>
      </c>
    </row>
    <row r="59" spans="1:8">
      <c r="A59" s="206" t="s">
        <v>79</v>
      </c>
      <c r="B59" s="151" t="s">
        <v>74</v>
      </c>
      <c r="C59" s="67" t="s">
        <v>18</v>
      </c>
      <c r="D59" s="67">
        <v>40</v>
      </c>
      <c r="E59" s="68">
        <v>14.9</v>
      </c>
      <c r="F59" s="69">
        <v>15.2</v>
      </c>
      <c r="G59" s="68">
        <v>24.99</v>
      </c>
      <c r="H59" s="69">
        <f t="shared" si="2"/>
        <v>596</v>
      </c>
    </row>
    <row r="60" spans="1:8">
      <c r="A60" s="206" t="s">
        <v>116</v>
      </c>
      <c r="B60" s="208" t="s">
        <v>76</v>
      </c>
      <c r="C60" s="67" t="s">
        <v>68</v>
      </c>
      <c r="D60" s="67">
        <v>10</v>
      </c>
      <c r="E60" s="70">
        <v>7.2</v>
      </c>
      <c r="F60" s="74">
        <v>7.36</v>
      </c>
      <c r="G60" s="73">
        <v>17.8</v>
      </c>
      <c r="H60" s="69">
        <f t="shared" si="2"/>
        <v>72</v>
      </c>
    </row>
    <row r="61" spans="1:8" ht="28.8">
      <c r="A61" s="206" t="s">
        <v>118</v>
      </c>
      <c r="B61" s="208" t="s">
        <v>746</v>
      </c>
      <c r="C61" s="67" t="s">
        <v>15</v>
      </c>
      <c r="D61" s="67">
        <v>3</v>
      </c>
      <c r="E61" s="68">
        <v>600</v>
      </c>
      <c r="F61" s="69"/>
      <c r="G61" s="68"/>
      <c r="H61" s="69">
        <f t="shared" si="2"/>
        <v>1800</v>
      </c>
    </row>
    <row r="62" spans="1:8" ht="28.8">
      <c r="A62" s="206" t="s">
        <v>119</v>
      </c>
      <c r="B62" s="209" t="s">
        <v>747</v>
      </c>
      <c r="C62" s="67" t="s">
        <v>18</v>
      </c>
      <c r="D62" s="67">
        <v>6</v>
      </c>
      <c r="E62" s="68">
        <v>500</v>
      </c>
      <c r="F62" s="69"/>
      <c r="G62" s="68"/>
      <c r="H62" s="69">
        <f t="shared" si="2"/>
        <v>3000</v>
      </c>
    </row>
    <row r="63" spans="1:8" ht="28.8">
      <c r="A63" s="206" t="s">
        <v>120</v>
      </c>
      <c r="B63" s="209" t="s">
        <v>748</v>
      </c>
      <c r="C63" s="67" t="s">
        <v>18</v>
      </c>
      <c r="D63" s="67">
        <v>6</v>
      </c>
      <c r="E63" s="68">
        <v>980</v>
      </c>
      <c r="F63" s="69"/>
      <c r="G63" s="68"/>
      <c r="H63" s="69">
        <f t="shared" si="2"/>
        <v>5880</v>
      </c>
    </row>
    <row r="64" spans="1:8">
      <c r="A64" s="575" t="s">
        <v>418</v>
      </c>
      <c r="B64" s="577"/>
      <c r="C64" s="577"/>
      <c r="D64" s="577"/>
      <c r="E64" s="577"/>
      <c r="F64" s="577"/>
      <c r="G64" s="577"/>
      <c r="H64" s="303">
        <f>SUM(H17:H63)</f>
        <v>736815.62999999989</v>
      </c>
    </row>
    <row r="65" spans="1:8" ht="28.8">
      <c r="A65" s="224" t="s">
        <v>80</v>
      </c>
      <c r="B65" s="231" t="s">
        <v>394</v>
      </c>
      <c r="C65" s="226" t="s">
        <v>7</v>
      </c>
      <c r="D65" s="226" t="s">
        <v>8</v>
      </c>
      <c r="E65" s="227" t="s">
        <v>410</v>
      </c>
      <c r="F65" s="227" t="s">
        <v>408</v>
      </c>
      <c r="G65" s="227" t="s">
        <v>409</v>
      </c>
      <c r="H65" s="228" t="s">
        <v>9</v>
      </c>
    </row>
    <row r="66" spans="1:8" ht="28.8">
      <c r="A66" s="206" t="s">
        <v>81</v>
      </c>
      <c r="B66" s="151" t="s">
        <v>82</v>
      </c>
      <c r="C66" s="67" t="s">
        <v>13</v>
      </c>
      <c r="D66" s="67">
        <v>9</v>
      </c>
      <c r="E66" s="68">
        <f>(3643*97%)+3643</f>
        <v>7176.71</v>
      </c>
      <c r="F66" s="69">
        <f>(5000*97%)+5000</f>
        <v>9850</v>
      </c>
      <c r="G66" s="68">
        <f>(5801*97%)+5801</f>
        <v>11427.970000000001</v>
      </c>
      <c r="H66" s="69">
        <f>E66*D66*2</f>
        <v>129180.78</v>
      </c>
    </row>
    <row r="67" spans="1:8" ht="28.8">
      <c r="A67" s="206" t="s">
        <v>83</v>
      </c>
      <c r="B67" s="151" t="s">
        <v>479</v>
      </c>
      <c r="C67" s="67" t="s">
        <v>15</v>
      </c>
      <c r="D67" s="67">
        <v>8</v>
      </c>
      <c r="E67" s="229">
        <v>250</v>
      </c>
      <c r="F67" s="69">
        <v>450</v>
      </c>
      <c r="G67" s="68">
        <v>581</v>
      </c>
      <c r="H67" s="69">
        <f t="shared" ref="H67:H81" si="6">E67*D67</f>
        <v>2000</v>
      </c>
    </row>
    <row r="68" spans="1:8" ht="43.2">
      <c r="A68" s="206" t="s">
        <v>84</v>
      </c>
      <c r="B68" s="151" t="s">
        <v>480</v>
      </c>
      <c r="C68" s="67" t="s">
        <v>18</v>
      </c>
      <c r="D68" s="67">
        <v>2</v>
      </c>
      <c r="E68" s="68">
        <v>4149</v>
      </c>
      <c r="F68" s="69">
        <v>5299</v>
      </c>
      <c r="G68" s="70">
        <v>5919</v>
      </c>
      <c r="H68" s="69">
        <f t="shared" si="6"/>
        <v>8298</v>
      </c>
    </row>
    <row r="69" spans="1:8" ht="28.8">
      <c r="A69" s="206" t="s">
        <v>85</v>
      </c>
      <c r="B69" s="151" t="s">
        <v>481</v>
      </c>
      <c r="C69" s="67" t="s">
        <v>18</v>
      </c>
      <c r="D69" s="67">
        <v>2</v>
      </c>
      <c r="E69" s="73">
        <v>1386</v>
      </c>
      <c r="F69" s="69">
        <v>1549</v>
      </c>
      <c r="G69" s="68">
        <v>1649.9</v>
      </c>
      <c r="H69" s="69">
        <f t="shared" si="6"/>
        <v>2772</v>
      </c>
    </row>
    <row r="70" spans="1:8">
      <c r="A70" s="206" t="s">
        <v>86</v>
      </c>
      <c r="B70" s="151" t="s">
        <v>462</v>
      </c>
      <c r="C70" s="67" t="s">
        <v>13</v>
      </c>
      <c r="D70" s="67">
        <v>9</v>
      </c>
      <c r="E70" s="68">
        <v>124.99</v>
      </c>
      <c r="F70" s="69">
        <v>142</v>
      </c>
      <c r="G70" s="68">
        <v>159.9</v>
      </c>
      <c r="H70" s="69">
        <f t="shared" si="6"/>
        <v>1124.9099999999999</v>
      </c>
    </row>
    <row r="71" spans="1:8" ht="28.8">
      <c r="A71" s="206" t="s">
        <v>87</v>
      </c>
      <c r="B71" s="210" t="s">
        <v>482</v>
      </c>
      <c r="C71" s="67" t="s">
        <v>18</v>
      </c>
      <c r="D71" s="67">
        <v>8</v>
      </c>
      <c r="E71" s="68">
        <v>60</v>
      </c>
      <c r="F71" s="68">
        <v>65</v>
      </c>
      <c r="G71" s="69">
        <v>70</v>
      </c>
      <c r="H71" s="69">
        <f t="shared" si="6"/>
        <v>480</v>
      </c>
    </row>
    <row r="72" spans="1:8" ht="28.8">
      <c r="A72" s="206" t="s">
        <v>88</v>
      </c>
      <c r="B72" s="210" t="s">
        <v>483</v>
      </c>
      <c r="C72" s="67" t="s">
        <v>18</v>
      </c>
      <c r="D72" s="67">
        <v>8</v>
      </c>
      <c r="E72" s="68">
        <v>75</v>
      </c>
      <c r="F72" s="68">
        <v>90</v>
      </c>
      <c r="G72" s="69">
        <v>98</v>
      </c>
      <c r="H72" s="69">
        <f t="shared" si="6"/>
        <v>600</v>
      </c>
    </row>
    <row r="73" spans="1:8" ht="28.8">
      <c r="A73" s="206" t="s">
        <v>89</v>
      </c>
      <c r="B73" s="210" t="s">
        <v>484</v>
      </c>
      <c r="C73" s="67" t="s">
        <v>18</v>
      </c>
      <c r="D73" s="67">
        <f t="shared" ref="D73:D76" si="7">2*2</f>
        <v>4</v>
      </c>
      <c r="E73" s="68">
        <v>25</v>
      </c>
      <c r="F73" s="68">
        <v>40</v>
      </c>
      <c r="G73" s="69">
        <v>43</v>
      </c>
      <c r="H73" s="69">
        <f t="shared" si="6"/>
        <v>100</v>
      </c>
    </row>
    <row r="74" spans="1:8" ht="28.8">
      <c r="A74" s="206" t="s">
        <v>91</v>
      </c>
      <c r="B74" s="151" t="s">
        <v>471</v>
      </c>
      <c r="C74" s="67" t="s">
        <v>18</v>
      </c>
      <c r="D74" s="67">
        <f t="shared" si="7"/>
        <v>4</v>
      </c>
      <c r="E74" s="68">
        <v>122</v>
      </c>
      <c r="F74" s="232">
        <v>170.91</v>
      </c>
      <c r="G74" s="68">
        <v>185</v>
      </c>
      <c r="H74" s="69">
        <f t="shared" si="6"/>
        <v>488</v>
      </c>
    </row>
    <row r="75" spans="1:8">
      <c r="A75" s="206" t="s">
        <v>92</v>
      </c>
      <c r="B75" s="151" t="s">
        <v>472</v>
      </c>
      <c r="C75" s="67" t="s">
        <v>18</v>
      </c>
      <c r="D75" s="67">
        <f t="shared" si="7"/>
        <v>4</v>
      </c>
      <c r="E75" s="68">
        <v>21.8</v>
      </c>
      <c r="F75" s="74">
        <v>36</v>
      </c>
      <c r="G75" s="68">
        <v>46.9</v>
      </c>
      <c r="H75" s="69">
        <f t="shared" si="6"/>
        <v>87.2</v>
      </c>
    </row>
    <row r="76" spans="1:8">
      <c r="A76" s="206" t="s">
        <v>93</v>
      </c>
      <c r="B76" s="151" t="s">
        <v>485</v>
      </c>
      <c r="C76" s="67" t="s">
        <v>18</v>
      </c>
      <c r="D76" s="67">
        <f t="shared" si="7"/>
        <v>4</v>
      </c>
      <c r="E76" s="73">
        <v>13.93</v>
      </c>
      <c r="F76" s="74">
        <v>15.71</v>
      </c>
      <c r="G76" s="68">
        <v>22.5</v>
      </c>
      <c r="H76" s="69">
        <f t="shared" si="6"/>
        <v>55.72</v>
      </c>
    </row>
    <row r="77" spans="1:8" ht="28.8">
      <c r="A77" s="206" t="s">
        <v>94</v>
      </c>
      <c r="B77" s="151" t="s">
        <v>486</v>
      </c>
      <c r="C77" s="67" t="s">
        <v>18</v>
      </c>
      <c r="D77" s="67">
        <v>4</v>
      </c>
      <c r="E77" s="68">
        <v>12.4</v>
      </c>
      <c r="F77" s="69">
        <v>13.5</v>
      </c>
      <c r="G77" s="68">
        <v>20.260000000000002</v>
      </c>
      <c r="H77" s="69">
        <f t="shared" si="6"/>
        <v>49.6</v>
      </c>
    </row>
    <row r="78" spans="1:8">
      <c r="A78" s="206" t="s">
        <v>95</v>
      </c>
      <c r="B78" s="151" t="s">
        <v>491</v>
      </c>
      <c r="C78" s="67" t="s">
        <v>18</v>
      </c>
      <c r="D78" s="67">
        <f>2*2</f>
        <v>4</v>
      </c>
      <c r="E78" s="73">
        <v>160</v>
      </c>
      <c r="F78" s="232">
        <v>163</v>
      </c>
      <c r="G78" s="73">
        <v>193.63</v>
      </c>
      <c r="H78" s="232">
        <f t="shared" si="6"/>
        <v>640</v>
      </c>
    </row>
    <row r="79" spans="1:8" ht="28.8">
      <c r="A79" s="206" t="s">
        <v>97</v>
      </c>
      <c r="B79" s="151" t="s">
        <v>474</v>
      </c>
      <c r="C79" s="67" t="s">
        <v>18</v>
      </c>
      <c r="D79" s="67">
        <f t="shared" ref="D79:D81" si="8">1*2</f>
        <v>2</v>
      </c>
      <c r="E79" s="73">
        <v>35</v>
      </c>
      <c r="F79" s="69">
        <v>41.4</v>
      </c>
      <c r="G79" s="68">
        <v>168.26</v>
      </c>
      <c r="H79" s="69">
        <f t="shared" si="6"/>
        <v>70</v>
      </c>
    </row>
    <row r="80" spans="1:8">
      <c r="A80" s="206" t="s">
        <v>98</v>
      </c>
      <c r="B80" s="151" t="s">
        <v>475</v>
      </c>
      <c r="C80" s="67" t="s">
        <v>18</v>
      </c>
      <c r="D80" s="67">
        <f t="shared" si="8"/>
        <v>2</v>
      </c>
      <c r="E80" s="73">
        <v>41.4</v>
      </c>
      <c r="F80" s="69">
        <v>42.23</v>
      </c>
      <c r="G80" s="70">
        <v>50</v>
      </c>
      <c r="H80" s="69">
        <f t="shared" si="6"/>
        <v>82.8</v>
      </c>
    </row>
    <row r="81" spans="1:8">
      <c r="A81" s="206" t="s">
        <v>99</v>
      </c>
      <c r="B81" s="151" t="s">
        <v>477</v>
      </c>
      <c r="C81" s="67" t="s">
        <v>18</v>
      </c>
      <c r="D81" s="67">
        <f t="shared" si="8"/>
        <v>2</v>
      </c>
      <c r="E81" s="68">
        <v>32.979999999999997</v>
      </c>
      <c r="F81" s="69">
        <v>58.66</v>
      </c>
      <c r="G81" s="68">
        <v>60.82</v>
      </c>
      <c r="H81" s="69">
        <f t="shared" si="6"/>
        <v>65.959999999999994</v>
      </c>
    </row>
    <row r="82" spans="1:8">
      <c r="A82" s="571" t="s">
        <v>392</v>
      </c>
      <c r="B82" s="572"/>
      <c r="C82" s="572"/>
      <c r="D82" s="572"/>
      <c r="E82" s="572"/>
      <c r="F82" s="572"/>
      <c r="G82" s="578"/>
      <c r="H82" s="319">
        <f>SUM(H66:H81)</f>
        <v>146094.97</v>
      </c>
    </row>
    <row r="83" spans="1:8">
      <c r="A83" s="568" t="s">
        <v>393</v>
      </c>
      <c r="B83" s="569"/>
      <c r="C83" s="320"/>
      <c r="D83" s="316"/>
      <c r="E83" s="316"/>
      <c r="F83" s="316"/>
      <c r="G83" s="321"/>
      <c r="H83" s="304">
        <f>H82+H64</f>
        <v>882910.59999999986</v>
      </c>
    </row>
    <row r="84" spans="1:8" s="234" customFormat="1">
      <c r="A84" s="570" t="s">
        <v>100</v>
      </c>
      <c r="B84" s="565"/>
      <c r="C84" s="221"/>
      <c r="D84" s="221"/>
      <c r="E84" s="264"/>
      <c r="F84" s="264"/>
      <c r="G84" s="264"/>
      <c r="H84" s="264"/>
    </row>
    <row r="85" spans="1:8" s="234" customFormat="1">
      <c r="A85" s="224" t="s">
        <v>5</v>
      </c>
      <c r="B85" s="225" t="s">
        <v>101</v>
      </c>
      <c r="C85" s="226" t="s">
        <v>7</v>
      </c>
      <c r="D85" s="226" t="s">
        <v>8</v>
      </c>
      <c r="E85" s="227" t="s">
        <v>410</v>
      </c>
      <c r="F85" s="227" t="s">
        <v>408</v>
      </c>
      <c r="G85" s="227" t="s">
        <v>409</v>
      </c>
      <c r="H85" s="228" t="s">
        <v>9</v>
      </c>
    </row>
    <row r="86" spans="1:8" s="234" customFormat="1" ht="28.8" hidden="1">
      <c r="A86" s="235" t="s">
        <v>12</v>
      </c>
      <c r="B86" s="236" t="s">
        <v>754</v>
      </c>
      <c r="C86" s="237"/>
      <c r="D86" s="237"/>
      <c r="E86" s="238"/>
      <c r="F86" s="238"/>
      <c r="G86" s="238"/>
      <c r="H86" s="238"/>
    </row>
    <row r="87" spans="1:8" s="234" customFormat="1" ht="28.8" hidden="1">
      <c r="A87" s="235" t="s">
        <v>14</v>
      </c>
      <c r="B87" s="236" t="s">
        <v>731</v>
      </c>
      <c r="C87" s="237"/>
      <c r="D87" s="237"/>
      <c r="E87" s="238"/>
      <c r="F87" s="238"/>
      <c r="G87" s="238"/>
      <c r="H87" s="238"/>
    </row>
    <row r="88" spans="1:8" s="234" customFormat="1">
      <c r="A88" s="235" t="s">
        <v>16</v>
      </c>
      <c r="B88" s="236" t="s">
        <v>104</v>
      </c>
      <c r="C88" s="237"/>
      <c r="D88" s="237"/>
      <c r="E88" s="238"/>
      <c r="F88" s="238"/>
      <c r="G88" s="238"/>
      <c r="H88" s="238"/>
    </row>
    <row r="89" spans="1:8" s="234" customFormat="1" ht="28.8">
      <c r="A89" s="239" t="s">
        <v>105</v>
      </c>
      <c r="B89" s="151" t="s">
        <v>752</v>
      </c>
      <c r="C89" s="240" t="s">
        <v>18</v>
      </c>
      <c r="D89" s="240">
        <f>1200*35*1.2</f>
        <v>50400</v>
      </c>
      <c r="E89" s="241"/>
      <c r="F89" s="242">
        <v>10</v>
      </c>
      <c r="G89" s="241"/>
      <c r="H89" s="69">
        <f t="shared" ref="H89:H90" si="9">F89*D89</f>
        <v>504000</v>
      </c>
    </row>
    <row r="90" spans="1:8" s="234" customFormat="1">
      <c r="A90" s="206" t="s">
        <v>419</v>
      </c>
      <c r="B90" s="243" t="s">
        <v>407</v>
      </c>
      <c r="C90" s="244" t="s">
        <v>15</v>
      </c>
      <c r="D90" s="244">
        <v>6</v>
      </c>
      <c r="E90" s="245"/>
      <c r="F90" s="246">
        <v>6000</v>
      </c>
      <c r="G90" s="245"/>
      <c r="H90" s="247">
        <f t="shared" si="9"/>
        <v>36000</v>
      </c>
    </row>
    <row r="91" spans="1:8" s="234" customFormat="1">
      <c r="A91" s="575" t="s">
        <v>102</v>
      </c>
      <c r="B91" s="576"/>
      <c r="C91" s="576"/>
      <c r="D91" s="576"/>
      <c r="E91" s="576"/>
      <c r="F91" s="576"/>
      <c r="G91" s="576"/>
      <c r="H91" s="318">
        <f>H89+H90</f>
        <v>540000</v>
      </c>
    </row>
    <row r="92" spans="1:8" s="234" customFormat="1" ht="28.8" hidden="1">
      <c r="A92" s="235" t="s">
        <v>19</v>
      </c>
      <c r="B92" s="236" t="s">
        <v>753</v>
      </c>
      <c r="C92" s="237"/>
      <c r="D92" s="248"/>
      <c r="E92" s="238"/>
      <c r="F92" s="238"/>
      <c r="G92" s="238"/>
      <c r="H92" s="238"/>
    </row>
    <row r="93" spans="1:8" s="234" customFormat="1">
      <c r="A93" s="568" t="s">
        <v>386</v>
      </c>
      <c r="B93" s="569"/>
      <c r="C93" s="569"/>
      <c r="D93" s="569"/>
      <c r="E93" s="569"/>
      <c r="F93" s="569"/>
      <c r="G93" s="569"/>
      <c r="H93" s="304">
        <f>H91</f>
        <v>540000</v>
      </c>
    </row>
    <row r="94" spans="1:8" s="234" customFormat="1">
      <c r="A94" s="570" t="s">
        <v>112</v>
      </c>
      <c r="B94" s="565"/>
      <c r="C94" s="221"/>
      <c r="D94" s="221"/>
      <c r="E94" s="264"/>
      <c r="F94" s="264"/>
      <c r="G94" s="264"/>
      <c r="H94" s="264"/>
    </row>
    <row r="95" spans="1:8" s="234" customFormat="1">
      <c r="A95" s="224" t="s">
        <v>5</v>
      </c>
      <c r="B95" s="225" t="s">
        <v>113</v>
      </c>
      <c r="C95" s="226" t="s">
        <v>7</v>
      </c>
      <c r="D95" s="226" t="s">
        <v>8</v>
      </c>
      <c r="E95" s="227" t="s">
        <v>410</v>
      </c>
      <c r="F95" s="227" t="s">
        <v>408</v>
      </c>
      <c r="G95" s="227" t="s">
        <v>409</v>
      </c>
      <c r="H95" s="228" t="s">
        <v>9</v>
      </c>
    </row>
    <row r="96" spans="1:8" s="234" customFormat="1" ht="28.8">
      <c r="A96" s="206" t="s">
        <v>12</v>
      </c>
      <c r="B96" s="151" t="s">
        <v>114</v>
      </c>
      <c r="C96" s="67" t="s">
        <v>13</v>
      </c>
      <c r="D96" s="67">
        <v>10</v>
      </c>
      <c r="E96" s="251">
        <f>(2825.54*97%)+2825.54</f>
        <v>5566.3137999999999</v>
      </c>
      <c r="F96" s="249">
        <f>(2942.99*97%)+2942.99</f>
        <v>5797.6902999999993</v>
      </c>
      <c r="G96" s="250">
        <f>(3397*97%)+3397</f>
        <v>6692.09</v>
      </c>
      <c r="H96" s="69">
        <f>F96*D96</f>
        <v>57976.902999999991</v>
      </c>
    </row>
    <row r="97" spans="1:8" s="234" customFormat="1" ht="28.8">
      <c r="A97" s="206" t="s">
        <v>14</v>
      </c>
      <c r="B97" s="151" t="s">
        <v>115</v>
      </c>
      <c r="C97" s="67" t="s">
        <v>13</v>
      </c>
      <c r="D97" s="67">
        <v>10</v>
      </c>
      <c r="E97" s="68">
        <f>(1412*97%)+1412</f>
        <v>2781.64</v>
      </c>
      <c r="F97" s="69">
        <f>(1454*97%)+1454</f>
        <v>2864.38</v>
      </c>
      <c r="G97" s="68">
        <f>(1700*97%)+1700</f>
        <v>3349</v>
      </c>
      <c r="H97" s="69">
        <f>E97*D97*4</f>
        <v>111265.59999999999</v>
      </c>
    </row>
    <row r="98" spans="1:8" s="234" customFormat="1" ht="28.8">
      <c r="A98" s="206" t="s">
        <v>16</v>
      </c>
      <c r="B98" s="151" t="s">
        <v>521</v>
      </c>
      <c r="C98" s="67" t="s">
        <v>13</v>
      </c>
      <c r="D98" s="67">
        <v>1</v>
      </c>
      <c r="E98" s="68">
        <v>1386</v>
      </c>
      <c r="F98" s="69">
        <v>1549</v>
      </c>
      <c r="G98" s="68">
        <v>1649.9</v>
      </c>
      <c r="H98" s="69">
        <f t="shared" ref="H98:H162" si="10">E98*D98</f>
        <v>1386</v>
      </c>
    </row>
    <row r="99" spans="1:8" s="234" customFormat="1">
      <c r="A99" s="206" t="s">
        <v>19</v>
      </c>
      <c r="B99" s="151" t="s">
        <v>462</v>
      </c>
      <c r="C99" s="234" t="s">
        <v>13</v>
      </c>
      <c r="D99" s="67">
        <v>10</v>
      </c>
      <c r="E99" s="68">
        <v>124.99</v>
      </c>
      <c r="F99" s="69">
        <v>142</v>
      </c>
      <c r="G99" s="68">
        <v>159.9</v>
      </c>
      <c r="H99" s="69">
        <f t="shared" si="10"/>
        <v>1249.8999999999999</v>
      </c>
    </row>
    <row r="100" spans="1:8" s="234" customFormat="1" ht="28.8">
      <c r="A100" s="206" t="s">
        <v>20</v>
      </c>
      <c r="B100" s="151" t="s">
        <v>515</v>
      </c>
      <c r="C100" s="67" t="s">
        <v>15</v>
      </c>
      <c r="D100" s="67">
        <f t="shared" ref="D100:D101" si="11">20*5*10</f>
        <v>1000</v>
      </c>
      <c r="E100" s="68">
        <v>32</v>
      </c>
      <c r="F100" s="69">
        <v>32</v>
      </c>
      <c r="G100" s="68">
        <v>35</v>
      </c>
      <c r="H100" s="69">
        <f t="shared" si="10"/>
        <v>32000</v>
      </c>
    </row>
    <row r="101" spans="1:8">
      <c r="A101" s="206" t="s">
        <v>21</v>
      </c>
      <c r="B101" s="151" t="s">
        <v>516</v>
      </c>
      <c r="C101" s="67" t="s">
        <v>15</v>
      </c>
      <c r="D101" s="67">
        <f t="shared" si="11"/>
        <v>1000</v>
      </c>
      <c r="E101" s="68">
        <v>8</v>
      </c>
      <c r="F101" s="69">
        <v>8.6</v>
      </c>
      <c r="G101" s="68">
        <v>9</v>
      </c>
      <c r="H101" s="257">
        <f t="shared" si="10"/>
        <v>8000</v>
      </c>
    </row>
    <row r="102" spans="1:8" s="234" customFormat="1">
      <c r="A102" s="206" t="s">
        <v>22</v>
      </c>
      <c r="B102" s="151" t="s">
        <v>522</v>
      </c>
      <c r="C102" s="67" t="s">
        <v>13</v>
      </c>
      <c r="D102" s="67">
        <v>10</v>
      </c>
      <c r="E102" s="68">
        <v>7950</v>
      </c>
      <c r="F102" s="68">
        <v>8763.6</v>
      </c>
      <c r="G102" s="102">
        <v>9350</v>
      </c>
      <c r="H102" s="69">
        <f t="shared" si="10"/>
        <v>79500</v>
      </c>
    </row>
    <row r="103" spans="1:8" s="234" customFormat="1" ht="28.8">
      <c r="A103" s="206" t="s">
        <v>23</v>
      </c>
      <c r="B103" s="151" t="s">
        <v>523</v>
      </c>
      <c r="C103" s="67" t="s">
        <v>108</v>
      </c>
      <c r="D103" s="67">
        <f>88*4*10</f>
        <v>3520</v>
      </c>
      <c r="E103" s="68">
        <v>6.47</v>
      </c>
      <c r="F103" s="69">
        <v>6.48</v>
      </c>
      <c r="G103" s="68">
        <v>6.49</v>
      </c>
      <c r="H103" s="265">
        <f t="shared" si="10"/>
        <v>22774.399999999998</v>
      </c>
    </row>
    <row r="104" spans="1:8" s="234" customFormat="1">
      <c r="A104" s="206" t="s">
        <v>24</v>
      </c>
      <c r="B104" s="151" t="s">
        <v>762</v>
      </c>
      <c r="C104" s="67" t="s">
        <v>15</v>
      </c>
      <c r="D104" s="67">
        <v>1</v>
      </c>
      <c r="E104" s="68">
        <v>300</v>
      </c>
      <c r="F104" s="69">
        <v>600</v>
      </c>
      <c r="G104" s="68">
        <v>975</v>
      </c>
      <c r="H104" s="69">
        <f>E104*D104</f>
        <v>300</v>
      </c>
    </row>
    <row r="105" spans="1:8" s="234" customFormat="1">
      <c r="A105" s="206" t="s">
        <v>25</v>
      </c>
      <c r="B105" s="151" t="s">
        <v>763</v>
      </c>
      <c r="C105" s="67" t="s">
        <v>13</v>
      </c>
      <c r="D105" s="67">
        <v>10</v>
      </c>
      <c r="E105" s="68">
        <v>49.9</v>
      </c>
      <c r="F105" s="69">
        <v>60</v>
      </c>
      <c r="G105" s="68">
        <v>65</v>
      </c>
      <c r="H105" s="69">
        <f>E105*D105*2</f>
        <v>998</v>
      </c>
    </row>
    <row r="106" spans="1:8" s="234" customFormat="1">
      <c r="A106" s="206" t="s">
        <v>27</v>
      </c>
      <c r="B106" s="151" t="s">
        <v>673</v>
      </c>
      <c r="C106" s="67" t="s">
        <v>15</v>
      </c>
      <c r="D106" s="213">
        <v>1</v>
      </c>
      <c r="E106" s="68">
        <v>114</v>
      </c>
      <c r="F106" s="69">
        <v>180</v>
      </c>
      <c r="G106" s="68">
        <v>265</v>
      </c>
      <c r="H106" s="69">
        <f t="shared" ref="H106" si="12">E106*D106</f>
        <v>114</v>
      </c>
    </row>
    <row r="107" spans="1:8" s="234" customFormat="1">
      <c r="A107" s="206" t="s">
        <v>28</v>
      </c>
      <c r="B107" s="151" t="s">
        <v>500</v>
      </c>
      <c r="C107" s="67" t="s">
        <v>18</v>
      </c>
      <c r="D107" s="67">
        <v>1</v>
      </c>
      <c r="E107" s="68">
        <v>99.86</v>
      </c>
      <c r="F107" s="69">
        <v>109.49</v>
      </c>
      <c r="G107" s="73">
        <v>211.19</v>
      </c>
      <c r="H107" s="69">
        <f t="shared" si="10"/>
        <v>99.86</v>
      </c>
    </row>
    <row r="108" spans="1:8" s="234" customFormat="1" ht="28.8">
      <c r="A108" s="206" t="s">
        <v>29</v>
      </c>
      <c r="B108" s="252" t="s">
        <v>681</v>
      </c>
      <c r="C108" s="67" t="s">
        <v>18</v>
      </c>
      <c r="D108" s="67">
        <f t="shared" ref="D108:D109" si="13">5*5</f>
        <v>25</v>
      </c>
      <c r="E108" s="68">
        <v>60</v>
      </c>
      <c r="F108" s="68">
        <v>65</v>
      </c>
      <c r="G108" s="69">
        <v>70</v>
      </c>
      <c r="H108" s="69">
        <f t="shared" si="10"/>
        <v>1500</v>
      </c>
    </row>
    <row r="109" spans="1:8" s="234" customFormat="1" ht="28.8">
      <c r="A109" s="206" t="s">
        <v>30</v>
      </c>
      <c r="B109" s="253" t="s">
        <v>682</v>
      </c>
      <c r="C109" s="67" t="s">
        <v>18</v>
      </c>
      <c r="D109" s="67">
        <f t="shared" si="13"/>
        <v>25</v>
      </c>
      <c r="E109" s="68">
        <v>25</v>
      </c>
      <c r="F109" s="68">
        <v>40</v>
      </c>
      <c r="G109" s="69">
        <v>43</v>
      </c>
      <c r="H109" s="69">
        <f t="shared" si="10"/>
        <v>625</v>
      </c>
    </row>
    <row r="110" spans="1:8" s="234" customFormat="1" ht="28.8">
      <c r="A110" s="206" t="s">
        <v>32</v>
      </c>
      <c r="B110" s="151" t="s">
        <v>686</v>
      </c>
      <c r="C110" s="75" t="s">
        <v>18</v>
      </c>
      <c r="D110" s="67">
        <v>1</v>
      </c>
      <c r="E110" s="68">
        <v>122</v>
      </c>
      <c r="F110" s="74">
        <v>170.91</v>
      </c>
      <c r="G110" s="68">
        <v>296.93</v>
      </c>
      <c r="H110" s="69">
        <f t="shared" si="10"/>
        <v>122</v>
      </c>
    </row>
    <row r="111" spans="1:8" s="234" customFormat="1" ht="28.8">
      <c r="A111" s="206" t="s">
        <v>33</v>
      </c>
      <c r="B111" s="255" t="s">
        <v>683</v>
      </c>
      <c r="C111" s="67" t="s">
        <v>18</v>
      </c>
      <c r="D111" s="67">
        <v>4</v>
      </c>
      <c r="E111" s="68">
        <v>77.34</v>
      </c>
      <c r="F111" s="74">
        <v>103.8</v>
      </c>
      <c r="G111" s="70">
        <v>117.95</v>
      </c>
      <c r="H111" s="69">
        <f t="shared" si="10"/>
        <v>309.36</v>
      </c>
    </row>
    <row r="112" spans="1:8" s="234" customFormat="1" ht="28.8">
      <c r="A112" s="206" t="s">
        <v>34</v>
      </c>
      <c r="B112" s="254" t="s">
        <v>687</v>
      </c>
      <c r="C112" s="67" t="s">
        <v>18</v>
      </c>
      <c r="D112" s="67">
        <f>2*1</f>
        <v>2</v>
      </c>
      <c r="E112" s="68">
        <v>21.8</v>
      </c>
      <c r="F112" s="74">
        <v>36</v>
      </c>
      <c r="G112" s="68">
        <v>46.9</v>
      </c>
      <c r="H112" s="69">
        <f t="shared" si="10"/>
        <v>43.6</v>
      </c>
    </row>
    <row r="113" spans="1:8" s="234" customFormat="1" ht="28.8">
      <c r="A113" s="206" t="s">
        <v>37</v>
      </c>
      <c r="B113" s="254" t="s">
        <v>684</v>
      </c>
      <c r="C113" s="67" t="s">
        <v>18</v>
      </c>
      <c r="D113" s="67">
        <f>2*4</f>
        <v>8</v>
      </c>
      <c r="E113" s="73">
        <v>22.94</v>
      </c>
      <c r="F113" s="232">
        <v>23.46</v>
      </c>
      <c r="G113" s="73">
        <v>30</v>
      </c>
      <c r="H113" s="69">
        <f t="shared" si="10"/>
        <v>183.52</v>
      </c>
    </row>
    <row r="114" spans="1:8" s="234" customFormat="1" ht="28.8">
      <c r="A114" s="206" t="s">
        <v>39</v>
      </c>
      <c r="B114" s="254" t="s">
        <v>688</v>
      </c>
      <c r="C114" s="67" t="s">
        <v>18</v>
      </c>
      <c r="D114" s="67">
        <f>2*5</f>
        <v>10</v>
      </c>
      <c r="E114" s="73">
        <v>13.93</v>
      </c>
      <c r="F114" s="74">
        <v>15.71</v>
      </c>
      <c r="G114" s="68">
        <v>49.9</v>
      </c>
      <c r="H114" s="69">
        <v>22.5</v>
      </c>
    </row>
    <row r="115" spans="1:8" s="234" customFormat="1" ht="28.8">
      <c r="A115" s="206" t="s">
        <v>40</v>
      </c>
      <c r="B115" s="151" t="s">
        <v>529</v>
      </c>
      <c r="C115" s="67" t="s">
        <v>18</v>
      </c>
      <c r="D115" s="213">
        <f>3*5*10</f>
        <v>150</v>
      </c>
      <c r="E115" s="73">
        <v>12.4</v>
      </c>
      <c r="F115" s="232">
        <v>13.5</v>
      </c>
      <c r="G115" s="68">
        <v>20.260000000000002</v>
      </c>
      <c r="H115" s="69">
        <f t="shared" si="10"/>
        <v>1860</v>
      </c>
    </row>
    <row r="116" spans="1:8" s="234" customFormat="1">
      <c r="A116" s="206" t="s">
        <v>42</v>
      </c>
      <c r="B116" s="151" t="s">
        <v>502</v>
      </c>
      <c r="C116" s="67" t="s">
        <v>18</v>
      </c>
      <c r="D116" s="213">
        <f>2*5*10</f>
        <v>100</v>
      </c>
      <c r="E116" s="68">
        <v>2.7</v>
      </c>
      <c r="F116" s="68">
        <v>2.75</v>
      </c>
      <c r="G116" s="232">
        <v>2.94</v>
      </c>
      <c r="H116" s="69">
        <f t="shared" si="10"/>
        <v>270</v>
      </c>
    </row>
    <row r="117" spans="1:8" s="234" customFormat="1" ht="28.8">
      <c r="A117" s="206" t="s">
        <v>44</v>
      </c>
      <c r="B117" s="151" t="s">
        <v>531</v>
      </c>
      <c r="C117" s="67" t="s">
        <v>18</v>
      </c>
      <c r="D117" s="213">
        <f>4*1</f>
        <v>4</v>
      </c>
      <c r="E117" s="68">
        <v>38.700000000000003</v>
      </c>
      <c r="F117" s="69">
        <v>65.64</v>
      </c>
      <c r="G117" s="73">
        <v>176</v>
      </c>
      <c r="H117" s="69">
        <f t="shared" si="10"/>
        <v>154.80000000000001</v>
      </c>
    </row>
    <row r="118" spans="1:8" s="234" customFormat="1">
      <c r="A118" s="206" t="s">
        <v>46</v>
      </c>
      <c r="B118" s="255" t="s">
        <v>503</v>
      </c>
      <c r="C118" s="67" t="s">
        <v>18</v>
      </c>
      <c r="D118" s="67">
        <v>10</v>
      </c>
      <c r="E118" s="68">
        <v>160</v>
      </c>
      <c r="F118" s="232">
        <v>163</v>
      </c>
      <c r="G118" s="73">
        <v>193.63</v>
      </c>
      <c r="H118" s="69">
        <f t="shared" si="10"/>
        <v>1600</v>
      </c>
    </row>
    <row r="119" spans="1:8" s="234" customFormat="1" ht="28.8">
      <c r="A119" s="206" t="s">
        <v>48</v>
      </c>
      <c r="B119" s="161" t="s">
        <v>474</v>
      </c>
      <c r="C119" s="67" t="s">
        <v>18</v>
      </c>
      <c r="D119" s="67">
        <f t="shared" ref="D119:D120" si="14">1*5</f>
        <v>5</v>
      </c>
      <c r="E119" s="70">
        <v>35</v>
      </c>
      <c r="F119" s="74">
        <v>41.4</v>
      </c>
      <c r="G119" s="68">
        <v>168.26</v>
      </c>
      <c r="H119" s="69">
        <f t="shared" si="10"/>
        <v>175</v>
      </c>
    </row>
    <row r="120" spans="1:8" s="234" customFormat="1">
      <c r="A120" s="206" t="s">
        <v>49</v>
      </c>
      <c r="B120" s="255" t="s">
        <v>492</v>
      </c>
      <c r="C120" s="67" t="s">
        <v>18</v>
      </c>
      <c r="D120" s="67">
        <f t="shared" si="14"/>
        <v>5</v>
      </c>
      <c r="E120" s="73">
        <v>41.4</v>
      </c>
      <c r="F120" s="69">
        <v>42.23</v>
      </c>
      <c r="G120" s="70">
        <v>50</v>
      </c>
      <c r="H120" s="69">
        <f t="shared" si="10"/>
        <v>207</v>
      </c>
    </row>
    <row r="121" spans="1:8" s="234" customFormat="1" ht="28.8">
      <c r="A121" s="206" t="s">
        <v>51</v>
      </c>
      <c r="B121" s="151" t="s">
        <v>532</v>
      </c>
      <c r="C121" s="67" t="s">
        <v>18</v>
      </c>
      <c r="D121" s="67">
        <f>2*5</f>
        <v>10</v>
      </c>
      <c r="E121" s="68">
        <v>2.77</v>
      </c>
      <c r="F121" s="74">
        <v>3.75</v>
      </c>
      <c r="G121" s="73">
        <v>3.96</v>
      </c>
      <c r="H121" s="69">
        <f t="shared" si="10"/>
        <v>27.7</v>
      </c>
    </row>
    <row r="122" spans="1:8" s="234" customFormat="1" ht="28.8">
      <c r="A122" s="206" t="s">
        <v>53</v>
      </c>
      <c r="B122" s="151" t="s">
        <v>533</v>
      </c>
      <c r="C122" s="267" t="s">
        <v>18</v>
      </c>
      <c r="D122" s="213">
        <f>2*1</f>
        <v>2</v>
      </c>
      <c r="E122" s="73">
        <v>27.94</v>
      </c>
      <c r="F122" s="232">
        <v>35.5</v>
      </c>
      <c r="G122" s="73">
        <v>36.9</v>
      </c>
      <c r="H122" s="69">
        <f t="shared" si="10"/>
        <v>55.88</v>
      </c>
    </row>
    <row r="123" spans="1:8" s="234" customFormat="1" ht="28.8">
      <c r="A123" s="206" t="s">
        <v>55</v>
      </c>
      <c r="B123" s="208" t="s">
        <v>534</v>
      </c>
      <c r="C123" s="67" t="s">
        <v>18</v>
      </c>
      <c r="D123" s="75">
        <v>8</v>
      </c>
      <c r="E123" s="73">
        <v>28.55</v>
      </c>
      <c r="F123" s="232">
        <v>28.8</v>
      </c>
      <c r="G123" s="73">
        <v>103.4</v>
      </c>
      <c r="H123" s="69">
        <f t="shared" si="10"/>
        <v>228.4</v>
      </c>
    </row>
    <row r="124" spans="1:8" s="234" customFormat="1" ht="28.8">
      <c r="A124" s="206" t="s">
        <v>56</v>
      </c>
      <c r="B124" s="255" t="s">
        <v>535</v>
      </c>
      <c r="C124" s="67" t="s">
        <v>18</v>
      </c>
      <c r="D124" s="75">
        <v>4</v>
      </c>
      <c r="E124" s="232">
        <v>286</v>
      </c>
      <c r="F124" s="69">
        <v>484</v>
      </c>
      <c r="G124" s="68">
        <v>572</v>
      </c>
      <c r="H124" s="69">
        <f t="shared" si="10"/>
        <v>1144</v>
      </c>
    </row>
    <row r="125" spans="1:8" s="234" customFormat="1">
      <c r="A125" s="206" t="s">
        <v>57</v>
      </c>
      <c r="B125" s="208" t="s">
        <v>507</v>
      </c>
      <c r="C125" s="67" t="s">
        <v>18</v>
      </c>
      <c r="D125" s="75">
        <v>2</v>
      </c>
      <c r="E125" s="70">
        <v>133.01</v>
      </c>
      <c r="F125" s="69">
        <v>157.19999999999999</v>
      </c>
      <c r="G125" s="70">
        <v>175.33</v>
      </c>
      <c r="H125" s="69">
        <f t="shared" si="10"/>
        <v>266.02</v>
      </c>
    </row>
    <row r="126" spans="1:8" s="234" customFormat="1">
      <c r="A126" s="206" t="s">
        <v>58</v>
      </c>
      <c r="B126" s="255" t="s">
        <v>536</v>
      </c>
      <c r="C126" s="67" t="s">
        <v>103</v>
      </c>
      <c r="D126" s="266">
        <v>2</v>
      </c>
      <c r="E126" s="70">
        <v>73.900000000000006</v>
      </c>
      <c r="F126" s="69">
        <v>76.5</v>
      </c>
      <c r="G126" s="73">
        <v>78.849999999999994</v>
      </c>
      <c r="H126" s="69">
        <f t="shared" si="10"/>
        <v>147.80000000000001</v>
      </c>
    </row>
    <row r="127" spans="1:8" s="234" customFormat="1">
      <c r="A127" s="206" t="s">
        <v>59</v>
      </c>
      <c r="B127" s="208" t="s">
        <v>493</v>
      </c>
      <c r="C127" s="67" t="s">
        <v>18</v>
      </c>
      <c r="D127" s="75">
        <v>1</v>
      </c>
      <c r="E127" s="73">
        <v>26.5</v>
      </c>
      <c r="F127" s="69">
        <v>61.9</v>
      </c>
      <c r="G127" s="68">
        <v>83.6</v>
      </c>
      <c r="H127" s="69">
        <f t="shared" si="10"/>
        <v>26.5</v>
      </c>
    </row>
    <row r="128" spans="1:8" s="234" customFormat="1" ht="28.8">
      <c r="A128" s="206" t="s">
        <v>60</v>
      </c>
      <c r="B128" s="208" t="s">
        <v>494</v>
      </c>
      <c r="C128" s="67" t="s">
        <v>18</v>
      </c>
      <c r="D128" s="75">
        <v>2</v>
      </c>
      <c r="E128" s="70">
        <v>27.9</v>
      </c>
      <c r="F128" s="232">
        <v>30</v>
      </c>
      <c r="G128" s="70">
        <v>32.229999999999997</v>
      </c>
      <c r="H128" s="69">
        <f t="shared" si="10"/>
        <v>55.8</v>
      </c>
    </row>
    <row r="129" spans="1:8" s="234" customFormat="1">
      <c r="A129" s="206" t="s">
        <v>62</v>
      </c>
      <c r="B129" s="268" t="s">
        <v>495</v>
      </c>
      <c r="C129" s="67" t="s">
        <v>18</v>
      </c>
      <c r="D129" s="266">
        <v>2</v>
      </c>
      <c r="E129" s="68">
        <v>157.44</v>
      </c>
      <c r="F129" s="69">
        <v>184.26</v>
      </c>
      <c r="G129" s="68">
        <v>208.95</v>
      </c>
      <c r="H129" s="69">
        <f t="shared" si="10"/>
        <v>314.88</v>
      </c>
    </row>
    <row r="130" spans="1:8" s="234" customFormat="1">
      <c r="A130" s="206" t="s">
        <v>64</v>
      </c>
      <c r="B130" s="151" t="s">
        <v>496</v>
      </c>
      <c r="C130" s="269" t="s">
        <v>18</v>
      </c>
      <c r="D130" s="67">
        <v>4</v>
      </c>
      <c r="E130" s="68">
        <v>33.729999999999997</v>
      </c>
      <c r="F130" s="69">
        <v>43.66</v>
      </c>
      <c r="G130" s="68">
        <v>72</v>
      </c>
      <c r="H130" s="69">
        <f t="shared" si="10"/>
        <v>134.91999999999999</v>
      </c>
    </row>
    <row r="131" spans="1:8" s="234" customFormat="1" ht="28.8">
      <c r="A131" s="206" t="s">
        <v>66</v>
      </c>
      <c r="B131" s="151" t="s">
        <v>541</v>
      </c>
      <c r="C131" s="67" t="s">
        <v>18</v>
      </c>
      <c r="D131" s="67">
        <v>1</v>
      </c>
      <c r="E131" s="256">
        <v>3200.55</v>
      </c>
      <c r="F131" s="69">
        <v>3309</v>
      </c>
      <c r="G131" s="68">
        <v>3369</v>
      </c>
      <c r="H131" s="69">
        <f t="shared" si="10"/>
        <v>3200.55</v>
      </c>
    </row>
    <row r="132" spans="1:8" s="234" customFormat="1" ht="28.8">
      <c r="A132" s="206" t="s">
        <v>69</v>
      </c>
      <c r="B132" s="151" t="s">
        <v>509</v>
      </c>
      <c r="C132" s="67" t="s">
        <v>108</v>
      </c>
      <c r="D132" s="213">
        <f>40*8</f>
        <v>320</v>
      </c>
      <c r="E132" s="256">
        <v>6.8</v>
      </c>
      <c r="F132" s="69">
        <v>6.9</v>
      </c>
      <c r="G132" s="68">
        <v>6.35</v>
      </c>
      <c r="H132" s="69">
        <f t="shared" si="10"/>
        <v>2176</v>
      </c>
    </row>
    <row r="133" spans="1:8">
      <c r="A133" s="206" t="s">
        <v>71</v>
      </c>
      <c r="B133" s="151" t="s">
        <v>510</v>
      </c>
      <c r="C133" s="67" t="s">
        <v>108</v>
      </c>
      <c r="D133" s="213">
        <v>10</v>
      </c>
      <c r="E133" s="256">
        <v>43.98</v>
      </c>
      <c r="F133" s="69">
        <v>47.42</v>
      </c>
      <c r="G133" s="68">
        <v>47.9</v>
      </c>
      <c r="H133" s="69">
        <f t="shared" si="10"/>
        <v>439.79999999999995</v>
      </c>
    </row>
    <row r="134" spans="1:8" s="234" customFormat="1">
      <c r="A134" s="206" t="s">
        <v>73</v>
      </c>
      <c r="B134" s="151" t="s">
        <v>511</v>
      </c>
      <c r="C134" s="67" t="s">
        <v>109</v>
      </c>
      <c r="D134" s="213">
        <v>10</v>
      </c>
      <c r="E134" s="256">
        <v>26.24</v>
      </c>
      <c r="F134" s="69">
        <v>28.33</v>
      </c>
      <c r="G134" s="68">
        <v>31.98</v>
      </c>
      <c r="H134" s="69">
        <f t="shared" si="10"/>
        <v>262.39999999999998</v>
      </c>
    </row>
    <row r="135" spans="1:8" s="234" customFormat="1">
      <c r="A135" s="206" t="s">
        <v>75</v>
      </c>
      <c r="B135" s="151" t="s">
        <v>537</v>
      </c>
      <c r="C135" s="67" t="s">
        <v>18</v>
      </c>
      <c r="D135" s="67">
        <v>20</v>
      </c>
      <c r="E135" s="256">
        <v>94.2</v>
      </c>
      <c r="F135" s="69">
        <v>108.06</v>
      </c>
      <c r="G135" s="68">
        <v>114.93</v>
      </c>
      <c r="H135" s="69">
        <f t="shared" si="10"/>
        <v>1884</v>
      </c>
    </row>
    <row r="136" spans="1:8" s="234" customFormat="1">
      <c r="A136" s="206" t="s">
        <v>77</v>
      </c>
      <c r="B136" s="151" t="s">
        <v>512</v>
      </c>
      <c r="C136" s="67" t="s">
        <v>18</v>
      </c>
      <c r="D136" s="67">
        <v>4</v>
      </c>
      <c r="E136" s="68">
        <v>37.47</v>
      </c>
      <c r="F136" s="232">
        <v>43.66</v>
      </c>
      <c r="G136" s="73">
        <v>48</v>
      </c>
      <c r="H136" s="69">
        <f t="shared" si="10"/>
        <v>149.88</v>
      </c>
    </row>
    <row r="137" spans="1:8" s="234" customFormat="1">
      <c r="A137" s="206" t="s">
        <v>78</v>
      </c>
      <c r="B137" s="151" t="s">
        <v>538</v>
      </c>
      <c r="C137" s="67" t="s">
        <v>18</v>
      </c>
      <c r="D137" s="67">
        <v>24</v>
      </c>
      <c r="E137" s="68">
        <v>23.1</v>
      </c>
      <c r="F137" s="232">
        <v>25.52</v>
      </c>
      <c r="G137" s="73">
        <v>29.6</v>
      </c>
      <c r="H137" s="69">
        <f t="shared" si="10"/>
        <v>554.40000000000009</v>
      </c>
    </row>
    <row r="138" spans="1:8" s="234" customFormat="1">
      <c r="A138" s="206" t="s">
        <v>79</v>
      </c>
      <c r="B138" s="151" t="s">
        <v>540</v>
      </c>
      <c r="C138" s="67" t="s">
        <v>18</v>
      </c>
      <c r="D138" s="67">
        <v>8</v>
      </c>
      <c r="E138" s="256">
        <v>54.78</v>
      </c>
      <c r="F138" s="232">
        <v>74.83</v>
      </c>
      <c r="G138" s="73">
        <v>82.7</v>
      </c>
      <c r="H138" s="69">
        <f t="shared" si="10"/>
        <v>438.24</v>
      </c>
    </row>
    <row r="139" spans="1:8">
      <c r="A139" s="206" t="s">
        <v>116</v>
      </c>
      <c r="B139" s="151" t="s">
        <v>539</v>
      </c>
      <c r="C139" s="67" t="s">
        <v>18</v>
      </c>
      <c r="D139" s="67">
        <v>8</v>
      </c>
      <c r="E139" s="68">
        <v>27.82</v>
      </c>
      <c r="F139" s="69">
        <v>32.369999999999997</v>
      </c>
      <c r="G139" s="68">
        <v>33.74</v>
      </c>
      <c r="H139" s="69">
        <f t="shared" si="10"/>
        <v>222.56</v>
      </c>
    </row>
    <row r="140" spans="1:8">
      <c r="A140" s="206" t="s">
        <v>118</v>
      </c>
      <c r="B140" s="151" t="s">
        <v>117</v>
      </c>
      <c r="C140" s="67" t="s">
        <v>18</v>
      </c>
      <c r="D140" s="67">
        <v>1</v>
      </c>
      <c r="E140" s="68">
        <v>3647.05</v>
      </c>
      <c r="F140" s="69">
        <v>4061.93</v>
      </c>
      <c r="G140" s="68">
        <v>4274.5</v>
      </c>
      <c r="H140" s="69">
        <f t="shared" si="10"/>
        <v>3647.05</v>
      </c>
    </row>
    <row r="141" spans="1:8" s="234" customFormat="1">
      <c r="A141" s="206" t="s">
        <v>119</v>
      </c>
      <c r="B141" s="151" t="s">
        <v>542</v>
      </c>
      <c r="C141" s="67" t="s">
        <v>18</v>
      </c>
      <c r="D141" s="213">
        <v>2</v>
      </c>
      <c r="E141" s="68">
        <v>1123.6400000000001</v>
      </c>
      <c r="F141" s="69">
        <v>1285.6300000000001</v>
      </c>
      <c r="G141" s="68">
        <v>1502.31</v>
      </c>
      <c r="H141" s="69">
        <f t="shared" si="10"/>
        <v>2247.2800000000002</v>
      </c>
    </row>
    <row r="142" spans="1:8" s="234" customFormat="1" ht="28.8">
      <c r="A142" s="206" t="s">
        <v>120</v>
      </c>
      <c r="B142" s="151" t="s">
        <v>543</v>
      </c>
      <c r="C142" s="67" t="s">
        <v>18</v>
      </c>
      <c r="D142" s="213">
        <f>1*2*10</f>
        <v>20</v>
      </c>
      <c r="E142" s="256">
        <v>456.51</v>
      </c>
      <c r="F142" s="69">
        <v>465</v>
      </c>
      <c r="G142" s="68">
        <v>480.54</v>
      </c>
      <c r="H142" s="69">
        <f t="shared" si="10"/>
        <v>9130.2000000000007</v>
      </c>
    </row>
    <row r="143" spans="1:8" s="234" customFormat="1" ht="28.8">
      <c r="A143" s="206" t="s">
        <v>121</v>
      </c>
      <c r="B143" s="151" t="s">
        <v>544</v>
      </c>
      <c r="C143" s="67" t="s">
        <v>18</v>
      </c>
      <c r="D143" s="67">
        <v>1</v>
      </c>
      <c r="E143" s="68">
        <v>822.41</v>
      </c>
      <c r="F143" s="69">
        <v>835.91</v>
      </c>
      <c r="G143" s="68">
        <v>852.9</v>
      </c>
      <c r="H143" s="69">
        <f t="shared" si="10"/>
        <v>822.41</v>
      </c>
    </row>
    <row r="144" spans="1:8" s="234" customFormat="1">
      <c r="A144" s="206" t="s">
        <v>122</v>
      </c>
      <c r="B144" s="151" t="s">
        <v>513</v>
      </c>
      <c r="C144" s="67" t="s">
        <v>68</v>
      </c>
      <c r="D144" s="67">
        <v>10</v>
      </c>
      <c r="E144" s="73">
        <v>204</v>
      </c>
      <c r="F144" s="232">
        <v>255</v>
      </c>
      <c r="G144" s="73">
        <v>280</v>
      </c>
      <c r="H144" s="69">
        <f t="shared" si="10"/>
        <v>2040</v>
      </c>
    </row>
    <row r="145" spans="1:8" s="234" customFormat="1" ht="28.8">
      <c r="A145" s="206" t="s">
        <v>123</v>
      </c>
      <c r="B145" s="151" t="s">
        <v>545</v>
      </c>
      <c r="C145" s="67" t="s">
        <v>18</v>
      </c>
      <c r="D145" s="67">
        <f>2*4</f>
        <v>8</v>
      </c>
      <c r="E145" s="68">
        <v>49</v>
      </c>
      <c r="F145" s="69">
        <v>64</v>
      </c>
      <c r="G145" s="68">
        <v>80</v>
      </c>
      <c r="H145" s="69">
        <f t="shared" si="10"/>
        <v>392</v>
      </c>
    </row>
    <row r="146" spans="1:8" s="234" customFormat="1">
      <c r="A146" s="206" t="s">
        <v>124</v>
      </c>
      <c r="B146" s="161" t="s">
        <v>546</v>
      </c>
      <c r="C146" s="67" t="s">
        <v>18</v>
      </c>
      <c r="D146" s="67">
        <f>1*4</f>
        <v>4</v>
      </c>
      <c r="E146" s="70">
        <v>46.6</v>
      </c>
      <c r="F146" s="69">
        <v>62</v>
      </c>
      <c r="G146" s="68">
        <v>95.25</v>
      </c>
      <c r="H146" s="69">
        <f t="shared" si="10"/>
        <v>186.4</v>
      </c>
    </row>
    <row r="147" spans="1:8" s="234" customFormat="1" ht="28.8">
      <c r="A147" s="206" t="s">
        <v>125</v>
      </c>
      <c r="B147" s="161" t="s">
        <v>547</v>
      </c>
      <c r="C147" s="67" t="s">
        <v>18</v>
      </c>
      <c r="D147" s="67">
        <f t="shared" ref="D147:D150" si="15">2*4</f>
        <v>8</v>
      </c>
      <c r="E147" s="68">
        <v>103.2</v>
      </c>
      <c r="F147" s="74">
        <v>129</v>
      </c>
      <c r="G147" s="68">
        <v>167.81</v>
      </c>
      <c r="H147" s="69">
        <f t="shared" si="10"/>
        <v>825.6</v>
      </c>
    </row>
    <row r="148" spans="1:8" s="234" customFormat="1" ht="28.8">
      <c r="A148" s="206" t="s">
        <v>126</v>
      </c>
      <c r="B148" s="161" t="s">
        <v>548</v>
      </c>
      <c r="C148" s="67" t="s">
        <v>18</v>
      </c>
      <c r="D148" s="67">
        <f t="shared" si="15"/>
        <v>8</v>
      </c>
      <c r="E148" s="68">
        <v>37.6</v>
      </c>
      <c r="F148" s="69">
        <v>54</v>
      </c>
      <c r="G148" s="68">
        <v>59.6</v>
      </c>
      <c r="H148" s="69">
        <f t="shared" si="10"/>
        <v>300.8</v>
      </c>
    </row>
    <row r="149" spans="1:8" s="234" customFormat="1">
      <c r="A149" s="206" t="s">
        <v>127</v>
      </c>
      <c r="B149" s="161" t="s">
        <v>549</v>
      </c>
      <c r="C149" s="67" t="s">
        <v>18</v>
      </c>
      <c r="D149" s="67">
        <f t="shared" si="15"/>
        <v>8</v>
      </c>
      <c r="E149" s="68">
        <v>29.6</v>
      </c>
      <c r="F149" s="74">
        <v>53.7</v>
      </c>
      <c r="G149" s="68">
        <v>61.28</v>
      </c>
      <c r="H149" s="69">
        <f t="shared" si="10"/>
        <v>236.8</v>
      </c>
    </row>
    <row r="150" spans="1:8" s="234" customFormat="1">
      <c r="A150" s="206" t="s">
        <v>128</v>
      </c>
      <c r="B150" s="161" t="s">
        <v>550</v>
      </c>
      <c r="C150" s="67" t="s">
        <v>18</v>
      </c>
      <c r="D150" s="67">
        <f t="shared" si="15"/>
        <v>8</v>
      </c>
      <c r="E150" s="68">
        <v>36</v>
      </c>
      <c r="F150" s="69">
        <v>50.6</v>
      </c>
      <c r="G150" s="68">
        <v>54.6</v>
      </c>
      <c r="H150" s="69">
        <f t="shared" si="10"/>
        <v>288</v>
      </c>
    </row>
    <row r="151" spans="1:8" s="234" customFormat="1">
      <c r="A151" s="206" t="s">
        <v>129</v>
      </c>
      <c r="B151" s="161" t="s">
        <v>551</v>
      </c>
      <c r="C151" s="67" t="s">
        <v>18</v>
      </c>
      <c r="D151" s="67">
        <f>2*1</f>
        <v>2</v>
      </c>
      <c r="E151" s="68">
        <v>45.39</v>
      </c>
      <c r="F151" s="232">
        <v>49.8</v>
      </c>
      <c r="G151" s="73">
        <v>84.64</v>
      </c>
      <c r="H151" s="69">
        <f t="shared" si="10"/>
        <v>90.78</v>
      </c>
    </row>
    <row r="152" spans="1:8" s="234" customFormat="1" ht="28.8">
      <c r="A152" s="206" t="s">
        <v>130</v>
      </c>
      <c r="B152" s="161" t="s">
        <v>552</v>
      </c>
      <c r="C152" s="67" t="s">
        <v>18</v>
      </c>
      <c r="D152" s="67">
        <f>4*1</f>
        <v>4</v>
      </c>
      <c r="E152" s="68">
        <v>140.54</v>
      </c>
      <c r="F152" s="232">
        <v>186.8</v>
      </c>
      <c r="G152" s="73">
        <v>341.8</v>
      </c>
      <c r="H152" s="69">
        <f t="shared" si="10"/>
        <v>562.16</v>
      </c>
    </row>
    <row r="153" spans="1:8" s="234" customFormat="1">
      <c r="A153" s="206" t="s">
        <v>131</v>
      </c>
      <c r="B153" s="161" t="s">
        <v>553</v>
      </c>
      <c r="C153" s="67" t="s">
        <v>18</v>
      </c>
      <c r="D153" s="67">
        <f>2*1</f>
        <v>2</v>
      </c>
      <c r="E153" s="256">
        <v>5.38</v>
      </c>
      <c r="F153" s="232">
        <v>5.65</v>
      </c>
      <c r="G153" s="73">
        <v>12.6</v>
      </c>
      <c r="H153" s="69">
        <f t="shared" si="10"/>
        <v>10.76</v>
      </c>
    </row>
    <row r="154" spans="1:8" s="234" customFormat="1" ht="28.8">
      <c r="A154" s="206" t="s">
        <v>132</v>
      </c>
      <c r="B154" s="161" t="s">
        <v>562</v>
      </c>
      <c r="C154" s="75" t="s">
        <v>15</v>
      </c>
      <c r="D154" s="67">
        <v>2</v>
      </c>
      <c r="E154" s="68">
        <v>800</v>
      </c>
      <c r="F154" s="69"/>
      <c r="G154" s="68"/>
      <c r="H154" s="69">
        <f t="shared" si="10"/>
        <v>1600</v>
      </c>
    </row>
    <row r="155" spans="1:8" s="234" customFormat="1">
      <c r="A155" s="206" t="s">
        <v>133</v>
      </c>
      <c r="B155" s="161" t="s">
        <v>554</v>
      </c>
      <c r="C155" s="75" t="s">
        <v>18</v>
      </c>
      <c r="D155" s="67">
        <v>5</v>
      </c>
      <c r="E155" s="68">
        <v>120</v>
      </c>
      <c r="F155" s="69">
        <v>150</v>
      </c>
      <c r="G155" s="68">
        <v>156</v>
      </c>
      <c r="H155" s="69">
        <f t="shared" si="10"/>
        <v>600</v>
      </c>
    </row>
    <row r="156" spans="1:8" s="234" customFormat="1">
      <c r="A156" s="206" t="s">
        <v>134</v>
      </c>
      <c r="B156" s="271" t="s">
        <v>555</v>
      </c>
      <c r="C156" s="75" t="s">
        <v>18</v>
      </c>
      <c r="D156" s="67">
        <v>6</v>
      </c>
      <c r="E156" s="68">
        <v>118</v>
      </c>
      <c r="F156" s="69">
        <v>147.5</v>
      </c>
      <c r="G156" s="68">
        <v>171.1</v>
      </c>
      <c r="H156" s="69">
        <f t="shared" si="10"/>
        <v>708</v>
      </c>
    </row>
    <row r="157" spans="1:8" s="234" customFormat="1">
      <c r="A157" s="206" t="s">
        <v>135</v>
      </c>
      <c r="B157" s="272" t="s">
        <v>556</v>
      </c>
      <c r="C157" s="75" t="s">
        <v>18</v>
      </c>
      <c r="D157" s="67">
        <v>1</v>
      </c>
      <c r="E157" s="68">
        <v>300</v>
      </c>
      <c r="F157" s="69">
        <v>375</v>
      </c>
      <c r="G157" s="68">
        <v>435</v>
      </c>
      <c r="H157" s="69">
        <f t="shared" si="10"/>
        <v>300</v>
      </c>
    </row>
    <row r="158" spans="1:8" s="234" customFormat="1" ht="28.8">
      <c r="A158" s="206" t="s">
        <v>136</v>
      </c>
      <c r="B158" s="161" t="s">
        <v>557</v>
      </c>
      <c r="C158" s="75" t="s">
        <v>18</v>
      </c>
      <c r="D158" s="67">
        <v>2</v>
      </c>
      <c r="E158" s="68">
        <v>1000</v>
      </c>
      <c r="F158" s="69">
        <v>1250</v>
      </c>
      <c r="G158" s="68">
        <v>1300</v>
      </c>
      <c r="H158" s="69">
        <f t="shared" si="10"/>
        <v>2000</v>
      </c>
    </row>
    <row r="159" spans="1:8" s="234" customFormat="1" ht="28.8">
      <c r="A159" s="206" t="s">
        <v>137</v>
      </c>
      <c r="B159" s="151" t="s">
        <v>558</v>
      </c>
      <c r="C159" s="67" t="s">
        <v>18</v>
      </c>
      <c r="D159" s="67">
        <f>340*10</f>
        <v>3400</v>
      </c>
      <c r="E159" s="68">
        <v>28</v>
      </c>
      <c r="F159" s="69">
        <v>44</v>
      </c>
      <c r="G159" s="68">
        <v>44</v>
      </c>
      <c r="H159" s="69">
        <f t="shared" si="10"/>
        <v>95200</v>
      </c>
    </row>
    <row r="160" spans="1:8" s="234" customFormat="1">
      <c r="A160" s="206" t="s">
        <v>732</v>
      </c>
      <c r="B160" s="151" t="s">
        <v>559</v>
      </c>
      <c r="C160" s="67" t="s">
        <v>103</v>
      </c>
      <c r="D160" s="67">
        <f>18*10</f>
        <v>180</v>
      </c>
      <c r="E160" s="68">
        <v>400</v>
      </c>
      <c r="F160" s="69">
        <v>553.34</v>
      </c>
      <c r="G160" s="68">
        <v>553.34</v>
      </c>
      <c r="H160" s="69">
        <f t="shared" si="10"/>
        <v>72000</v>
      </c>
    </row>
    <row r="161" spans="1:8" s="234" customFormat="1" ht="28.8">
      <c r="A161" s="206" t="s">
        <v>733</v>
      </c>
      <c r="B161" s="151" t="s">
        <v>560</v>
      </c>
      <c r="C161" s="67" t="s">
        <v>138</v>
      </c>
      <c r="D161" s="67">
        <f>17*10</f>
        <v>170</v>
      </c>
      <c r="E161" s="68">
        <v>20</v>
      </c>
      <c r="F161" s="69">
        <v>42.9</v>
      </c>
      <c r="G161" s="68">
        <v>42.92</v>
      </c>
      <c r="H161" s="69">
        <f t="shared" si="10"/>
        <v>3400</v>
      </c>
    </row>
    <row r="162" spans="1:8" s="234" customFormat="1" ht="28.8">
      <c r="A162" s="206" t="s">
        <v>734</v>
      </c>
      <c r="B162" s="151" t="s">
        <v>561</v>
      </c>
      <c r="C162" s="67" t="s">
        <v>18</v>
      </c>
      <c r="D162" s="67">
        <v>20</v>
      </c>
      <c r="E162" s="68">
        <v>251.5</v>
      </c>
      <c r="F162" s="69">
        <v>251.5</v>
      </c>
      <c r="G162" s="68">
        <v>326.95</v>
      </c>
      <c r="H162" s="69">
        <f t="shared" si="10"/>
        <v>5030</v>
      </c>
    </row>
    <row r="163" spans="1:8" s="234" customFormat="1">
      <c r="A163" s="571" t="s">
        <v>139</v>
      </c>
      <c r="B163" s="572"/>
      <c r="C163" s="572"/>
      <c r="D163" s="572"/>
      <c r="E163" s="572"/>
      <c r="F163" s="572"/>
      <c r="G163" s="572"/>
      <c r="H163" s="314">
        <f>SUM(H96:H162)</f>
        <v>536085.41299999994</v>
      </c>
    </row>
    <row r="164" spans="1:8" s="234" customFormat="1">
      <c r="A164" s="224" t="s">
        <v>80</v>
      </c>
      <c r="B164" s="225" t="s">
        <v>395</v>
      </c>
      <c r="C164" s="226" t="s">
        <v>7</v>
      </c>
      <c r="D164" s="226" t="s">
        <v>8</v>
      </c>
      <c r="E164" s="227" t="s">
        <v>410</v>
      </c>
      <c r="F164" s="227" t="s">
        <v>408</v>
      </c>
      <c r="G164" s="227" t="s">
        <v>409</v>
      </c>
      <c r="H164" s="228" t="s">
        <v>9</v>
      </c>
    </row>
    <row r="165" spans="1:8" s="234" customFormat="1" ht="28.8">
      <c r="A165" s="206" t="s">
        <v>81</v>
      </c>
      <c r="B165" s="151" t="s">
        <v>396</v>
      </c>
      <c r="C165" s="67" t="s">
        <v>13</v>
      </c>
      <c r="D165" s="67">
        <v>16</v>
      </c>
      <c r="E165" s="68">
        <f>(3643*97%)+3643</f>
        <v>7176.71</v>
      </c>
      <c r="F165" s="69">
        <f>(5000*97%)+5000</f>
        <v>9850</v>
      </c>
      <c r="G165" s="68">
        <f>(5801*97%)+5801</f>
        <v>11427.970000000001</v>
      </c>
      <c r="H165" s="69">
        <f t="shared" ref="H165:H166" si="16">E165*D165</f>
        <v>114827.36</v>
      </c>
    </row>
    <row r="166" spans="1:8" s="313" customFormat="1" ht="28.8">
      <c r="A166" s="206" t="s">
        <v>83</v>
      </c>
      <c r="B166" s="151" t="s">
        <v>400</v>
      </c>
      <c r="C166" s="67" t="s">
        <v>13</v>
      </c>
      <c r="D166" s="67">
        <v>15</v>
      </c>
      <c r="E166" s="251">
        <f>(2825.54*97%)+2825.54</f>
        <v>5566.3137999999999</v>
      </c>
      <c r="F166" s="249">
        <f>(2942.99*97%)+2942.99</f>
        <v>5797.6902999999993</v>
      </c>
      <c r="G166" s="250">
        <f>(3397*97%)+3397</f>
        <v>6692.09</v>
      </c>
      <c r="H166" s="69">
        <f t="shared" si="16"/>
        <v>83494.706999999995</v>
      </c>
    </row>
    <row r="167" spans="1:8" ht="28.8">
      <c r="A167" s="206" t="s">
        <v>84</v>
      </c>
      <c r="B167" s="151" t="s">
        <v>397</v>
      </c>
      <c r="C167" s="67" t="s">
        <v>13</v>
      </c>
      <c r="D167" s="67">
        <v>15</v>
      </c>
      <c r="E167" s="68">
        <f>(1412*97%)+1412</f>
        <v>2781.64</v>
      </c>
      <c r="F167" s="69">
        <f>(1454*97%)+1454</f>
        <v>2864.38</v>
      </c>
      <c r="G167" s="68">
        <f>(1700*97%)+1700</f>
        <v>3349</v>
      </c>
      <c r="H167" s="69">
        <f>E167*D167*12</f>
        <v>500695.19999999995</v>
      </c>
    </row>
    <row r="168" spans="1:8" s="234" customFormat="1" ht="28.8">
      <c r="A168" s="206" t="s">
        <v>85</v>
      </c>
      <c r="B168" s="151" t="s">
        <v>563</v>
      </c>
      <c r="C168" s="67" t="s">
        <v>15</v>
      </c>
      <c r="D168" s="67">
        <f>20*16</f>
        <v>320</v>
      </c>
      <c r="E168" s="229">
        <v>250</v>
      </c>
      <c r="F168" s="69">
        <v>450</v>
      </c>
      <c r="G168" s="68">
        <v>581</v>
      </c>
      <c r="H168" s="69">
        <f t="shared" ref="H168:H182" si="17">E168*D168</f>
        <v>80000</v>
      </c>
    </row>
    <row r="169" spans="1:8" s="234" customFormat="1" ht="28.8">
      <c r="A169" s="309" t="s">
        <v>86</v>
      </c>
      <c r="B169" s="310" t="s">
        <v>515</v>
      </c>
      <c r="C169" s="309" t="s">
        <v>15</v>
      </c>
      <c r="D169" s="67">
        <f t="shared" ref="D169:D170" si="18">20*14*15</f>
        <v>4200</v>
      </c>
      <c r="E169" s="311">
        <v>32</v>
      </c>
      <c r="F169" s="312">
        <v>32</v>
      </c>
      <c r="G169" s="311">
        <v>35</v>
      </c>
      <c r="H169" s="312">
        <f t="shared" si="17"/>
        <v>134400</v>
      </c>
    </row>
    <row r="170" spans="1:8" s="234" customFormat="1">
      <c r="A170" s="206" t="s">
        <v>87</v>
      </c>
      <c r="B170" s="151" t="s">
        <v>574</v>
      </c>
      <c r="C170" s="67" t="s">
        <v>15</v>
      </c>
      <c r="D170" s="67">
        <f t="shared" si="18"/>
        <v>4200</v>
      </c>
      <c r="E170" s="68">
        <v>8</v>
      </c>
      <c r="F170" s="69">
        <v>8.6</v>
      </c>
      <c r="G170" s="68">
        <v>9</v>
      </c>
      <c r="H170" s="69">
        <f t="shared" si="17"/>
        <v>33600</v>
      </c>
    </row>
    <row r="171" spans="1:8" s="234" customFormat="1" ht="43.2">
      <c r="A171" s="206" t="s">
        <v>88</v>
      </c>
      <c r="B171" s="151" t="s">
        <v>564</v>
      </c>
      <c r="C171" s="67" t="s">
        <v>18</v>
      </c>
      <c r="D171" s="67">
        <v>1</v>
      </c>
      <c r="E171" s="68">
        <v>4149</v>
      </c>
      <c r="F171" s="69">
        <v>5299</v>
      </c>
      <c r="G171" s="70">
        <v>5919</v>
      </c>
      <c r="H171" s="69">
        <f t="shared" si="17"/>
        <v>4149</v>
      </c>
    </row>
    <row r="172" spans="1:8" s="234" customFormat="1">
      <c r="A172" s="206" t="s">
        <v>89</v>
      </c>
      <c r="B172" s="230" t="s">
        <v>565</v>
      </c>
      <c r="C172" s="67" t="s">
        <v>18</v>
      </c>
      <c r="D172" s="67">
        <v>1</v>
      </c>
      <c r="E172" s="68">
        <v>1849</v>
      </c>
      <c r="F172" s="69">
        <v>2199</v>
      </c>
      <c r="G172" s="68">
        <v>2919</v>
      </c>
      <c r="H172" s="69">
        <f t="shared" si="17"/>
        <v>1849</v>
      </c>
    </row>
    <row r="173" spans="1:8" s="234" customFormat="1" ht="43.2">
      <c r="A173" s="206" t="s">
        <v>91</v>
      </c>
      <c r="B173" s="151" t="s">
        <v>566</v>
      </c>
      <c r="C173" s="67" t="s">
        <v>18</v>
      </c>
      <c r="D173" s="67">
        <v>2</v>
      </c>
      <c r="E173" s="73">
        <v>1849.77</v>
      </c>
      <c r="F173" s="232">
        <v>2891</v>
      </c>
      <c r="G173" s="68">
        <v>3199</v>
      </c>
      <c r="H173" s="69">
        <f t="shared" si="17"/>
        <v>3699.54</v>
      </c>
    </row>
    <row r="174" spans="1:8" s="234" customFormat="1" ht="28.8">
      <c r="A174" s="206" t="s">
        <v>92</v>
      </c>
      <c r="B174" s="151" t="s">
        <v>567</v>
      </c>
      <c r="C174" s="67" t="s">
        <v>18</v>
      </c>
      <c r="D174" s="67">
        <v>2</v>
      </c>
      <c r="E174" s="70">
        <v>169.9</v>
      </c>
      <c r="F174" s="69">
        <v>189</v>
      </c>
      <c r="G174" s="68">
        <v>197.59</v>
      </c>
      <c r="H174" s="69">
        <f t="shared" si="17"/>
        <v>339.8</v>
      </c>
    </row>
    <row r="175" spans="1:8" s="234" customFormat="1" ht="28.8">
      <c r="A175" s="206" t="s">
        <v>93</v>
      </c>
      <c r="B175" s="151" t="s">
        <v>568</v>
      </c>
      <c r="C175" s="67" t="s">
        <v>18</v>
      </c>
      <c r="D175" s="67">
        <v>2</v>
      </c>
      <c r="E175" s="73">
        <v>1386</v>
      </c>
      <c r="F175" s="69">
        <v>1549</v>
      </c>
      <c r="G175" s="68">
        <v>1649.9</v>
      </c>
      <c r="H175" s="257">
        <f t="shared" si="17"/>
        <v>2772</v>
      </c>
    </row>
    <row r="176" spans="1:8" s="234" customFormat="1">
      <c r="A176" s="206" t="s">
        <v>94</v>
      </c>
      <c r="B176" s="151" t="s">
        <v>462</v>
      </c>
      <c r="C176" s="67" t="s">
        <v>13</v>
      </c>
      <c r="D176" s="67">
        <v>15</v>
      </c>
      <c r="E176" s="68">
        <v>124.99</v>
      </c>
      <c r="F176" s="69">
        <v>142</v>
      </c>
      <c r="G176" s="103">
        <v>159.99</v>
      </c>
      <c r="H176" s="69">
        <f t="shared" si="17"/>
        <v>1874.85</v>
      </c>
    </row>
    <row r="177" spans="1:8" s="234" customFormat="1" ht="28.8">
      <c r="A177" s="206" t="s">
        <v>95</v>
      </c>
      <c r="B177" s="151" t="s">
        <v>575</v>
      </c>
      <c r="C177" s="67" t="s">
        <v>18</v>
      </c>
      <c r="D177" s="67">
        <v>12</v>
      </c>
      <c r="E177" s="68">
        <v>125.75</v>
      </c>
      <c r="F177" s="69">
        <v>150.72999999999999</v>
      </c>
      <c r="G177" s="103">
        <v>179.39</v>
      </c>
      <c r="H177" s="69">
        <f t="shared" si="17"/>
        <v>1509</v>
      </c>
    </row>
    <row r="178" spans="1:8" s="234" customFormat="1">
      <c r="A178" s="206" t="s">
        <v>97</v>
      </c>
      <c r="B178" s="151" t="s">
        <v>576</v>
      </c>
      <c r="C178" s="67" t="s">
        <v>13</v>
      </c>
      <c r="D178" s="67">
        <v>15</v>
      </c>
      <c r="E178" s="68">
        <v>7950</v>
      </c>
      <c r="F178" s="68">
        <v>8763.6</v>
      </c>
      <c r="G178" s="102">
        <v>9350</v>
      </c>
      <c r="H178" s="69">
        <f t="shared" si="17"/>
        <v>119250</v>
      </c>
    </row>
    <row r="179" spans="1:8" s="234" customFormat="1" ht="28.8">
      <c r="A179" s="206" t="s">
        <v>98</v>
      </c>
      <c r="B179" s="151" t="s">
        <v>577</v>
      </c>
      <c r="C179" s="67" t="s">
        <v>13</v>
      </c>
      <c r="D179" s="67">
        <v>16</v>
      </c>
      <c r="E179" s="68">
        <v>2850</v>
      </c>
      <c r="F179" s="69">
        <v>3768</v>
      </c>
      <c r="G179" s="69">
        <v>5367.02</v>
      </c>
      <c r="H179" s="69">
        <f t="shared" si="17"/>
        <v>45600</v>
      </c>
    </row>
    <row r="180" spans="1:8" s="234" customFormat="1">
      <c r="A180" s="206" t="s">
        <v>99</v>
      </c>
      <c r="B180" s="151" t="s">
        <v>707</v>
      </c>
      <c r="C180" s="67" t="s">
        <v>15</v>
      </c>
      <c r="D180" s="67">
        <v>2</v>
      </c>
      <c r="E180" s="70">
        <v>300</v>
      </c>
      <c r="F180" s="74">
        <v>600</v>
      </c>
      <c r="G180" s="70">
        <v>975</v>
      </c>
      <c r="H180" s="69">
        <f t="shared" si="17"/>
        <v>600</v>
      </c>
    </row>
    <row r="181" spans="1:8" s="234" customFormat="1" ht="28.8">
      <c r="A181" s="206" t="s">
        <v>140</v>
      </c>
      <c r="B181" s="151" t="s">
        <v>579</v>
      </c>
      <c r="C181" s="67" t="s">
        <v>13</v>
      </c>
      <c r="D181" s="67">
        <v>2</v>
      </c>
      <c r="E181" s="68">
        <v>144.9</v>
      </c>
      <c r="F181" s="69">
        <v>0</v>
      </c>
      <c r="G181" s="68">
        <v>265</v>
      </c>
      <c r="H181" s="69">
        <f t="shared" si="17"/>
        <v>289.8</v>
      </c>
    </row>
    <row r="182" spans="1:8" s="234" customFormat="1" ht="28.8">
      <c r="A182" s="206" t="s">
        <v>141</v>
      </c>
      <c r="B182" s="151" t="s">
        <v>464</v>
      </c>
      <c r="C182" s="67" t="s">
        <v>13</v>
      </c>
      <c r="D182" s="67">
        <v>16</v>
      </c>
      <c r="E182" s="68">
        <v>49.9</v>
      </c>
      <c r="F182" s="74">
        <v>60</v>
      </c>
      <c r="G182" s="68">
        <v>65.900000000000006</v>
      </c>
      <c r="H182" s="69">
        <f t="shared" si="17"/>
        <v>798.4</v>
      </c>
    </row>
    <row r="183" spans="1:8" s="234" customFormat="1" ht="28.8">
      <c r="A183" s="206" t="s">
        <v>142</v>
      </c>
      <c r="B183" s="151" t="s">
        <v>464</v>
      </c>
      <c r="C183" s="67" t="s">
        <v>13</v>
      </c>
      <c r="D183" s="67">
        <v>15</v>
      </c>
      <c r="E183" s="68">
        <v>49.9</v>
      </c>
      <c r="F183" s="74">
        <v>60</v>
      </c>
      <c r="G183" s="103">
        <v>65.900000000000006</v>
      </c>
      <c r="H183" s="69">
        <f>E183*D183*2</f>
        <v>1497</v>
      </c>
    </row>
    <row r="184" spans="1:8" s="234" customFormat="1" ht="28.8">
      <c r="A184" s="206" t="s">
        <v>143</v>
      </c>
      <c r="B184" s="151" t="s">
        <v>580</v>
      </c>
      <c r="C184" s="67" t="s">
        <v>108</v>
      </c>
      <c r="D184" s="67">
        <f>55*4*16</f>
        <v>3520</v>
      </c>
      <c r="E184" s="256">
        <v>6.08</v>
      </c>
      <c r="F184" s="69">
        <v>6.09</v>
      </c>
      <c r="G184" s="68">
        <v>6.35</v>
      </c>
      <c r="H184" s="69">
        <f t="shared" ref="H184:H252" si="19">E184*D184</f>
        <v>21401.599999999999</v>
      </c>
    </row>
    <row r="185" spans="1:8" s="234" customFormat="1" ht="28.8">
      <c r="A185" s="206" t="s">
        <v>144</v>
      </c>
      <c r="B185" s="151" t="s">
        <v>581</v>
      </c>
      <c r="C185" s="67" t="s">
        <v>108</v>
      </c>
      <c r="D185" s="67">
        <f>(88*4*15)*2</f>
        <v>10560</v>
      </c>
      <c r="E185" s="68">
        <v>6.47</v>
      </c>
      <c r="F185" s="69">
        <v>6.48</v>
      </c>
      <c r="G185" s="68">
        <v>6.49</v>
      </c>
      <c r="H185" s="69">
        <f t="shared" si="19"/>
        <v>68323.199999999997</v>
      </c>
    </row>
    <row r="186" spans="1:8" s="234" customFormat="1">
      <c r="A186" s="206" t="s">
        <v>145</v>
      </c>
      <c r="B186" s="151" t="s">
        <v>468</v>
      </c>
      <c r="C186" s="67" t="s">
        <v>18</v>
      </c>
      <c r="D186" s="67">
        <v>4</v>
      </c>
      <c r="E186" s="68">
        <v>99.86</v>
      </c>
      <c r="F186" s="69">
        <v>109.49</v>
      </c>
      <c r="G186" s="73">
        <v>211.19</v>
      </c>
      <c r="H186" s="69">
        <f t="shared" si="19"/>
        <v>399.44</v>
      </c>
    </row>
    <row r="187" spans="1:8" s="234" customFormat="1" ht="28.8">
      <c r="A187" s="206" t="s">
        <v>146</v>
      </c>
      <c r="B187" s="151" t="s">
        <v>749</v>
      </c>
      <c r="C187" s="67" t="s">
        <v>13</v>
      </c>
      <c r="D187" s="67">
        <v>24</v>
      </c>
      <c r="E187" s="68">
        <v>14000</v>
      </c>
      <c r="F187" s="69"/>
      <c r="G187" s="103"/>
      <c r="H187" s="69">
        <f t="shared" si="19"/>
        <v>336000</v>
      </c>
    </row>
    <row r="188" spans="1:8" s="234" customFormat="1" ht="28.8">
      <c r="A188" s="206" t="s">
        <v>147</v>
      </c>
      <c r="B188" s="252" t="s">
        <v>469</v>
      </c>
      <c r="C188" s="67" t="s">
        <v>18</v>
      </c>
      <c r="D188" s="67">
        <f>6*15*2</f>
        <v>180</v>
      </c>
      <c r="E188" s="68">
        <v>60</v>
      </c>
      <c r="F188" s="68">
        <v>65</v>
      </c>
      <c r="G188" s="102">
        <v>70</v>
      </c>
      <c r="H188" s="69">
        <f t="shared" si="19"/>
        <v>10800</v>
      </c>
    </row>
    <row r="189" spans="1:8" s="234" customFormat="1" ht="28.8">
      <c r="A189" s="206" t="s">
        <v>148</v>
      </c>
      <c r="B189" s="252" t="s">
        <v>519</v>
      </c>
      <c r="C189" s="67" t="s">
        <v>18</v>
      </c>
      <c r="D189" s="67">
        <f>6*1</f>
        <v>6</v>
      </c>
      <c r="E189" s="68">
        <v>75</v>
      </c>
      <c r="F189" s="68">
        <v>90</v>
      </c>
      <c r="G189" s="69">
        <v>98</v>
      </c>
      <c r="H189" s="69">
        <f t="shared" si="19"/>
        <v>450</v>
      </c>
    </row>
    <row r="190" spans="1:8" s="234" customFormat="1" ht="28.8">
      <c r="A190" s="206" t="s">
        <v>149</v>
      </c>
      <c r="B190" s="253" t="s">
        <v>501</v>
      </c>
      <c r="C190" s="67" t="s">
        <v>18</v>
      </c>
      <c r="D190" s="67">
        <f>6*15*2</f>
        <v>180</v>
      </c>
      <c r="E190" s="68">
        <v>25</v>
      </c>
      <c r="F190" s="68">
        <v>40</v>
      </c>
      <c r="G190" s="69">
        <v>43</v>
      </c>
      <c r="H190" s="69">
        <f t="shared" si="19"/>
        <v>4500</v>
      </c>
    </row>
    <row r="191" spans="1:8" s="234" customFormat="1" ht="28.8">
      <c r="A191" s="206" t="s">
        <v>150</v>
      </c>
      <c r="B191" s="151" t="s">
        <v>520</v>
      </c>
      <c r="C191" s="75" t="s">
        <v>18</v>
      </c>
      <c r="D191" s="213">
        <v>4</v>
      </c>
      <c r="E191" s="68">
        <v>122</v>
      </c>
      <c r="F191" s="74">
        <v>170.91</v>
      </c>
      <c r="G191" s="68">
        <v>185</v>
      </c>
      <c r="H191" s="69">
        <f t="shared" si="19"/>
        <v>488</v>
      </c>
    </row>
    <row r="192" spans="1:8" s="234" customFormat="1" ht="28.8">
      <c r="A192" s="206" t="s">
        <v>151</v>
      </c>
      <c r="B192" s="255" t="s">
        <v>526</v>
      </c>
      <c r="C192" s="67" t="s">
        <v>18</v>
      </c>
      <c r="D192" s="213">
        <f>2*13</f>
        <v>26</v>
      </c>
      <c r="E192" s="68">
        <v>77.34</v>
      </c>
      <c r="F192" s="74">
        <v>103.8</v>
      </c>
      <c r="G192" s="70">
        <v>117.95</v>
      </c>
      <c r="H192" s="69">
        <f t="shared" si="19"/>
        <v>2010.8400000000001</v>
      </c>
    </row>
    <row r="193" spans="1:8" s="234" customFormat="1" ht="28.8">
      <c r="A193" s="206" t="s">
        <v>152</v>
      </c>
      <c r="B193" s="254" t="s">
        <v>583</v>
      </c>
      <c r="C193" s="67" t="s">
        <v>18</v>
      </c>
      <c r="D193" s="67">
        <f>4*2</f>
        <v>8</v>
      </c>
      <c r="E193" s="68">
        <v>21.8</v>
      </c>
      <c r="F193" s="74">
        <v>36</v>
      </c>
      <c r="G193" s="68">
        <v>46.9</v>
      </c>
      <c r="H193" s="69">
        <f t="shared" si="19"/>
        <v>174.4</v>
      </c>
    </row>
    <row r="194" spans="1:8" s="234" customFormat="1" ht="28.8">
      <c r="A194" s="206" t="s">
        <v>153</v>
      </c>
      <c r="B194" s="254" t="s">
        <v>584</v>
      </c>
      <c r="C194" s="67" t="s">
        <v>18</v>
      </c>
      <c r="D194" s="213">
        <f>4*12</f>
        <v>48</v>
      </c>
      <c r="E194" s="73">
        <v>22.94</v>
      </c>
      <c r="F194" s="232">
        <v>23.46</v>
      </c>
      <c r="G194" s="73">
        <v>30</v>
      </c>
      <c r="H194" s="69">
        <f t="shared" si="19"/>
        <v>1101.1200000000001</v>
      </c>
    </row>
    <row r="195" spans="1:8" s="234" customFormat="1" ht="28.8">
      <c r="A195" s="206" t="s">
        <v>154</v>
      </c>
      <c r="B195" s="254" t="s">
        <v>528</v>
      </c>
      <c r="C195" s="67" t="s">
        <v>18</v>
      </c>
      <c r="D195" s="213">
        <f>4*14</f>
        <v>56</v>
      </c>
      <c r="E195" s="73">
        <v>13.93</v>
      </c>
      <c r="F195" s="232">
        <v>15.71</v>
      </c>
      <c r="G195" s="73">
        <v>22.5</v>
      </c>
      <c r="H195" s="69">
        <f t="shared" si="19"/>
        <v>780.07999999999993</v>
      </c>
    </row>
    <row r="196" spans="1:8" s="234" customFormat="1" ht="28.8">
      <c r="A196" s="206" t="s">
        <v>155</v>
      </c>
      <c r="B196" s="151" t="s">
        <v>529</v>
      </c>
      <c r="C196" s="67" t="s">
        <v>18</v>
      </c>
      <c r="D196" s="213">
        <f t="shared" ref="D196:D197" si="20">3*15*15</f>
        <v>675</v>
      </c>
      <c r="E196" s="73">
        <v>12.4</v>
      </c>
      <c r="F196" s="232">
        <v>13.5</v>
      </c>
      <c r="G196" s="73">
        <v>20.260000000000002</v>
      </c>
      <c r="H196" s="69">
        <f t="shared" si="19"/>
        <v>8370</v>
      </c>
    </row>
    <row r="197" spans="1:8" s="234" customFormat="1">
      <c r="A197" s="206" t="s">
        <v>156</v>
      </c>
      <c r="B197" s="151" t="s">
        <v>530</v>
      </c>
      <c r="C197" s="67" t="s">
        <v>18</v>
      </c>
      <c r="D197" s="213">
        <f t="shared" si="20"/>
        <v>675</v>
      </c>
      <c r="E197" s="68">
        <v>2.7</v>
      </c>
      <c r="F197" s="232">
        <v>2.75</v>
      </c>
      <c r="G197" s="73">
        <v>2.94</v>
      </c>
      <c r="H197" s="69">
        <f t="shared" si="19"/>
        <v>1822.5000000000002</v>
      </c>
    </row>
    <row r="198" spans="1:8" s="234" customFormat="1" ht="28.8">
      <c r="A198" s="206" t="s">
        <v>157</v>
      </c>
      <c r="B198" s="151" t="s">
        <v>585</v>
      </c>
      <c r="C198" s="67" t="s">
        <v>18</v>
      </c>
      <c r="D198" s="213">
        <f>2*2*15</f>
        <v>60</v>
      </c>
      <c r="E198" s="73">
        <v>49.99</v>
      </c>
      <c r="F198" s="232">
        <v>59.99</v>
      </c>
      <c r="G198" s="73">
        <v>96.97</v>
      </c>
      <c r="H198" s="69">
        <f t="shared" si="19"/>
        <v>2999.4</v>
      </c>
    </row>
    <row r="199" spans="1:8" s="234" customFormat="1">
      <c r="A199" s="206" t="s">
        <v>158</v>
      </c>
      <c r="B199" s="255" t="s">
        <v>586</v>
      </c>
      <c r="C199" s="67" t="s">
        <v>18</v>
      </c>
      <c r="D199" s="213">
        <f>3*15</f>
        <v>45</v>
      </c>
      <c r="E199" s="73">
        <v>160</v>
      </c>
      <c r="F199" s="232">
        <v>163</v>
      </c>
      <c r="G199" s="73">
        <v>193.63</v>
      </c>
      <c r="H199" s="69">
        <f t="shared" si="19"/>
        <v>7200</v>
      </c>
    </row>
    <row r="200" spans="1:8" s="234" customFormat="1" ht="28.8">
      <c r="A200" s="206" t="s">
        <v>159</v>
      </c>
      <c r="B200" s="161" t="s">
        <v>474</v>
      </c>
      <c r="C200" s="67" t="s">
        <v>18</v>
      </c>
      <c r="D200" s="67">
        <f>15*2</f>
        <v>30</v>
      </c>
      <c r="E200" s="73">
        <v>35</v>
      </c>
      <c r="F200" s="232">
        <v>41.4</v>
      </c>
      <c r="G200" s="73">
        <v>168.26</v>
      </c>
      <c r="H200" s="69">
        <f t="shared" si="19"/>
        <v>1050</v>
      </c>
    </row>
    <row r="201" spans="1:8" s="234" customFormat="1">
      <c r="A201" s="206" t="s">
        <v>160</v>
      </c>
      <c r="B201" s="255" t="s">
        <v>475</v>
      </c>
      <c r="C201" s="67" t="s">
        <v>18</v>
      </c>
      <c r="D201" s="67">
        <f>15*1</f>
        <v>15</v>
      </c>
      <c r="E201" s="73">
        <v>41.4</v>
      </c>
      <c r="F201" s="232">
        <v>42.23</v>
      </c>
      <c r="G201" s="73">
        <v>50</v>
      </c>
      <c r="H201" s="69">
        <f t="shared" si="19"/>
        <v>621</v>
      </c>
    </row>
    <row r="202" spans="1:8" s="234" customFormat="1">
      <c r="A202" s="206" t="s">
        <v>161</v>
      </c>
      <c r="B202" s="151" t="s">
        <v>504</v>
      </c>
      <c r="C202" s="67" t="s">
        <v>18</v>
      </c>
      <c r="D202" s="213">
        <f t="shared" ref="D202:D203" si="21">3*2</f>
        <v>6</v>
      </c>
      <c r="E202" s="73">
        <v>27.64</v>
      </c>
      <c r="F202" s="232">
        <v>35.5</v>
      </c>
      <c r="G202" s="73">
        <v>36.9</v>
      </c>
      <c r="H202" s="69">
        <f t="shared" si="19"/>
        <v>165.84</v>
      </c>
    </row>
    <row r="203" spans="1:8" s="234" customFormat="1" ht="28.8">
      <c r="A203" s="206" t="s">
        <v>162</v>
      </c>
      <c r="B203" s="208" t="s">
        <v>534</v>
      </c>
      <c r="C203" s="67" t="s">
        <v>18</v>
      </c>
      <c r="D203" s="213">
        <f t="shared" si="21"/>
        <v>6</v>
      </c>
      <c r="E203" s="73">
        <v>28.55</v>
      </c>
      <c r="F203" s="232">
        <v>28.8</v>
      </c>
      <c r="G203" s="73">
        <v>103.4</v>
      </c>
      <c r="H203" s="69">
        <f t="shared" si="19"/>
        <v>171.3</v>
      </c>
    </row>
    <row r="204" spans="1:8" s="234" customFormat="1">
      <c r="A204" s="206" t="s">
        <v>163</v>
      </c>
      <c r="B204" s="208" t="s">
        <v>587</v>
      </c>
      <c r="C204" s="67" t="s">
        <v>18</v>
      </c>
      <c r="D204" s="67">
        <f>2*15*15</f>
        <v>450</v>
      </c>
      <c r="E204" s="73">
        <v>1.29</v>
      </c>
      <c r="F204" s="232">
        <v>1.48</v>
      </c>
      <c r="G204" s="73">
        <v>1.75</v>
      </c>
      <c r="H204" s="69">
        <f t="shared" si="19"/>
        <v>580.5</v>
      </c>
    </row>
    <row r="205" spans="1:8" s="234" customFormat="1" ht="28.8">
      <c r="A205" s="206" t="s">
        <v>164</v>
      </c>
      <c r="B205" s="255" t="s">
        <v>535</v>
      </c>
      <c r="C205" s="67" t="s">
        <v>18</v>
      </c>
      <c r="D205" s="213">
        <f t="shared" ref="D205:D206" si="22">4*3</f>
        <v>12</v>
      </c>
      <c r="E205" s="232">
        <v>286</v>
      </c>
      <c r="F205" s="232">
        <v>484</v>
      </c>
      <c r="G205" s="73">
        <v>572</v>
      </c>
      <c r="H205" s="69">
        <f t="shared" si="19"/>
        <v>3432</v>
      </c>
    </row>
    <row r="206" spans="1:8" s="234" customFormat="1">
      <c r="A206" s="206" t="s">
        <v>165</v>
      </c>
      <c r="B206" s="161" t="s">
        <v>506</v>
      </c>
      <c r="C206" s="267" t="s">
        <v>18</v>
      </c>
      <c r="D206" s="67">
        <f t="shared" si="22"/>
        <v>12</v>
      </c>
      <c r="E206" s="73">
        <v>38.700000000000003</v>
      </c>
      <c r="F206" s="232">
        <v>65.64</v>
      </c>
      <c r="G206" s="73">
        <v>156.94999999999999</v>
      </c>
      <c r="H206" s="69">
        <f t="shared" si="19"/>
        <v>464.40000000000003</v>
      </c>
    </row>
    <row r="207" spans="1:8" s="234" customFormat="1">
      <c r="A207" s="206" t="s">
        <v>166</v>
      </c>
      <c r="B207" s="208" t="s">
        <v>507</v>
      </c>
      <c r="C207" s="67" t="s">
        <v>18</v>
      </c>
      <c r="D207" s="266">
        <f t="shared" ref="D207:D208" si="23">2*3</f>
        <v>6</v>
      </c>
      <c r="E207" s="73">
        <v>133.01</v>
      </c>
      <c r="F207" s="232">
        <v>157.19999999999999</v>
      </c>
      <c r="G207" s="73">
        <v>175.33</v>
      </c>
      <c r="H207" s="69">
        <f t="shared" si="19"/>
        <v>798.06</v>
      </c>
    </row>
    <row r="208" spans="1:8" s="234" customFormat="1" ht="28.8">
      <c r="A208" s="206" t="s">
        <v>167</v>
      </c>
      <c r="B208" s="208" t="s">
        <v>508</v>
      </c>
      <c r="C208" s="67" t="s">
        <v>18</v>
      </c>
      <c r="D208" s="266">
        <f t="shared" si="23"/>
        <v>6</v>
      </c>
      <c r="E208" s="68">
        <v>2.77</v>
      </c>
      <c r="F208" s="74">
        <v>3.75</v>
      </c>
      <c r="G208" s="73">
        <v>3.96</v>
      </c>
      <c r="H208" s="69">
        <f t="shared" si="19"/>
        <v>16.62</v>
      </c>
    </row>
    <row r="209" spans="1:8" s="234" customFormat="1">
      <c r="A209" s="206" t="s">
        <v>168</v>
      </c>
      <c r="B209" s="255" t="s">
        <v>536</v>
      </c>
      <c r="C209" s="67" t="s">
        <v>103</v>
      </c>
      <c r="D209" s="266">
        <f t="shared" ref="D209:D210" si="24">2*2</f>
        <v>4</v>
      </c>
      <c r="E209" s="73">
        <v>73.900000000000006</v>
      </c>
      <c r="F209" s="232">
        <v>76.5</v>
      </c>
      <c r="G209" s="73">
        <v>78.849999999999994</v>
      </c>
      <c r="H209" s="69">
        <f t="shared" si="19"/>
        <v>295.60000000000002</v>
      </c>
    </row>
    <row r="210" spans="1:8" s="234" customFormat="1">
      <c r="A210" s="206" t="s">
        <v>169</v>
      </c>
      <c r="B210" s="208" t="s">
        <v>493</v>
      </c>
      <c r="C210" s="67" t="s">
        <v>18</v>
      </c>
      <c r="D210" s="266">
        <f t="shared" si="24"/>
        <v>4</v>
      </c>
      <c r="E210" s="73">
        <v>26.5</v>
      </c>
      <c r="F210" s="232">
        <v>61.9</v>
      </c>
      <c r="G210" s="73">
        <v>83.6</v>
      </c>
      <c r="H210" s="69">
        <f t="shared" si="19"/>
        <v>106</v>
      </c>
    </row>
    <row r="211" spans="1:8" s="234" customFormat="1" ht="28.8">
      <c r="A211" s="206" t="s">
        <v>170</v>
      </c>
      <c r="B211" s="208" t="s">
        <v>494</v>
      </c>
      <c r="C211" s="67" t="s">
        <v>18</v>
      </c>
      <c r="D211" s="266">
        <f>2*2*2</f>
        <v>8</v>
      </c>
      <c r="E211" s="70">
        <v>27.9</v>
      </c>
      <c r="F211" s="232">
        <v>30</v>
      </c>
      <c r="G211" s="70">
        <v>32.229999999999997</v>
      </c>
      <c r="H211" s="69">
        <f t="shared" si="19"/>
        <v>223.2</v>
      </c>
    </row>
    <row r="212" spans="1:8" s="234" customFormat="1">
      <c r="A212" s="206" t="s">
        <v>172</v>
      </c>
      <c r="B212" s="268" t="s">
        <v>495</v>
      </c>
      <c r="C212" s="274" t="s">
        <v>18</v>
      </c>
      <c r="D212" s="67">
        <f>2*2</f>
        <v>4</v>
      </c>
      <c r="E212" s="68">
        <v>157.44</v>
      </c>
      <c r="F212" s="69">
        <v>184.26</v>
      </c>
      <c r="G212" s="68">
        <v>208.95</v>
      </c>
      <c r="H212" s="69">
        <f t="shared" si="19"/>
        <v>629.76</v>
      </c>
    </row>
    <row r="213" spans="1:8" s="234" customFormat="1">
      <c r="A213" s="206" t="s">
        <v>171</v>
      </c>
      <c r="B213" s="151" t="s">
        <v>496</v>
      </c>
      <c r="C213" s="67" t="s">
        <v>18</v>
      </c>
      <c r="D213" s="67">
        <f>4*2</f>
        <v>8</v>
      </c>
      <c r="E213" s="68">
        <v>33.729999999999997</v>
      </c>
      <c r="F213" s="69">
        <v>43.66</v>
      </c>
      <c r="G213" s="68">
        <v>72</v>
      </c>
      <c r="H213" s="69">
        <f t="shared" si="19"/>
        <v>269.83999999999997</v>
      </c>
    </row>
    <row r="214" spans="1:8" s="234" customFormat="1">
      <c r="A214" s="206" t="s">
        <v>173</v>
      </c>
      <c r="B214" s="151" t="s">
        <v>107</v>
      </c>
      <c r="C214" s="67" t="s">
        <v>18</v>
      </c>
      <c r="D214" s="67">
        <v>3</v>
      </c>
      <c r="E214" s="256">
        <v>3200.55</v>
      </c>
      <c r="F214" s="69">
        <v>3309</v>
      </c>
      <c r="G214" s="103">
        <v>3369</v>
      </c>
      <c r="H214" s="69">
        <f t="shared" si="19"/>
        <v>9601.6500000000015</v>
      </c>
    </row>
    <row r="215" spans="1:8" s="234" customFormat="1" ht="28.8">
      <c r="A215" s="206" t="s">
        <v>174</v>
      </c>
      <c r="B215" s="151" t="s">
        <v>509</v>
      </c>
      <c r="C215" s="67" t="s">
        <v>108</v>
      </c>
      <c r="D215" s="67">
        <f>40*3*12</f>
        <v>1440</v>
      </c>
      <c r="E215" s="256">
        <v>6.08</v>
      </c>
      <c r="F215" s="69">
        <v>6.09</v>
      </c>
      <c r="G215" s="68">
        <v>6.35</v>
      </c>
      <c r="H215" s="69">
        <f t="shared" si="19"/>
        <v>8755.2000000000007</v>
      </c>
    </row>
    <row r="216" spans="1:8" s="234" customFormat="1">
      <c r="A216" s="206" t="s">
        <v>175</v>
      </c>
      <c r="B216" s="151" t="s">
        <v>510</v>
      </c>
      <c r="C216" s="67" t="s">
        <v>108</v>
      </c>
      <c r="D216" s="213">
        <f>10*3</f>
        <v>30</v>
      </c>
      <c r="E216" s="256">
        <v>43.98</v>
      </c>
      <c r="F216" s="69">
        <v>47.42</v>
      </c>
      <c r="G216" s="68">
        <v>47.9</v>
      </c>
      <c r="H216" s="69">
        <f t="shared" si="19"/>
        <v>1319.3999999999999</v>
      </c>
    </row>
    <row r="217" spans="1:8" s="234" customFormat="1">
      <c r="A217" s="206" t="s">
        <v>176</v>
      </c>
      <c r="B217" s="151" t="s">
        <v>511</v>
      </c>
      <c r="C217" s="67" t="s">
        <v>109</v>
      </c>
      <c r="D217" s="67">
        <v>30</v>
      </c>
      <c r="E217" s="275">
        <v>26.24</v>
      </c>
      <c r="F217" s="232">
        <v>28.33</v>
      </c>
      <c r="G217" s="73">
        <v>31.98</v>
      </c>
      <c r="H217" s="69">
        <f t="shared" si="19"/>
        <v>787.19999999999993</v>
      </c>
    </row>
    <row r="218" spans="1:8" s="234" customFormat="1">
      <c r="A218" s="206" t="s">
        <v>177</v>
      </c>
      <c r="B218" s="151" t="s">
        <v>537</v>
      </c>
      <c r="C218" s="67" t="s">
        <v>18</v>
      </c>
      <c r="D218" s="213">
        <f>3*15</f>
        <v>45</v>
      </c>
      <c r="E218" s="275">
        <v>94.2</v>
      </c>
      <c r="F218" s="232">
        <v>108.06</v>
      </c>
      <c r="G218" s="73">
        <v>114.93</v>
      </c>
      <c r="H218" s="69">
        <f t="shared" si="19"/>
        <v>4239</v>
      </c>
    </row>
    <row r="219" spans="1:8" s="234" customFormat="1">
      <c r="A219" s="206" t="s">
        <v>178</v>
      </c>
      <c r="B219" s="151" t="s">
        <v>512</v>
      </c>
      <c r="C219" s="67" t="s">
        <v>18</v>
      </c>
      <c r="D219" s="213">
        <f>4*3</f>
        <v>12</v>
      </c>
      <c r="E219" s="232">
        <v>37.47</v>
      </c>
      <c r="F219" s="73">
        <v>43.66</v>
      </c>
      <c r="G219" s="73">
        <v>48</v>
      </c>
      <c r="H219" s="69">
        <f t="shared" si="19"/>
        <v>449.64</v>
      </c>
    </row>
    <row r="220" spans="1:8" s="234" customFormat="1" ht="28.8">
      <c r="A220" s="206" t="s">
        <v>179</v>
      </c>
      <c r="B220" s="151" t="s">
        <v>588</v>
      </c>
      <c r="C220" s="67" t="s">
        <v>18</v>
      </c>
      <c r="D220" s="213">
        <f>3*3*15</f>
        <v>135</v>
      </c>
      <c r="E220" s="275">
        <v>23.1</v>
      </c>
      <c r="F220" s="232">
        <v>25.52</v>
      </c>
      <c r="G220" s="104">
        <v>29.6</v>
      </c>
      <c r="H220" s="69">
        <f t="shared" si="19"/>
        <v>3118.5</v>
      </c>
    </row>
    <row r="221" spans="1:8" s="234" customFormat="1">
      <c r="A221" s="206" t="s">
        <v>180</v>
      </c>
      <c r="B221" s="151" t="s">
        <v>589</v>
      </c>
      <c r="C221" s="67" t="s">
        <v>18</v>
      </c>
      <c r="D221" s="213">
        <f t="shared" ref="D221:D222" si="25">1*3*15</f>
        <v>45</v>
      </c>
      <c r="E221" s="275">
        <v>54.78</v>
      </c>
      <c r="F221" s="232">
        <f>35.03+39.8</f>
        <v>74.83</v>
      </c>
      <c r="G221" s="73">
        <v>82.7</v>
      </c>
      <c r="H221" s="69">
        <f t="shared" si="19"/>
        <v>2465.1</v>
      </c>
    </row>
    <row r="222" spans="1:8" s="234" customFormat="1">
      <c r="A222" s="206" t="s">
        <v>181</v>
      </c>
      <c r="B222" s="151" t="s">
        <v>590</v>
      </c>
      <c r="C222" s="67" t="s">
        <v>18</v>
      </c>
      <c r="D222" s="213">
        <f t="shared" si="25"/>
        <v>45</v>
      </c>
      <c r="E222" s="275">
        <v>27.82</v>
      </c>
      <c r="F222" s="232">
        <v>32.369999999999997</v>
      </c>
      <c r="G222" s="104">
        <v>33.74</v>
      </c>
      <c r="H222" s="69">
        <f t="shared" si="19"/>
        <v>1251.9000000000001</v>
      </c>
    </row>
    <row r="223" spans="1:8" s="234" customFormat="1">
      <c r="A223" s="206" t="s">
        <v>182</v>
      </c>
      <c r="B223" s="151" t="s">
        <v>117</v>
      </c>
      <c r="C223" s="67" t="s">
        <v>18</v>
      </c>
      <c r="D223" s="67">
        <v>3</v>
      </c>
      <c r="E223" s="256">
        <v>3647.05</v>
      </c>
      <c r="F223" s="69">
        <v>4061.63</v>
      </c>
      <c r="G223" s="103">
        <v>4274.5</v>
      </c>
      <c r="H223" s="69">
        <f t="shared" si="19"/>
        <v>10941.150000000001</v>
      </c>
    </row>
    <row r="224" spans="1:8" s="234" customFormat="1">
      <c r="A224" s="206" t="s">
        <v>183</v>
      </c>
      <c r="B224" s="151" t="s">
        <v>542</v>
      </c>
      <c r="C224" s="67" t="s">
        <v>108</v>
      </c>
      <c r="D224" s="213">
        <f>3*2</f>
        <v>6</v>
      </c>
      <c r="E224" s="256">
        <v>1123.6400000000001</v>
      </c>
      <c r="F224" s="69">
        <v>1285.6300000000001</v>
      </c>
      <c r="G224" s="103">
        <v>1502.31</v>
      </c>
      <c r="H224" s="69">
        <f t="shared" si="19"/>
        <v>6741.84</v>
      </c>
    </row>
    <row r="225" spans="1:8" s="234" customFormat="1" ht="28.8">
      <c r="A225" s="206" t="s">
        <v>184</v>
      </c>
      <c r="B225" s="151" t="s">
        <v>543</v>
      </c>
      <c r="C225" s="67" t="s">
        <v>108</v>
      </c>
      <c r="D225" s="213">
        <f>1*6*15</f>
        <v>90</v>
      </c>
      <c r="E225" s="256">
        <v>456.51</v>
      </c>
      <c r="F225" s="69">
        <v>465</v>
      </c>
      <c r="G225" s="103">
        <v>480.54</v>
      </c>
      <c r="H225" s="69">
        <f t="shared" si="19"/>
        <v>41085.9</v>
      </c>
    </row>
    <row r="226" spans="1:8" s="234" customFormat="1">
      <c r="A226" s="206" t="s">
        <v>185</v>
      </c>
      <c r="B226" s="151" t="s">
        <v>513</v>
      </c>
      <c r="C226" s="67" t="s">
        <v>68</v>
      </c>
      <c r="D226" s="67">
        <v>30</v>
      </c>
      <c r="E226" s="73">
        <v>204</v>
      </c>
      <c r="F226" s="232">
        <v>25</v>
      </c>
      <c r="G226" s="73">
        <v>280</v>
      </c>
      <c r="H226" s="69">
        <f t="shared" si="19"/>
        <v>6120</v>
      </c>
    </row>
    <row r="227" spans="1:8" s="234" customFormat="1" ht="28.8">
      <c r="A227" s="206" t="s">
        <v>186</v>
      </c>
      <c r="B227" s="151" t="s">
        <v>545</v>
      </c>
      <c r="C227" s="67" t="s">
        <v>18</v>
      </c>
      <c r="D227" s="67">
        <f>2*15*2</f>
        <v>60</v>
      </c>
      <c r="E227" s="68">
        <v>49</v>
      </c>
      <c r="F227" s="69">
        <v>64</v>
      </c>
      <c r="G227" s="103">
        <v>80</v>
      </c>
      <c r="H227" s="69">
        <f t="shared" si="19"/>
        <v>2940</v>
      </c>
    </row>
    <row r="228" spans="1:8" s="234" customFormat="1" ht="28.8">
      <c r="A228" s="206" t="s">
        <v>187</v>
      </c>
      <c r="B228" s="161" t="s">
        <v>591</v>
      </c>
      <c r="C228" s="67" t="s">
        <v>18</v>
      </c>
      <c r="D228" s="67">
        <f>3*15</f>
        <v>45</v>
      </c>
      <c r="E228" s="68">
        <v>103.2</v>
      </c>
      <c r="F228" s="74">
        <v>129</v>
      </c>
      <c r="G228" s="68">
        <v>167.81</v>
      </c>
      <c r="H228" s="69">
        <f t="shared" si="19"/>
        <v>4644</v>
      </c>
    </row>
    <row r="229" spans="1:8" s="234" customFormat="1" ht="28.8">
      <c r="A229" s="206" t="s">
        <v>188</v>
      </c>
      <c r="B229" s="161" t="s">
        <v>592</v>
      </c>
      <c r="C229" s="67" t="s">
        <v>18</v>
      </c>
      <c r="D229" s="67">
        <v>8</v>
      </c>
      <c r="E229" s="68">
        <v>37.6</v>
      </c>
      <c r="F229" s="69">
        <v>54</v>
      </c>
      <c r="G229" s="103">
        <v>59.6</v>
      </c>
      <c r="H229" s="69">
        <f t="shared" si="19"/>
        <v>300.8</v>
      </c>
    </row>
    <row r="230" spans="1:8" s="234" customFormat="1" ht="28.8">
      <c r="A230" s="206" t="s">
        <v>189</v>
      </c>
      <c r="B230" s="161" t="s">
        <v>594</v>
      </c>
      <c r="C230" s="67" t="s">
        <v>18</v>
      </c>
      <c r="D230" s="67">
        <v>8</v>
      </c>
      <c r="E230" s="68">
        <v>29.6</v>
      </c>
      <c r="F230" s="74">
        <v>53.7</v>
      </c>
      <c r="G230" s="68">
        <v>61.28</v>
      </c>
      <c r="H230" s="69">
        <f t="shared" si="19"/>
        <v>236.8</v>
      </c>
    </row>
    <row r="231" spans="1:8" s="234" customFormat="1" ht="28.8">
      <c r="A231" s="206" t="s">
        <v>190</v>
      </c>
      <c r="B231" s="161" t="s">
        <v>593</v>
      </c>
      <c r="C231" s="67" t="s">
        <v>18</v>
      </c>
      <c r="D231" s="67">
        <v>8</v>
      </c>
      <c r="E231" s="68">
        <v>36</v>
      </c>
      <c r="F231" s="69">
        <v>50.6</v>
      </c>
      <c r="G231" s="103">
        <v>54.6</v>
      </c>
      <c r="H231" s="69">
        <f t="shared" si="19"/>
        <v>288</v>
      </c>
    </row>
    <row r="232" spans="1:8" s="234" customFormat="1" ht="28.8">
      <c r="A232" s="206" t="s">
        <v>191</v>
      </c>
      <c r="B232" s="161" t="s">
        <v>595</v>
      </c>
      <c r="C232" s="67" t="s">
        <v>18</v>
      </c>
      <c r="D232" s="67">
        <v>8</v>
      </c>
      <c r="E232" s="68">
        <v>45.39</v>
      </c>
      <c r="F232" s="232">
        <v>49.8</v>
      </c>
      <c r="G232" s="73">
        <v>84.64</v>
      </c>
      <c r="H232" s="69">
        <f t="shared" si="19"/>
        <v>363.12</v>
      </c>
    </row>
    <row r="233" spans="1:8" s="234" customFormat="1" ht="28.8">
      <c r="A233" s="206" t="s">
        <v>192</v>
      </c>
      <c r="B233" s="161" t="s">
        <v>552</v>
      </c>
      <c r="C233" s="67" t="s">
        <v>18</v>
      </c>
      <c r="D233" s="67">
        <v>8</v>
      </c>
      <c r="E233" s="68">
        <v>140.54</v>
      </c>
      <c r="F233" s="232">
        <v>186.8</v>
      </c>
      <c r="G233" s="73">
        <v>341.8</v>
      </c>
      <c r="H233" s="69">
        <f t="shared" si="19"/>
        <v>1124.32</v>
      </c>
    </row>
    <row r="234" spans="1:8" s="234" customFormat="1" ht="28.8">
      <c r="A234" s="206" t="s">
        <v>193</v>
      </c>
      <c r="B234" s="161" t="s">
        <v>596</v>
      </c>
      <c r="C234" s="67" t="s">
        <v>18</v>
      </c>
      <c r="D234" s="67">
        <f>2*4</f>
        <v>8</v>
      </c>
      <c r="E234" s="256">
        <v>5.38</v>
      </c>
      <c r="F234" s="232">
        <v>5.65</v>
      </c>
      <c r="G234" s="73">
        <v>12.6</v>
      </c>
      <c r="H234" s="69">
        <f t="shared" si="19"/>
        <v>43.04</v>
      </c>
    </row>
    <row r="235" spans="1:8" s="234" customFormat="1">
      <c r="A235" s="206" t="s">
        <v>194</v>
      </c>
      <c r="B235" s="161" t="s">
        <v>554</v>
      </c>
      <c r="C235" s="75" t="s">
        <v>18</v>
      </c>
      <c r="D235" s="67">
        <v>15</v>
      </c>
      <c r="E235" s="68">
        <v>120</v>
      </c>
      <c r="F235" s="232">
        <v>150</v>
      </c>
      <c r="G235" s="73">
        <v>156</v>
      </c>
      <c r="H235" s="69">
        <f t="shared" si="19"/>
        <v>1800</v>
      </c>
    </row>
    <row r="236" spans="1:8" s="234" customFormat="1">
      <c r="A236" s="206" t="s">
        <v>195</v>
      </c>
      <c r="B236" s="271" t="s">
        <v>555</v>
      </c>
      <c r="C236" s="75" t="s">
        <v>18</v>
      </c>
      <c r="D236" s="67">
        <v>15</v>
      </c>
      <c r="E236" s="68">
        <v>118</v>
      </c>
      <c r="F236" s="69">
        <v>147.5</v>
      </c>
      <c r="G236" s="68">
        <v>171.1</v>
      </c>
      <c r="H236" s="69">
        <f t="shared" si="19"/>
        <v>1770</v>
      </c>
    </row>
    <row r="237" spans="1:8" s="234" customFormat="1">
      <c r="A237" s="206" t="s">
        <v>196</v>
      </c>
      <c r="B237" s="272" t="s">
        <v>597</v>
      </c>
      <c r="C237" s="75" t="s">
        <v>18</v>
      </c>
      <c r="D237" s="67">
        <v>4</v>
      </c>
      <c r="E237" s="68">
        <v>300</v>
      </c>
      <c r="F237" s="69">
        <v>375</v>
      </c>
      <c r="G237" s="68">
        <v>435</v>
      </c>
      <c r="H237" s="69">
        <f t="shared" si="19"/>
        <v>1200</v>
      </c>
    </row>
    <row r="238" spans="1:8" s="234" customFormat="1" ht="28.8">
      <c r="A238" s="206" t="s">
        <v>197</v>
      </c>
      <c r="B238" s="161" t="s">
        <v>750</v>
      </c>
      <c r="C238" s="75" t="s">
        <v>18</v>
      </c>
      <c r="D238" s="67">
        <v>4</v>
      </c>
      <c r="E238" s="68">
        <v>1000</v>
      </c>
      <c r="F238" s="69">
        <v>1250</v>
      </c>
      <c r="G238" s="68">
        <v>1300</v>
      </c>
      <c r="H238" s="69">
        <f t="shared" si="19"/>
        <v>4000</v>
      </c>
    </row>
    <row r="239" spans="1:8" s="234" customFormat="1">
      <c r="A239" s="206" t="s">
        <v>198</v>
      </c>
      <c r="B239" s="161" t="s">
        <v>598</v>
      </c>
      <c r="C239" s="75" t="s">
        <v>18</v>
      </c>
      <c r="D239" s="67">
        <v>4</v>
      </c>
      <c r="E239" s="68">
        <v>116</v>
      </c>
      <c r="F239" s="69">
        <v>145</v>
      </c>
      <c r="G239" s="103">
        <v>150.80000000000001</v>
      </c>
      <c r="H239" s="69">
        <f t="shared" si="19"/>
        <v>464</v>
      </c>
    </row>
    <row r="240" spans="1:8" s="234" customFormat="1">
      <c r="A240" s="206" t="s">
        <v>199</v>
      </c>
      <c r="B240" s="161" t="s">
        <v>599</v>
      </c>
      <c r="C240" s="75" t="s">
        <v>18</v>
      </c>
      <c r="D240" s="67">
        <v>4</v>
      </c>
      <c r="E240" s="68">
        <v>300</v>
      </c>
      <c r="F240" s="69">
        <v>375</v>
      </c>
      <c r="G240" s="103">
        <v>390</v>
      </c>
      <c r="H240" s="69">
        <f t="shared" si="19"/>
        <v>1200</v>
      </c>
    </row>
    <row r="241" spans="1:8" s="234" customFormat="1">
      <c r="A241" s="206" t="s">
        <v>200</v>
      </c>
      <c r="B241" s="161" t="s">
        <v>600</v>
      </c>
      <c r="C241" s="75" t="s">
        <v>18</v>
      </c>
      <c r="D241" s="67">
        <v>4</v>
      </c>
      <c r="E241" s="68">
        <v>519.79999999999995</v>
      </c>
      <c r="F241" s="69">
        <v>519</v>
      </c>
      <c r="G241" s="103">
        <v>675.74</v>
      </c>
      <c r="H241" s="69">
        <f t="shared" si="19"/>
        <v>2079.1999999999998</v>
      </c>
    </row>
    <row r="242" spans="1:8" s="234" customFormat="1">
      <c r="A242" s="206" t="s">
        <v>201</v>
      </c>
      <c r="B242" s="161" t="s">
        <v>601</v>
      </c>
      <c r="C242" s="75" t="s">
        <v>18</v>
      </c>
      <c r="D242" s="213">
        <f t="shared" ref="D242:D243" si="26">14*2</f>
        <v>28</v>
      </c>
      <c r="E242" s="68">
        <v>29.46</v>
      </c>
      <c r="F242" s="69">
        <v>36.83</v>
      </c>
      <c r="G242" s="103">
        <v>38.299999999999997</v>
      </c>
      <c r="H242" s="69">
        <f t="shared" si="19"/>
        <v>824.88</v>
      </c>
    </row>
    <row r="243" spans="1:8" s="234" customFormat="1">
      <c r="A243" s="206" t="s">
        <v>202</v>
      </c>
      <c r="B243" s="151" t="s">
        <v>514</v>
      </c>
      <c r="C243" s="67" t="s">
        <v>15</v>
      </c>
      <c r="D243" s="213">
        <f t="shared" si="26"/>
        <v>28</v>
      </c>
      <c r="E243" s="68">
        <v>15.18</v>
      </c>
      <c r="F243" s="69">
        <v>18.899999999999999</v>
      </c>
      <c r="G243" s="103">
        <v>19.73</v>
      </c>
      <c r="H243" s="69">
        <f t="shared" si="19"/>
        <v>425.03999999999996</v>
      </c>
    </row>
    <row r="244" spans="1:8" s="234" customFormat="1" ht="28.8">
      <c r="A244" s="206" t="s">
        <v>203</v>
      </c>
      <c r="B244" s="151" t="s">
        <v>582</v>
      </c>
      <c r="C244" s="67" t="s">
        <v>15</v>
      </c>
      <c r="D244" s="67">
        <v>4</v>
      </c>
      <c r="E244" s="68">
        <v>800</v>
      </c>
      <c r="F244" s="69"/>
      <c r="G244" s="68"/>
      <c r="H244" s="265">
        <f t="shared" si="19"/>
        <v>3200</v>
      </c>
    </row>
    <row r="245" spans="1:8" s="234" customFormat="1">
      <c r="A245" s="206" t="s">
        <v>204</v>
      </c>
      <c r="B245" s="151" t="s">
        <v>605</v>
      </c>
      <c r="C245" s="67" t="s">
        <v>417</v>
      </c>
      <c r="D245" s="67">
        <v>16</v>
      </c>
      <c r="E245" s="68">
        <v>780</v>
      </c>
      <c r="F245" s="69">
        <v>975</v>
      </c>
      <c r="G245" s="68">
        <v>1170</v>
      </c>
      <c r="H245" s="69">
        <f t="shared" si="19"/>
        <v>12480</v>
      </c>
    </row>
    <row r="246" spans="1:8" s="234" customFormat="1">
      <c r="A246" s="206" t="s">
        <v>205</v>
      </c>
      <c r="B246" s="151" t="s">
        <v>603</v>
      </c>
      <c r="C246" s="67" t="s">
        <v>110</v>
      </c>
      <c r="D246" s="67">
        <v>109</v>
      </c>
      <c r="E246" s="68">
        <v>174</v>
      </c>
      <c r="F246" s="69">
        <v>217.5</v>
      </c>
      <c r="G246" s="68">
        <v>261</v>
      </c>
      <c r="H246" s="69">
        <f t="shared" si="19"/>
        <v>18966</v>
      </c>
    </row>
    <row r="247" spans="1:8" s="234" customFormat="1">
      <c r="A247" s="206" t="s">
        <v>206</v>
      </c>
      <c r="B247" s="151" t="s">
        <v>604</v>
      </c>
      <c r="C247" s="67" t="s">
        <v>110</v>
      </c>
      <c r="D247" s="67">
        <v>87</v>
      </c>
      <c r="E247" s="68">
        <v>25.8</v>
      </c>
      <c r="F247" s="69">
        <v>32.25</v>
      </c>
      <c r="G247" s="68">
        <v>38.700000000000003</v>
      </c>
      <c r="H247" s="69">
        <f t="shared" si="19"/>
        <v>2244.6</v>
      </c>
    </row>
    <row r="248" spans="1:8" s="234" customFormat="1" ht="28.8">
      <c r="A248" s="206" t="s">
        <v>207</v>
      </c>
      <c r="B248" s="151" t="s">
        <v>602</v>
      </c>
      <c r="C248" s="67" t="s">
        <v>110</v>
      </c>
      <c r="D248" s="67">
        <v>109</v>
      </c>
      <c r="E248" s="68">
        <v>130.6</v>
      </c>
      <c r="F248" s="68">
        <v>163.25</v>
      </c>
      <c r="G248" s="68">
        <v>195.9</v>
      </c>
      <c r="H248" s="69">
        <f t="shared" si="19"/>
        <v>14235.4</v>
      </c>
    </row>
    <row r="249" spans="1:8" s="234" customFormat="1">
      <c r="A249" s="206" t="s">
        <v>208</v>
      </c>
      <c r="B249" s="151" t="s">
        <v>606</v>
      </c>
      <c r="C249" s="67" t="s">
        <v>110</v>
      </c>
      <c r="D249" s="67">
        <v>164</v>
      </c>
      <c r="E249" s="68">
        <v>131.6</v>
      </c>
      <c r="F249" s="69">
        <v>164.5</v>
      </c>
      <c r="G249" s="68">
        <v>197.4</v>
      </c>
      <c r="H249" s="69">
        <f t="shared" si="19"/>
        <v>21582.399999999998</v>
      </c>
    </row>
    <row r="250" spans="1:8" s="234" customFormat="1">
      <c r="A250" s="206" t="s">
        <v>209</v>
      </c>
      <c r="B250" s="151" t="s">
        <v>699</v>
      </c>
      <c r="C250" s="67" t="s">
        <v>68</v>
      </c>
      <c r="D250" s="213">
        <v>100</v>
      </c>
      <c r="E250" s="68">
        <v>100</v>
      </c>
      <c r="F250" s="69">
        <v>125</v>
      </c>
      <c r="G250" s="68">
        <v>150</v>
      </c>
      <c r="H250" s="69">
        <f t="shared" si="19"/>
        <v>10000</v>
      </c>
    </row>
    <row r="251" spans="1:8" s="234" customFormat="1">
      <c r="A251" s="206" t="s">
        <v>387</v>
      </c>
      <c r="B251" s="151" t="s">
        <v>700</v>
      </c>
      <c r="C251" s="67" t="s">
        <v>68</v>
      </c>
      <c r="D251" s="213">
        <v>1310</v>
      </c>
      <c r="E251" s="68">
        <v>11.4</v>
      </c>
      <c r="F251" s="69">
        <v>14.25</v>
      </c>
      <c r="G251" s="68">
        <v>17.100000000000001</v>
      </c>
      <c r="H251" s="69">
        <f t="shared" si="19"/>
        <v>14934</v>
      </c>
    </row>
    <row r="252" spans="1:8">
      <c r="A252" s="206" t="s">
        <v>388</v>
      </c>
      <c r="B252" s="151" t="s">
        <v>607</v>
      </c>
      <c r="C252" s="67" t="s">
        <v>110</v>
      </c>
      <c r="D252" s="67">
        <v>109</v>
      </c>
      <c r="E252" s="68">
        <v>24</v>
      </c>
      <c r="F252" s="69">
        <v>30</v>
      </c>
      <c r="G252" s="68">
        <v>36</v>
      </c>
      <c r="H252" s="69">
        <f t="shared" si="19"/>
        <v>2616</v>
      </c>
    </row>
    <row r="253" spans="1:8">
      <c r="A253" s="571" t="s">
        <v>210</v>
      </c>
      <c r="B253" s="572"/>
      <c r="C253" s="572"/>
      <c r="D253" s="572"/>
      <c r="E253" s="572"/>
      <c r="F253" s="572"/>
      <c r="G253" s="572"/>
      <c r="H253" s="308">
        <f>SUM(H165:H252)</f>
        <v>1827728.4369999999</v>
      </c>
    </row>
    <row r="254" spans="1:8" s="234" customFormat="1" ht="28.8">
      <c r="A254" s="224" t="s">
        <v>211</v>
      </c>
      <c r="B254" s="225" t="s">
        <v>439</v>
      </c>
      <c r="C254" s="226" t="s">
        <v>7</v>
      </c>
      <c r="D254" s="226" t="s">
        <v>8</v>
      </c>
      <c r="E254" s="227" t="s">
        <v>410</v>
      </c>
      <c r="F254" s="227" t="s">
        <v>408</v>
      </c>
      <c r="G254" s="227" t="s">
        <v>409</v>
      </c>
      <c r="H254" s="228" t="s">
        <v>9</v>
      </c>
    </row>
    <row r="255" spans="1:8" s="234" customFormat="1" ht="28.8">
      <c r="A255" s="206" t="s">
        <v>212</v>
      </c>
      <c r="B255" s="151" t="s">
        <v>456</v>
      </c>
      <c r="C255" s="67" t="s">
        <v>214</v>
      </c>
      <c r="D255" s="67">
        <v>260</v>
      </c>
      <c r="E255" s="68">
        <v>240</v>
      </c>
      <c r="F255" s="69">
        <v>240</v>
      </c>
      <c r="G255" s="68"/>
      <c r="H255" s="69">
        <f t="shared" ref="H255:H258" si="27">E255*D255</f>
        <v>62400</v>
      </c>
    </row>
    <row r="256" spans="1:8" s="234" customFormat="1">
      <c r="A256" s="206" t="s">
        <v>215</v>
      </c>
      <c r="B256" s="151" t="s">
        <v>216</v>
      </c>
      <c r="C256" s="67" t="s">
        <v>214</v>
      </c>
      <c r="D256" s="67">
        <v>310</v>
      </c>
      <c r="E256" s="68">
        <v>240</v>
      </c>
      <c r="F256" s="69">
        <v>240</v>
      </c>
      <c r="G256" s="68"/>
      <c r="H256" s="69">
        <f t="shared" si="27"/>
        <v>74400</v>
      </c>
    </row>
    <row r="257" spans="1:8" s="234" customFormat="1" ht="28.8">
      <c r="A257" s="206" t="s">
        <v>217</v>
      </c>
      <c r="B257" s="151" t="s">
        <v>218</v>
      </c>
      <c r="C257" s="67" t="s">
        <v>13</v>
      </c>
      <c r="D257" s="67">
        <v>5</v>
      </c>
      <c r="E257" s="68">
        <f>(3643*97%)+3643</f>
        <v>7176.71</v>
      </c>
      <c r="F257" s="69">
        <f>(5000*97%)+5000</f>
        <v>9850</v>
      </c>
      <c r="G257" s="68">
        <f>(5801*97%)+5801</f>
        <v>11427.970000000001</v>
      </c>
      <c r="H257" s="69">
        <f t="shared" si="27"/>
        <v>35883.550000000003</v>
      </c>
    </row>
    <row r="258" spans="1:8" s="234" customFormat="1" ht="28.8">
      <c r="A258" s="206" t="s">
        <v>219</v>
      </c>
      <c r="B258" s="151" t="s">
        <v>399</v>
      </c>
      <c r="C258" s="67" t="s">
        <v>13</v>
      </c>
      <c r="D258" s="67">
        <v>5</v>
      </c>
      <c r="E258" s="68">
        <f>(1992.99+97%)+1992.99</f>
        <v>3986.95</v>
      </c>
      <c r="F258" s="69">
        <f>(2143*97%)+2143</f>
        <v>4221.71</v>
      </c>
      <c r="G258" s="72">
        <f>(3071*97%)+3071</f>
        <v>6049.87</v>
      </c>
      <c r="H258" s="69">
        <f t="shared" si="27"/>
        <v>19934.75</v>
      </c>
    </row>
    <row r="259" spans="1:8" s="234" customFormat="1" ht="28.8">
      <c r="A259" s="206" t="s">
        <v>256</v>
      </c>
      <c r="B259" s="151" t="s">
        <v>608</v>
      </c>
      <c r="C259" s="67" t="s">
        <v>15</v>
      </c>
      <c r="D259" s="67">
        <f>20*5</f>
        <v>100</v>
      </c>
      <c r="E259" s="229">
        <v>250</v>
      </c>
      <c r="F259" s="69">
        <v>450</v>
      </c>
      <c r="G259" s="68">
        <v>581</v>
      </c>
      <c r="H259" s="69">
        <f>E259*D259*2</f>
        <v>50000</v>
      </c>
    </row>
    <row r="260" spans="1:8" s="234" customFormat="1" ht="43.2">
      <c r="A260" s="206" t="s">
        <v>221</v>
      </c>
      <c r="B260" s="151" t="s">
        <v>564</v>
      </c>
      <c r="C260" s="67" t="s">
        <v>18</v>
      </c>
      <c r="D260" s="67">
        <v>1</v>
      </c>
      <c r="E260" s="68">
        <v>4149</v>
      </c>
      <c r="F260" s="69">
        <v>5299</v>
      </c>
      <c r="G260" s="70">
        <v>5919</v>
      </c>
      <c r="H260" s="69">
        <f t="shared" ref="H260:H265" si="28">E260*D260</f>
        <v>4149</v>
      </c>
    </row>
    <row r="261" spans="1:8" s="234" customFormat="1">
      <c r="A261" s="206" t="s">
        <v>222</v>
      </c>
      <c r="B261" s="230" t="s">
        <v>565</v>
      </c>
      <c r="C261" s="67" t="s">
        <v>18</v>
      </c>
      <c r="D261" s="67">
        <v>1</v>
      </c>
      <c r="E261" s="68">
        <v>1849</v>
      </c>
      <c r="F261" s="69">
        <v>2199</v>
      </c>
      <c r="G261" s="68">
        <v>2919</v>
      </c>
      <c r="H261" s="69">
        <f t="shared" si="28"/>
        <v>1849</v>
      </c>
    </row>
    <row r="262" spans="1:8" s="234" customFormat="1" ht="43.2">
      <c r="A262" s="206" t="s">
        <v>223</v>
      </c>
      <c r="B262" s="151" t="s">
        <v>609</v>
      </c>
      <c r="C262" s="67" t="s">
        <v>18</v>
      </c>
      <c r="D262" s="67">
        <v>1</v>
      </c>
      <c r="E262" s="73">
        <v>1849.77</v>
      </c>
      <c r="F262" s="232">
        <v>2891</v>
      </c>
      <c r="G262" s="68">
        <v>3199</v>
      </c>
      <c r="H262" s="69">
        <f t="shared" si="28"/>
        <v>1849.77</v>
      </c>
    </row>
    <row r="263" spans="1:8" s="234" customFormat="1" ht="28.8">
      <c r="A263" s="206" t="s">
        <v>224</v>
      </c>
      <c r="B263" s="151" t="s">
        <v>611</v>
      </c>
      <c r="C263" s="67" t="s">
        <v>18</v>
      </c>
      <c r="D263" s="67">
        <v>1</v>
      </c>
      <c r="E263" s="73">
        <v>169.9</v>
      </c>
      <c r="F263" s="232">
        <v>189</v>
      </c>
      <c r="G263" s="68">
        <v>197</v>
      </c>
      <c r="H263" s="69">
        <f t="shared" si="28"/>
        <v>169.9</v>
      </c>
    </row>
    <row r="264" spans="1:8" ht="28.8">
      <c r="A264" s="206" t="s">
        <v>225</v>
      </c>
      <c r="B264" s="151" t="s">
        <v>610</v>
      </c>
      <c r="C264" s="67" t="s">
        <v>18</v>
      </c>
      <c r="D264" s="67">
        <v>2</v>
      </c>
      <c r="E264" s="73">
        <v>1386</v>
      </c>
      <c r="F264" s="232">
        <v>1549</v>
      </c>
      <c r="G264" s="68">
        <v>1649.9</v>
      </c>
      <c r="H264" s="69">
        <f t="shared" si="28"/>
        <v>2772</v>
      </c>
    </row>
    <row r="265" spans="1:8" s="234" customFormat="1">
      <c r="A265" s="206" t="s">
        <v>226</v>
      </c>
      <c r="B265" s="151" t="s">
        <v>462</v>
      </c>
      <c r="C265" s="67" t="s">
        <v>13</v>
      </c>
      <c r="D265" s="67">
        <v>5</v>
      </c>
      <c r="E265" s="68">
        <v>124.99</v>
      </c>
      <c r="F265" s="69">
        <v>142</v>
      </c>
      <c r="G265" s="68">
        <v>159.9</v>
      </c>
      <c r="H265" s="69">
        <f t="shared" si="28"/>
        <v>624.94999999999993</v>
      </c>
    </row>
    <row r="266" spans="1:8" s="234" customFormat="1" ht="28.8">
      <c r="A266" s="206" t="s">
        <v>227</v>
      </c>
      <c r="B266" s="151" t="s">
        <v>612</v>
      </c>
      <c r="C266" s="67" t="s">
        <v>13</v>
      </c>
      <c r="D266" s="67">
        <v>5</v>
      </c>
      <c r="E266" s="68">
        <v>2850</v>
      </c>
      <c r="F266" s="69">
        <v>3768</v>
      </c>
      <c r="G266" s="69">
        <v>5367.02</v>
      </c>
      <c r="H266" s="69">
        <f>E266*D266*2</f>
        <v>28500</v>
      </c>
    </row>
    <row r="267" spans="1:8" s="234" customFormat="1">
      <c r="A267" s="206" t="s">
        <v>228</v>
      </c>
      <c r="B267" s="151" t="s">
        <v>463</v>
      </c>
      <c r="C267" s="67" t="s">
        <v>15</v>
      </c>
      <c r="D267" s="67">
        <v>1</v>
      </c>
      <c r="E267" s="70">
        <v>300</v>
      </c>
      <c r="F267" s="74">
        <v>600</v>
      </c>
      <c r="G267" s="70">
        <v>975</v>
      </c>
      <c r="H267" s="69">
        <f t="shared" ref="H267:H291" si="29">E267*D267</f>
        <v>300</v>
      </c>
    </row>
    <row r="268" spans="1:8" s="234" customFormat="1" ht="28.8">
      <c r="A268" s="206" t="s">
        <v>229</v>
      </c>
      <c r="B268" s="151" t="s">
        <v>613</v>
      </c>
      <c r="C268" s="67" t="s">
        <v>13</v>
      </c>
      <c r="D268" s="67">
        <v>5</v>
      </c>
      <c r="E268" s="68">
        <v>49.9</v>
      </c>
      <c r="F268" s="69">
        <v>60</v>
      </c>
      <c r="G268" s="68">
        <v>65.900000000000006</v>
      </c>
      <c r="H268" s="69">
        <f t="shared" si="29"/>
        <v>249.5</v>
      </c>
    </row>
    <row r="269" spans="1:8" s="234" customFormat="1" ht="28.8">
      <c r="A269" s="206" t="s">
        <v>230</v>
      </c>
      <c r="B269" s="151" t="s">
        <v>614</v>
      </c>
      <c r="C269" s="67" t="s">
        <v>15</v>
      </c>
      <c r="D269" s="67">
        <v>2</v>
      </c>
      <c r="E269" s="68">
        <v>144.9</v>
      </c>
      <c r="F269" s="69">
        <v>0</v>
      </c>
      <c r="G269" s="68">
        <v>265</v>
      </c>
      <c r="H269" s="69">
        <f t="shared" si="29"/>
        <v>289.8</v>
      </c>
    </row>
    <row r="270" spans="1:8" s="234" customFormat="1" ht="28.8">
      <c r="A270" s="206" t="s">
        <v>231</v>
      </c>
      <c r="B270" s="151" t="s">
        <v>615</v>
      </c>
      <c r="C270" s="67" t="s">
        <v>31</v>
      </c>
      <c r="D270" s="67">
        <f>55*4*5*2</f>
        <v>2200</v>
      </c>
      <c r="E270" s="256">
        <v>6.8</v>
      </c>
      <c r="F270" s="69">
        <v>6.9</v>
      </c>
      <c r="G270" s="68">
        <v>6.35</v>
      </c>
      <c r="H270" s="69">
        <f t="shared" si="29"/>
        <v>14960</v>
      </c>
    </row>
    <row r="271" spans="1:8" s="234" customFormat="1">
      <c r="A271" s="206" t="s">
        <v>232</v>
      </c>
      <c r="B271" s="151" t="s">
        <v>500</v>
      </c>
      <c r="C271" s="67" t="s">
        <v>18</v>
      </c>
      <c r="D271" s="67">
        <v>2</v>
      </c>
      <c r="E271" s="68">
        <v>99.86</v>
      </c>
      <c r="F271" s="69">
        <v>109.49</v>
      </c>
      <c r="G271" s="73">
        <v>211.19</v>
      </c>
      <c r="H271" s="69">
        <f t="shared" si="29"/>
        <v>199.72</v>
      </c>
    </row>
    <row r="272" spans="1:8" s="234" customFormat="1" ht="28.8">
      <c r="A272" s="206" t="s">
        <v>233</v>
      </c>
      <c r="B272" s="252" t="s">
        <v>524</v>
      </c>
      <c r="C272" s="67" t="s">
        <v>18</v>
      </c>
      <c r="D272" s="67">
        <f>5*2</f>
        <v>10</v>
      </c>
      <c r="E272" s="68">
        <v>60</v>
      </c>
      <c r="F272" s="68">
        <v>65</v>
      </c>
      <c r="G272" s="69">
        <v>70</v>
      </c>
      <c r="H272" s="69">
        <f t="shared" si="29"/>
        <v>600</v>
      </c>
    </row>
    <row r="273" spans="1:8" s="234" customFormat="1" ht="28.8">
      <c r="A273" s="206" t="s">
        <v>234</v>
      </c>
      <c r="B273" s="252" t="s">
        <v>616</v>
      </c>
      <c r="C273" s="67" t="s">
        <v>18</v>
      </c>
      <c r="D273" s="67">
        <v>5</v>
      </c>
      <c r="E273" s="68">
        <v>75</v>
      </c>
      <c r="F273" s="68">
        <v>90</v>
      </c>
      <c r="G273" s="69">
        <v>98</v>
      </c>
      <c r="H273" s="69">
        <f t="shared" si="29"/>
        <v>375</v>
      </c>
    </row>
    <row r="274" spans="1:8" s="234" customFormat="1" ht="28.8">
      <c r="A274" s="206" t="s">
        <v>235</v>
      </c>
      <c r="B274" s="252" t="s">
        <v>525</v>
      </c>
      <c r="C274" s="67" t="s">
        <v>18</v>
      </c>
      <c r="D274" s="67">
        <f>5*1</f>
        <v>5</v>
      </c>
      <c r="E274" s="68">
        <v>25</v>
      </c>
      <c r="F274" s="68">
        <v>40</v>
      </c>
      <c r="G274" s="69">
        <v>43</v>
      </c>
      <c r="H274" s="69">
        <f t="shared" si="29"/>
        <v>125</v>
      </c>
    </row>
    <row r="275" spans="1:8" s="234" customFormat="1" ht="28.8">
      <c r="A275" s="206" t="s">
        <v>236</v>
      </c>
      <c r="B275" s="151" t="s">
        <v>617</v>
      </c>
      <c r="C275" s="67" t="s">
        <v>18</v>
      </c>
      <c r="D275" s="67">
        <f t="shared" ref="D275:D277" si="30">2*2</f>
        <v>4</v>
      </c>
      <c r="E275" s="68">
        <v>122</v>
      </c>
      <c r="F275" s="74">
        <v>170.91</v>
      </c>
      <c r="G275" s="68">
        <v>185</v>
      </c>
      <c r="H275" s="69">
        <f t="shared" si="29"/>
        <v>488</v>
      </c>
    </row>
    <row r="276" spans="1:8" s="234" customFormat="1" ht="28.8">
      <c r="A276" s="206" t="s">
        <v>237</v>
      </c>
      <c r="B276" s="254" t="s">
        <v>527</v>
      </c>
      <c r="C276" s="67" t="s">
        <v>18</v>
      </c>
      <c r="D276" s="67">
        <f t="shared" si="30"/>
        <v>4</v>
      </c>
      <c r="E276" s="68">
        <v>21.8</v>
      </c>
      <c r="F276" s="74">
        <v>36</v>
      </c>
      <c r="G276" s="68">
        <v>46.9</v>
      </c>
      <c r="H276" s="69">
        <f t="shared" si="29"/>
        <v>87.2</v>
      </c>
    </row>
    <row r="277" spans="1:8" s="234" customFormat="1">
      <c r="A277" s="206" t="s">
        <v>238</v>
      </c>
      <c r="B277" s="254" t="s">
        <v>618</v>
      </c>
      <c r="C277" s="67" t="s">
        <v>18</v>
      </c>
      <c r="D277" s="67">
        <f t="shared" si="30"/>
        <v>4</v>
      </c>
      <c r="E277" s="73">
        <v>13.93</v>
      </c>
      <c r="F277" s="232">
        <v>15.71</v>
      </c>
      <c r="G277" s="73">
        <v>49.9</v>
      </c>
      <c r="H277" s="69">
        <f t="shared" si="29"/>
        <v>55.72</v>
      </c>
    </row>
    <row r="278" spans="1:8" s="234" customFormat="1" ht="28.8">
      <c r="A278" s="206" t="s">
        <v>239</v>
      </c>
      <c r="B278" s="151" t="s">
        <v>529</v>
      </c>
      <c r="C278" s="67" t="s">
        <v>18</v>
      </c>
      <c r="D278" s="67">
        <f>3*2*5</f>
        <v>30</v>
      </c>
      <c r="E278" s="73">
        <v>12.4</v>
      </c>
      <c r="F278" s="232">
        <v>13.5</v>
      </c>
      <c r="G278" s="73">
        <v>20.260000000000002</v>
      </c>
      <c r="H278" s="69">
        <f t="shared" si="29"/>
        <v>372</v>
      </c>
    </row>
    <row r="279" spans="1:8" s="234" customFormat="1">
      <c r="A279" s="206" t="s">
        <v>240</v>
      </c>
      <c r="B279" s="255" t="s">
        <v>619</v>
      </c>
      <c r="C279" s="67" t="s">
        <v>18</v>
      </c>
      <c r="D279" s="67">
        <f>2*5</f>
        <v>10</v>
      </c>
      <c r="E279" s="68">
        <v>160</v>
      </c>
      <c r="F279" s="232">
        <v>163</v>
      </c>
      <c r="G279" s="73">
        <v>193.63</v>
      </c>
      <c r="H279" s="69">
        <f t="shared" si="29"/>
        <v>1600</v>
      </c>
    </row>
    <row r="280" spans="1:8" s="234" customFormat="1" ht="28.8">
      <c r="A280" s="206" t="s">
        <v>241</v>
      </c>
      <c r="B280" s="161" t="s">
        <v>474</v>
      </c>
      <c r="C280" s="67" t="s">
        <v>18</v>
      </c>
      <c r="D280" s="67">
        <v>2</v>
      </c>
      <c r="E280" s="70">
        <v>35</v>
      </c>
      <c r="F280" s="74">
        <v>41.4</v>
      </c>
      <c r="G280" s="68">
        <v>168.26</v>
      </c>
      <c r="H280" s="69">
        <f t="shared" si="29"/>
        <v>70</v>
      </c>
    </row>
    <row r="281" spans="1:8" s="234" customFormat="1">
      <c r="A281" s="206" t="s">
        <v>242</v>
      </c>
      <c r="B281" s="255" t="s">
        <v>475</v>
      </c>
      <c r="C281" s="67" t="s">
        <v>18</v>
      </c>
      <c r="D281" s="67">
        <v>2</v>
      </c>
      <c r="E281" s="73">
        <v>41.4</v>
      </c>
      <c r="F281" s="69">
        <v>42.23</v>
      </c>
      <c r="G281" s="70">
        <v>50</v>
      </c>
      <c r="H281" s="69">
        <f t="shared" si="29"/>
        <v>82.8</v>
      </c>
    </row>
    <row r="282" spans="1:8" s="234" customFormat="1" ht="28.8">
      <c r="A282" s="206" t="s">
        <v>243</v>
      </c>
      <c r="B282" s="210" t="s">
        <v>620</v>
      </c>
      <c r="C282" s="67" t="s">
        <v>18</v>
      </c>
      <c r="D282" s="213">
        <f>2*2</f>
        <v>4</v>
      </c>
      <c r="E282" s="68">
        <v>2.77</v>
      </c>
      <c r="F282" s="74">
        <v>3.75</v>
      </c>
      <c r="G282" s="73">
        <v>3.96</v>
      </c>
      <c r="H282" s="69">
        <f t="shared" si="29"/>
        <v>11.08</v>
      </c>
    </row>
    <row r="283" spans="1:8" s="234" customFormat="1">
      <c r="A283" s="206" t="s">
        <v>244</v>
      </c>
      <c r="B283" s="151" t="s">
        <v>477</v>
      </c>
      <c r="C283" s="67" t="s">
        <v>18</v>
      </c>
      <c r="D283" s="67">
        <f t="shared" ref="D283:D284" si="31">1*2</f>
        <v>2</v>
      </c>
      <c r="E283" s="68">
        <v>32.979999999999997</v>
      </c>
      <c r="F283" s="69">
        <v>58.66</v>
      </c>
      <c r="G283" s="68">
        <v>60.82</v>
      </c>
      <c r="H283" s="69">
        <f t="shared" si="29"/>
        <v>65.959999999999994</v>
      </c>
    </row>
    <row r="284" spans="1:8" s="234" customFormat="1">
      <c r="A284" s="206" t="s">
        <v>245</v>
      </c>
      <c r="B284" s="151" t="s">
        <v>621</v>
      </c>
      <c r="C284" s="67" t="s">
        <v>18</v>
      </c>
      <c r="D284" s="67">
        <f t="shared" si="31"/>
        <v>2</v>
      </c>
      <c r="E284" s="73">
        <v>26.5</v>
      </c>
      <c r="F284" s="69">
        <v>61.9</v>
      </c>
      <c r="G284" s="68">
        <v>83.6</v>
      </c>
      <c r="H284" s="69">
        <f t="shared" si="29"/>
        <v>53</v>
      </c>
    </row>
    <row r="285" spans="1:8" s="234" customFormat="1">
      <c r="A285" s="206" t="s">
        <v>246</v>
      </c>
      <c r="B285" s="151" t="s">
        <v>622</v>
      </c>
      <c r="C285" s="67" t="s">
        <v>68</v>
      </c>
      <c r="D285" s="67">
        <v>5</v>
      </c>
      <c r="E285" s="73">
        <v>204</v>
      </c>
      <c r="F285" s="232">
        <v>255</v>
      </c>
      <c r="G285" s="73">
        <v>280</v>
      </c>
      <c r="H285" s="69">
        <f t="shared" si="29"/>
        <v>1020</v>
      </c>
    </row>
    <row r="286" spans="1:8" s="234" customFormat="1" ht="28.8">
      <c r="A286" s="206" t="s">
        <v>247</v>
      </c>
      <c r="B286" s="151" t="s">
        <v>623</v>
      </c>
      <c r="C286" s="67" t="s">
        <v>18</v>
      </c>
      <c r="D286" s="67">
        <f t="shared" ref="D286:D291" si="32">1*2</f>
        <v>2</v>
      </c>
      <c r="E286" s="68">
        <v>49</v>
      </c>
      <c r="F286" s="69">
        <v>64</v>
      </c>
      <c r="G286" s="68">
        <v>80</v>
      </c>
      <c r="H286" s="69">
        <f t="shared" si="29"/>
        <v>98</v>
      </c>
    </row>
    <row r="287" spans="1:8" s="234" customFormat="1" ht="28.8">
      <c r="A287" s="206" t="s">
        <v>248</v>
      </c>
      <c r="B287" s="161" t="s">
        <v>624</v>
      </c>
      <c r="C287" s="67" t="s">
        <v>18</v>
      </c>
      <c r="D287" s="67">
        <f t="shared" si="32"/>
        <v>2</v>
      </c>
      <c r="E287" s="68">
        <v>103.2</v>
      </c>
      <c r="F287" s="74">
        <v>129</v>
      </c>
      <c r="G287" s="68">
        <v>167.81</v>
      </c>
      <c r="H287" s="69">
        <f t="shared" si="29"/>
        <v>206.4</v>
      </c>
    </row>
    <row r="288" spans="1:8" s="234" customFormat="1" ht="28.8">
      <c r="A288" s="206" t="s">
        <v>249</v>
      </c>
      <c r="B288" s="161" t="s">
        <v>625</v>
      </c>
      <c r="C288" s="67" t="s">
        <v>18</v>
      </c>
      <c r="D288" s="67">
        <f t="shared" si="32"/>
        <v>2</v>
      </c>
      <c r="E288" s="68">
        <v>37.6</v>
      </c>
      <c r="F288" s="69">
        <v>54</v>
      </c>
      <c r="G288" s="68">
        <v>59.6</v>
      </c>
      <c r="H288" s="69">
        <f t="shared" si="29"/>
        <v>75.2</v>
      </c>
    </row>
    <row r="289" spans="1:8" s="234" customFormat="1">
      <c r="A289" s="206" t="s">
        <v>250</v>
      </c>
      <c r="B289" s="161" t="s">
        <v>626</v>
      </c>
      <c r="C289" s="67" t="s">
        <v>18</v>
      </c>
      <c r="D289" s="67">
        <f t="shared" si="32"/>
        <v>2</v>
      </c>
      <c r="E289" s="68">
        <v>29.6</v>
      </c>
      <c r="F289" s="74">
        <v>53.7</v>
      </c>
      <c r="G289" s="68">
        <v>61.28</v>
      </c>
      <c r="H289" s="69">
        <f t="shared" si="29"/>
        <v>59.2</v>
      </c>
    </row>
    <row r="290" spans="1:8" s="234" customFormat="1" ht="28.8">
      <c r="A290" s="206" t="s">
        <v>251</v>
      </c>
      <c r="B290" s="161" t="s">
        <v>627</v>
      </c>
      <c r="C290" s="67" t="s">
        <v>18</v>
      </c>
      <c r="D290" s="67">
        <f t="shared" si="32"/>
        <v>2</v>
      </c>
      <c r="E290" s="68">
        <v>36</v>
      </c>
      <c r="F290" s="69">
        <v>50.6</v>
      </c>
      <c r="G290" s="68">
        <v>54.6</v>
      </c>
      <c r="H290" s="69">
        <f t="shared" si="29"/>
        <v>72</v>
      </c>
    </row>
    <row r="291" spans="1:8" s="234" customFormat="1" ht="28.8">
      <c r="A291" s="206" t="s">
        <v>252</v>
      </c>
      <c r="B291" s="161" t="s">
        <v>552</v>
      </c>
      <c r="C291" s="67" t="s">
        <v>18</v>
      </c>
      <c r="D291" s="67">
        <f t="shared" si="32"/>
        <v>2</v>
      </c>
      <c r="E291" s="68">
        <v>140.54</v>
      </c>
      <c r="F291" s="69">
        <v>186.8</v>
      </c>
      <c r="G291" s="68">
        <v>341.8</v>
      </c>
      <c r="H291" s="69">
        <f t="shared" si="29"/>
        <v>281.08</v>
      </c>
    </row>
    <row r="292" spans="1:8" s="234" customFormat="1">
      <c r="A292" s="299" t="s">
        <v>253</v>
      </c>
      <c r="B292" s="300"/>
      <c r="C292" s="301"/>
      <c r="D292" s="300"/>
      <c r="E292" s="302"/>
      <c r="F292" s="302"/>
      <c r="G292" s="302"/>
      <c r="H292" s="306">
        <f>SUM(H255:H291)</f>
        <v>304329.58</v>
      </c>
    </row>
    <row r="293" spans="1:8" s="234" customFormat="1" ht="28.8">
      <c r="A293" s="224" t="s">
        <v>257</v>
      </c>
      <c r="B293" s="225" t="s">
        <v>258</v>
      </c>
      <c r="C293" s="226" t="s">
        <v>7</v>
      </c>
      <c r="D293" s="226" t="s">
        <v>8</v>
      </c>
      <c r="E293" s="227" t="s">
        <v>410</v>
      </c>
      <c r="F293" s="227" t="s">
        <v>408</v>
      </c>
      <c r="G293" s="227" t="s">
        <v>409</v>
      </c>
      <c r="H293" s="228" t="s">
        <v>9</v>
      </c>
    </row>
    <row r="294" spans="1:8" ht="28.8">
      <c r="A294" s="206" t="s">
        <v>259</v>
      </c>
      <c r="B294" s="151" t="s">
        <v>262</v>
      </c>
      <c r="C294" s="67" t="s">
        <v>13</v>
      </c>
      <c r="D294" s="67">
        <v>12</v>
      </c>
      <c r="E294" s="251">
        <f>(2825.54*97%)+2825.54</f>
        <v>5566.3137999999999</v>
      </c>
      <c r="F294" s="249">
        <f>(2942.99*97%)+2942.99</f>
        <v>5797.6902999999993</v>
      </c>
      <c r="G294" s="250">
        <f>(3397*97%)+3397</f>
        <v>6692.09</v>
      </c>
      <c r="H294" s="69">
        <f>E294*D294</f>
        <v>66795.765599999999</v>
      </c>
    </row>
    <row r="295" spans="1:8" s="234" customFormat="1" ht="28.8">
      <c r="A295" s="206" t="s">
        <v>261</v>
      </c>
      <c r="B295" s="151" t="s">
        <v>401</v>
      </c>
      <c r="C295" s="67" t="s">
        <v>13</v>
      </c>
      <c r="D295" s="67">
        <v>12</v>
      </c>
      <c r="E295" s="68">
        <f>(1412*97%)+1412</f>
        <v>2781.64</v>
      </c>
      <c r="F295" s="69">
        <f>(1454*97%)+1454</f>
        <v>2864.38</v>
      </c>
      <c r="G295" s="68">
        <f>(1700*97%)+1700</f>
        <v>3349</v>
      </c>
      <c r="H295" s="69">
        <f>D295*E295</f>
        <v>33379.68</v>
      </c>
    </row>
    <row r="296" spans="1:8" s="234" customFormat="1" ht="28.8">
      <c r="A296" s="206" t="s">
        <v>263</v>
      </c>
      <c r="B296" s="151" t="s">
        <v>515</v>
      </c>
      <c r="C296" s="67" t="s">
        <v>15</v>
      </c>
      <c r="D296" s="67">
        <f t="shared" ref="D296:D297" si="33">20*2*12</f>
        <v>480</v>
      </c>
      <c r="E296" s="68">
        <v>32</v>
      </c>
      <c r="F296" s="69">
        <v>32</v>
      </c>
      <c r="G296" s="68">
        <v>35</v>
      </c>
      <c r="H296" s="69">
        <f t="shared" ref="H296:H339" si="34">E296*D296</f>
        <v>15360</v>
      </c>
    </row>
    <row r="297" spans="1:8" s="234" customFormat="1">
      <c r="A297" s="193" t="s">
        <v>265</v>
      </c>
      <c r="B297" s="194" t="s">
        <v>574</v>
      </c>
      <c r="C297" s="195" t="s">
        <v>15</v>
      </c>
      <c r="D297" s="195">
        <f t="shared" si="33"/>
        <v>480</v>
      </c>
      <c r="E297" s="196">
        <v>8</v>
      </c>
      <c r="F297" s="197">
        <v>8.6</v>
      </c>
      <c r="G297" s="196">
        <v>9</v>
      </c>
      <c r="H297" s="197">
        <f t="shared" si="34"/>
        <v>3840</v>
      </c>
    </row>
    <row r="298" spans="1:8" s="234" customFormat="1" ht="28.8">
      <c r="A298" s="206" t="s">
        <v>266</v>
      </c>
      <c r="B298" s="151" t="s">
        <v>629</v>
      </c>
      <c r="C298" s="67" t="s">
        <v>18</v>
      </c>
      <c r="D298" s="67">
        <v>1</v>
      </c>
      <c r="E298" s="73">
        <v>1386</v>
      </c>
      <c r="F298" s="69">
        <v>1549</v>
      </c>
      <c r="G298" s="68">
        <v>1649.9</v>
      </c>
      <c r="H298" s="69">
        <f t="shared" si="34"/>
        <v>1386</v>
      </c>
    </row>
    <row r="299" spans="1:8">
      <c r="A299" s="206" t="s">
        <v>267</v>
      </c>
      <c r="B299" s="151" t="s">
        <v>462</v>
      </c>
      <c r="C299" s="67" t="s">
        <v>13</v>
      </c>
      <c r="D299" s="67">
        <v>12</v>
      </c>
      <c r="E299" s="68">
        <v>124.99</v>
      </c>
      <c r="F299" s="69">
        <v>142</v>
      </c>
      <c r="G299" s="68">
        <v>159.99</v>
      </c>
      <c r="H299" s="69">
        <f t="shared" si="34"/>
        <v>1499.8799999999999</v>
      </c>
    </row>
    <row r="300" spans="1:8" s="234" customFormat="1" ht="28.8">
      <c r="A300" s="206" t="s">
        <v>268</v>
      </c>
      <c r="B300" s="151" t="s">
        <v>628</v>
      </c>
      <c r="C300" s="67" t="s">
        <v>18</v>
      </c>
      <c r="D300" s="67">
        <v>1</v>
      </c>
      <c r="E300" s="73">
        <v>6459.11</v>
      </c>
      <c r="F300" s="68">
        <v>6686</v>
      </c>
      <c r="G300" s="69">
        <v>6892</v>
      </c>
      <c r="H300" s="69">
        <f t="shared" si="34"/>
        <v>6459.11</v>
      </c>
    </row>
    <row r="301" spans="1:8" s="234" customFormat="1">
      <c r="A301" s="206" t="s">
        <v>269</v>
      </c>
      <c r="B301" s="151" t="s">
        <v>630</v>
      </c>
      <c r="C301" s="67" t="s">
        <v>13</v>
      </c>
      <c r="D301" s="67">
        <v>12</v>
      </c>
      <c r="E301" s="68">
        <v>2850</v>
      </c>
      <c r="F301" s="69">
        <v>3768</v>
      </c>
      <c r="G301" s="69">
        <v>5367.02</v>
      </c>
      <c r="H301" s="69">
        <f t="shared" si="34"/>
        <v>34200</v>
      </c>
    </row>
    <row r="302" spans="1:8" s="234" customFormat="1">
      <c r="A302" s="193" t="s">
        <v>270</v>
      </c>
      <c r="B302" s="151" t="s">
        <v>490</v>
      </c>
      <c r="C302" s="67" t="s">
        <v>15</v>
      </c>
      <c r="D302" s="67">
        <v>3</v>
      </c>
      <c r="E302" s="70">
        <v>300</v>
      </c>
      <c r="F302" s="74">
        <v>600</v>
      </c>
      <c r="G302" s="70">
        <v>975</v>
      </c>
      <c r="H302" s="69">
        <f t="shared" si="34"/>
        <v>900</v>
      </c>
    </row>
    <row r="303" spans="1:8" s="234" customFormat="1" ht="28.8">
      <c r="A303" s="206" t="s">
        <v>271</v>
      </c>
      <c r="B303" s="151" t="s">
        <v>631</v>
      </c>
      <c r="C303" s="67" t="s">
        <v>15</v>
      </c>
      <c r="D303" s="67">
        <v>1</v>
      </c>
      <c r="E303" s="68">
        <v>144.9</v>
      </c>
      <c r="F303" s="74">
        <v>0</v>
      </c>
      <c r="G303" s="68">
        <v>265</v>
      </c>
      <c r="H303" s="69">
        <f t="shared" si="34"/>
        <v>144.9</v>
      </c>
    </row>
    <row r="304" spans="1:8" s="234" customFormat="1" ht="28.8">
      <c r="A304" s="206" t="s">
        <v>272</v>
      </c>
      <c r="B304" s="151" t="s">
        <v>632</v>
      </c>
      <c r="C304" s="67" t="s">
        <v>13</v>
      </c>
      <c r="D304" s="67">
        <v>12</v>
      </c>
      <c r="E304" s="68">
        <v>49.9</v>
      </c>
      <c r="F304" s="74">
        <v>60</v>
      </c>
      <c r="G304" s="68">
        <v>65.900000000000006</v>
      </c>
      <c r="H304" s="69">
        <f t="shared" si="34"/>
        <v>598.79999999999995</v>
      </c>
    </row>
    <row r="305" spans="1:8" s="234" customFormat="1" ht="28.8">
      <c r="A305" s="206" t="s">
        <v>273</v>
      </c>
      <c r="B305" s="151" t="s">
        <v>633</v>
      </c>
      <c r="C305" s="67" t="s">
        <v>108</v>
      </c>
      <c r="D305" s="67">
        <f>55*4*12</f>
        <v>2640</v>
      </c>
      <c r="E305" s="256">
        <v>6.08</v>
      </c>
      <c r="F305" s="69">
        <v>6.09</v>
      </c>
      <c r="G305" s="68">
        <v>6.35</v>
      </c>
      <c r="H305" s="69">
        <f t="shared" si="34"/>
        <v>16051.2</v>
      </c>
    </row>
    <row r="306" spans="1:8" s="234" customFormat="1">
      <c r="A306" s="206" t="s">
        <v>274</v>
      </c>
      <c r="B306" s="151" t="s">
        <v>634</v>
      </c>
      <c r="C306" s="67" t="s">
        <v>18</v>
      </c>
      <c r="D306" s="67">
        <v>2</v>
      </c>
      <c r="E306" s="68">
        <v>99.86</v>
      </c>
      <c r="F306" s="69">
        <v>109.49</v>
      </c>
      <c r="G306" s="73">
        <v>211.19</v>
      </c>
      <c r="H306" s="69">
        <f t="shared" si="34"/>
        <v>199.72</v>
      </c>
    </row>
    <row r="307" spans="1:8" s="234" customFormat="1" ht="28.8">
      <c r="A307" s="206" t="s">
        <v>275</v>
      </c>
      <c r="B307" s="252" t="s">
        <v>469</v>
      </c>
      <c r="C307" s="67" t="s">
        <v>18</v>
      </c>
      <c r="D307" s="67">
        <f>6*2</f>
        <v>12</v>
      </c>
      <c r="E307" s="68">
        <v>60</v>
      </c>
      <c r="F307" s="68">
        <v>65</v>
      </c>
      <c r="G307" s="69">
        <v>70</v>
      </c>
      <c r="H307" s="69">
        <f t="shared" si="34"/>
        <v>720</v>
      </c>
    </row>
    <row r="308" spans="1:8" s="234" customFormat="1" ht="28.8">
      <c r="A308" s="206" t="s">
        <v>276</v>
      </c>
      <c r="B308" s="252" t="s">
        <v>501</v>
      </c>
      <c r="C308" s="67" t="s">
        <v>18</v>
      </c>
      <c r="D308" s="67">
        <v>12</v>
      </c>
      <c r="E308" s="68">
        <v>25</v>
      </c>
      <c r="F308" s="68">
        <v>40</v>
      </c>
      <c r="G308" s="69">
        <v>43</v>
      </c>
      <c r="H308" s="69">
        <f t="shared" si="34"/>
        <v>300</v>
      </c>
    </row>
    <row r="309" spans="1:8" s="234" customFormat="1" ht="28.8">
      <c r="A309" s="206" t="s">
        <v>277</v>
      </c>
      <c r="B309" s="151" t="s">
        <v>617</v>
      </c>
      <c r="C309" s="67" t="s">
        <v>18</v>
      </c>
      <c r="D309" s="213">
        <f t="shared" ref="D309:D311" si="35">2*2</f>
        <v>4</v>
      </c>
      <c r="E309" s="73">
        <v>122</v>
      </c>
      <c r="F309" s="232">
        <v>170.91</v>
      </c>
      <c r="G309" s="73">
        <v>185</v>
      </c>
      <c r="H309" s="69">
        <f t="shared" si="34"/>
        <v>488</v>
      </c>
    </row>
    <row r="310" spans="1:8" s="234" customFormat="1" ht="28.8">
      <c r="A310" s="206" t="s">
        <v>278</v>
      </c>
      <c r="B310" s="151" t="s">
        <v>527</v>
      </c>
      <c r="C310" s="67" t="s">
        <v>18</v>
      </c>
      <c r="D310" s="67">
        <f t="shared" si="35"/>
        <v>4</v>
      </c>
      <c r="E310" s="73">
        <v>21.8</v>
      </c>
      <c r="F310" s="232">
        <v>36</v>
      </c>
      <c r="G310" s="73">
        <v>46.9</v>
      </c>
      <c r="H310" s="69">
        <f t="shared" si="34"/>
        <v>87.2</v>
      </c>
    </row>
    <row r="311" spans="1:8" s="234" customFormat="1" ht="28.8">
      <c r="A311" s="206" t="s">
        <v>279</v>
      </c>
      <c r="B311" s="254" t="s">
        <v>528</v>
      </c>
      <c r="C311" s="67" t="s">
        <v>18</v>
      </c>
      <c r="D311" s="67">
        <f t="shared" si="35"/>
        <v>4</v>
      </c>
      <c r="E311" s="73">
        <v>13.93</v>
      </c>
      <c r="F311" s="232">
        <v>15.71</v>
      </c>
      <c r="G311" s="73">
        <v>22.5</v>
      </c>
      <c r="H311" s="69">
        <f t="shared" si="34"/>
        <v>55.72</v>
      </c>
    </row>
    <row r="312" spans="1:8" s="234" customFormat="1" ht="28.8">
      <c r="A312" s="206" t="s">
        <v>280</v>
      </c>
      <c r="B312" s="151" t="s">
        <v>529</v>
      </c>
      <c r="C312" s="67" t="s">
        <v>18</v>
      </c>
      <c r="D312" s="213">
        <f>2*2*12</f>
        <v>48</v>
      </c>
      <c r="E312" s="73">
        <v>12.4</v>
      </c>
      <c r="F312" s="232">
        <v>13.5</v>
      </c>
      <c r="G312" s="73">
        <v>20.260000000000002</v>
      </c>
      <c r="H312" s="69">
        <f t="shared" si="34"/>
        <v>595.20000000000005</v>
      </c>
    </row>
    <row r="313" spans="1:8" s="234" customFormat="1">
      <c r="A313" s="206" t="s">
        <v>281</v>
      </c>
      <c r="B313" s="255" t="s">
        <v>619</v>
      </c>
      <c r="C313" s="67" t="s">
        <v>18</v>
      </c>
      <c r="D313" s="213">
        <f>2*12</f>
        <v>24</v>
      </c>
      <c r="E313" s="73">
        <v>160</v>
      </c>
      <c r="F313" s="232">
        <v>163</v>
      </c>
      <c r="G313" s="73">
        <v>193.63</v>
      </c>
      <c r="H313" s="69">
        <f t="shared" si="34"/>
        <v>3840</v>
      </c>
    </row>
    <row r="314" spans="1:8" s="234" customFormat="1" ht="28.8">
      <c r="A314" s="206" t="s">
        <v>384</v>
      </c>
      <c r="B314" s="161" t="s">
        <v>474</v>
      </c>
      <c r="C314" s="67" t="s">
        <v>18</v>
      </c>
      <c r="D314" s="67">
        <v>2</v>
      </c>
      <c r="E314" s="73">
        <v>35</v>
      </c>
      <c r="F314" s="232">
        <v>41.4</v>
      </c>
      <c r="G314" s="73">
        <v>168.26</v>
      </c>
      <c r="H314" s="69">
        <f t="shared" si="34"/>
        <v>70</v>
      </c>
    </row>
    <row r="315" spans="1:8" s="234" customFormat="1">
      <c r="A315" s="206" t="s">
        <v>385</v>
      </c>
      <c r="B315" s="255" t="s">
        <v>475</v>
      </c>
      <c r="C315" s="67" t="s">
        <v>18</v>
      </c>
      <c r="D315" s="67">
        <v>2</v>
      </c>
      <c r="E315" s="73">
        <v>41.4</v>
      </c>
      <c r="F315" s="232">
        <v>42.23</v>
      </c>
      <c r="G315" s="73">
        <v>50</v>
      </c>
      <c r="H315" s="69">
        <f t="shared" si="34"/>
        <v>82.8</v>
      </c>
    </row>
    <row r="316" spans="1:8" s="234" customFormat="1">
      <c r="A316" s="206" t="s">
        <v>282</v>
      </c>
      <c r="B316" s="151" t="s">
        <v>621</v>
      </c>
      <c r="C316" s="67" t="s">
        <v>18</v>
      </c>
      <c r="D316" s="67">
        <v>2</v>
      </c>
      <c r="E316" s="73">
        <v>26.5</v>
      </c>
      <c r="F316" s="232">
        <v>61.9</v>
      </c>
      <c r="G316" s="73">
        <v>83.6</v>
      </c>
      <c r="H316" s="69">
        <f t="shared" si="34"/>
        <v>53</v>
      </c>
    </row>
    <row r="317" spans="1:8" ht="28.8">
      <c r="A317" s="206" t="s">
        <v>283</v>
      </c>
      <c r="B317" s="151" t="s">
        <v>494</v>
      </c>
      <c r="C317" s="67" t="s">
        <v>18</v>
      </c>
      <c r="D317" s="67">
        <f t="shared" ref="D317:D318" si="36">2*2</f>
        <v>4</v>
      </c>
      <c r="E317" s="73">
        <v>27.9</v>
      </c>
      <c r="F317" s="232">
        <v>30</v>
      </c>
      <c r="G317" s="73">
        <v>32.229999999999997</v>
      </c>
      <c r="H317" s="69">
        <f t="shared" si="34"/>
        <v>111.6</v>
      </c>
    </row>
    <row r="318" spans="1:8" s="234" customFormat="1">
      <c r="A318" s="206" t="s">
        <v>284</v>
      </c>
      <c r="B318" s="151" t="s">
        <v>495</v>
      </c>
      <c r="C318" s="67" t="s">
        <v>18</v>
      </c>
      <c r="D318" s="213">
        <f t="shared" si="36"/>
        <v>4</v>
      </c>
      <c r="E318" s="68">
        <v>157.44</v>
      </c>
      <c r="F318" s="69">
        <v>184.26</v>
      </c>
      <c r="G318" s="68">
        <v>208.95</v>
      </c>
      <c r="H318" s="69">
        <f t="shared" si="34"/>
        <v>629.76</v>
      </c>
    </row>
    <row r="319" spans="1:8" s="234" customFormat="1">
      <c r="A319" s="206" t="s">
        <v>285</v>
      </c>
      <c r="B319" s="151" t="s">
        <v>496</v>
      </c>
      <c r="C319" s="67" t="s">
        <v>18</v>
      </c>
      <c r="D319" s="213">
        <f>4*2</f>
        <v>8</v>
      </c>
      <c r="E319" s="68">
        <v>33.729999999999997</v>
      </c>
      <c r="F319" s="69">
        <v>43.66</v>
      </c>
      <c r="G319" s="68">
        <v>72</v>
      </c>
      <c r="H319" s="69">
        <f t="shared" si="34"/>
        <v>269.83999999999997</v>
      </c>
    </row>
    <row r="320" spans="1:8" s="234" customFormat="1">
      <c r="A320" s="177" t="s">
        <v>286</v>
      </c>
      <c r="B320" s="151" t="s">
        <v>640</v>
      </c>
      <c r="C320" s="67" t="s">
        <v>18</v>
      </c>
      <c r="D320" s="67">
        <v>2</v>
      </c>
      <c r="E320" s="68">
        <v>197.13</v>
      </c>
      <c r="F320" s="69">
        <v>389.9</v>
      </c>
      <c r="G320" s="68">
        <v>389.9</v>
      </c>
      <c r="H320" s="69">
        <f t="shared" si="34"/>
        <v>394.26</v>
      </c>
    </row>
    <row r="321" spans="1:8" ht="28.8">
      <c r="A321" s="206" t="s">
        <v>287</v>
      </c>
      <c r="B321" s="151" t="s">
        <v>639</v>
      </c>
      <c r="C321" s="67" t="s">
        <v>18</v>
      </c>
      <c r="D321" s="67">
        <v>2</v>
      </c>
      <c r="E321" s="68">
        <v>54.06</v>
      </c>
      <c r="F321" s="69">
        <v>114.99</v>
      </c>
      <c r="G321" s="68">
        <v>125</v>
      </c>
      <c r="H321" s="69">
        <f t="shared" si="34"/>
        <v>108.12</v>
      </c>
    </row>
    <row r="322" spans="1:8" s="234" customFormat="1">
      <c r="A322" s="206" t="s">
        <v>288</v>
      </c>
      <c r="B322" s="151" t="s">
        <v>638</v>
      </c>
      <c r="C322" s="67" t="s">
        <v>18</v>
      </c>
      <c r="D322" s="67">
        <v>2</v>
      </c>
      <c r="E322" s="68">
        <v>5842.47</v>
      </c>
      <c r="F322" s="69">
        <v>6594.73</v>
      </c>
      <c r="G322" s="68">
        <v>7022.18</v>
      </c>
      <c r="H322" s="69">
        <f t="shared" si="34"/>
        <v>11684.94</v>
      </c>
    </row>
    <row r="323" spans="1:8" s="234" customFormat="1" ht="28.8">
      <c r="A323" s="206" t="s">
        <v>289</v>
      </c>
      <c r="B323" s="151" t="s">
        <v>637</v>
      </c>
      <c r="C323" s="67" t="s">
        <v>18</v>
      </c>
      <c r="D323" s="67">
        <v>2</v>
      </c>
      <c r="E323" s="68">
        <v>310</v>
      </c>
      <c r="F323" s="69">
        <v>345.99</v>
      </c>
      <c r="G323" s="68">
        <v>440</v>
      </c>
      <c r="H323" s="69">
        <f t="shared" si="34"/>
        <v>620</v>
      </c>
    </row>
    <row r="324" spans="1:8" s="234" customFormat="1">
      <c r="A324" s="206" t="s">
        <v>290</v>
      </c>
      <c r="B324" s="151" t="s">
        <v>636</v>
      </c>
      <c r="C324" s="67" t="s">
        <v>18</v>
      </c>
      <c r="D324" s="67">
        <v>2</v>
      </c>
      <c r="E324" s="68">
        <v>69</v>
      </c>
      <c r="F324" s="69">
        <v>74.2</v>
      </c>
      <c r="G324" s="68">
        <v>75.14</v>
      </c>
      <c r="H324" s="69">
        <f t="shared" si="34"/>
        <v>138</v>
      </c>
    </row>
    <row r="325" spans="1:8" s="234" customFormat="1">
      <c r="A325" s="206" t="s">
        <v>291</v>
      </c>
      <c r="B325" s="151" t="s">
        <v>635</v>
      </c>
      <c r="C325" s="67" t="s">
        <v>18</v>
      </c>
      <c r="D325" s="67">
        <v>2</v>
      </c>
      <c r="E325" s="68">
        <v>14.8</v>
      </c>
      <c r="F325" s="69">
        <v>15.18</v>
      </c>
      <c r="G325" s="68">
        <v>16.899999999999999</v>
      </c>
      <c r="H325" s="69">
        <f t="shared" si="34"/>
        <v>29.6</v>
      </c>
    </row>
    <row r="326" spans="1:8">
      <c r="A326" s="206" t="s">
        <v>292</v>
      </c>
      <c r="B326" s="161" t="s">
        <v>626</v>
      </c>
      <c r="C326" s="67" t="s">
        <v>18</v>
      </c>
      <c r="D326" s="67">
        <v>2</v>
      </c>
      <c r="E326" s="68">
        <v>29.6</v>
      </c>
      <c r="F326" s="74">
        <v>53.7</v>
      </c>
      <c r="G326" s="68">
        <v>61.28</v>
      </c>
      <c r="H326" s="69">
        <f t="shared" si="34"/>
        <v>59.2</v>
      </c>
    </row>
    <row r="327" spans="1:8" s="234" customFormat="1">
      <c r="A327" s="206" t="s">
        <v>293</v>
      </c>
      <c r="B327" s="151" t="s">
        <v>719</v>
      </c>
      <c r="C327" s="67" t="s">
        <v>18</v>
      </c>
      <c r="D327" s="67">
        <v>2300</v>
      </c>
      <c r="E327" s="68">
        <v>14</v>
      </c>
      <c r="F327" s="69">
        <v>14</v>
      </c>
      <c r="G327" s="68">
        <v>18.2</v>
      </c>
      <c r="H327" s="69">
        <f t="shared" si="34"/>
        <v>32200</v>
      </c>
    </row>
    <row r="328" spans="1:8" s="234" customFormat="1">
      <c r="A328" s="206" t="s">
        <v>294</v>
      </c>
      <c r="B328" s="151" t="s">
        <v>302</v>
      </c>
      <c r="C328" s="67" t="s">
        <v>18</v>
      </c>
      <c r="D328" s="67">
        <v>600</v>
      </c>
      <c r="E328" s="68">
        <v>29.92</v>
      </c>
      <c r="F328" s="69">
        <v>44</v>
      </c>
      <c r="G328" s="68">
        <v>73.44</v>
      </c>
      <c r="H328" s="69">
        <f t="shared" si="34"/>
        <v>17952</v>
      </c>
    </row>
    <row r="329" spans="1:8" s="234" customFormat="1">
      <c r="A329" s="206" t="s">
        <v>295</v>
      </c>
      <c r="B329" s="161" t="s">
        <v>642</v>
      </c>
      <c r="C329" s="75" t="s">
        <v>110</v>
      </c>
      <c r="D329" s="67">
        <v>10</v>
      </c>
      <c r="E329" s="68">
        <v>20</v>
      </c>
      <c r="F329" s="69">
        <v>27.46</v>
      </c>
      <c r="G329" s="68">
        <v>35</v>
      </c>
      <c r="H329" s="69">
        <f t="shared" si="34"/>
        <v>200</v>
      </c>
    </row>
    <row r="330" spans="1:8" s="234" customFormat="1">
      <c r="A330" s="206" t="s">
        <v>296</v>
      </c>
      <c r="B330" s="161" t="s">
        <v>643</v>
      </c>
      <c r="C330" s="75" t="s">
        <v>103</v>
      </c>
      <c r="D330" s="67">
        <v>10</v>
      </c>
      <c r="E330" s="68">
        <v>36.200000000000003</v>
      </c>
      <c r="F330" s="69">
        <v>45.25</v>
      </c>
      <c r="G330" s="68">
        <v>52.49</v>
      </c>
      <c r="H330" s="69">
        <f t="shared" si="34"/>
        <v>362</v>
      </c>
    </row>
    <row r="331" spans="1:8" s="234" customFormat="1">
      <c r="A331" s="206" t="s">
        <v>297</v>
      </c>
      <c r="B331" s="161" t="s">
        <v>644</v>
      </c>
      <c r="C331" s="75" t="s">
        <v>18</v>
      </c>
      <c r="D331" s="213">
        <v>2</v>
      </c>
      <c r="E331" s="68">
        <v>120</v>
      </c>
      <c r="F331" s="69">
        <v>150</v>
      </c>
      <c r="G331" s="68">
        <v>156</v>
      </c>
      <c r="H331" s="69">
        <f t="shared" si="34"/>
        <v>240</v>
      </c>
    </row>
    <row r="332" spans="1:8" s="234" customFormat="1">
      <c r="A332" s="206" t="s">
        <v>298</v>
      </c>
      <c r="B332" s="161" t="s">
        <v>645</v>
      </c>
      <c r="C332" s="75" t="s">
        <v>18</v>
      </c>
      <c r="D332" s="213">
        <v>2</v>
      </c>
      <c r="E332" s="68">
        <v>15.18</v>
      </c>
      <c r="F332" s="69">
        <v>18.899999999999999</v>
      </c>
      <c r="G332" s="68">
        <v>19.73</v>
      </c>
      <c r="H332" s="69">
        <f t="shared" si="34"/>
        <v>30.36</v>
      </c>
    </row>
    <row r="333" spans="1:8" s="234" customFormat="1">
      <c r="A333" s="206" t="s">
        <v>299</v>
      </c>
      <c r="B333" s="151" t="s">
        <v>497</v>
      </c>
      <c r="C333" s="67" t="s">
        <v>68</v>
      </c>
      <c r="D333" s="67">
        <v>1</v>
      </c>
      <c r="E333" s="276">
        <v>34.9</v>
      </c>
      <c r="F333" s="207">
        <v>45.9</v>
      </c>
      <c r="G333" s="70">
        <v>48.62</v>
      </c>
      <c r="H333" s="69">
        <f t="shared" si="34"/>
        <v>34.9</v>
      </c>
    </row>
    <row r="334" spans="1:8" s="234" customFormat="1">
      <c r="A334" s="206" t="s">
        <v>300</v>
      </c>
      <c r="B334" s="151" t="s">
        <v>498</v>
      </c>
      <c r="C334" s="67" t="s">
        <v>18</v>
      </c>
      <c r="D334" s="213">
        <v>2</v>
      </c>
      <c r="E334" s="68">
        <v>14.18</v>
      </c>
      <c r="F334" s="69">
        <v>17.5</v>
      </c>
      <c r="G334" s="68">
        <v>55.9</v>
      </c>
      <c r="H334" s="69">
        <f t="shared" si="34"/>
        <v>28.36</v>
      </c>
    </row>
    <row r="335" spans="1:8" s="234" customFormat="1">
      <c r="A335" s="206" t="s">
        <v>301</v>
      </c>
      <c r="B335" s="151" t="s">
        <v>646</v>
      </c>
      <c r="C335" s="67" t="s">
        <v>18</v>
      </c>
      <c r="D335" s="67">
        <v>10</v>
      </c>
      <c r="E335" s="73">
        <v>15.5</v>
      </c>
      <c r="F335" s="232">
        <v>24.2</v>
      </c>
      <c r="G335" s="73">
        <v>29.9</v>
      </c>
      <c r="H335" s="69">
        <f t="shared" si="34"/>
        <v>155</v>
      </c>
    </row>
    <row r="336" spans="1:8" s="234" customFormat="1">
      <c r="A336" s="206" t="s">
        <v>303</v>
      </c>
      <c r="B336" s="208" t="s">
        <v>647</v>
      </c>
      <c r="C336" s="67" t="s">
        <v>68</v>
      </c>
      <c r="D336" s="67">
        <v>1</v>
      </c>
      <c r="E336" s="70">
        <v>7.2</v>
      </c>
      <c r="F336" s="74">
        <v>7.36</v>
      </c>
      <c r="G336" s="73">
        <v>17.8</v>
      </c>
      <c r="H336" s="69">
        <f t="shared" si="34"/>
        <v>7.2</v>
      </c>
    </row>
    <row r="337" spans="1:8" s="234" customFormat="1">
      <c r="A337" s="206" t="s">
        <v>304</v>
      </c>
      <c r="B337" s="208" t="s">
        <v>648</v>
      </c>
      <c r="C337" s="67" t="s">
        <v>103</v>
      </c>
      <c r="D337" s="67">
        <v>5</v>
      </c>
      <c r="E337" s="68">
        <v>14.75</v>
      </c>
      <c r="F337" s="69">
        <v>17.899999999999999</v>
      </c>
      <c r="G337" s="68">
        <v>21.99</v>
      </c>
      <c r="H337" s="69">
        <f t="shared" si="34"/>
        <v>73.75</v>
      </c>
    </row>
    <row r="338" spans="1:8" s="305" customFormat="1">
      <c r="A338" s="206" t="s">
        <v>305</v>
      </c>
      <c r="B338" s="208" t="s">
        <v>649</v>
      </c>
      <c r="C338" s="67" t="s">
        <v>103</v>
      </c>
      <c r="D338" s="67">
        <v>2</v>
      </c>
      <c r="E338" s="68">
        <v>5.82</v>
      </c>
      <c r="F338" s="69">
        <v>10.039999999999999</v>
      </c>
      <c r="G338" s="68">
        <v>12.68</v>
      </c>
      <c r="H338" s="69">
        <f t="shared" si="34"/>
        <v>11.64</v>
      </c>
    </row>
    <row r="339" spans="1:8" s="234" customFormat="1">
      <c r="A339" s="206" t="s">
        <v>306</v>
      </c>
      <c r="B339" s="208" t="s">
        <v>650</v>
      </c>
      <c r="C339" s="67" t="s">
        <v>68</v>
      </c>
      <c r="D339" s="67">
        <v>4</v>
      </c>
      <c r="E339" s="68">
        <v>42.67</v>
      </c>
      <c r="F339" s="68">
        <v>48.67</v>
      </c>
      <c r="G339" s="69">
        <v>68.63</v>
      </c>
      <c r="H339" s="69">
        <f t="shared" si="34"/>
        <v>170.68</v>
      </c>
    </row>
    <row r="340" spans="1:8" s="234" customFormat="1">
      <c r="A340" s="299" t="s">
        <v>310</v>
      </c>
      <c r="B340" s="300"/>
      <c r="C340" s="301"/>
      <c r="D340" s="300"/>
      <c r="E340" s="302"/>
      <c r="F340" s="302"/>
      <c r="G340" s="302"/>
      <c r="H340" s="303">
        <f>SUM(H294:H339)</f>
        <v>252618.18560000006</v>
      </c>
    </row>
    <row r="341" spans="1:8" s="234" customFormat="1">
      <c r="A341" s="224" t="s">
        <v>311</v>
      </c>
      <c r="B341" s="225" t="s">
        <v>312</v>
      </c>
      <c r="C341" s="226" t="s">
        <v>7</v>
      </c>
      <c r="D341" s="226" t="s">
        <v>8</v>
      </c>
      <c r="E341" s="227" t="s">
        <v>410</v>
      </c>
      <c r="F341" s="227" t="s">
        <v>408</v>
      </c>
      <c r="G341" s="227" t="s">
        <v>409</v>
      </c>
      <c r="H341" s="259" t="s">
        <v>9</v>
      </c>
    </row>
    <row r="342" spans="1:8" s="234" customFormat="1" ht="28.8">
      <c r="A342" s="206" t="s">
        <v>313</v>
      </c>
      <c r="B342" s="151" t="s">
        <v>314</v>
      </c>
      <c r="C342" s="67" t="s">
        <v>13</v>
      </c>
      <c r="D342" s="67">
        <v>17</v>
      </c>
      <c r="E342" s="251">
        <f>(2825.54*97%)+2825.54</f>
        <v>5566.3137999999999</v>
      </c>
      <c r="F342" s="249">
        <f>(2942.99*97%)+2942.99</f>
        <v>5797.6902999999993</v>
      </c>
      <c r="G342" s="68">
        <f>(1700*97%)+1700</f>
        <v>3349</v>
      </c>
      <c r="H342" s="69">
        <f>E342*D342</f>
        <v>94627.334600000002</v>
      </c>
    </row>
    <row r="343" spans="1:8" s="234" customFormat="1" ht="28.8">
      <c r="A343" s="206" t="s">
        <v>315</v>
      </c>
      <c r="B343" s="151" t="s">
        <v>316</v>
      </c>
      <c r="C343" s="67" t="s">
        <v>13</v>
      </c>
      <c r="D343" s="67">
        <v>17</v>
      </c>
      <c r="E343" s="68">
        <f>(1412*97%)+1412</f>
        <v>2781.64</v>
      </c>
      <c r="F343" s="69">
        <f>(1454*97%)+1454</f>
        <v>2864.38</v>
      </c>
      <c r="G343" s="68">
        <f>(1700*97%)+1700</f>
        <v>3349</v>
      </c>
      <c r="H343" s="69">
        <f>E343*D343*4</f>
        <v>189151.52</v>
      </c>
    </row>
    <row r="344" spans="1:8" s="234" customFormat="1" ht="28.8">
      <c r="A344" s="206" t="s">
        <v>317</v>
      </c>
      <c r="B344" s="151" t="s">
        <v>515</v>
      </c>
      <c r="C344" s="67" t="s">
        <v>15</v>
      </c>
      <c r="D344" s="67">
        <f t="shared" ref="D344:D345" si="37">20*5*17</f>
        <v>1700</v>
      </c>
      <c r="E344" s="68">
        <v>32</v>
      </c>
      <c r="F344" s="69">
        <v>32</v>
      </c>
      <c r="G344" s="68">
        <v>35</v>
      </c>
      <c r="H344" s="69">
        <f t="shared" ref="H344:H408" si="38">E344*D344</f>
        <v>54400</v>
      </c>
    </row>
    <row r="345" spans="1:8" s="234" customFormat="1">
      <c r="A345" s="206" t="s">
        <v>318</v>
      </c>
      <c r="B345" s="151" t="s">
        <v>574</v>
      </c>
      <c r="C345" s="67" t="s">
        <v>15</v>
      </c>
      <c r="D345" s="67">
        <f t="shared" si="37"/>
        <v>1700</v>
      </c>
      <c r="E345" s="68">
        <v>8</v>
      </c>
      <c r="F345" s="69">
        <v>8.6</v>
      </c>
      <c r="G345" s="68">
        <v>9</v>
      </c>
      <c r="H345" s="69">
        <f t="shared" si="38"/>
        <v>13600</v>
      </c>
    </row>
    <row r="346" spans="1:8" s="234" customFormat="1" ht="43.2">
      <c r="A346" s="206" t="s">
        <v>319</v>
      </c>
      <c r="B346" s="151" t="s">
        <v>651</v>
      </c>
      <c r="C346" s="67" t="s">
        <v>18</v>
      </c>
      <c r="D346" s="67">
        <v>1</v>
      </c>
      <c r="E346" s="73">
        <v>1849.77</v>
      </c>
      <c r="F346" s="232">
        <v>2899</v>
      </c>
      <c r="G346" s="68">
        <v>3199</v>
      </c>
      <c r="H346" s="69">
        <f t="shared" si="38"/>
        <v>1849.77</v>
      </c>
    </row>
    <row r="347" spans="1:8" s="234" customFormat="1" ht="28.8">
      <c r="A347" s="206" t="s">
        <v>320</v>
      </c>
      <c r="B347" s="151" t="s">
        <v>567</v>
      </c>
      <c r="C347" s="67" t="s">
        <v>18</v>
      </c>
      <c r="D347" s="67">
        <v>1</v>
      </c>
      <c r="E347" s="73">
        <v>169.9</v>
      </c>
      <c r="F347" s="232">
        <v>189</v>
      </c>
      <c r="G347" s="68">
        <v>197.59</v>
      </c>
      <c r="H347" s="265">
        <f t="shared" si="38"/>
        <v>169.9</v>
      </c>
    </row>
    <row r="348" spans="1:8" s="234" customFormat="1" ht="28.8">
      <c r="A348" s="206" t="s">
        <v>321</v>
      </c>
      <c r="B348" s="151" t="s">
        <v>652</v>
      </c>
      <c r="C348" s="67" t="s">
        <v>18</v>
      </c>
      <c r="D348" s="67">
        <v>1</v>
      </c>
      <c r="E348" s="73">
        <v>1386</v>
      </c>
      <c r="F348" s="232">
        <v>1549</v>
      </c>
      <c r="G348" s="68">
        <v>1649.9</v>
      </c>
      <c r="H348" s="69">
        <f t="shared" si="38"/>
        <v>1386</v>
      </c>
    </row>
    <row r="349" spans="1:8" s="234" customFormat="1">
      <c r="A349" s="206" t="s">
        <v>322</v>
      </c>
      <c r="B349" s="151" t="s">
        <v>462</v>
      </c>
      <c r="C349" s="67" t="s">
        <v>13</v>
      </c>
      <c r="D349" s="67">
        <v>17</v>
      </c>
      <c r="E349" s="73">
        <v>124.99</v>
      </c>
      <c r="F349" s="232">
        <v>142</v>
      </c>
      <c r="G349" s="68">
        <v>159.99</v>
      </c>
      <c r="H349" s="69">
        <f t="shared" si="38"/>
        <v>2124.83</v>
      </c>
    </row>
    <row r="350" spans="1:8" s="234" customFormat="1" ht="28.8">
      <c r="A350" s="206" t="s">
        <v>323</v>
      </c>
      <c r="B350" s="151" t="s">
        <v>653</v>
      </c>
      <c r="C350" s="67" t="s">
        <v>18</v>
      </c>
      <c r="D350" s="67">
        <v>8</v>
      </c>
      <c r="E350" s="68">
        <v>125.75</v>
      </c>
      <c r="F350" s="69">
        <v>150.72999999999999</v>
      </c>
      <c r="G350" s="68">
        <v>179.39</v>
      </c>
      <c r="H350" s="69">
        <f t="shared" si="38"/>
        <v>1006</v>
      </c>
    </row>
    <row r="351" spans="1:8" s="234" customFormat="1">
      <c r="A351" s="206" t="s">
        <v>324</v>
      </c>
      <c r="B351" s="151" t="s">
        <v>576</v>
      </c>
      <c r="C351" s="67" t="s">
        <v>13</v>
      </c>
      <c r="D351" s="67">
        <v>17</v>
      </c>
      <c r="E351" s="73">
        <v>7950</v>
      </c>
      <c r="F351" s="73">
        <v>8763.6</v>
      </c>
      <c r="G351" s="232">
        <v>9350</v>
      </c>
      <c r="H351" s="69">
        <f t="shared" si="38"/>
        <v>135150</v>
      </c>
    </row>
    <row r="352" spans="1:8" s="234" customFormat="1">
      <c r="A352" s="206" t="s">
        <v>325</v>
      </c>
      <c r="B352" s="151" t="s">
        <v>490</v>
      </c>
      <c r="C352" s="67" t="s">
        <v>15</v>
      </c>
      <c r="D352" s="67">
        <v>1</v>
      </c>
      <c r="E352" s="73">
        <v>300</v>
      </c>
      <c r="F352" s="232">
        <v>600</v>
      </c>
      <c r="G352" s="73">
        <v>975</v>
      </c>
      <c r="H352" s="69">
        <f t="shared" si="38"/>
        <v>300</v>
      </c>
    </row>
    <row r="353" spans="1:8" s="234" customFormat="1" ht="28.8">
      <c r="A353" s="206" t="s">
        <v>326</v>
      </c>
      <c r="B353" s="151" t="s">
        <v>631</v>
      </c>
      <c r="C353" s="67" t="s">
        <v>15</v>
      </c>
      <c r="D353" s="67">
        <v>17</v>
      </c>
      <c r="E353" s="73">
        <v>144.9</v>
      </c>
      <c r="F353" s="232">
        <v>0</v>
      </c>
      <c r="G353" s="73">
        <v>265</v>
      </c>
      <c r="H353" s="69">
        <f t="shared" si="38"/>
        <v>2463.3000000000002</v>
      </c>
    </row>
    <row r="354" spans="1:8" s="234" customFormat="1" ht="28.8">
      <c r="A354" s="206" t="s">
        <v>327</v>
      </c>
      <c r="B354" s="151" t="s">
        <v>654</v>
      </c>
      <c r="C354" s="67" t="s">
        <v>13</v>
      </c>
      <c r="D354" s="67">
        <v>17</v>
      </c>
      <c r="E354" s="73">
        <v>49.9</v>
      </c>
      <c r="F354" s="232">
        <v>60</v>
      </c>
      <c r="G354" s="73">
        <v>65.900000000000006</v>
      </c>
      <c r="H354" s="69">
        <f t="shared" si="38"/>
        <v>848.3</v>
      </c>
    </row>
    <row r="355" spans="1:8" s="234" customFormat="1" ht="28.8">
      <c r="A355" s="206" t="s">
        <v>328</v>
      </c>
      <c r="B355" s="151" t="s">
        <v>655</v>
      </c>
      <c r="C355" s="67" t="s">
        <v>108</v>
      </c>
      <c r="D355" s="67">
        <f>88*4*17</f>
        <v>5984</v>
      </c>
      <c r="E355" s="73">
        <v>6.47</v>
      </c>
      <c r="F355" s="232">
        <v>6.48</v>
      </c>
      <c r="G355" s="73">
        <v>6.49</v>
      </c>
      <c r="H355" s="69">
        <f t="shared" si="38"/>
        <v>38716.479999999996</v>
      </c>
    </row>
    <row r="356" spans="1:8" s="234" customFormat="1">
      <c r="A356" s="206" t="s">
        <v>329</v>
      </c>
      <c r="B356" s="151" t="s">
        <v>634</v>
      </c>
      <c r="C356" s="67" t="s">
        <v>18</v>
      </c>
      <c r="D356" s="67">
        <v>1</v>
      </c>
      <c r="E356" s="73">
        <v>99.86</v>
      </c>
      <c r="F356" s="232">
        <v>109.49</v>
      </c>
      <c r="G356" s="73">
        <v>211.19</v>
      </c>
      <c r="H356" s="69">
        <f t="shared" si="38"/>
        <v>99.86</v>
      </c>
    </row>
    <row r="357" spans="1:8" s="234" customFormat="1" ht="28.8">
      <c r="A357" s="206" t="s">
        <v>330</v>
      </c>
      <c r="B357" s="252" t="s">
        <v>469</v>
      </c>
      <c r="C357" s="67" t="s">
        <v>18</v>
      </c>
      <c r="D357" s="213">
        <f t="shared" ref="D357:D358" si="39">5*6*2</f>
        <v>60</v>
      </c>
      <c r="E357" s="73">
        <v>60</v>
      </c>
      <c r="F357" s="73">
        <v>65</v>
      </c>
      <c r="G357" s="232">
        <v>70</v>
      </c>
      <c r="H357" s="69">
        <f t="shared" si="38"/>
        <v>3600</v>
      </c>
    </row>
    <row r="358" spans="1:8" s="234" customFormat="1" ht="28.8">
      <c r="A358" s="206" t="s">
        <v>331</v>
      </c>
      <c r="B358" s="252" t="s">
        <v>501</v>
      </c>
      <c r="C358" s="67" t="s">
        <v>18</v>
      </c>
      <c r="D358" s="213">
        <f t="shared" si="39"/>
        <v>60</v>
      </c>
      <c r="E358" s="73">
        <v>25</v>
      </c>
      <c r="F358" s="73">
        <v>40</v>
      </c>
      <c r="G358" s="232">
        <v>43</v>
      </c>
      <c r="H358" s="69">
        <f t="shared" si="38"/>
        <v>1500</v>
      </c>
    </row>
    <row r="359" spans="1:8" s="234" customFormat="1" ht="28.8">
      <c r="A359" s="206" t="s">
        <v>332</v>
      </c>
      <c r="B359" s="151" t="s">
        <v>526</v>
      </c>
      <c r="C359" s="67" t="s">
        <v>18</v>
      </c>
      <c r="D359" s="213">
        <f>5*2*2</f>
        <v>20</v>
      </c>
      <c r="E359" s="73">
        <v>77.34</v>
      </c>
      <c r="F359" s="232">
        <v>103.8</v>
      </c>
      <c r="G359" s="73">
        <v>117.95</v>
      </c>
      <c r="H359" s="69">
        <f t="shared" si="38"/>
        <v>1546.8000000000002</v>
      </c>
    </row>
    <row r="360" spans="1:8" s="234" customFormat="1" ht="28.8">
      <c r="A360" s="206" t="s">
        <v>333</v>
      </c>
      <c r="B360" s="151" t="s">
        <v>584</v>
      </c>
      <c r="C360" s="67" t="s">
        <v>18</v>
      </c>
      <c r="D360" s="213">
        <f>4*2*2</f>
        <v>16</v>
      </c>
      <c r="E360" s="73">
        <v>22.94</v>
      </c>
      <c r="F360" s="232">
        <v>23.46</v>
      </c>
      <c r="G360" s="73">
        <v>30</v>
      </c>
      <c r="H360" s="69">
        <f t="shared" si="38"/>
        <v>367.04</v>
      </c>
    </row>
    <row r="361" spans="1:8" s="234" customFormat="1" ht="28.8">
      <c r="A361" s="206" t="s">
        <v>334</v>
      </c>
      <c r="B361" s="151" t="s">
        <v>527</v>
      </c>
      <c r="C361" s="67" t="s">
        <v>18</v>
      </c>
      <c r="D361" s="213">
        <f>1*2*2</f>
        <v>4</v>
      </c>
      <c r="E361" s="73">
        <v>21.8</v>
      </c>
      <c r="F361" s="232">
        <v>36</v>
      </c>
      <c r="G361" s="73">
        <v>46.9</v>
      </c>
      <c r="H361" s="69">
        <f t="shared" si="38"/>
        <v>87.2</v>
      </c>
    </row>
    <row r="362" spans="1:8" s="234" customFormat="1" ht="28.8">
      <c r="A362" s="206" t="s">
        <v>335</v>
      </c>
      <c r="B362" s="254" t="s">
        <v>528</v>
      </c>
      <c r="C362" s="67" t="s">
        <v>18</v>
      </c>
      <c r="D362" s="67">
        <f>2*5</f>
        <v>10</v>
      </c>
      <c r="E362" s="73">
        <v>13.93</v>
      </c>
      <c r="F362" s="74">
        <v>15.71</v>
      </c>
      <c r="G362" s="68">
        <v>22.5</v>
      </c>
      <c r="H362" s="69">
        <f t="shared" si="38"/>
        <v>139.30000000000001</v>
      </c>
    </row>
    <row r="363" spans="1:8" s="234" customFormat="1" ht="28.8">
      <c r="A363" s="206" t="s">
        <v>336</v>
      </c>
      <c r="B363" s="151" t="s">
        <v>656</v>
      </c>
      <c r="C363" s="67" t="s">
        <v>18</v>
      </c>
      <c r="D363" s="213">
        <f>3*5*17</f>
        <v>255</v>
      </c>
      <c r="E363" s="260">
        <v>12.4</v>
      </c>
      <c r="F363" s="261">
        <v>13.5</v>
      </c>
      <c r="G363" s="68">
        <v>20.260000000000002</v>
      </c>
      <c r="H363" s="69">
        <f t="shared" si="38"/>
        <v>3162</v>
      </c>
    </row>
    <row r="364" spans="1:8" s="234" customFormat="1">
      <c r="A364" s="206" t="s">
        <v>337</v>
      </c>
      <c r="B364" s="151" t="s">
        <v>502</v>
      </c>
      <c r="C364" s="67" t="s">
        <v>18</v>
      </c>
      <c r="D364" s="67">
        <f>2*5*17</f>
        <v>170</v>
      </c>
      <c r="E364" s="68">
        <v>2.7</v>
      </c>
      <c r="F364" s="261">
        <v>2.75</v>
      </c>
      <c r="G364" s="260">
        <v>2.94</v>
      </c>
      <c r="H364" s="69">
        <f t="shared" si="38"/>
        <v>459.00000000000006</v>
      </c>
    </row>
    <row r="365" spans="1:8" s="234" customFormat="1" ht="28.8">
      <c r="A365" s="206" t="s">
        <v>338</v>
      </c>
      <c r="B365" s="151" t="s">
        <v>585</v>
      </c>
      <c r="C365" s="67" t="s">
        <v>18</v>
      </c>
      <c r="D365" s="213">
        <f>2*2*17</f>
        <v>68</v>
      </c>
      <c r="E365" s="260">
        <v>49.99</v>
      </c>
      <c r="F365" s="261">
        <v>59.99</v>
      </c>
      <c r="G365" s="260">
        <v>96.97</v>
      </c>
      <c r="H365" s="69">
        <f t="shared" si="38"/>
        <v>3399.32</v>
      </c>
    </row>
    <row r="366" spans="1:8" s="234" customFormat="1">
      <c r="A366" s="206" t="s">
        <v>339</v>
      </c>
      <c r="B366" s="151" t="s">
        <v>619</v>
      </c>
      <c r="C366" s="67" t="s">
        <v>18</v>
      </c>
      <c r="D366" s="213">
        <f>2*17</f>
        <v>34</v>
      </c>
      <c r="E366" s="68">
        <v>160</v>
      </c>
      <c r="F366" s="261">
        <v>163</v>
      </c>
      <c r="G366" s="260">
        <v>193.63</v>
      </c>
      <c r="H366" s="69">
        <f t="shared" si="38"/>
        <v>5440</v>
      </c>
    </row>
    <row r="367" spans="1:8" s="234" customFormat="1" ht="28.8">
      <c r="A367" s="206" t="s">
        <v>340</v>
      </c>
      <c r="B367" s="151" t="s">
        <v>474</v>
      </c>
      <c r="C367" s="67" t="s">
        <v>18</v>
      </c>
      <c r="D367" s="67">
        <f t="shared" ref="D367:D368" si="40">1*5*2</f>
        <v>10</v>
      </c>
      <c r="E367" s="70">
        <v>35</v>
      </c>
      <c r="F367" s="74">
        <v>41.4</v>
      </c>
      <c r="G367" s="68">
        <v>168.26</v>
      </c>
      <c r="H367" s="69">
        <f t="shared" si="38"/>
        <v>350</v>
      </c>
    </row>
    <row r="368" spans="1:8" s="234" customFormat="1">
      <c r="A368" s="206" t="s">
        <v>341</v>
      </c>
      <c r="B368" s="151" t="s">
        <v>475</v>
      </c>
      <c r="C368" s="67" t="s">
        <v>18</v>
      </c>
      <c r="D368" s="67">
        <f t="shared" si="40"/>
        <v>10</v>
      </c>
      <c r="E368" s="260">
        <v>41.4</v>
      </c>
      <c r="F368" s="69">
        <v>42.23</v>
      </c>
      <c r="G368" s="70">
        <v>50</v>
      </c>
      <c r="H368" s="69">
        <f t="shared" si="38"/>
        <v>414</v>
      </c>
    </row>
    <row r="369" spans="1:8" s="234" customFormat="1">
      <c r="A369" s="206" t="s">
        <v>342</v>
      </c>
      <c r="B369" s="151" t="s">
        <v>504</v>
      </c>
      <c r="C369" s="67" t="s">
        <v>18</v>
      </c>
      <c r="D369" s="67">
        <f t="shared" ref="D369:D370" si="41">2*2</f>
        <v>4</v>
      </c>
      <c r="E369" s="260">
        <v>27.94</v>
      </c>
      <c r="F369" s="69">
        <v>35.5</v>
      </c>
      <c r="G369" s="260">
        <v>39.6</v>
      </c>
      <c r="H369" s="69">
        <f t="shared" si="38"/>
        <v>111.76</v>
      </c>
    </row>
    <row r="370" spans="1:8" s="234" customFormat="1">
      <c r="A370" s="206" t="s">
        <v>343</v>
      </c>
      <c r="B370" s="151" t="s">
        <v>505</v>
      </c>
      <c r="C370" s="67" t="s">
        <v>18</v>
      </c>
      <c r="D370" s="67">
        <f t="shared" si="41"/>
        <v>4</v>
      </c>
      <c r="E370" s="260">
        <v>28.55</v>
      </c>
      <c r="F370" s="69">
        <v>28.8</v>
      </c>
      <c r="G370" s="260">
        <v>103.4</v>
      </c>
      <c r="H370" s="69">
        <f t="shared" si="38"/>
        <v>114.2</v>
      </c>
    </row>
    <row r="371" spans="1:8" s="234" customFormat="1">
      <c r="A371" s="206" t="s">
        <v>344</v>
      </c>
      <c r="B371" s="220" t="s">
        <v>587</v>
      </c>
      <c r="C371" s="67" t="s">
        <v>18</v>
      </c>
      <c r="D371" s="213">
        <f>2*5*17</f>
        <v>170</v>
      </c>
      <c r="E371" s="70">
        <v>1.3</v>
      </c>
      <c r="F371" s="69">
        <v>1.48</v>
      </c>
      <c r="G371" s="68">
        <v>1.75</v>
      </c>
      <c r="H371" s="69">
        <f t="shared" si="38"/>
        <v>221</v>
      </c>
    </row>
    <row r="372" spans="1:8" s="234" customFormat="1" ht="28.8">
      <c r="A372" s="206" t="s">
        <v>345</v>
      </c>
      <c r="B372" s="151" t="s">
        <v>657</v>
      </c>
      <c r="C372" s="67" t="s">
        <v>18</v>
      </c>
      <c r="D372" s="67">
        <f t="shared" ref="D372:D373" si="42">4*2</f>
        <v>8</v>
      </c>
      <c r="E372" s="261">
        <v>286</v>
      </c>
      <c r="F372" s="69">
        <v>484</v>
      </c>
      <c r="G372" s="68">
        <v>572</v>
      </c>
      <c r="H372" s="69">
        <f t="shared" si="38"/>
        <v>2288</v>
      </c>
    </row>
    <row r="373" spans="1:8" s="234" customFormat="1" ht="28.8">
      <c r="A373" s="206" t="s">
        <v>346</v>
      </c>
      <c r="B373" s="151" t="s">
        <v>658</v>
      </c>
      <c r="C373" s="67" t="s">
        <v>18</v>
      </c>
      <c r="D373" s="67">
        <f t="shared" si="42"/>
        <v>8</v>
      </c>
      <c r="E373" s="68">
        <v>38.700000000000003</v>
      </c>
      <c r="F373" s="69">
        <v>65.64</v>
      </c>
      <c r="G373" s="260">
        <v>156.94999999999999</v>
      </c>
      <c r="H373" s="69">
        <f t="shared" si="38"/>
        <v>309.60000000000002</v>
      </c>
    </row>
    <row r="374" spans="1:8" s="234" customFormat="1">
      <c r="A374" s="206" t="s">
        <v>347</v>
      </c>
      <c r="B374" s="151" t="s">
        <v>507</v>
      </c>
      <c r="C374" s="67" t="s">
        <v>18</v>
      </c>
      <c r="D374" s="67">
        <f t="shared" ref="D374:D375" si="43">2*2</f>
        <v>4</v>
      </c>
      <c r="E374" s="70">
        <v>133.01</v>
      </c>
      <c r="F374" s="69">
        <v>157.19999999999999</v>
      </c>
      <c r="G374" s="70">
        <v>175.33</v>
      </c>
      <c r="H374" s="69">
        <f t="shared" si="38"/>
        <v>532.04</v>
      </c>
    </row>
    <row r="375" spans="1:8" s="234" customFormat="1" ht="28.8">
      <c r="A375" s="206" t="s">
        <v>348</v>
      </c>
      <c r="B375" s="151" t="s">
        <v>508</v>
      </c>
      <c r="C375" s="67" t="s">
        <v>18</v>
      </c>
      <c r="D375" s="67">
        <f t="shared" si="43"/>
        <v>4</v>
      </c>
      <c r="E375" s="68">
        <v>2.77</v>
      </c>
      <c r="F375" s="74">
        <v>3.75</v>
      </c>
      <c r="G375" s="260">
        <v>3.96</v>
      </c>
      <c r="H375" s="69">
        <f t="shared" si="38"/>
        <v>11.08</v>
      </c>
    </row>
    <row r="376" spans="1:8" s="234" customFormat="1">
      <c r="A376" s="206" t="s">
        <v>349</v>
      </c>
      <c r="B376" s="151" t="s">
        <v>659</v>
      </c>
      <c r="C376" s="67" t="s">
        <v>18</v>
      </c>
      <c r="D376" s="213">
        <v>1</v>
      </c>
      <c r="E376" s="260">
        <v>26.5</v>
      </c>
      <c r="F376" s="260">
        <v>61.9</v>
      </c>
      <c r="G376" s="69">
        <v>83.6</v>
      </c>
      <c r="H376" s="69">
        <f t="shared" si="38"/>
        <v>26.5</v>
      </c>
    </row>
    <row r="377" spans="1:8" s="234" customFormat="1" ht="28.8">
      <c r="A377" s="206" t="s">
        <v>350</v>
      </c>
      <c r="B377" s="151" t="s">
        <v>494</v>
      </c>
      <c r="C377" s="67" t="s">
        <v>18</v>
      </c>
      <c r="D377" s="67">
        <v>2</v>
      </c>
      <c r="E377" s="70">
        <v>27.9</v>
      </c>
      <c r="F377" s="261">
        <v>30</v>
      </c>
      <c r="G377" s="70">
        <v>32.229999999999997</v>
      </c>
      <c r="H377" s="69">
        <f t="shared" si="38"/>
        <v>55.8</v>
      </c>
    </row>
    <row r="378" spans="1:8" s="234" customFormat="1">
      <c r="A378" s="206" t="s">
        <v>351</v>
      </c>
      <c r="B378" s="151" t="s">
        <v>495</v>
      </c>
      <c r="C378" s="67" t="s">
        <v>18</v>
      </c>
      <c r="D378" s="67">
        <v>2</v>
      </c>
      <c r="E378" s="68">
        <v>157.44</v>
      </c>
      <c r="F378" s="69">
        <v>184.26</v>
      </c>
      <c r="G378" s="68">
        <v>208.95</v>
      </c>
      <c r="H378" s="69">
        <f t="shared" si="38"/>
        <v>314.88</v>
      </c>
    </row>
    <row r="379" spans="1:8" s="234" customFormat="1">
      <c r="A379" s="206" t="s">
        <v>352</v>
      </c>
      <c r="B379" s="151" t="s">
        <v>496</v>
      </c>
      <c r="C379" s="67" t="s">
        <v>18</v>
      </c>
      <c r="D379" s="67">
        <v>4</v>
      </c>
      <c r="E379" s="68">
        <v>33.729999999999997</v>
      </c>
      <c r="F379" s="69">
        <v>43.66</v>
      </c>
      <c r="G379" s="68">
        <v>72</v>
      </c>
      <c r="H379" s="69">
        <f t="shared" si="38"/>
        <v>134.91999999999999</v>
      </c>
    </row>
    <row r="380" spans="1:8" s="234" customFormat="1">
      <c r="A380" s="206" t="s">
        <v>353</v>
      </c>
      <c r="B380" s="151" t="s">
        <v>107</v>
      </c>
      <c r="C380" s="67" t="s">
        <v>18</v>
      </c>
      <c r="D380" s="67">
        <v>2</v>
      </c>
      <c r="E380" s="68">
        <v>3200.55</v>
      </c>
      <c r="F380" s="69">
        <v>3309</v>
      </c>
      <c r="G380" s="68">
        <v>3369</v>
      </c>
      <c r="H380" s="69">
        <f t="shared" si="38"/>
        <v>6401.1</v>
      </c>
    </row>
    <row r="381" spans="1:8" s="234" customFormat="1" ht="28.8">
      <c r="A381" s="206" t="s">
        <v>354</v>
      </c>
      <c r="B381" s="151" t="s">
        <v>660</v>
      </c>
      <c r="C381" s="67" t="s">
        <v>108</v>
      </c>
      <c r="D381" s="213">
        <f>10*4*17*2</f>
        <v>1360</v>
      </c>
      <c r="E381" s="70">
        <v>6.08</v>
      </c>
      <c r="F381" s="74">
        <v>6.09</v>
      </c>
      <c r="G381" s="70">
        <v>6.35</v>
      </c>
      <c r="H381" s="69">
        <f t="shared" si="38"/>
        <v>8268.7999999999993</v>
      </c>
    </row>
    <row r="382" spans="1:8" s="234" customFormat="1">
      <c r="A382" s="206" t="s">
        <v>355</v>
      </c>
      <c r="B382" s="151" t="s">
        <v>510</v>
      </c>
      <c r="C382" s="67" t="s">
        <v>108</v>
      </c>
      <c r="D382" s="67">
        <f>2*20</f>
        <v>40</v>
      </c>
      <c r="E382" s="68">
        <v>43.98</v>
      </c>
      <c r="F382" s="69">
        <v>47.42</v>
      </c>
      <c r="G382" s="68">
        <v>47.9</v>
      </c>
      <c r="H382" s="69">
        <f t="shared" si="38"/>
        <v>1759.1999999999998</v>
      </c>
    </row>
    <row r="383" spans="1:8" s="234" customFormat="1">
      <c r="A383" s="206" t="s">
        <v>356</v>
      </c>
      <c r="B383" s="151" t="s">
        <v>511</v>
      </c>
      <c r="C383" s="67" t="s">
        <v>109</v>
      </c>
      <c r="D383" s="213">
        <f>10*2</f>
        <v>20</v>
      </c>
      <c r="E383" s="68">
        <v>26.24</v>
      </c>
      <c r="F383" s="69">
        <v>28.33</v>
      </c>
      <c r="G383" s="68">
        <v>31.98</v>
      </c>
      <c r="H383" s="69">
        <f t="shared" si="38"/>
        <v>524.79999999999995</v>
      </c>
    </row>
    <row r="384" spans="1:8" s="234" customFormat="1">
      <c r="A384" s="206" t="s">
        <v>357</v>
      </c>
      <c r="B384" s="151" t="s">
        <v>537</v>
      </c>
      <c r="C384" s="67" t="s">
        <v>68</v>
      </c>
      <c r="D384" s="213">
        <f>3*17</f>
        <v>51</v>
      </c>
      <c r="E384" s="68">
        <v>94.2</v>
      </c>
      <c r="F384" s="69">
        <v>108.6</v>
      </c>
      <c r="G384" s="68">
        <v>114.93</v>
      </c>
      <c r="H384" s="69">
        <f t="shared" si="38"/>
        <v>4804.2</v>
      </c>
    </row>
    <row r="385" spans="1:8" s="234" customFormat="1">
      <c r="A385" s="206" t="s">
        <v>358</v>
      </c>
      <c r="B385" s="151" t="s">
        <v>512</v>
      </c>
      <c r="C385" s="67" t="s">
        <v>18</v>
      </c>
      <c r="D385" s="67">
        <v>8</v>
      </c>
      <c r="E385" s="232">
        <v>37.47</v>
      </c>
      <c r="F385" s="73">
        <v>43.66</v>
      </c>
      <c r="G385" s="73">
        <v>48</v>
      </c>
      <c r="H385" s="69">
        <f t="shared" si="38"/>
        <v>299.76</v>
      </c>
    </row>
    <row r="386" spans="1:8" s="234" customFormat="1" ht="28.8">
      <c r="A386" s="206" t="s">
        <v>359</v>
      </c>
      <c r="B386" s="151" t="s">
        <v>588</v>
      </c>
      <c r="C386" s="67" t="s">
        <v>18</v>
      </c>
      <c r="D386" s="213">
        <f>3*2*17</f>
        <v>102</v>
      </c>
      <c r="E386" s="256">
        <v>23.1</v>
      </c>
      <c r="F386" s="69">
        <v>25.52</v>
      </c>
      <c r="G386" s="68">
        <v>29.6</v>
      </c>
      <c r="H386" s="69">
        <f t="shared" si="38"/>
        <v>2356.2000000000003</v>
      </c>
    </row>
    <row r="387" spans="1:8" s="234" customFormat="1">
      <c r="A387" s="206" t="s">
        <v>360</v>
      </c>
      <c r="B387" s="151" t="s">
        <v>589</v>
      </c>
      <c r="C387" s="67" t="s">
        <v>18</v>
      </c>
      <c r="D387" s="213">
        <f t="shared" ref="D387:D388" si="44">1*2*17</f>
        <v>34</v>
      </c>
      <c r="E387" s="256">
        <v>54.78</v>
      </c>
      <c r="F387" s="69">
        <f>35.03+39.8</f>
        <v>74.83</v>
      </c>
      <c r="G387" s="260">
        <v>82.7</v>
      </c>
      <c r="H387" s="69">
        <f t="shared" si="38"/>
        <v>1862.52</v>
      </c>
    </row>
    <row r="388" spans="1:8" s="234" customFormat="1">
      <c r="A388" s="206" t="s">
        <v>361</v>
      </c>
      <c r="B388" s="151" t="s">
        <v>590</v>
      </c>
      <c r="C388" s="67" t="s">
        <v>18</v>
      </c>
      <c r="D388" s="213">
        <f t="shared" si="44"/>
        <v>34</v>
      </c>
      <c r="E388" s="68">
        <v>32.369999999999997</v>
      </c>
      <c r="F388" s="69">
        <v>33.74</v>
      </c>
      <c r="G388" s="68">
        <v>33.74</v>
      </c>
      <c r="H388" s="69">
        <f t="shared" si="38"/>
        <v>1100.58</v>
      </c>
    </row>
    <row r="389" spans="1:8" s="234" customFormat="1">
      <c r="A389" s="206" t="s">
        <v>362</v>
      </c>
      <c r="B389" s="151" t="s">
        <v>622</v>
      </c>
      <c r="C389" s="67" t="s">
        <v>68</v>
      </c>
      <c r="D389" s="213">
        <f>8*17</f>
        <v>136</v>
      </c>
      <c r="E389" s="73">
        <v>204</v>
      </c>
      <c r="F389" s="232">
        <v>255</v>
      </c>
      <c r="G389" s="73">
        <v>280</v>
      </c>
      <c r="H389" s="69">
        <f t="shared" si="38"/>
        <v>27744</v>
      </c>
    </row>
    <row r="390" spans="1:8" s="234" customFormat="1" ht="28.8">
      <c r="A390" s="206" t="s">
        <v>363</v>
      </c>
      <c r="B390" s="151" t="s">
        <v>545</v>
      </c>
      <c r="C390" s="67" t="s">
        <v>18</v>
      </c>
      <c r="D390" s="67">
        <f>2*4</f>
        <v>8</v>
      </c>
      <c r="E390" s="68">
        <v>49</v>
      </c>
      <c r="F390" s="69">
        <v>64</v>
      </c>
      <c r="G390" s="68">
        <v>80</v>
      </c>
      <c r="H390" s="69">
        <f t="shared" si="38"/>
        <v>392</v>
      </c>
    </row>
    <row r="391" spans="1:8" s="234" customFormat="1">
      <c r="A391" s="206" t="s">
        <v>364</v>
      </c>
      <c r="B391" s="161" t="s">
        <v>546</v>
      </c>
      <c r="C391" s="67" t="s">
        <v>18</v>
      </c>
      <c r="D391" s="213">
        <f>1*4</f>
        <v>4</v>
      </c>
      <c r="E391" s="68">
        <v>49.6</v>
      </c>
      <c r="F391" s="69">
        <v>62</v>
      </c>
      <c r="G391" s="68">
        <v>95.25</v>
      </c>
      <c r="H391" s="69">
        <f t="shared" si="38"/>
        <v>198.4</v>
      </c>
    </row>
    <row r="392" spans="1:8" s="234" customFormat="1" ht="28.8">
      <c r="A392" s="206" t="s">
        <v>365</v>
      </c>
      <c r="B392" s="161" t="s">
        <v>591</v>
      </c>
      <c r="C392" s="67" t="s">
        <v>18</v>
      </c>
      <c r="D392" s="213">
        <f>3*5*2</f>
        <v>30</v>
      </c>
      <c r="E392" s="68">
        <v>103.2</v>
      </c>
      <c r="F392" s="74">
        <v>129</v>
      </c>
      <c r="G392" s="68">
        <v>167.81</v>
      </c>
      <c r="H392" s="69">
        <f t="shared" si="38"/>
        <v>3096</v>
      </c>
    </row>
    <row r="393" spans="1:8" s="234" customFormat="1" ht="28.8">
      <c r="A393" s="206" t="s">
        <v>366</v>
      </c>
      <c r="B393" s="161" t="s">
        <v>661</v>
      </c>
      <c r="C393" s="67" t="s">
        <v>18</v>
      </c>
      <c r="D393" s="67">
        <f t="shared" ref="D393:D395" si="45">1*4</f>
        <v>4</v>
      </c>
      <c r="E393" s="68">
        <v>37.6</v>
      </c>
      <c r="F393" s="69">
        <v>54</v>
      </c>
      <c r="G393" s="68">
        <v>59.6</v>
      </c>
      <c r="H393" s="69">
        <f t="shared" si="38"/>
        <v>150.4</v>
      </c>
    </row>
    <row r="394" spans="1:8" s="234" customFormat="1" ht="28.8">
      <c r="A394" s="206" t="s">
        <v>367</v>
      </c>
      <c r="B394" s="161" t="s">
        <v>662</v>
      </c>
      <c r="C394" s="67" t="s">
        <v>18</v>
      </c>
      <c r="D394" s="67">
        <f t="shared" si="45"/>
        <v>4</v>
      </c>
      <c r="E394" s="68">
        <v>29.6</v>
      </c>
      <c r="F394" s="74">
        <v>53.7</v>
      </c>
      <c r="G394" s="68">
        <v>61.28</v>
      </c>
      <c r="H394" s="69">
        <f t="shared" si="38"/>
        <v>118.4</v>
      </c>
    </row>
    <row r="395" spans="1:8" s="234" customFormat="1" ht="28.8">
      <c r="A395" s="206" t="s">
        <v>368</v>
      </c>
      <c r="B395" s="161" t="s">
        <v>663</v>
      </c>
      <c r="C395" s="67" t="s">
        <v>18</v>
      </c>
      <c r="D395" s="67">
        <f t="shared" si="45"/>
        <v>4</v>
      </c>
      <c r="E395" s="68">
        <v>36</v>
      </c>
      <c r="F395" s="69">
        <v>50.6</v>
      </c>
      <c r="G395" s="103">
        <v>54.6</v>
      </c>
      <c r="H395" s="69">
        <f t="shared" si="38"/>
        <v>144</v>
      </c>
    </row>
    <row r="396" spans="1:8" s="234" customFormat="1">
      <c r="A396" s="206" t="s">
        <v>369</v>
      </c>
      <c r="B396" s="161" t="s">
        <v>664</v>
      </c>
      <c r="C396" s="67" t="s">
        <v>18</v>
      </c>
      <c r="D396" s="67">
        <f>2*1</f>
        <v>2</v>
      </c>
      <c r="E396" s="68">
        <v>45.39</v>
      </c>
      <c r="F396" s="232">
        <v>49.8</v>
      </c>
      <c r="G396" s="73">
        <v>84.64</v>
      </c>
      <c r="H396" s="69">
        <f t="shared" si="38"/>
        <v>90.78</v>
      </c>
    </row>
    <row r="397" spans="1:8" s="234" customFormat="1" ht="28.8">
      <c r="A397" s="206" t="s">
        <v>370</v>
      </c>
      <c r="B397" s="161" t="s">
        <v>552</v>
      </c>
      <c r="C397" s="67" t="s">
        <v>18</v>
      </c>
      <c r="D397" s="67">
        <f>1*4</f>
        <v>4</v>
      </c>
      <c r="E397" s="68">
        <v>140.54</v>
      </c>
      <c r="F397" s="232">
        <v>186.8</v>
      </c>
      <c r="G397" s="73">
        <v>341.8</v>
      </c>
      <c r="H397" s="69">
        <f t="shared" si="38"/>
        <v>562.16</v>
      </c>
    </row>
    <row r="398" spans="1:8" s="234" customFormat="1">
      <c r="A398" s="206" t="s">
        <v>371</v>
      </c>
      <c r="B398" s="161" t="s">
        <v>665</v>
      </c>
      <c r="C398" s="67" t="s">
        <v>18</v>
      </c>
      <c r="D398" s="213">
        <f>2*1</f>
        <v>2</v>
      </c>
      <c r="E398" s="256">
        <v>5.38</v>
      </c>
      <c r="F398" s="232">
        <v>5.65</v>
      </c>
      <c r="G398" s="73">
        <v>12.6</v>
      </c>
      <c r="H398" s="69">
        <f t="shared" si="38"/>
        <v>10.76</v>
      </c>
    </row>
    <row r="399" spans="1:8" s="234" customFormat="1">
      <c r="A399" s="206" t="s">
        <v>372</v>
      </c>
      <c r="B399" s="161" t="s">
        <v>554</v>
      </c>
      <c r="C399" s="75" t="s">
        <v>18</v>
      </c>
      <c r="D399" s="213">
        <f>1*5</f>
        <v>5</v>
      </c>
      <c r="E399" s="68">
        <v>120</v>
      </c>
      <c r="F399" s="232">
        <v>150</v>
      </c>
      <c r="G399" s="73">
        <v>156</v>
      </c>
      <c r="H399" s="69">
        <f t="shared" si="38"/>
        <v>600</v>
      </c>
    </row>
    <row r="400" spans="1:8" s="234" customFormat="1">
      <c r="A400" s="206" t="s">
        <v>373</v>
      </c>
      <c r="B400" s="271" t="s">
        <v>555</v>
      </c>
      <c r="C400" s="75" t="s">
        <v>18</v>
      </c>
      <c r="D400" s="67">
        <v>5</v>
      </c>
      <c r="E400" s="68">
        <v>118</v>
      </c>
      <c r="F400" s="232">
        <v>147.5</v>
      </c>
      <c r="G400" s="73">
        <v>171.1</v>
      </c>
      <c r="H400" s="69">
        <f t="shared" si="38"/>
        <v>590</v>
      </c>
    </row>
    <row r="401" spans="1:8" s="234" customFormat="1">
      <c r="A401" s="206" t="s">
        <v>374</v>
      </c>
      <c r="B401" s="272" t="s">
        <v>597</v>
      </c>
      <c r="C401" s="75" t="s">
        <v>18</v>
      </c>
      <c r="D401" s="213">
        <v>1</v>
      </c>
      <c r="E401" s="68">
        <v>300</v>
      </c>
      <c r="F401" s="69">
        <v>375</v>
      </c>
      <c r="G401" s="68">
        <v>435</v>
      </c>
      <c r="H401" s="69">
        <f t="shared" si="38"/>
        <v>300</v>
      </c>
    </row>
    <row r="402" spans="1:8" s="234" customFormat="1" ht="28.8">
      <c r="A402" s="206" t="s">
        <v>375</v>
      </c>
      <c r="B402" s="161" t="s">
        <v>557</v>
      </c>
      <c r="C402" s="75" t="s">
        <v>18</v>
      </c>
      <c r="D402" s="67">
        <v>2</v>
      </c>
      <c r="E402" s="68">
        <v>1000</v>
      </c>
      <c r="F402" s="69">
        <v>1250</v>
      </c>
      <c r="G402" s="68">
        <v>1300</v>
      </c>
      <c r="H402" s="69">
        <f t="shared" si="38"/>
        <v>2000</v>
      </c>
    </row>
    <row r="403" spans="1:8" s="234" customFormat="1">
      <c r="A403" s="206" t="s">
        <v>376</v>
      </c>
      <c r="B403" s="161" t="s">
        <v>598</v>
      </c>
      <c r="C403" s="75" t="s">
        <v>18</v>
      </c>
      <c r="D403" s="67">
        <v>2</v>
      </c>
      <c r="E403" s="68">
        <v>116</v>
      </c>
      <c r="F403" s="69">
        <v>145</v>
      </c>
      <c r="G403" s="68">
        <v>150</v>
      </c>
      <c r="H403" s="69">
        <f t="shared" si="38"/>
        <v>232</v>
      </c>
    </row>
    <row r="404" spans="1:8" s="234" customFormat="1">
      <c r="A404" s="206" t="s">
        <v>377</v>
      </c>
      <c r="B404" s="161" t="s">
        <v>599</v>
      </c>
      <c r="C404" s="75" t="s">
        <v>18</v>
      </c>
      <c r="D404" s="67">
        <v>1</v>
      </c>
      <c r="E404" s="68">
        <v>300</v>
      </c>
      <c r="F404" s="69">
        <v>375</v>
      </c>
      <c r="G404" s="68">
        <v>390</v>
      </c>
      <c r="H404" s="69">
        <f t="shared" si="38"/>
        <v>300</v>
      </c>
    </row>
    <row r="405" spans="1:8" s="234" customFormat="1">
      <c r="A405" s="206" t="s">
        <v>378</v>
      </c>
      <c r="B405" s="161" t="s">
        <v>600</v>
      </c>
      <c r="C405" s="75" t="s">
        <v>18</v>
      </c>
      <c r="D405" s="67">
        <v>1</v>
      </c>
      <c r="E405" s="68">
        <v>519.79999999999995</v>
      </c>
      <c r="F405" s="69">
        <v>519</v>
      </c>
      <c r="G405" s="68">
        <v>675</v>
      </c>
      <c r="H405" s="69">
        <f t="shared" si="38"/>
        <v>519.79999999999995</v>
      </c>
    </row>
    <row r="406" spans="1:8" s="234" customFormat="1">
      <c r="A406" s="206" t="s">
        <v>379</v>
      </c>
      <c r="B406" s="161" t="s">
        <v>666</v>
      </c>
      <c r="C406" s="75" t="s">
        <v>18</v>
      </c>
      <c r="D406" s="67">
        <f>1*4</f>
        <v>4</v>
      </c>
      <c r="E406" s="68">
        <v>29.46</v>
      </c>
      <c r="F406" s="69">
        <v>36.83</v>
      </c>
      <c r="G406" s="68">
        <v>38.299999999999997</v>
      </c>
      <c r="H406" s="69">
        <f t="shared" si="38"/>
        <v>117.84</v>
      </c>
    </row>
    <row r="407" spans="1:8" s="298" customFormat="1">
      <c r="A407" s="206" t="s">
        <v>380</v>
      </c>
      <c r="B407" s="151" t="s">
        <v>514</v>
      </c>
      <c r="C407" s="67" t="s">
        <v>15</v>
      </c>
      <c r="D407" s="213">
        <f>3*4</f>
        <v>12</v>
      </c>
      <c r="E407" s="68">
        <v>15.18</v>
      </c>
      <c r="F407" s="69">
        <v>18.899999999999999</v>
      </c>
      <c r="G407" s="68">
        <v>19.73</v>
      </c>
      <c r="H407" s="69">
        <f t="shared" si="38"/>
        <v>182.16</v>
      </c>
    </row>
    <row r="408" spans="1:8" s="298" customFormat="1" ht="28.8">
      <c r="A408" s="206" t="s">
        <v>381</v>
      </c>
      <c r="B408" s="151" t="s">
        <v>582</v>
      </c>
      <c r="C408" s="67" t="s">
        <v>15</v>
      </c>
      <c r="D408" s="67">
        <v>2</v>
      </c>
      <c r="E408" s="256">
        <v>800</v>
      </c>
      <c r="F408" s="69"/>
      <c r="G408" s="68"/>
      <c r="H408" s="69">
        <f t="shared" si="38"/>
        <v>1600</v>
      </c>
    </row>
    <row r="409" spans="1:8" s="234" customFormat="1">
      <c r="A409" s="299" t="s">
        <v>389</v>
      </c>
      <c r="B409" s="300"/>
      <c r="C409" s="301"/>
      <c r="D409" s="300"/>
      <c r="E409" s="302"/>
      <c r="F409" s="302"/>
      <c r="G409" s="302"/>
      <c r="H409" s="303">
        <f>SUM(H342:H408)</f>
        <v>626803.59460000019</v>
      </c>
    </row>
    <row r="410" spans="1:8" s="234" customFormat="1">
      <c r="A410" s="294" t="s">
        <v>254</v>
      </c>
      <c r="B410" s="295"/>
      <c r="C410" s="296"/>
      <c r="D410" s="295"/>
      <c r="E410" s="297"/>
      <c r="F410" s="297"/>
      <c r="G410" s="297"/>
      <c r="H410" s="304">
        <f>H409+H340+H292+H253+H163</f>
        <v>3547565.2101999996</v>
      </c>
    </row>
    <row r="411" spans="1:8" s="234" customFormat="1">
      <c r="A411" s="573" t="s">
        <v>390</v>
      </c>
      <c r="B411" s="574"/>
      <c r="C411" s="221"/>
      <c r="D411" s="221"/>
      <c r="E411" s="280"/>
      <c r="F411" s="264"/>
      <c r="G411" s="264"/>
      <c r="H411" s="264"/>
    </row>
    <row r="412" spans="1:8" s="234" customFormat="1">
      <c r="A412" s="224" t="s">
        <v>382</v>
      </c>
      <c r="B412" s="225" t="s">
        <v>383</v>
      </c>
      <c r="C412" s="226" t="s">
        <v>7</v>
      </c>
      <c r="D412" s="226" t="s">
        <v>8</v>
      </c>
      <c r="E412" s="227" t="s">
        <v>410</v>
      </c>
      <c r="F412" s="227" t="s">
        <v>408</v>
      </c>
      <c r="G412" s="227" t="s">
        <v>409</v>
      </c>
      <c r="H412" s="228" t="s">
        <v>9</v>
      </c>
    </row>
    <row r="413" spans="1:8" s="234" customFormat="1">
      <c r="A413" s="281" t="s">
        <v>12</v>
      </c>
      <c r="B413" s="151" t="s">
        <v>405</v>
      </c>
      <c r="C413" s="282" t="s">
        <v>13</v>
      </c>
      <c r="D413" s="283">
        <v>36</v>
      </c>
      <c r="E413" s="68">
        <f>(3643*97%)+3643</f>
        <v>7176.71</v>
      </c>
      <c r="F413" s="69">
        <f>(5000*97%)+5000</f>
        <v>9850</v>
      </c>
      <c r="G413" s="68">
        <f>(5801*97%)+5801</f>
        <v>11427.970000000001</v>
      </c>
      <c r="H413" s="247">
        <f t="shared" ref="H413:H417" si="46">E413*D413</f>
        <v>258361.56</v>
      </c>
    </row>
    <row r="414" spans="1:8" s="234" customFormat="1" ht="43.2">
      <c r="A414" s="281" t="s">
        <v>14</v>
      </c>
      <c r="B414" s="151" t="s">
        <v>459</v>
      </c>
      <c r="C414" s="67" t="s">
        <v>15</v>
      </c>
      <c r="D414" s="67">
        <v>3</v>
      </c>
      <c r="E414" s="233">
        <v>10000</v>
      </c>
      <c r="F414" s="233">
        <v>10750</v>
      </c>
      <c r="G414" s="214">
        <v>11500</v>
      </c>
      <c r="H414" s="247">
        <f t="shared" si="46"/>
        <v>30000</v>
      </c>
    </row>
    <row r="415" spans="1:8" s="234" customFormat="1" ht="28.8">
      <c r="A415" s="281" t="s">
        <v>16</v>
      </c>
      <c r="B415" s="151" t="s">
        <v>403</v>
      </c>
      <c r="C415" s="67" t="s">
        <v>15</v>
      </c>
      <c r="D415" s="67">
        <v>3</v>
      </c>
      <c r="E415" s="233">
        <v>3500</v>
      </c>
      <c r="F415" s="233">
        <v>4000</v>
      </c>
      <c r="G415" s="214">
        <v>4200</v>
      </c>
      <c r="H415" s="247">
        <f t="shared" si="46"/>
        <v>10500</v>
      </c>
    </row>
    <row r="416" spans="1:8" s="234" customFormat="1" ht="28.8">
      <c r="A416" s="281" t="s">
        <v>19</v>
      </c>
      <c r="B416" s="151" t="s">
        <v>406</v>
      </c>
      <c r="C416" s="67" t="s">
        <v>18</v>
      </c>
      <c r="D416" s="67">
        <v>30</v>
      </c>
      <c r="E416" s="69">
        <v>2810</v>
      </c>
      <c r="F416" s="69">
        <v>2810</v>
      </c>
      <c r="G416" s="68">
        <v>2920</v>
      </c>
      <c r="H416" s="247">
        <f t="shared" si="46"/>
        <v>84300</v>
      </c>
    </row>
    <row r="417" spans="1:8" s="234" customFormat="1">
      <c r="A417" s="281" t="s">
        <v>20</v>
      </c>
      <c r="B417" s="151" t="s">
        <v>404</v>
      </c>
      <c r="C417" s="67" t="s">
        <v>15</v>
      </c>
      <c r="D417" s="67">
        <v>1</v>
      </c>
      <c r="E417" s="69">
        <v>7000</v>
      </c>
      <c r="F417" s="69">
        <v>8300</v>
      </c>
      <c r="G417" s="68">
        <v>9500</v>
      </c>
      <c r="H417" s="247">
        <f t="shared" si="46"/>
        <v>7000</v>
      </c>
    </row>
    <row r="418" spans="1:8" s="234" customFormat="1">
      <c r="A418" s="290" t="s">
        <v>255</v>
      </c>
      <c r="B418" s="291"/>
      <c r="C418" s="292"/>
      <c r="D418" s="291"/>
      <c r="E418" s="293"/>
      <c r="F418" s="293"/>
      <c r="G418" s="293"/>
      <c r="H418" s="304">
        <f>SUM(H413:H417)</f>
        <v>390161.56</v>
      </c>
    </row>
    <row r="419" spans="1:8" s="234" customFormat="1">
      <c r="A419" s="573" t="s">
        <v>391</v>
      </c>
      <c r="B419" s="574"/>
      <c r="C419" s="221"/>
      <c r="D419" s="277"/>
      <c r="E419" s="278"/>
      <c r="F419" s="278"/>
      <c r="G419" s="278"/>
      <c r="H419" s="278"/>
    </row>
    <row r="420" spans="1:8" s="234" customFormat="1" ht="28.8" hidden="1">
      <c r="A420" s="224" t="s">
        <v>5</v>
      </c>
      <c r="B420" s="225" t="s">
        <v>751</v>
      </c>
      <c r="C420" s="226" t="s">
        <v>7</v>
      </c>
      <c r="D420" s="226" t="s">
        <v>8</v>
      </c>
      <c r="E420" s="227" t="s">
        <v>410</v>
      </c>
      <c r="F420" s="227" t="s">
        <v>408</v>
      </c>
      <c r="G420" s="227" t="s">
        <v>409</v>
      </c>
      <c r="H420" s="228" t="s">
        <v>9</v>
      </c>
    </row>
    <row r="421" spans="1:8" s="234" customFormat="1" ht="43.2" hidden="1">
      <c r="A421" s="279">
        <v>2</v>
      </c>
      <c r="B421" s="225" t="s">
        <v>725</v>
      </c>
      <c r="C421" s="226" t="s">
        <v>7</v>
      </c>
      <c r="D421" s="226" t="s">
        <v>8</v>
      </c>
      <c r="E421" s="227" t="s">
        <v>410</v>
      </c>
      <c r="F421" s="227" t="s">
        <v>408</v>
      </c>
      <c r="G421" s="227" t="s">
        <v>409</v>
      </c>
      <c r="H421" s="228" t="s">
        <v>9</v>
      </c>
    </row>
    <row r="422" spans="1:8" s="234" customFormat="1">
      <c r="A422" s="215"/>
      <c r="B422" s="215"/>
      <c r="C422" s="217"/>
      <c r="D422" s="217"/>
      <c r="E422" s="218"/>
      <c r="F422" s="218"/>
      <c r="G422" s="218"/>
      <c r="H422" s="218"/>
    </row>
    <row r="423" spans="1:8" s="234" customFormat="1">
      <c r="A423" s="215"/>
      <c r="B423" s="564" t="s">
        <v>741</v>
      </c>
      <c r="C423" s="565"/>
      <c r="D423" s="565"/>
      <c r="E423" s="565"/>
      <c r="F423" s="565"/>
      <c r="G423" s="566"/>
      <c r="H423" s="284">
        <f>H418+H410+H93+H83</f>
        <v>5360637.3701999988</v>
      </c>
    </row>
    <row r="424" spans="1:8" s="234" customFormat="1">
      <c r="A424" s="215"/>
      <c r="B424" s="567" t="s">
        <v>742</v>
      </c>
      <c r="C424" s="565"/>
      <c r="D424" s="565"/>
      <c r="E424" s="565"/>
      <c r="F424" s="565"/>
      <c r="G424" s="566"/>
      <c r="H424" s="285">
        <f>H423/50</f>
        <v>107212.74740399998</v>
      </c>
    </row>
    <row r="425" spans="1:8" s="234" customFormat="1">
      <c r="A425" s="215"/>
      <c r="B425" s="215"/>
      <c r="C425" s="217"/>
      <c r="D425" s="217"/>
      <c r="E425" s="218"/>
      <c r="F425" s="286" t="s">
        <v>848</v>
      </c>
      <c r="G425" s="287">
        <v>0.3</v>
      </c>
      <c r="H425" s="218">
        <f>H424*G425</f>
        <v>32163.824221199993</v>
      </c>
    </row>
    <row r="426" spans="1:8" s="234" customFormat="1">
      <c r="A426" s="215"/>
      <c r="B426" s="215"/>
      <c r="C426" s="217"/>
      <c r="D426" s="217"/>
      <c r="E426" s="218"/>
      <c r="F426" s="218"/>
      <c r="G426" s="218"/>
      <c r="H426" s="204">
        <f>H424+H425</f>
        <v>139376.57162519998</v>
      </c>
    </row>
    <row r="427" spans="1:8" s="234" customFormat="1">
      <c r="A427" s="215"/>
      <c r="B427" s="215"/>
      <c r="C427" s="217"/>
      <c r="D427" s="217"/>
      <c r="E427" s="218"/>
      <c r="F427" s="218"/>
      <c r="G427" s="218"/>
      <c r="H427" s="218"/>
    </row>
    <row r="428" spans="1:8" s="234" customFormat="1">
      <c r="A428" s="215"/>
      <c r="B428" s="215"/>
      <c r="C428" s="288"/>
      <c r="D428" s="215"/>
      <c r="E428" s="215"/>
      <c r="F428" s="215"/>
      <c r="G428" s="215"/>
      <c r="H428" s="215"/>
    </row>
    <row r="429" spans="1:8" s="234" customFormat="1">
      <c r="A429" s="215"/>
      <c r="B429" s="215"/>
      <c r="C429" s="288"/>
      <c r="D429" s="215"/>
      <c r="E429" s="215"/>
      <c r="F429" s="215"/>
      <c r="G429" s="215"/>
      <c r="H429" s="215"/>
    </row>
    <row r="430" spans="1:8" s="234" customFormat="1">
      <c r="A430" s="215"/>
      <c r="B430" s="215"/>
      <c r="C430" s="288"/>
      <c r="D430" s="215"/>
      <c r="E430" s="215"/>
      <c r="F430" s="215"/>
      <c r="G430" s="215"/>
      <c r="H430" s="215"/>
    </row>
    <row r="431" spans="1:8" s="234" customFormat="1">
      <c r="A431" s="215"/>
      <c r="B431" s="215"/>
      <c r="C431" s="288"/>
      <c r="D431" s="215"/>
      <c r="E431" s="215"/>
      <c r="F431" s="215"/>
      <c r="G431" s="215"/>
      <c r="H431" s="215"/>
    </row>
    <row r="432" spans="1:8" s="234" customFormat="1">
      <c r="A432" s="215"/>
      <c r="B432" s="215"/>
      <c r="C432" s="288"/>
      <c r="D432" s="215"/>
      <c r="E432" s="215"/>
      <c r="F432" s="215"/>
      <c r="G432" s="215"/>
      <c r="H432" s="215"/>
    </row>
    <row r="433" spans="1:8">
      <c r="A433" s="215"/>
      <c r="B433" s="215"/>
      <c r="C433" s="288"/>
      <c r="D433" s="215"/>
      <c r="E433" s="215"/>
      <c r="F433" s="215"/>
      <c r="G433" s="215"/>
      <c r="H433" s="215"/>
    </row>
    <row r="434" spans="1:8">
      <c r="A434" s="215"/>
      <c r="B434" s="215"/>
      <c r="C434" s="288"/>
      <c r="D434" s="215"/>
      <c r="E434" s="215"/>
      <c r="F434" s="215"/>
      <c r="G434" s="215"/>
      <c r="H434" s="215"/>
    </row>
    <row r="435" spans="1:8">
      <c r="A435" s="190"/>
      <c r="B435" s="190"/>
      <c r="C435" s="202"/>
      <c r="D435" s="190"/>
      <c r="E435" s="190"/>
      <c r="F435" s="190"/>
      <c r="G435" s="190"/>
      <c r="H435" s="190"/>
    </row>
    <row r="436" spans="1:8">
      <c r="A436" s="190"/>
      <c r="B436" s="190"/>
      <c r="C436" s="202"/>
      <c r="D436" s="190"/>
      <c r="E436" s="190"/>
      <c r="F436" s="190"/>
      <c r="G436" s="190"/>
      <c r="H436" s="190"/>
    </row>
    <row r="437" spans="1:8">
      <c r="A437" s="190"/>
      <c r="B437" s="190"/>
      <c r="C437" s="202"/>
      <c r="D437" s="190"/>
      <c r="E437" s="190"/>
      <c r="F437" s="190"/>
      <c r="G437" s="190"/>
      <c r="H437" s="190"/>
    </row>
    <row r="438" spans="1:8">
      <c r="A438" s="190"/>
      <c r="B438" s="190"/>
      <c r="C438" s="202"/>
      <c r="D438" s="190"/>
      <c r="E438" s="190"/>
      <c r="F438" s="190"/>
      <c r="G438" s="190"/>
      <c r="H438" s="190"/>
    </row>
    <row r="439" spans="1:8">
      <c r="A439" s="190"/>
      <c r="B439" s="190"/>
      <c r="C439" s="202"/>
      <c r="D439" s="190"/>
      <c r="E439" s="190"/>
      <c r="F439" s="190"/>
      <c r="G439" s="190"/>
      <c r="H439" s="190"/>
    </row>
    <row r="440" spans="1:8">
      <c r="A440" s="190"/>
      <c r="B440" s="190"/>
      <c r="C440" s="202"/>
      <c r="D440" s="190"/>
      <c r="E440" s="190"/>
      <c r="F440" s="190"/>
      <c r="G440" s="190"/>
      <c r="H440" s="190"/>
    </row>
    <row r="441" spans="1:8">
      <c r="A441" s="190"/>
      <c r="B441" s="190"/>
      <c r="C441" s="202"/>
      <c r="D441" s="190"/>
      <c r="E441" s="190"/>
      <c r="F441" s="190"/>
      <c r="G441" s="190"/>
      <c r="H441" s="190"/>
    </row>
    <row r="442" spans="1:8">
      <c r="A442" s="190"/>
      <c r="B442" s="190"/>
      <c r="C442" s="202"/>
      <c r="D442" s="190"/>
      <c r="E442" s="190"/>
      <c r="F442" s="190"/>
      <c r="G442" s="190"/>
      <c r="H442" s="190"/>
    </row>
    <row r="443" spans="1:8">
      <c r="A443" s="190"/>
      <c r="B443" s="190"/>
      <c r="C443" s="202"/>
      <c r="D443" s="190"/>
      <c r="E443" s="190"/>
      <c r="F443" s="190"/>
      <c r="G443" s="190"/>
      <c r="H443" s="190"/>
    </row>
    <row r="444" spans="1:8">
      <c r="A444" s="190"/>
      <c r="B444" s="190"/>
      <c r="C444" s="202"/>
      <c r="D444" s="190"/>
      <c r="E444" s="190"/>
      <c r="F444" s="190"/>
      <c r="G444" s="190"/>
      <c r="H444" s="190"/>
    </row>
    <row r="445" spans="1:8">
      <c r="A445" s="190"/>
      <c r="B445" s="190"/>
      <c r="C445" s="202"/>
      <c r="D445" s="190"/>
      <c r="E445" s="190"/>
      <c r="F445" s="190"/>
      <c r="G445" s="190"/>
      <c r="H445" s="190"/>
    </row>
    <row r="446" spans="1:8">
      <c r="A446" s="190"/>
      <c r="B446" s="190"/>
      <c r="C446" s="202"/>
      <c r="D446" s="190"/>
      <c r="E446" s="190"/>
      <c r="F446" s="190"/>
      <c r="G446" s="190"/>
      <c r="H446" s="190"/>
    </row>
    <row r="447" spans="1:8">
      <c r="A447" s="190"/>
      <c r="B447" s="190"/>
      <c r="C447" s="202"/>
      <c r="D447" s="190"/>
      <c r="E447" s="190"/>
      <c r="F447" s="190"/>
      <c r="G447" s="190"/>
      <c r="H447" s="190"/>
    </row>
    <row r="448" spans="1:8">
      <c r="A448" s="190"/>
      <c r="B448" s="190"/>
      <c r="C448" s="202"/>
      <c r="D448" s="190"/>
      <c r="E448" s="190"/>
      <c r="F448" s="190"/>
      <c r="G448" s="190"/>
      <c r="H448" s="190"/>
    </row>
    <row r="449" spans="1:8">
      <c r="A449" s="190"/>
      <c r="B449" s="190"/>
      <c r="C449" s="202"/>
      <c r="D449" s="190"/>
      <c r="E449" s="190"/>
      <c r="F449" s="190"/>
      <c r="G449" s="190"/>
      <c r="H449" s="190"/>
    </row>
    <row r="450" spans="1:8">
      <c r="A450" s="190"/>
      <c r="B450" s="190"/>
      <c r="C450" s="202"/>
      <c r="D450" s="190"/>
      <c r="E450" s="190"/>
      <c r="F450" s="190"/>
      <c r="G450" s="190"/>
      <c r="H450" s="190"/>
    </row>
    <row r="451" spans="1:8">
      <c r="A451" s="190"/>
      <c r="B451" s="190"/>
      <c r="C451" s="202"/>
      <c r="D451" s="190"/>
      <c r="E451" s="190"/>
      <c r="F451" s="190"/>
      <c r="G451" s="190"/>
      <c r="H451" s="190"/>
    </row>
    <row r="452" spans="1:8">
      <c r="A452" s="190"/>
      <c r="B452" s="190"/>
      <c r="C452" s="202"/>
      <c r="D452" s="190"/>
      <c r="E452" s="190"/>
      <c r="F452" s="190"/>
      <c r="G452" s="190"/>
      <c r="H452" s="190"/>
    </row>
    <row r="453" spans="1:8">
      <c r="A453" s="190"/>
      <c r="B453" s="190"/>
      <c r="C453" s="202"/>
      <c r="D453" s="190"/>
      <c r="E453" s="190"/>
      <c r="F453" s="190"/>
      <c r="G453" s="190"/>
      <c r="H453" s="190"/>
    </row>
    <row r="454" spans="1:8">
      <c r="A454" s="190"/>
      <c r="B454" s="190"/>
      <c r="C454" s="202"/>
      <c r="D454" s="190"/>
      <c r="E454" s="190"/>
      <c r="F454" s="190"/>
      <c r="G454" s="190"/>
      <c r="H454" s="190"/>
    </row>
    <row r="455" spans="1:8">
      <c r="A455" s="190"/>
      <c r="B455" s="190"/>
      <c r="C455" s="202"/>
      <c r="D455" s="190"/>
      <c r="E455" s="190"/>
      <c r="F455" s="190"/>
      <c r="G455" s="190"/>
      <c r="H455" s="190"/>
    </row>
    <row r="456" spans="1:8">
      <c r="A456" s="190"/>
      <c r="B456" s="190"/>
      <c r="C456" s="202"/>
      <c r="D456" s="190"/>
      <c r="E456" s="190"/>
      <c r="F456" s="190"/>
      <c r="G456" s="190"/>
      <c r="H456" s="190"/>
    </row>
    <row r="457" spans="1:8">
      <c r="A457" s="190"/>
      <c r="B457" s="190"/>
      <c r="C457" s="202"/>
      <c r="D457" s="190"/>
      <c r="E457" s="190"/>
      <c r="F457" s="190"/>
      <c r="G457" s="190"/>
      <c r="H457" s="190"/>
    </row>
    <row r="458" spans="1:8">
      <c r="A458" s="190"/>
      <c r="B458" s="190"/>
      <c r="C458" s="202"/>
      <c r="D458" s="190"/>
      <c r="E458" s="190"/>
      <c r="F458" s="190"/>
      <c r="G458" s="190"/>
      <c r="H458" s="190"/>
    </row>
    <row r="459" spans="1:8">
      <c r="A459" s="190"/>
      <c r="B459" s="190"/>
      <c r="C459" s="202"/>
      <c r="D459" s="190"/>
      <c r="E459" s="190"/>
      <c r="F459" s="190"/>
      <c r="G459" s="190"/>
      <c r="H459" s="190"/>
    </row>
    <row r="460" spans="1:8">
      <c r="A460" s="190"/>
      <c r="B460" s="190"/>
      <c r="C460" s="202"/>
      <c r="D460" s="190"/>
      <c r="E460" s="190"/>
      <c r="F460" s="190"/>
      <c r="G460" s="190"/>
      <c r="H460" s="190"/>
    </row>
    <row r="461" spans="1:8">
      <c r="A461" s="190"/>
      <c r="B461" s="190"/>
      <c r="C461" s="202"/>
      <c r="D461" s="190"/>
      <c r="E461" s="190"/>
      <c r="F461" s="190"/>
      <c r="G461" s="190"/>
      <c r="H461" s="190"/>
    </row>
    <row r="462" spans="1:8">
      <c r="A462" s="190"/>
      <c r="B462" s="190"/>
      <c r="C462" s="202"/>
      <c r="D462" s="190"/>
      <c r="E462" s="190"/>
      <c r="F462" s="190"/>
      <c r="G462" s="190"/>
      <c r="H462" s="190"/>
    </row>
    <row r="463" spans="1:8">
      <c r="A463" s="190"/>
      <c r="B463" s="190"/>
      <c r="C463" s="202"/>
      <c r="D463" s="190"/>
      <c r="E463" s="190"/>
      <c r="F463" s="190"/>
      <c r="G463" s="190"/>
      <c r="H463" s="190"/>
    </row>
    <row r="464" spans="1:8">
      <c r="A464" s="190"/>
      <c r="B464" s="190"/>
      <c r="C464" s="202"/>
      <c r="D464" s="190"/>
      <c r="E464" s="190"/>
      <c r="F464" s="190"/>
      <c r="G464" s="190"/>
      <c r="H464" s="190"/>
    </row>
    <row r="465" spans="1:8">
      <c r="A465" s="190"/>
      <c r="B465" s="190"/>
      <c r="C465" s="202"/>
      <c r="D465" s="190"/>
      <c r="E465" s="190"/>
      <c r="F465" s="190"/>
      <c r="G465" s="190"/>
      <c r="H465" s="190"/>
    </row>
    <row r="466" spans="1:8">
      <c r="A466" s="190"/>
      <c r="B466" s="190"/>
      <c r="C466" s="202"/>
      <c r="D466" s="190"/>
      <c r="E466" s="190"/>
      <c r="F466" s="190"/>
      <c r="G466" s="190"/>
      <c r="H466" s="190"/>
    </row>
    <row r="467" spans="1:8">
      <c r="A467" s="190"/>
      <c r="B467" s="190"/>
      <c r="C467" s="202"/>
      <c r="D467" s="190"/>
      <c r="E467" s="190"/>
      <c r="F467" s="190"/>
      <c r="G467" s="190"/>
      <c r="H467" s="190"/>
    </row>
    <row r="468" spans="1:8">
      <c r="A468" s="190"/>
      <c r="B468" s="190"/>
      <c r="C468" s="202"/>
      <c r="D468" s="190"/>
      <c r="E468" s="190"/>
      <c r="F468" s="190"/>
      <c r="G468" s="190"/>
      <c r="H468" s="190"/>
    </row>
    <row r="469" spans="1:8">
      <c r="A469" s="190"/>
      <c r="B469" s="190"/>
      <c r="C469" s="202"/>
      <c r="D469" s="190"/>
      <c r="E469" s="190"/>
      <c r="F469" s="190"/>
      <c r="G469" s="190"/>
      <c r="H469" s="190"/>
    </row>
    <row r="470" spans="1:8">
      <c r="A470" s="190"/>
      <c r="B470" s="190"/>
      <c r="C470" s="202"/>
      <c r="D470" s="190"/>
      <c r="E470" s="190"/>
      <c r="F470" s="190"/>
      <c r="G470" s="190"/>
      <c r="H470" s="190"/>
    </row>
    <row r="471" spans="1:8">
      <c r="A471" s="190"/>
      <c r="B471" s="190"/>
      <c r="C471" s="202"/>
      <c r="D471" s="190"/>
      <c r="E471" s="190"/>
      <c r="F471" s="190"/>
      <c r="G471" s="190"/>
      <c r="H471" s="190"/>
    </row>
    <row r="472" spans="1:8">
      <c r="A472" s="190"/>
      <c r="B472" s="190"/>
      <c r="C472" s="202"/>
      <c r="D472" s="190"/>
      <c r="E472" s="190"/>
      <c r="F472" s="190"/>
      <c r="G472" s="190"/>
      <c r="H472" s="190"/>
    </row>
    <row r="473" spans="1:8">
      <c r="A473" s="190"/>
      <c r="B473" s="190"/>
      <c r="C473" s="202"/>
      <c r="D473" s="190"/>
      <c r="E473" s="190"/>
      <c r="F473" s="190"/>
      <c r="G473" s="190"/>
      <c r="H473" s="190"/>
    </row>
    <row r="474" spans="1:8">
      <c r="A474" s="190"/>
      <c r="B474" s="190"/>
      <c r="C474" s="202"/>
      <c r="D474" s="190"/>
      <c r="E474" s="190"/>
      <c r="F474" s="190"/>
      <c r="G474" s="190"/>
      <c r="H474" s="190"/>
    </row>
    <row r="475" spans="1:8">
      <c r="A475" s="190"/>
      <c r="B475" s="190"/>
      <c r="C475" s="202"/>
      <c r="D475" s="190"/>
      <c r="E475" s="190"/>
      <c r="F475" s="190"/>
      <c r="G475" s="190"/>
      <c r="H475" s="190"/>
    </row>
    <row r="476" spans="1:8">
      <c r="A476" s="190"/>
      <c r="B476" s="190"/>
      <c r="C476" s="202"/>
      <c r="D476" s="190"/>
      <c r="E476" s="190"/>
      <c r="F476" s="190"/>
      <c r="G476" s="190"/>
      <c r="H476" s="190"/>
    </row>
    <row r="477" spans="1:8">
      <c r="A477" s="190"/>
      <c r="B477" s="190"/>
      <c r="C477" s="202"/>
      <c r="D477" s="190"/>
      <c r="E477" s="190"/>
      <c r="F477" s="190"/>
      <c r="G477" s="190"/>
      <c r="H477" s="190"/>
    </row>
    <row r="478" spans="1:8">
      <c r="A478" s="190"/>
      <c r="B478" s="190"/>
      <c r="C478" s="202"/>
      <c r="D478" s="190"/>
      <c r="E478" s="190"/>
      <c r="F478" s="190"/>
      <c r="G478" s="190"/>
      <c r="H478" s="190"/>
    </row>
    <row r="479" spans="1:8">
      <c r="A479" s="190"/>
      <c r="B479" s="190"/>
      <c r="C479" s="202"/>
      <c r="D479" s="190"/>
      <c r="E479" s="190"/>
      <c r="F479" s="190"/>
      <c r="G479" s="190"/>
      <c r="H479" s="190"/>
    </row>
    <row r="480" spans="1:8">
      <c r="A480" s="190"/>
      <c r="B480" s="190"/>
      <c r="C480" s="202"/>
      <c r="D480" s="190"/>
      <c r="E480" s="190"/>
      <c r="F480" s="190"/>
      <c r="G480" s="190"/>
      <c r="H480" s="190"/>
    </row>
    <row r="481" spans="1:8">
      <c r="A481" s="190"/>
      <c r="B481" s="190"/>
      <c r="C481" s="202"/>
      <c r="D481" s="190"/>
      <c r="E481" s="190"/>
      <c r="F481" s="190"/>
      <c r="G481" s="190"/>
      <c r="H481" s="190"/>
    </row>
    <row r="482" spans="1:8">
      <c r="A482" s="190"/>
      <c r="B482" s="190"/>
      <c r="C482" s="202"/>
      <c r="D482" s="190"/>
      <c r="E482" s="190"/>
      <c r="F482" s="190"/>
      <c r="G482" s="190"/>
      <c r="H482" s="190"/>
    </row>
    <row r="483" spans="1:8">
      <c r="A483" s="190"/>
      <c r="B483" s="190"/>
      <c r="C483" s="202"/>
      <c r="D483" s="190"/>
      <c r="E483" s="190"/>
      <c r="F483" s="190"/>
      <c r="G483" s="190"/>
      <c r="H483" s="190"/>
    </row>
    <row r="484" spans="1:8">
      <c r="A484" s="190"/>
      <c r="B484" s="190"/>
      <c r="C484" s="202"/>
      <c r="D484" s="190"/>
      <c r="E484" s="190"/>
      <c r="F484" s="190"/>
      <c r="G484" s="190"/>
      <c r="H484" s="190"/>
    </row>
    <row r="485" spans="1:8">
      <c r="A485" s="190"/>
      <c r="B485" s="190"/>
      <c r="C485" s="202"/>
      <c r="D485" s="190"/>
      <c r="E485" s="190"/>
      <c r="F485" s="190"/>
      <c r="G485" s="190"/>
      <c r="H485" s="190"/>
    </row>
    <row r="486" spans="1:8">
      <c r="A486" s="190"/>
      <c r="B486" s="190"/>
      <c r="C486" s="202"/>
      <c r="D486" s="190"/>
      <c r="E486" s="190"/>
      <c r="F486" s="190"/>
      <c r="G486" s="190"/>
      <c r="H486" s="190"/>
    </row>
    <row r="487" spans="1:8">
      <c r="A487" s="190"/>
      <c r="B487" s="190"/>
      <c r="C487" s="202"/>
      <c r="D487" s="190"/>
      <c r="E487" s="190"/>
      <c r="F487" s="190"/>
      <c r="G487" s="190"/>
      <c r="H487" s="190"/>
    </row>
    <row r="488" spans="1:8">
      <c r="A488" s="190"/>
      <c r="B488" s="190"/>
      <c r="C488" s="202"/>
      <c r="D488" s="190"/>
      <c r="E488" s="190"/>
      <c r="F488" s="190"/>
      <c r="G488" s="190"/>
      <c r="H488" s="190"/>
    </row>
    <row r="489" spans="1:8">
      <c r="A489" s="190"/>
      <c r="B489" s="190"/>
      <c r="C489" s="202"/>
      <c r="D489" s="190"/>
      <c r="E489" s="190"/>
      <c r="F489" s="190"/>
      <c r="G489" s="190"/>
      <c r="H489" s="190"/>
    </row>
    <row r="490" spans="1:8">
      <c r="A490" s="190"/>
      <c r="B490" s="190"/>
      <c r="C490" s="202"/>
      <c r="D490" s="190"/>
      <c r="E490" s="190"/>
      <c r="F490" s="190"/>
      <c r="G490" s="190"/>
      <c r="H490" s="190"/>
    </row>
    <row r="491" spans="1:8">
      <c r="A491" s="190"/>
      <c r="B491" s="190"/>
      <c r="C491" s="202"/>
      <c r="D491" s="190"/>
      <c r="E491" s="190"/>
      <c r="F491" s="190"/>
      <c r="G491" s="190"/>
      <c r="H491" s="190"/>
    </row>
    <row r="492" spans="1:8">
      <c r="A492" s="190"/>
      <c r="B492" s="190"/>
      <c r="C492" s="202"/>
      <c r="D492" s="190"/>
      <c r="E492" s="190"/>
      <c r="F492" s="190"/>
      <c r="G492" s="190"/>
      <c r="H492" s="190"/>
    </row>
    <row r="493" spans="1:8">
      <c r="A493" s="190"/>
      <c r="B493" s="190"/>
      <c r="C493" s="202"/>
      <c r="D493" s="190"/>
      <c r="E493" s="190"/>
      <c r="F493" s="190"/>
      <c r="G493" s="190"/>
      <c r="H493" s="190"/>
    </row>
    <row r="494" spans="1:8">
      <c r="A494" s="190"/>
      <c r="B494" s="190"/>
      <c r="C494" s="202"/>
      <c r="D494" s="190"/>
      <c r="E494" s="190"/>
      <c r="F494" s="190"/>
      <c r="G494" s="190"/>
      <c r="H494" s="190"/>
    </row>
    <row r="495" spans="1:8">
      <c r="A495" s="190"/>
      <c r="B495" s="190"/>
      <c r="C495" s="202"/>
      <c r="D495" s="190"/>
      <c r="E495" s="190"/>
      <c r="F495" s="190"/>
      <c r="G495" s="190"/>
      <c r="H495" s="190"/>
    </row>
    <row r="496" spans="1:8">
      <c r="A496" s="190"/>
      <c r="B496" s="190"/>
      <c r="C496" s="202"/>
      <c r="D496" s="190"/>
      <c r="E496" s="190"/>
      <c r="F496" s="190"/>
      <c r="G496" s="190"/>
      <c r="H496" s="190"/>
    </row>
    <row r="497" spans="1:8">
      <c r="A497" s="190"/>
      <c r="B497" s="190"/>
      <c r="C497" s="202"/>
      <c r="D497" s="190"/>
      <c r="E497" s="190"/>
      <c r="F497" s="190"/>
      <c r="G497" s="190"/>
      <c r="H497" s="190"/>
    </row>
    <row r="498" spans="1:8">
      <c r="A498" s="190"/>
      <c r="B498" s="190"/>
      <c r="C498" s="202"/>
      <c r="D498" s="190"/>
      <c r="E498" s="190"/>
      <c r="F498" s="190"/>
      <c r="G498" s="190"/>
      <c r="H498" s="190"/>
    </row>
    <row r="499" spans="1:8">
      <c r="A499" s="190"/>
      <c r="B499" s="190"/>
      <c r="C499" s="202"/>
      <c r="D499" s="190"/>
      <c r="E499" s="190"/>
      <c r="F499" s="190"/>
      <c r="G499" s="190"/>
      <c r="H499" s="190"/>
    </row>
    <row r="500" spans="1:8">
      <c r="A500" s="190"/>
      <c r="B500" s="190"/>
      <c r="C500" s="202"/>
      <c r="D500" s="190"/>
      <c r="E500" s="190"/>
      <c r="F500" s="190"/>
      <c r="G500" s="190"/>
      <c r="H500" s="190"/>
    </row>
    <row r="501" spans="1:8">
      <c r="A501" s="190"/>
      <c r="B501" s="190"/>
      <c r="C501" s="202"/>
      <c r="D501" s="190"/>
      <c r="E501" s="190"/>
      <c r="F501" s="190"/>
      <c r="G501" s="190"/>
      <c r="H501" s="190"/>
    </row>
    <row r="502" spans="1:8">
      <c r="A502" s="190"/>
      <c r="B502" s="190"/>
      <c r="C502" s="202"/>
      <c r="D502" s="190"/>
      <c r="E502" s="190"/>
      <c r="F502" s="190"/>
      <c r="G502" s="190"/>
      <c r="H502" s="190"/>
    </row>
    <row r="503" spans="1:8">
      <c r="A503" s="190"/>
      <c r="B503" s="190"/>
      <c r="C503" s="202"/>
      <c r="D503" s="190"/>
      <c r="E503" s="190"/>
      <c r="F503" s="190"/>
      <c r="G503" s="190"/>
      <c r="H503" s="190"/>
    </row>
    <row r="504" spans="1:8">
      <c r="A504" s="190"/>
      <c r="B504" s="190"/>
      <c r="C504" s="202"/>
      <c r="D504" s="190"/>
      <c r="E504" s="190"/>
      <c r="F504" s="190"/>
      <c r="G504" s="190"/>
      <c r="H504" s="190"/>
    </row>
    <row r="505" spans="1:8">
      <c r="A505" s="190"/>
      <c r="B505" s="190"/>
      <c r="C505" s="202"/>
      <c r="D505" s="190"/>
      <c r="E505" s="190"/>
      <c r="F505" s="190"/>
      <c r="G505" s="190"/>
      <c r="H505" s="190"/>
    </row>
    <row r="506" spans="1:8">
      <c r="A506" s="190"/>
      <c r="B506" s="190"/>
      <c r="C506" s="202"/>
      <c r="D506" s="190"/>
      <c r="E506" s="190"/>
      <c r="F506" s="190"/>
      <c r="G506" s="190"/>
      <c r="H506" s="190"/>
    </row>
    <row r="507" spans="1:8">
      <c r="A507" s="190"/>
      <c r="B507" s="190"/>
      <c r="C507" s="202"/>
      <c r="D507" s="190"/>
      <c r="E507" s="190"/>
      <c r="F507" s="190"/>
      <c r="G507" s="190"/>
      <c r="H507" s="190"/>
    </row>
    <row r="508" spans="1:8">
      <c r="A508" s="190"/>
      <c r="B508" s="190"/>
      <c r="C508" s="202"/>
      <c r="D508" s="190"/>
      <c r="E508" s="190"/>
      <c r="F508" s="190"/>
      <c r="G508" s="190"/>
      <c r="H508" s="190"/>
    </row>
    <row r="509" spans="1:8">
      <c r="A509" s="190"/>
      <c r="B509" s="190"/>
      <c r="C509" s="202"/>
      <c r="D509" s="190"/>
      <c r="E509" s="190"/>
      <c r="F509" s="190"/>
      <c r="G509" s="190"/>
      <c r="H509" s="190"/>
    </row>
    <row r="510" spans="1:8">
      <c r="A510" s="190"/>
      <c r="B510" s="190"/>
      <c r="C510" s="202"/>
      <c r="D510" s="190"/>
      <c r="E510" s="190"/>
      <c r="F510" s="190"/>
      <c r="G510" s="190"/>
      <c r="H510" s="190"/>
    </row>
    <row r="511" spans="1:8">
      <c r="A511" s="190"/>
      <c r="B511" s="190"/>
      <c r="C511" s="202"/>
      <c r="D511" s="190"/>
      <c r="E511" s="190"/>
      <c r="F511" s="190"/>
      <c r="G511" s="190"/>
      <c r="H511" s="190"/>
    </row>
    <row r="512" spans="1:8">
      <c r="A512" s="190"/>
      <c r="B512" s="190"/>
      <c r="C512" s="202"/>
      <c r="D512" s="190"/>
      <c r="E512" s="190"/>
      <c r="F512" s="190"/>
      <c r="G512" s="190"/>
      <c r="H512" s="190"/>
    </row>
    <row r="513" spans="1:8">
      <c r="A513" s="190"/>
      <c r="B513" s="190"/>
      <c r="C513" s="202"/>
      <c r="D513" s="190"/>
      <c r="E513" s="190"/>
      <c r="F513" s="190"/>
      <c r="G513" s="190"/>
      <c r="H513" s="190"/>
    </row>
    <row r="514" spans="1:8">
      <c r="A514" s="190"/>
      <c r="B514" s="190"/>
      <c r="C514" s="202"/>
      <c r="D514" s="190"/>
      <c r="E514" s="190"/>
      <c r="F514" s="190"/>
      <c r="G514" s="190"/>
      <c r="H514" s="190"/>
    </row>
    <row r="515" spans="1:8">
      <c r="A515" s="190"/>
      <c r="B515" s="190"/>
      <c r="C515" s="202"/>
      <c r="D515" s="190"/>
      <c r="E515" s="190"/>
      <c r="F515" s="190"/>
      <c r="G515" s="190"/>
      <c r="H515" s="190"/>
    </row>
    <row r="516" spans="1:8">
      <c r="A516" s="190"/>
      <c r="B516" s="190"/>
      <c r="C516" s="202"/>
      <c r="D516" s="190"/>
      <c r="E516" s="190"/>
      <c r="F516" s="190"/>
      <c r="G516" s="190"/>
      <c r="H516" s="190"/>
    </row>
    <row r="517" spans="1:8">
      <c r="A517" s="190"/>
      <c r="B517" s="190"/>
      <c r="C517" s="202"/>
      <c r="D517" s="190"/>
      <c r="E517" s="190"/>
      <c r="F517" s="190"/>
      <c r="G517" s="190"/>
      <c r="H517" s="190"/>
    </row>
    <row r="518" spans="1:8">
      <c r="A518" s="190"/>
      <c r="B518" s="190"/>
      <c r="C518" s="202"/>
      <c r="D518" s="190"/>
      <c r="E518" s="190"/>
      <c r="F518" s="190"/>
      <c r="G518" s="190"/>
      <c r="H518" s="190"/>
    </row>
    <row r="519" spans="1:8">
      <c r="A519" s="190"/>
      <c r="B519" s="190"/>
      <c r="C519" s="202"/>
      <c r="D519" s="190"/>
      <c r="E519" s="190"/>
      <c r="F519" s="190"/>
      <c r="G519" s="190"/>
      <c r="H519" s="190"/>
    </row>
    <row r="520" spans="1:8">
      <c r="A520" s="190"/>
      <c r="B520" s="190"/>
      <c r="C520" s="202"/>
      <c r="D520" s="190"/>
      <c r="E520" s="190"/>
      <c r="F520" s="190"/>
      <c r="G520" s="190"/>
      <c r="H520" s="190"/>
    </row>
    <row r="521" spans="1:8">
      <c r="A521" s="190"/>
      <c r="B521" s="190"/>
      <c r="C521" s="202"/>
      <c r="D521" s="190"/>
      <c r="E521" s="190"/>
      <c r="F521" s="190"/>
      <c r="G521" s="190"/>
      <c r="H521" s="190"/>
    </row>
    <row r="522" spans="1:8">
      <c r="A522" s="190"/>
      <c r="B522" s="190"/>
      <c r="C522" s="202"/>
      <c r="D522" s="190"/>
      <c r="E522" s="190"/>
      <c r="F522" s="190"/>
      <c r="G522" s="190"/>
      <c r="H522" s="190"/>
    </row>
    <row r="523" spans="1:8">
      <c r="A523" s="190"/>
      <c r="B523" s="190"/>
      <c r="C523" s="202"/>
      <c r="D523" s="190"/>
      <c r="E523" s="190"/>
      <c r="F523" s="190"/>
      <c r="G523" s="190"/>
      <c r="H523" s="190"/>
    </row>
    <row r="524" spans="1:8">
      <c r="A524" s="190"/>
      <c r="B524" s="190"/>
      <c r="C524" s="202"/>
      <c r="D524" s="190"/>
      <c r="E524" s="190"/>
      <c r="F524" s="190"/>
      <c r="G524" s="190"/>
      <c r="H524" s="190"/>
    </row>
    <row r="525" spans="1:8">
      <c r="A525" s="190"/>
      <c r="B525" s="190"/>
      <c r="C525" s="202"/>
      <c r="D525" s="190"/>
      <c r="E525" s="190"/>
      <c r="F525" s="190"/>
      <c r="G525" s="190"/>
      <c r="H525" s="190"/>
    </row>
    <row r="526" spans="1:8">
      <c r="A526" s="190"/>
      <c r="B526" s="190"/>
      <c r="C526" s="202"/>
      <c r="D526" s="190"/>
      <c r="E526" s="190"/>
      <c r="F526" s="190"/>
      <c r="G526" s="190"/>
      <c r="H526" s="190"/>
    </row>
    <row r="527" spans="1:8">
      <c r="A527" s="190"/>
      <c r="B527" s="190"/>
      <c r="C527" s="202"/>
      <c r="D527" s="190"/>
      <c r="E527" s="190"/>
      <c r="F527" s="190"/>
      <c r="G527" s="190"/>
      <c r="H527" s="190"/>
    </row>
    <row r="528" spans="1:8">
      <c r="A528" s="190"/>
      <c r="B528" s="190"/>
      <c r="C528" s="202"/>
      <c r="D528" s="190"/>
      <c r="E528" s="190"/>
      <c r="F528" s="190"/>
      <c r="G528" s="190"/>
      <c r="H528" s="190"/>
    </row>
    <row r="529" spans="1:8">
      <c r="A529" s="190"/>
      <c r="B529" s="190"/>
      <c r="C529" s="202"/>
      <c r="D529" s="190"/>
      <c r="E529" s="190"/>
      <c r="F529" s="190"/>
      <c r="G529" s="190"/>
      <c r="H529" s="190"/>
    </row>
    <row r="530" spans="1:8">
      <c r="A530" s="190"/>
      <c r="B530" s="190"/>
      <c r="C530" s="202"/>
      <c r="D530" s="190"/>
      <c r="E530" s="190"/>
      <c r="F530" s="190"/>
      <c r="G530" s="190"/>
      <c r="H530" s="190"/>
    </row>
    <row r="531" spans="1:8">
      <c r="A531" s="190"/>
      <c r="B531" s="190"/>
      <c r="C531" s="202"/>
      <c r="D531" s="190"/>
      <c r="E531" s="190"/>
      <c r="F531" s="190"/>
      <c r="G531" s="190"/>
      <c r="H531" s="190"/>
    </row>
    <row r="532" spans="1:8">
      <c r="A532" s="190"/>
      <c r="B532" s="190"/>
      <c r="C532" s="202"/>
      <c r="D532" s="190"/>
      <c r="E532" s="190"/>
      <c r="F532" s="190"/>
      <c r="G532" s="190"/>
      <c r="H532" s="190"/>
    </row>
    <row r="533" spans="1:8">
      <c r="A533" s="190"/>
      <c r="B533" s="190"/>
      <c r="C533" s="202"/>
      <c r="D533" s="190"/>
      <c r="E533" s="190"/>
      <c r="F533" s="190"/>
      <c r="G533" s="190"/>
      <c r="H533" s="190"/>
    </row>
    <row r="534" spans="1:8">
      <c r="A534" s="190"/>
      <c r="B534" s="190"/>
      <c r="C534" s="202"/>
      <c r="D534" s="190"/>
      <c r="E534" s="190"/>
      <c r="F534" s="190"/>
      <c r="G534" s="190"/>
      <c r="H534" s="190"/>
    </row>
    <row r="535" spans="1:8">
      <c r="A535" s="190"/>
      <c r="B535" s="190"/>
      <c r="C535" s="202"/>
      <c r="D535" s="190"/>
      <c r="E535" s="190"/>
      <c r="F535" s="190"/>
      <c r="G535" s="190"/>
      <c r="H535" s="190"/>
    </row>
    <row r="536" spans="1:8">
      <c r="A536" s="190"/>
      <c r="B536" s="190"/>
      <c r="C536" s="202"/>
      <c r="D536" s="190"/>
      <c r="E536" s="190"/>
      <c r="F536" s="190"/>
      <c r="G536" s="190"/>
      <c r="H536" s="190"/>
    </row>
    <row r="537" spans="1:8">
      <c r="A537" s="190"/>
      <c r="B537" s="190"/>
      <c r="C537" s="202"/>
      <c r="D537" s="190"/>
      <c r="E537" s="190"/>
      <c r="F537" s="190"/>
      <c r="G537" s="190"/>
      <c r="H537" s="190"/>
    </row>
    <row r="538" spans="1:8">
      <c r="A538" s="190"/>
      <c r="B538" s="190"/>
      <c r="C538" s="202"/>
      <c r="D538" s="190"/>
      <c r="E538" s="190"/>
      <c r="F538" s="190"/>
      <c r="G538" s="190"/>
      <c r="H538" s="190"/>
    </row>
    <row r="539" spans="1:8">
      <c r="A539" s="190"/>
      <c r="B539" s="190"/>
      <c r="C539" s="202"/>
      <c r="D539" s="190"/>
      <c r="E539" s="190"/>
      <c r="F539" s="190"/>
      <c r="G539" s="190"/>
      <c r="H539" s="190"/>
    </row>
    <row r="540" spans="1:8">
      <c r="A540" s="190"/>
      <c r="B540" s="190"/>
      <c r="C540" s="202"/>
      <c r="D540" s="190"/>
      <c r="E540" s="190"/>
      <c r="F540" s="190"/>
      <c r="G540" s="190"/>
      <c r="H540" s="190"/>
    </row>
    <row r="541" spans="1:8">
      <c r="A541" s="190"/>
      <c r="B541" s="190"/>
      <c r="C541" s="202"/>
      <c r="D541" s="190"/>
      <c r="E541" s="190"/>
      <c r="F541" s="190"/>
      <c r="G541" s="190"/>
      <c r="H541" s="190"/>
    </row>
    <row r="542" spans="1:8">
      <c r="A542" s="190"/>
      <c r="B542" s="190"/>
      <c r="C542" s="202"/>
      <c r="D542" s="190"/>
      <c r="E542" s="190"/>
      <c r="F542" s="190"/>
      <c r="G542" s="190"/>
      <c r="H542" s="190"/>
    </row>
    <row r="543" spans="1:8">
      <c r="A543" s="190"/>
      <c r="B543" s="190"/>
      <c r="C543" s="202"/>
      <c r="D543" s="190"/>
      <c r="E543" s="190"/>
      <c r="F543" s="190"/>
      <c r="G543" s="190"/>
      <c r="H543" s="190"/>
    </row>
    <row r="544" spans="1:8">
      <c r="A544" s="190"/>
      <c r="B544" s="190"/>
      <c r="C544" s="202"/>
      <c r="D544" s="190"/>
      <c r="E544" s="190"/>
      <c r="F544" s="190"/>
      <c r="G544" s="190"/>
      <c r="H544" s="190"/>
    </row>
    <row r="545" spans="1:8">
      <c r="A545" s="190"/>
      <c r="B545" s="190"/>
      <c r="C545" s="202"/>
      <c r="D545" s="190"/>
      <c r="E545" s="190"/>
      <c r="F545" s="190"/>
      <c r="G545" s="190"/>
      <c r="H545" s="190"/>
    </row>
    <row r="546" spans="1:8">
      <c r="A546" s="190"/>
      <c r="B546" s="190"/>
      <c r="C546" s="202"/>
      <c r="D546" s="190"/>
      <c r="E546" s="190"/>
      <c r="F546" s="190"/>
      <c r="G546" s="190"/>
      <c r="H546" s="190"/>
    </row>
    <row r="547" spans="1:8">
      <c r="A547" s="190"/>
      <c r="B547" s="190"/>
      <c r="C547" s="202"/>
      <c r="D547" s="190"/>
      <c r="E547" s="190"/>
      <c r="F547" s="190"/>
      <c r="G547" s="190"/>
      <c r="H547" s="190"/>
    </row>
    <row r="548" spans="1:8">
      <c r="A548" s="190"/>
      <c r="B548" s="190"/>
      <c r="C548" s="202"/>
      <c r="D548" s="190"/>
      <c r="E548" s="190"/>
      <c r="F548" s="190"/>
      <c r="G548" s="190"/>
      <c r="H548" s="190"/>
    </row>
    <row r="549" spans="1:8">
      <c r="A549" s="190"/>
      <c r="B549" s="190"/>
      <c r="C549" s="202"/>
      <c r="D549" s="190"/>
      <c r="E549" s="190"/>
      <c r="F549" s="190"/>
      <c r="G549" s="190"/>
      <c r="H549" s="190"/>
    </row>
    <row r="550" spans="1:8">
      <c r="A550" s="190"/>
      <c r="B550" s="190"/>
      <c r="C550" s="202"/>
      <c r="D550" s="190"/>
      <c r="E550" s="190"/>
      <c r="F550" s="190"/>
      <c r="G550" s="190"/>
      <c r="H550" s="190"/>
    </row>
    <row r="551" spans="1:8">
      <c r="A551" s="190"/>
      <c r="B551" s="190"/>
      <c r="C551" s="202"/>
      <c r="D551" s="190"/>
      <c r="E551" s="190"/>
      <c r="F551" s="190"/>
      <c r="G551" s="190"/>
      <c r="H551" s="190"/>
    </row>
    <row r="552" spans="1:8">
      <c r="A552" s="190"/>
      <c r="B552" s="190"/>
      <c r="C552" s="202"/>
      <c r="D552" s="190"/>
      <c r="E552" s="190"/>
      <c r="F552" s="190"/>
      <c r="G552" s="190"/>
      <c r="H552" s="190"/>
    </row>
    <row r="553" spans="1:8">
      <c r="A553" s="190"/>
      <c r="B553" s="190"/>
      <c r="C553" s="202"/>
      <c r="D553" s="190"/>
      <c r="E553" s="190"/>
      <c r="F553" s="190"/>
      <c r="G553" s="190"/>
      <c r="H553" s="190"/>
    </row>
    <row r="554" spans="1:8">
      <c r="A554" s="190"/>
      <c r="B554" s="190"/>
      <c r="C554" s="202"/>
      <c r="D554" s="190"/>
      <c r="E554" s="190"/>
      <c r="F554" s="190"/>
      <c r="G554" s="190"/>
      <c r="H554" s="190"/>
    </row>
    <row r="555" spans="1:8">
      <c r="A555" s="190"/>
      <c r="B555" s="190"/>
      <c r="C555" s="202"/>
      <c r="D555" s="190"/>
      <c r="E555" s="190"/>
      <c r="F555" s="190"/>
      <c r="G555" s="190"/>
      <c r="H555" s="190"/>
    </row>
    <row r="556" spans="1:8">
      <c r="A556" s="190"/>
      <c r="B556" s="190"/>
      <c r="C556" s="202"/>
      <c r="D556" s="190"/>
      <c r="E556" s="190"/>
      <c r="F556" s="190"/>
      <c r="G556" s="190"/>
      <c r="H556" s="190"/>
    </row>
    <row r="557" spans="1:8">
      <c r="A557" s="190"/>
      <c r="B557" s="190"/>
      <c r="C557" s="202"/>
      <c r="D557" s="190"/>
      <c r="E557" s="190"/>
      <c r="F557" s="190"/>
      <c r="G557" s="190"/>
      <c r="H557" s="190"/>
    </row>
    <row r="558" spans="1:8">
      <c r="A558" s="190"/>
      <c r="B558" s="190"/>
      <c r="C558" s="202"/>
      <c r="D558" s="190"/>
      <c r="E558" s="190"/>
      <c r="F558" s="190"/>
      <c r="G558" s="190"/>
      <c r="H558" s="190"/>
    </row>
    <row r="559" spans="1:8">
      <c r="A559" s="190"/>
      <c r="B559" s="190"/>
      <c r="C559" s="202"/>
      <c r="D559" s="190"/>
      <c r="E559" s="190"/>
      <c r="F559" s="190"/>
      <c r="G559" s="190"/>
      <c r="H559" s="190"/>
    </row>
    <row r="560" spans="1:8">
      <c r="A560" s="190"/>
      <c r="B560" s="190"/>
      <c r="C560" s="202"/>
      <c r="D560" s="190"/>
      <c r="E560" s="190"/>
      <c r="F560" s="190"/>
      <c r="G560" s="190"/>
      <c r="H560" s="190"/>
    </row>
    <row r="561" spans="1:8">
      <c r="A561" s="190"/>
      <c r="B561" s="190"/>
      <c r="C561" s="202"/>
      <c r="D561" s="190"/>
      <c r="E561" s="190"/>
      <c r="F561" s="190"/>
      <c r="G561" s="190"/>
      <c r="H561" s="190"/>
    </row>
    <row r="562" spans="1:8">
      <c r="A562" s="190"/>
      <c r="B562" s="190"/>
      <c r="C562" s="202"/>
      <c r="D562" s="190"/>
      <c r="E562" s="190"/>
      <c r="F562" s="190"/>
      <c r="G562" s="190"/>
      <c r="H562" s="190"/>
    </row>
    <row r="563" spans="1:8">
      <c r="A563" s="190"/>
      <c r="B563" s="190"/>
      <c r="C563" s="202"/>
      <c r="D563" s="190"/>
      <c r="E563" s="190"/>
      <c r="F563" s="190"/>
      <c r="G563" s="190"/>
      <c r="H563" s="190"/>
    </row>
    <row r="564" spans="1:8">
      <c r="A564" s="190"/>
      <c r="B564" s="190"/>
      <c r="C564" s="202"/>
      <c r="D564" s="190"/>
      <c r="E564" s="190"/>
      <c r="F564" s="190"/>
      <c r="G564" s="190"/>
      <c r="H564" s="190"/>
    </row>
    <row r="565" spans="1:8">
      <c r="A565" s="190"/>
      <c r="B565" s="190"/>
      <c r="C565" s="202"/>
      <c r="D565" s="190"/>
      <c r="E565" s="190"/>
      <c r="F565" s="190"/>
      <c r="G565" s="190"/>
      <c r="H565" s="190"/>
    </row>
    <row r="566" spans="1:8">
      <c r="A566" s="190"/>
      <c r="B566" s="190"/>
      <c r="C566" s="202"/>
      <c r="D566" s="190"/>
      <c r="E566" s="190"/>
      <c r="F566" s="190"/>
      <c r="G566" s="190"/>
      <c r="H566" s="190"/>
    </row>
    <row r="567" spans="1:8">
      <c r="A567" s="190"/>
      <c r="B567" s="190"/>
      <c r="C567" s="202"/>
      <c r="D567" s="190"/>
      <c r="E567" s="190"/>
      <c r="F567" s="190"/>
      <c r="G567" s="190"/>
      <c r="H567" s="190"/>
    </row>
    <row r="568" spans="1:8">
      <c r="A568" s="190"/>
      <c r="B568" s="190"/>
      <c r="C568" s="202"/>
      <c r="D568" s="190"/>
      <c r="E568" s="190"/>
      <c r="F568" s="190"/>
      <c r="G568" s="190"/>
      <c r="H568" s="190"/>
    </row>
    <row r="569" spans="1:8">
      <c r="A569" s="190"/>
      <c r="B569" s="190"/>
      <c r="C569" s="202"/>
      <c r="D569" s="190"/>
      <c r="E569" s="190"/>
      <c r="F569" s="190"/>
      <c r="G569" s="190"/>
      <c r="H569" s="190"/>
    </row>
    <row r="570" spans="1:8">
      <c r="A570" s="190"/>
      <c r="B570" s="190"/>
      <c r="C570" s="202"/>
      <c r="D570" s="190"/>
      <c r="E570" s="190"/>
      <c r="F570" s="190"/>
      <c r="G570" s="190"/>
      <c r="H570" s="190"/>
    </row>
    <row r="571" spans="1:8">
      <c r="A571" s="190"/>
      <c r="B571" s="190"/>
      <c r="C571" s="202"/>
      <c r="D571" s="190"/>
      <c r="E571" s="190"/>
      <c r="F571" s="190"/>
      <c r="G571" s="190"/>
      <c r="H571" s="190"/>
    </row>
    <row r="572" spans="1:8">
      <c r="A572" s="190"/>
      <c r="B572" s="190"/>
      <c r="C572" s="202"/>
      <c r="D572" s="190"/>
      <c r="E572" s="190"/>
      <c r="F572" s="190"/>
      <c r="G572" s="190"/>
      <c r="H572" s="190"/>
    </row>
    <row r="573" spans="1:8">
      <c r="A573" s="190"/>
      <c r="B573" s="190"/>
      <c r="C573" s="202"/>
      <c r="D573" s="190"/>
      <c r="E573" s="190"/>
      <c r="F573" s="190"/>
      <c r="G573" s="190"/>
      <c r="H573" s="190"/>
    </row>
    <row r="574" spans="1:8">
      <c r="A574" s="190"/>
      <c r="B574" s="190"/>
      <c r="C574" s="202"/>
      <c r="D574" s="190"/>
      <c r="E574" s="190"/>
      <c r="F574" s="190"/>
      <c r="G574" s="190"/>
      <c r="H574" s="190"/>
    </row>
    <row r="575" spans="1:8">
      <c r="A575" s="190"/>
      <c r="B575" s="190"/>
      <c r="C575" s="202"/>
      <c r="D575" s="190"/>
      <c r="E575" s="190"/>
      <c r="F575" s="190"/>
      <c r="G575" s="190"/>
      <c r="H575" s="190"/>
    </row>
    <row r="576" spans="1:8">
      <c r="A576" s="190"/>
      <c r="B576" s="190"/>
      <c r="C576" s="202"/>
      <c r="D576" s="190"/>
      <c r="E576" s="190"/>
      <c r="F576" s="190"/>
      <c r="G576" s="190"/>
      <c r="H576" s="190"/>
    </row>
    <row r="577" spans="1:8">
      <c r="A577" s="190"/>
      <c r="B577" s="190"/>
      <c r="C577" s="202"/>
      <c r="D577" s="190"/>
      <c r="E577" s="190"/>
      <c r="F577" s="190"/>
      <c r="G577" s="190"/>
      <c r="H577" s="190"/>
    </row>
    <row r="578" spans="1:8">
      <c r="A578" s="190"/>
      <c r="B578" s="190"/>
      <c r="C578" s="202"/>
      <c r="D578" s="190"/>
      <c r="E578" s="190"/>
      <c r="F578" s="190"/>
      <c r="G578" s="190"/>
      <c r="H578" s="190"/>
    </row>
    <row r="579" spans="1:8">
      <c r="A579" s="190"/>
      <c r="B579" s="190"/>
      <c r="C579" s="202"/>
      <c r="D579" s="190"/>
      <c r="E579" s="190"/>
      <c r="F579" s="190"/>
      <c r="G579" s="190"/>
      <c r="H579" s="190"/>
    </row>
    <row r="580" spans="1:8">
      <c r="A580" s="190"/>
      <c r="B580" s="190"/>
      <c r="C580" s="202"/>
      <c r="D580" s="190"/>
      <c r="E580" s="190"/>
      <c r="F580" s="190"/>
      <c r="G580" s="190"/>
      <c r="H580" s="190"/>
    </row>
    <row r="581" spans="1:8">
      <c r="A581" s="190"/>
      <c r="B581" s="190"/>
      <c r="C581" s="202"/>
      <c r="D581" s="190"/>
      <c r="E581" s="190"/>
      <c r="F581" s="190"/>
      <c r="G581" s="190"/>
      <c r="H581" s="190"/>
    </row>
    <row r="582" spans="1:8">
      <c r="A582" s="190"/>
      <c r="B582" s="190"/>
      <c r="C582" s="202"/>
      <c r="D582" s="190"/>
      <c r="E582" s="190"/>
      <c r="F582" s="190"/>
      <c r="G582" s="190"/>
      <c r="H582" s="190"/>
    </row>
    <row r="583" spans="1:8">
      <c r="A583" s="190"/>
      <c r="B583" s="190"/>
      <c r="C583" s="202"/>
      <c r="D583" s="190"/>
      <c r="E583" s="190"/>
      <c r="F583" s="190"/>
      <c r="G583" s="190"/>
      <c r="H583" s="190"/>
    </row>
    <row r="584" spans="1:8">
      <c r="A584" s="190"/>
      <c r="B584" s="190"/>
      <c r="C584" s="202"/>
      <c r="D584" s="190"/>
      <c r="E584" s="190"/>
      <c r="F584" s="190"/>
      <c r="G584" s="190"/>
      <c r="H584" s="190"/>
    </row>
    <row r="585" spans="1:8">
      <c r="A585" s="190"/>
      <c r="B585" s="190"/>
      <c r="C585" s="202"/>
      <c r="D585" s="190"/>
      <c r="E585" s="190"/>
      <c r="F585" s="190"/>
      <c r="G585" s="190"/>
      <c r="H585" s="190"/>
    </row>
    <row r="586" spans="1:8">
      <c r="A586" s="190"/>
      <c r="B586" s="190"/>
      <c r="C586" s="202"/>
      <c r="D586" s="190"/>
      <c r="E586" s="190"/>
      <c r="F586" s="190"/>
      <c r="G586" s="190"/>
      <c r="H586" s="190"/>
    </row>
    <row r="587" spans="1:8">
      <c r="A587" s="190"/>
      <c r="B587" s="190"/>
      <c r="C587" s="202"/>
      <c r="D587" s="190"/>
      <c r="E587" s="190"/>
      <c r="F587" s="190"/>
      <c r="G587" s="190"/>
      <c r="H587" s="190"/>
    </row>
    <row r="588" spans="1:8">
      <c r="A588" s="190"/>
      <c r="B588" s="190"/>
      <c r="C588" s="202"/>
      <c r="D588" s="190"/>
      <c r="E588" s="190"/>
      <c r="F588" s="190"/>
      <c r="G588" s="190"/>
      <c r="H588" s="190"/>
    </row>
    <row r="589" spans="1:8">
      <c r="A589" s="190"/>
      <c r="B589" s="190"/>
      <c r="C589" s="202"/>
      <c r="D589" s="190"/>
      <c r="E589" s="190"/>
      <c r="F589" s="190"/>
      <c r="G589" s="190"/>
      <c r="H589" s="190"/>
    </row>
    <row r="590" spans="1:8">
      <c r="A590" s="190"/>
      <c r="B590" s="190"/>
      <c r="C590" s="202"/>
      <c r="D590" s="190"/>
      <c r="E590" s="190"/>
      <c r="F590" s="190"/>
      <c r="G590" s="190"/>
      <c r="H590" s="190"/>
    </row>
    <row r="591" spans="1:8">
      <c r="A591" s="190"/>
      <c r="B591" s="190"/>
      <c r="C591" s="202"/>
      <c r="D591" s="190"/>
      <c r="E591" s="190"/>
      <c r="F591" s="190"/>
      <c r="G591" s="190"/>
      <c r="H591" s="190"/>
    </row>
    <row r="592" spans="1:8">
      <c r="A592" s="190"/>
      <c r="B592" s="190"/>
      <c r="C592" s="202"/>
      <c r="D592" s="190"/>
      <c r="E592" s="190"/>
      <c r="F592" s="190"/>
      <c r="G592" s="190"/>
      <c r="H592" s="190"/>
    </row>
    <row r="593" spans="1:8">
      <c r="A593" s="190"/>
      <c r="B593" s="190"/>
      <c r="C593" s="202"/>
      <c r="D593" s="190"/>
      <c r="E593" s="190"/>
      <c r="F593" s="190"/>
      <c r="G593" s="190"/>
      <c r="H593" s="190"/>
    </row>
    <row r="594" spans="1:8">
      <c r="A594" s="190"/>
      <c r="B594" s="190"/>
      <c r="C594" s="202"/>
      <c r="D594" s="190"/>
      <c r="E594" s="190"/>
      <c r="F594" s="190"/>
      <c r="G594" s="190"/>
      <c r="H594" s="190"/>
    </row>
    <row r="595" spans="1:8">
      <c r="A595" s="190"/>
      <c r="B595" s="190"/>
      <c r="C595" s="202"/>
      <c r="D595" s="190"/>
      <c r="E595" s="190"/>
      <c r="F595" s="190"/>
      <c r="G595" s="190"/>
      <c r="H595" s="190"/>
    </row>
    <row r="596" spans="1:8">
      <c r="A596" s="190"/>
      <c r="B596" s="190"/>
      <c r="C596" s="202"/>
      <c r="D596" s="190"/>
      <c r="E596" s="190"/>
      <c r="F596" s="190"/>
      <c r="G596" s="190"/>
      <c r="H596" s="190"/>
    </row>
    <row r="597" spans="1:8">
      <c r="A597" s="190"/>
      <c r="B597" s="190"/>
      <c r="C597" s="202"/>
      <c r="D597" s="190"/>
      <c r="E597" s="190"/>
      <c r="F597" s="190"/>
      <c r="G597" s="190"/>
      <c r="H597" s="190"/>
    </row>
    <row r="598" spans="1:8">
      <c r="A598" s="190"/>
      <c r="B598" s="190"/>
      <c r="C598" s="202"/>
      <c r="D598" s="190"/>
      <c r="E598" s="190"/>
      <c r="F598" s="190"/>
      <c r="G598" s="190"/>
      <c r="H598" s="190"/>
    </row>
    <row r="599" spans="1:8">
      <c r="A599" s="190"/>
      <c r="B599" s="190"/>
      <c r="C599" s="202"/>
      <c r="D599" s="190"/>
      <c r="E599" s="190"/>
      <c r="F599" s="190"/>
      <c r="G599" s="190"/>
      <c r="H599" s="190"/>
    </row>
    <row r="600" spans="1:8">
      <c r="A600" s="190"/>
      <c r="B600" s="190"/>
      <c r="C600" s="202"/>
      <c r="D600" s="190"/>
      <c r="E600" s="190"/>
      <c r="F600" s="190"/>
      <c r="G600" s="190"/>
      <c r="H600" s="190"/>
    </row>
    <row r="601" spans="1:8">
      <c r="A601" s="190"/>
      <c r="B601" s="190"/>
      <c r="C601" s="202"/>
      <c r="D601" s="190"/>
      <c r="E601" s="190"/>
      <c r="F601" s="190"/>
      <c r="G601" s="190"/>
      <c r="H601" s="190"/>
    </row>
    <row r="602" spans="1:8">
      <c r="A602" s="190"/>
      <c r="B602" s="190"/>
      <c r="C602" s="202"/>
      <c r="D602" s="190"/>
      <c r="E602" s="190"/>
      <c r="F602" s="190"/>
      <c r="G602" s="190"/>
      <c r="H602" s="190"/>
    </row>
    <row r="603" spans="1:8">
      <c r="A603" s="190"/>
      <c r="B603" s="190"/>
      <c r="C603" s="202"/>
      <c r="D603" s="190"/>
      <c r="E603" s="190"/>
      <c r="F603" s="190"/>
      <c r="G603" s="190"/>
      <c r="H603" s="190"/>
    </row>
    <row r="604" spans="1:8">
      <c r="A604" s="190"/>
      <c r="B604" s="190"/>
      <c r="C604" s="202"/>
      <c r="D604" s="190"/>
      <c r="E604" s="190"/>
      <c r="F604" s="190"/>
      <c r="G604" s="190"/>
      <c r="H604" s="190"/>
    </row>
    <row r="605" spans="1:8">
      <c r="A605" s="190"/>
      <c r="B605" s="190"/>
      <c r="C605" s="202"/>
      <c r="D605" s="190"/>
      <c r="E605" s="190"/>
      <c r="F605" s="190"/>
      <c r="G605" s="190"/>
      <c r="H605" s="190"/>
    </row>
    <row r="606" spans="1:8">
      <c r="A606" s="190"/>
      <c r="B606" s="190"/>
      <c r="C606" s="202"/>
      <c r="D606" s="190"/>
      <c r="E606" s="190"/>
      <c r="F606" s="190"/>
      <c r="G606" s="190"/>
      <c r="H606" s="190"/>
    </row>
    <row r="607" spans="1:8">
      <c r="A607" s="190"/>
      <c r="B607" s="190"/>
      <c r="C607" s="202"/>
      <c r="D607" s="190"/>
      <c r="E607" s="190"/>
      <c r="F607" s="190"/>
      <c r="G607" s="190"/>
      <c r="H607" s="190"/>
    </row>
    <row r="608" spans="1:8">
      <c r="A608" s="190"/>
      <c r="B608" s="190"/>
      <c r="C608" s="202"/>
      <c r="D608" s="190"/>
      <c r="E608" s="190"/>
      <c r="F608" s="190"/>
      <c r="G608" s="190"/>
      <c r="H608" s="190"/>
    </row>
    <row r="609" spans="1:8">
      <c r="A609" s="190"/>
      <c r="B609" s="190"/>
      <c r="C609" s="202"/>
      <c r="D609" s="190"/>
      <c r="E609" s="190"/>
      <c r="F609" s="190"/>
      <c r="G609" s="190"/>
      <c r="H609" s="190"/>
    </row>
    <row r="610" spans="1:8">
      <c r="A610" s="190"/>
      <c r="B610" s="190"/>
      <c r="C610" s="202"/>
      <c r="D610" s="190"/>
      <c r="E610" s="190"/>
      <c r="F610" s="190"/>
      <c r="G610" s="190"/>
      <c r="H610" s="190"/>
    </row>
    <row r="611" spans="1:8">
      <c r="A611" s="190"/>
      <c r="B611" s="190"/>
      <c r="C611" s="202"/>
      <c r="D611" s="190"/>
      <c r="E611" s="190"/>
      <c r="F611" s="190"/>
      <c r="G611" s="190"/>
      <c r="H611" s="190"/>
    </row>
    <row r="612" spans="1:8">
      <c r="A612" s="190"/>
      <c r="B612" s="190"/>
      <c r="C612" s="202"/>
      <c r="D612" s="190"/>
      <c r="E612" s="190"/>
      <c r="F612" s="190"/>
      <c r="G612" s="190"/>
      <c r="H612" s="190"/>
    </row>
    <row r="613" spans="1:8">
      <c r="A613" s="190"/>
      <c r="B613" s="190"/>
      <c r="C613" s="202"/>
      <c r="D613" s="190"/>
      <c r="E613" s="190"/>
      <c r="F613" s="190"/>
      <c r="G613" s="190"/>
      <c r="H613" s="190"/>
    </row>
    <row r="614" spans="1:8">
      <c r="A614" s="190"/>
      <c r="B614" s="190"/>
      <c r="C614" s="202"/>
      <c r="D614" s="190"/>
      <c r="E614" s="190"/>
      <c r="F614" s="190"/>
      <c r="G614" s="190"/>
      <c r="H614" s="190"/>
    </row>
    <row r="615" spans="1:8">
      <c r="A615" s="190"/>
      <c r="B615" s="190"/>
      <c r="C615" s="202"/>
      <c r="D615" s="190"/>
      <c r="E615" s="190"/>
      <c r="F615" s="190"/>
      <c r="G615" s="190"/>
      <c r="H615" s="190"/>
    </row>
    <row r="616" spans="1:8">
      <c r="A616" s="190"/>
      <c r="B616" s="190"/>
      <c r="C616" s="202"/>
      <c r="D616" s="190"/>
      <c r="E616" s="190"/>
      <c r="F616" s="190"/>
      <c r="G616" s="190"/>
      <c r="H616" s="190"/>
    </row>
    <row r="617" spans="1:8">
      <c r="A617" s="190"/>
      <c r="B617" s="190"/>
      <c r="C617" s="202"/>
      <c r="D617" s="190"/>
      <c r="E617" s="190"/>
      <c r="F617" s="190"/>
      <c r="G617" s="190"/>
      <c r="H617" s="190"/>
    </row>
    <row r="618" spans="1:8">
      <c r="A618" s="190"/>
      <c r="B618" s="190"/>
      <c r="C618" s="202"/>
      <c r="D618" s="190"/>
      <c r="E618" s="190"/>
      <c r="F618" s="190"/>
      <c r="G618" s="190"/>
      <c r="H618" s="190"/>
    </row>
    <row r="619" spans="1:8">
      <c r="A619" s="190"/>
      <c r="B619" s="190"/>
      <c r="C619" s="202"/>
      <c r="D619" s="190"/>
      <c r="E619" s="190"/>
      <c r="F619" s="190"/>
      <c r="G619" s="190"/>
      <c r="H619" s="190"/>
    </row>
    <row r="620" spans="1:8">
      <c r="A620" s="190"/>
      <c r="B620" s="190"/>
      <c r="C620" s="202"/>
      <c r="D620" s="190"/>
      <c r="E620" s="190"/>
      <c r="F620" s="190"/>
      <c r="G620" s="190"/>
      <c r="H620" s="190"/>
    </row>
    <row r="621" spans="1:8">
      <c r="A621" s="190"/>
      <c r="B621" s="190"/>
      <c r="C621" s="202"/>
      <c r="D621" s="190"/>
      <c r="E621" s="190"/>
      <c r="F621" s="190"/>
      <c r="G621" s="190"/>
      <c r="H621" s="190"/>
    </row>
    <row r="622" spans="1:8">
      <c r="A622" s="190"/>
      <c r="B622" s="190"/>
      <c r="C622" s="202"/>
      <c r="D622" s="190"/>
      <c r="E622" s="190"/>
      <c r="F622" s="190"/>
      <c r="G622" s="190"/>
      <c r="H622" s="190"/>
    </row>
    <row r="623" spans="1:8">
      <c r="A623" s="190"/>
      <c r="B623" s="190"/>
      <c r="C623" s="202"/>
      <c r="D623" s="190"/>
      <c r="E623" s="190"/>
      <c r="F623" s="190"/>
      <c r="G623" s="190"/>
      <c r="H623" s="190"/>
    </row>
    <row r="624" spans="1:8">
      <c r="A624" s="190"/>
      <c r="B624" s="190"/>
      <c r="C624" s="202"/>
      <c r="D624" s="190"/>
      <c r="E624" s="190"/>
      <c r="F624" s="190"/>
      <c r="G624" s="190"/>
      <c r="H624" s="190"/>
    </row>
    <row r="625" spans="1:8">
      <c r="A625" s="190"/>
      <c r="B625" s="190"/>
      <c r="C625" s="202"/>
      <c r="D625" s="190"/>
      <c r="E625" s="190"/>
      <c r="F625" s="190"/>
      <c r="G625" s="190"/>
      <c r="H625" s="190"/>
    </row>
    <row r="626" spans="1:8">
      <c r="A626" s="190"/>
      <c r="B626" s="190"/>
      <c r="C626" s="202"/>
      <c r="D626" s="190"/>
      <c r="E626" s="190"/>
      <c r="F626" s="190"/>
      <c r="G626" s="190"/>
      <c r="H626" s="190"/>
    </row>
    <row r="627" spans="1:8">
      <c r="A627" s="190"/>
      <c r="B627" s="190"/>
      <c r="C627" s="202"/>
      <c r="D627" s="190"/>
      <c r="E627" s="190"/>
      <c r="F627" s="190"/>
      <c r="G627" s="190"/>
      <c r="H627" s="190"/>
    </row>
    <row r="628" spans="1:8">
      <c r="A628" s="190"/>
      <c r="B628" s="190"/>
      <c r="C628" s="202"/>
      <c r="D628" s="190"/>
      <c r="E628" s="190"/>
      <c r="F628" s="190"/>
      <c r="G628" s="190"/>
      <c r="H628" s="190"/>
    </row>
    <row r="629" spans="1:8">
      <c r="A629" s="190"/>
      <c r="B629" s="190"/>
      <c r="C629" s="202"/>
      <c r="D629" s="190"/>
      <c r="E629" s="190"/>
      <c r="F629" s="190"/>
      <c r="G629" s="190"/>
      <c r="H629" s="190"/>
    </row>
    <row r="630" spans="1:8">
      <c r="A630" s="190"/>
      <c r="B630" s="190"/>
      <c r="C630" s="202"/>
      <c r="D630" s="190"/>
      <c r="E630" s="190"/>
      <c r="F630" s="190"/>
      <c r="G630" s="190"/>
      <c r="H630" s="190"/>
    </row>
    <row r="631" spans="1:8">
      <c r="A631" s="190"/>
      <c r="B631" s="190"/>
      <c r="C631" s="202"/>
      <c r="D631" s="190"/>
      <c r="E631" s="190"/>
      <c r="F631" s="190"/>
      <c r="G631" s="190"/>
      <c r="H631" s="190"/>
    </row>
    <row r="632" spans="1:8">
      <c r="A632" s="190"/>
      <c r="B632" s="190"/>
      <c r="C632" s="202"/>
      <c r="D632" s="190"/>
      <c r="E632" s="190"/>
      <c r="F632" s="190"/>
      <c r="G632" s="190"/>
      <c r="H632" s="190"/>
    </row>
    <row r="633" spans="1:8">
      <c r="A633" s="190"/>
      <c r="B633" s="190"/>
      <c r="C633" s="202"/>
      <c r="D633" s="190"/>
      <c r="E633" s="190"/>
      <c r="F633" s="190"/>
      <c r="G633" s="190"/>
      <c r="H633" s="190"/>
    </row>
    <row r="634" spans="1:8">
      <c r="A634" s="190"/>
      <c r="B634" s="190"/>
      <c r="C634" s="202"/>
      <c r="D634" s="190"/>
      <c r="E634" s="190"/>
      <c r="F634" s="190"/>
      <c r="G634" s="190"/>
      <c r="H634" s="190"/>
    </row>
    <row r="635" spans="1:8">
      <c r="A635" s="190"/>
      <c r="B635" s="190"/>
      <c r="C635" s="202"/>
      <c r="D635" s="190"/>
      <c r="E635" s="190"/>
      <c r="F635" s="190"/>
      <c r="G635" s="190"/>
      <c r="H635" s="190"/>
    </row>
    <row r="636" spans="1:8">
      <c r="A636" s="190"/>
      <c r="B636" s="190"/>
      <c r="C636" s="202"/>
      <c r="D636" s="190"/>
      <c r="E636" s="190"/>
      <c r="F636" s="190"/>
      <c r="G636" s="190"/>
      <c r="H636" s="190"/>
    </row>
    <row r="637" spans="1:8">
      <c r="A637" s="190"/>
      <c r="B637" s="190"/>
      <c r="C637" s="202"/>
      <c r="D637" s="190"/>
      <c r="E637" s="190"/>
      <c r="F637" s="190"/>
      <c r="G637" s="190"/>
      <c r="H637" s="190"/>
    </row>
    <row r="638" spans="1:8">
      <c r="A638" s="190"/>
      <c r="B638" s="190"/>
      <c r="C638" s="202"/>
      <c r="D638" s="190"/>
      <c r="E638" s="190"/>
      <c r="F638" s="190"/>
      <c r="G638" s="190"/>
      <c r="H638" s="190"/>
    </row>
    <row r="639" spans="1:8">
      <c r="A639" s="190"/>
      <c r="B639" s="190"/>
      <c r="C639" s="202"/>
      <c r="D639" s="190"/>
      <c r="E639" s="190"/>
      <c r="F639" s="190"/>
      <c r="G639" s="190"/>
      <c r="H639" s="190"/>
    </row>
    <row r="640" spans="1:8">
      <c r="A640" s="190"/>
      <c r="B640" s="190"/>
      <c r="C640" s="202"/>
      <c r="D640" s="190"/>
      <c r="E640" s="190"/>
      <c r="F640" s="190"/>
      <c r="G640" s="190"/>
      <c r="H640" s="190"/>
    </row>
    <row r="641" spans="1:8">
      <c r="A641" s="190"/>
      <c r="B641" s="190"/>
      <c r="C641" s="202"/>
      <c r="D641" s="190"/>
      <c r="E641" s="190"/>
      <c r="F641" s="190"/>
      <c r="G641" s="190"/>
      <c r="H641" s="190"/>
    </row>
    <row r="642" spans="1:8">
      <c r="A642" s="190"/>
      <c r="B642" s="190"/>
      <c r="C642" s="202"/>
      <c r="D642" s="190"/>
      <c r="E642" s="190"/>
      <c r="F642" s="190"/>
      <c r="G642" s="190"/>
      <c r="H642" s="190"/>
    </row>
    <row r="643" spans="1:8">
      <c r="A643" s="190"/>
      <c r="B643" s="190"/>
      <c r="C643" s="202"/>
      <c r="D643" s="190"/>
      <c r="E643" s="190"/>
      <c r="F643" s="190"/>
      <c r="G643" s="190"/>
      <c r="H643" s="190"/>
    </row>
    <row r="644" spans="1:8">
      <c r="A644" s="190"/>
      <c r="B644" s="190"/>
      <c r="C644" s="202"/>
      <c r="D644" s="190"/>
      <c r="E644" s="190"/>
      <c r="F644" s="190"/>
      <c r="G644" s="190"/>
      <c r="H644" s="190"/>
    </row>
    <row r="645" spans="1:8">
      <c r="A645" s="190"/>
      <c r="B645" s="190"/>
      <c r="C645" s="202"/>
      <c r="D645" s="190"/>
      <c r="E645" s="190"/>
      <c r="F645" s="190"/>
      <c r="G645" s="190"/>
      <c r="H645" s="190"/>
    </row>
    <row r="646" spans="1:8">
      <c r="A646" s="190"/>
      <c r="B646" s="190"/>
      <c r="C646" s="202"/>
      <c r="D646" s="190"/>
      <c r="E646" s="190"/>
      <c r="F646" s="190"/>
      <c r="G646" s="190"/>
      <c r="H646" s="190"/>
    </row>
    <row r="647" spans="1:8">
      <c r="A647" s="190"/>
      <c r="B647" s="190"/>
      <c r="C647" s="202"/>
      <c r="D647" s="190"/>
      <c r="E647" s="190"/>
      <c r="F647" s="190"/>
      <c r="G647" s="190"/>
      <c r="H647" s="190"/>
    </row>
    <row r="648" spans="1:8">
      <c r="A648" s="190"/>
      <c r="B648" s="190"/>
      <c r="C648" s="202"/>
      <c r="D648" s="190"/>
      <c r="E648" s="190"/>
      <c r="F648" s="190"/>
      <c r="G648" s="190"/>
      <c r="H648" s="190"/>
    </row>
    <row r="649" spans="1:8">
      <c r="A649" s="190"/>
      <c r="B649" s="190"/>
      <c r="C649" s="202"/>
      <c r="D649" s="190"/>
      <c r="E649" s="190"/>
      <c r="F649" s="190"/>
      <c r="G649" s="190"/>
      <c r="H649" s="190"/>
    </row>
    <row r="650" spans="1:8">
      <c r="A650" s="190"/>
      <c r="B650" s="190"/>
      <c r="C650" s="202"/>
      <c r="D650" s="190"/>
      <c r="E650" s="190"/>
      <c r="F650" s="190"/>
      <c r="G650" s="190"/>
      <c r="H650" s="190"/>
    </row>
    <row r="651" spans="1:8">
      <c r="A651" s="190"/>
      <c r="B651" s="190"/>
      <c r="C651" s="202"/>
      <c r="D651" s="190"/>
      <c r="E651" s="190"/>
      <c r="F651" s="190"/>
      <c r="G651" s="190"/>
      <c r="H651" s="190"/>
    </row>
    <row r="652" spans="1:8">
      <c r="A652" s="190"/>
      <c r="B652" s="190"/>
      <c r="C652" s="202"/>
      <c r="D652" s="190"/>
      <c r="E652" s="190"/>
      <c r="F652" s="190"/>
      <c r="G652" s="190"/>
      <c r="H652" s="190"/>
    </row>
    <row r="653" spans="1:8">
      <c r="A653" s="190"/>
      <c r="B653" s="190"/>
      <c r="C653" s="202"/>
      <c r="D653" s="190"/>
      <c r="E653" s="190"/>
      <c r="F653" s="190"/>
      <c r="G653" s="190"/>
      <c r="H653" s="190"/>
    </row>
    <row r="654" spans="1:8">
      <c r="A654" s="190"/>
      <c r="B654" s="190"/>
      <c r="C654" s="202"/>
      <c r="D654" s="190"/>
      <c r="E654" s="190"/>
      <c r="F654" s="190"/>
      <c r="G654" s="190"/>
      <c r="H654" s="190"/>
    </row>
    <row r="655" spans="1:8">
      <c r="A655" s="190"/>
      <c r="B655" s="190"/>
      <c r="C655" s="202"/>
      <c r="D655" s="190"/>
      <c r="E655" s="190"/>
      <c r="F655" s="190"/>
      <c r="G655" s="190"/>
      <c r="H655" s="190"/>
    </row>
    <row r="656" spans="1:8">
      <c r="A656" s="190"/>
      <c r="B656" s="190"/>
      <c r="C656" s="202"/>
      <c r="D656" s="190"/>
      <c r="E656" s="190"/>
      <c r="F656" s="190"/>
      <c r="G656" s="190"/>
      <c r="H656" s="190"/>
    </row>
    <row r="657" spans="1:8">
      <c r="A657" s="190"/>
      <c r="B657" s="190"/>
      <c r="C657" s="202"/>
      <c r="D657" s="190"/>
      <c r="E657" s="190"/>
      <c r="F657" s="190"/>
      <c r="G657" s="190"/>
      <c r="H657" s="190"/>
    </row>
    <row r="658" spans="1:8">
      <c r="A658" s="190"/>
      <c r="B658" s="190"/>
      <c r="C658" s="202"/>
      <c r="D658" s="190"/>
      <c r="E658" s="190"/>
      <c r="F658" s="190"/>
      <c r="G658" s="190"/>
      <c r="H658" s="190"/>
    </row>
    <row r="659" spans="1:8">
      <c r="A659" s="190"/>
      <c r="B659" s="190"/>
      <c r="C659" s="202"/>
      <c r="D659" s="190"/>
      <c r="E659" s="190"/>
      <c r="F659" s="190"/>
      <c r="G659" s="190"/>
      <c r="H659" s="190"/>
    </row>
    <row r="660" spans="1:8">
      <c r="A660" s="190"/>
      <c r="B660" s="190"/>
      <c r="C660" s="202"/>
      <c r="D660" s="190"/>
      <c r="E660" s="190"/>
      <c r="F660" s="190"/>
      <c r="G660" s="190"/>
      <c r="H660" s="190"/>
    </row>
    <row r="661" spans="1:8">
      <c r="A661" s="190"/>
      <c r="B661" s="190"/>
      <c r="C661" s="202"/>
      <c r="D661" s="190"/>
      <c r="E661" s="190"/>
      <c r="F661" s="190"/>
      <c r="G661" s="190"/>
      <c r="H661" s="190"/>
    </row>
    <row r="662" spans="1:8">
      <c r="A662" s="190"/>
      <c r="B662" s="190"/>
      <c r="C662" s="202"/>
      <c r="D662" s="190"/>
      <c r="E662" s="190"/>
      <c r="F662" s="190"/>
      <c r="G662" s="190"/>
      <c r="H662" s="190"/>
    </row>
    <row r="663" spans="1:8">
      <c r="A663" s="190"/>
      <c r="B663" s="190"/>
      <c r="C663" s="202"/>
      <c r="D663" s="190"/>
      <c r="E663" s="190"/>
      <c r="F663" s="190"/>
      <c r="G663" s="190"/>
      <c r="H663" s="190"/>
    </row>
    <row r="664" spans="1:8">
      <c r="A664" s="190"/>
      <c r="B664" s="190"/>
      <c r="C664" s="202"/>
      <c r="D664" s="190"/>
      <c r="E664" s="190"/>
      <c r="F664" s="190"/>
      <c r="G664" s="190"/>
      <c r="H664" s="190"/>
    </row>
    <row r="665" spans="1:8">
      <c r="A665" s="190"/>
      <c r="B665" s="190"/>
      <c r="C665" s="202"/>
      <c r="D665" s="190"/>
      <c r="E665" s="190"/>
      <c r="F665" s="190"/>
      <c r="G665" s="190"/>
      <c r="H665" s="190"/>
    </row>
    <row r="666" spans="1:8">
      <c r="A666" s="190"/>
      <c r="B666" s="190"/>
      <c r="C666" s="202"/>
      <c r="D666" s="190"/>
      <c r="E666" s="190"/>
      <c r="F666" s="190"/>
      <c r="G666" s="190"/>
      <c r="H666" s="190"/>
    </row>
    <row r="667" spans="1:8">
      <c r="A667" s="190"/>
      <c r="B667" s="190"/>
      <c r="C667" s="202"/>
      <c r="D667" s="190"/>
      <c r="E667" s="190"/>
      <c r="F667" s="190"/>
      <c r="G667" s="190"/>
      <c r="H667" s="190"/>
    </row>
    <row r="668" spans="1:8">
      <c r="A668" s="190"/>
      <c r="B668" s="190"/>
      <c r="C668" s="202"/>
      <c r="D668" s="190"/>
      <c r="E668" s="190"/>
      <c r="F668" s="190"/>
      <c r="G668" s="190"/>
      <c r="H668" s="190"/>
    </row>
    <row r="669" spans="1:8">
      <c r="A669" s="190"/>
      <c r="B669" s="190"/>
      <c r="C669" s="202"/>
      <c r="D669" s="190"/>
      <c r="E669" s="190"/>
      <c r="F669" s="190"/>
      <c r="G669" s="190"/>
      <c r="H669" s="190"/>
    </row>
    <row r="670" spans="1:8">
      <c r="A670" s="190"/>
      <c r="B670" s="190"/>
      <c r="C670" s="202"/>
      <c r="D670" s="190"/>
      <c r="E670" s="190"/>
      <c r="F670" s="190"/>
      <c r="G670" s="190"/>
      <c r="H670" s="190"/>
    </row>
    <row r="671" spans="1:8">
      <c r="A671" s="190"/>
      <c r="B671" s="190"/>
      <c r="C671" s="202"/>
      <c r="D671" s="190"/>
      <c r="E671" s="190"/>
      <c r="F671" s="190"/>
      <c r="G671" s="190"/>
      <c r="H671" s="190"/>
    </row>
    <row r="672" spans="1:8">
      <c r="A672" s="190"/>
      <c r="B672" s="190"/>
      <c r="C672" s="202"/>
      <c r="D672" s="190"/>
      <c r="E672" s="190"/>
      <c r="F672" s="190"/>
      <c r="G672" s="190"/>
      <c r="H672" s="190"/>
    </row>
    <row r="673" spans="1:8">
      <c r="A673" s="190"/>
      <c r="B673" s="190"/>
      <c r="C673" s="202"/>
      <c r="D673" s="190"/>
      <c r="E673" s="190"/>
      <c r="F673" s="190"/>
      <c r="G673" s="190"/>
      <c r="H673" s="190"/>
    </row>
    <row r="674" spans="1:8">
      <c r="A674" s="190"/>
      <c r="B674" s="190"/>
      <c r="C674" s="202"/>
      <c r="D674" s="190"/>
      <c r="E674" s="190"/>
      <c r="F674" s="190"/>
      <c r="G674" s="190"/>
      <c r="H674" s="190"/>
    </row>
    <row r="675" spans="1:8">
      <c r="A675" s="190"/>
      <c r="B675" s="190"/>
      <c r="C675" s="202"/>
      <c r="D675" s="190"/>
      <c r="E675" s="190"/>
      <c r="F675" s="190"/>
      <c r="G675" s="190"/>
      <c r="H675" s="190"/>
    </row>
    <row r="676" spans="1:8">
      <c r="A676" s="190"/>
      <c r="B676" s="190"/>
      <c r="C676" s="202"/>
      <c r="D676" s="190"/>
      <c r="E676" s="190"/>
      <c r="F676" s="190"/>
      <c r="G676" s="190"/>
      <c r="H676" s="190"/>
    </row>
    <row r="677" spans="1:8">
      <c r="A677" s="190"/>
      <c r="B677" s="190"/>
      <c r="C677" s="202"/>
      <c r="D677" s="190"/>
      <c r="E677" s="190"/>
      <c r="F677" s="190"/>
      <c r="G677" s="190"/>
      <c r="H677" s="190"/>
    </row>
    <row r="678" spans="1:8">
      <c r="A678" s="190"/>
      <c r="B678" s="190"/>
      <c r="C678" s="202"/>
      <c r="D678" s="190"/>
      <c r="E678" s="190"/>
      <c r="F678" s="190"/>
      <c r="G678" s="190"/>
      <c r="H678" s="190"/>
    </row>
    <row r="679" spans="1:8">
      <c r="A679" s="190"/>
      <c r="B679" s="190"/>
      <c r="C679" s="202"/>
      <c r="D679" s="190"/>
      <c r="E679" s="190"/>
      <c r="F679" s="190"/>
      <c r="G679" s="190"/>
      <c r="H679" s="190"/>
    </row>
    <row r="680" spans="1:8">
      <c r="A680" s="190"/>
      <c r="B680" s="190"/>
      <c r="C680" s="202"/>
      <c r="D680" s="190"/>
      <c r="E680" s="190"/>
      <c r="F680" s="190"/>
      <c r="G680" s="190"/>
      <c r="H680" s="190"/>
    </row>
    <row r="681" spans="1:8">
      <c r="A681" s="190"/>
      <c r="B681" s="190"/>
      <c r="C681" s="202"/>
      <c r="D681" s="190"/>
      <c r="E681" s="190"/>
      <c r="F681" s="190"/>
      <c r="G681" s="190"/>
      <c r="H681" s="190"/>
    </row>
    <row r="682" spans="1:8">
      <c r="A682" s="190"/>
      <c r="B682" s="190"/>
      <c r="C682" s="202"/>
      <c r="D682" s="190"/>
      <c r="E682" s="190"/>
      <c r="F682" s="190"/>
      <c r="G682" s="190"/>
      <c r="H682" s="190"/>
    </row>
    <row r="683" spans="1:8">
      <c r="A683" s="190"/>
      <c r="B683" s="190"/>
      <c r="C683" s="202"/>
      <c r="D683" s="190"/>
      <c r="E683" s="190"/>
      <c r="F683" s="190"/>
      <c r="G683" s="190"/>
      <c r="H683" s="190"/>
    </row>
    <row r="684" spans="1:8">
      <c r="A684" s="190"/>
      <c r="B684" s="190"/>
      <c r="C684" s="202"/>
      <c r="D684" s="190"/>
      <c r="E684" s="190"/>
      <c r="F684" s="190"/>
      <c r="G684" s="190"/>
      <c r="H684" s="190"/>
    </row>
    <row r="685" spans="1:8">
      <c r="A685" s="190"/>
      <c r="B685" s="190"/>
      <c r="C685" s="202"/>
      <c r="D685" s="190"/>
      <c r="E685" s="190"/>
      <c r="F685" s="190"/>
      <c r="G685" s="190"/>
      <c r="H685" s="190"/>
    </row>
    <row r="686" spans="1:8">
      <c r="A686" s="190"/>
      <c r="B686" s="190"/>
      <c r="C686" s="202"/>
      <c r="D686" s="190"/>
      <c r="E686" s="190"/>
      <c r="F686" s="190"/>
      <c r="G686" s="190"/>
      <c r="H686" s="190"/>
    </row>
    <row r="687" spans="1:8">
      <c r="A687" s="190"/>
      <c r="B687" s="190"/>
      <c r="C687" s="202"/>
      <c r="D687" s="190"/>
      <c r="E687" s="190"/>
      <c r="F687" s="190"/>
      <c r="G687" s="190"/>
      <c r="H687" s="190"/>
    </row>
    <row r="688" spans="1:8">
      <c r="A688" s="190"/>
      <c r="B688" s="190"/>
      <c r="C688" s="202"/>
      <c r="D688" s="190"/>
      <c r="E688" s="190"/>
      <c r="F688" s="190"/>
      <c r="G688" s="190"/>
      <c r="H688" s="190"/>
    </row>
    <row r="689" spans="1:8">
      <c r="A689" s="190"/>
      <c r="B689" s="190"/>
      <c r="C689" s="202"/>
      <c r="D689" s="190"/>
      <c r="E689" s="190"/>
      <c r="F689" s="190"/>
      <c r="G689" s="190"/>
      <c r="H689" s="190"/>
    </row>
    <row r="690" spans="1:8">
      <c r="A690" s="190"/>
      <c r="B690" s="190"/>
      <c r="C690" s="202"/>
      <c r="D690" s="190"/>
      <c r="E690" s="190"/>
      <c r="F690" s="190"/>
      <c r="G690" s="190"/>
      <c r="H690" s="190"/>
    </row>
    <row r="691" spans="1:8">
      <c r="A691" s="190"/>
      <c r="B691" s="190"/>
      <c r="C691" s="202"/>
      <c r="D691" s="190"/>
      <c r="E691" s="190"/>
      <c r="F691" s="190"/>
      <c r="G691" s="190"/>
      <c r="H691" s="190"/>
    </row>
    <row r="692" spans="1:8">
      <c r="A692" s="190"/>
      <c r="B692" s="190"/>
      <c r="C692" s="202"/>
      <c r="D692" s="190"/>
      <c r="E692" s="190"/>
      <c r="F692" s="190"/>
      <c r="G692" s="190"/>
      <c r="H692" s="190"/>
    </row>
    <row r="693" spans="1:8">
      <c r="A693" s="190"/>
      <c r="B693" s="190"/>
      <c r="C693" s="202"/>
      <c r="D693" s="190"/>
      <c r="E693" s="190"/>
      <c r="F693" s="190"/>
      <c r="G693" s="190"/>
      <c r="H693" s="190"/>
    </row>
    <row r="694" spans="1:8">
      <c r="A694" s="190"/>
      <c r="B694" s="190"/>
      <c r="C694" s="202"/>
      <c r="D694" s="190"/>
      <c r="E694" s="190"/>
      <c r="F694" s="190"/>
      <c r="G694" s="190"/>
      <c r="H694" s="190"/>
    </row>
    <row r="695" spans="1:8">
      <c r="A695" s="190"/>
      <c r="B695" s="190"/>
      <c r="C695" s="202"/>
      <c r="D695" s="190"/>
      <c r="E695" s="190"/>
      <c r="F695" s="190"/>
      <c r="G695" s="190"/>
      <c r="H695" s="190"/>
    </row>
    <row r="696" spans="1:8">
      <c r="A696" s="190"/>
      <c r="B696" s="190"/>
      <c r="C696" s="202"/>
      <c r="D696" s="190"/>
      <c r="E696" s="190"/>
      <c r="F696" s="190"/>
      <c r="G696" s="190"/>
      <c r="H696" s="190"/>
    </row>
    <row r="697" spans="1:8">
      <c r="A697" s="190"/>
      <c r="B697" s="190"/>
      <c r="C697" s="202"/>
      <c r="D697" s="190"/>
      <c r="E697" s="190"/>
      <c r="F697" s="190"/>
      <c r="G697" s="190"/>
      <c r="H697" s="190"/>
    </row>
    <row r="698" spans="1:8">
      <c r="A698" s="190"/>
      <c r="B698" s="190"/>
      <c r="C698" s="202"/>
      <c r="D698" s="190"/>
      <c r="E698" s="190"/>
      <c r="F698" s="190"/>
      <c r="G698" s="190"/>
      <c r="H698" s="190"/>
    </row>
    <row r="699" spans="1:8">
      <c r="A699" s="190"/>
      <c r="B699" s="190"/>
      <c r="C699" s="202"/>
      <c r="D699" s="190"/>
      <c r="E699" s="190"/>
      <c r="F699" s="190"/>
      <c r="G699" s="190"/>
      <c r="H699" s="190"/>
    </row>
    <row r="700" spans="1:8">
      <c r="A700" s="190"/>
      <c r="B700" s="190"/>
      <c r="C700" s="202"/>
      <c r="D700" s="190"/>
      <c r="E700" s="190"/>
      <c r="F700" s="190"/>
      <c r="G700" s="190"/>
      <c r="H700" s="190"/>
    </row>
    <row r="701" spans="1:8">
      <c r="A701" s="190"/>
      <c r="B701" s="190"/>
      <c r="C701" s="202"/>
      <c r="D701" s="190"/>
      <c r="E701" s="190"/>
      <c r="F701" s="190"/>
      <c r="G701" s="190"/>
      <c r="H701" s="190"/>
    </row>
    <row r="702" spans="1:8">
      <c r="A702" s="190"/>
      <c r="B702" s="190"/>
      <c r="C702" s="202"/>
      <c r="D702" s="190"/>
      <c r="E702" s="190"/>
      <c r="F702" s="190"/>
      <c r="G702" s="190"/>
      <c r="H702" s="190"/>
    </row>
    <row r="703" spans="1:8">
      <c r="A703" s="190"/>
      <c r="B703" s="190"/>
      <c r="C703" s="202"/>
      <c r="D703" s="190"/>
      <c r="E703" s="190"/>
      <c r="F703" s="190"/>
      <c r="G703" s="190"/>
      <c r="H703" s="190"/>
    </row>
    <row r="704" spans="1:8">
      <c r="A704" s="190"/>
      <c r="B704" s="190"/>
      <c r="C704" s="202"/>
      <c r="D704" s="190"/>
      <c r="E704" s="190"/>
      <c r="F704" s="190"/>
      <c r="G704" s="190"/>
      <c r="H704" s="190"/>
    </row>
    <row r="705" spans="1:8">
      <c r="A705" s="190"/>
      <c r="B705" s="190"/>
      <c r="C705" s="202"/>
      <c r="D705" s="190"/>
      <c r="E705" s="190"/>
      <c r="F705" s="190"/>
      <c r="G705" s="190"/>
      <c r="H705" s="190"/>
    </row>
    <row r="706" spans="1:8">
      <c r="A706" s="190"/>
      <c r="B706" s="190"/>
      <c r="C706" s="202"/>
      <c r="D706" s="190"/>
      <c r="E706" s="190"/>
      <c r="F706" s="190"/>
      <c r="G706" s="190"/>
      <c r="H706" s="190"/>
    </row>
  </sheetData>
  <mergeCells count="15">
    <mergeCell ref="A84:B84"/>
    <mergeCell ref="A91:G91"/>
    <mergeCell ref="A13:B13"/>
    <mergeCell ref="A15:B15"/>
    <mergeCell ref="A64:G64"/>
    <mergeCell ref="A82:G82"/>
    <mergeCell ref="A83:B83"/>
    <mergeCell ref="B423:G423"/>
    <mergeCell ref="B424:G424"/>
    <mergeCell ref="A93:G93"/>
    <mergeCell ref="A94:B94"/>
    <mergeCell ref="A163:G163"/>
    <mergeCell ref="A253:G253"/>
    <mergeCell ref="A411:B411"/>
    <mergeCell ref="A419:B419"/>
  </mergeCells>
  <phoneticPr fontId="13" type="noConversion"/>
  <pageMargins left="0.511811024" right="0.511811024" top="0.78740157499999996" bottom="0.78740157499999996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B962E-4BFA-4AAF-A819-663EC86D7060}">
  <dimension ref="A1:R837"/>
  <sheetViews>
    <sheetView topLeftCell="A416" workbookViewId="0">
      <selection activeCell="G430" sqref="G430"/>
    </sheetView>
  </sheetViews>
  <sheetFormatPr defaultRowHeight="14.4"/>
  <cols>
    <col min="1" max="1" width="0.6640625" style="114" customWidth="1"/>
    <col min="2" max="2" width="7.33203125" style="203" customWidth="1"/>
    <col min="3" max="3" width="45.33203125" style="203" customWidth="1"/>
    <col min="4" max="4" width="9.88671875" style="203" customWidth="1"/>
    <col min="5" max="5" width="8.5546875" style="203" customWidth="1"/>
    <col min="6" max="6" width="15.33203125" style="203" customWidth="1"/>
    <col min="7" max="7" width="13.6640625" style="203" customWidth="1"/>
    <col min="8" max="8" width="13" style="203" customWidth="1"/>
    <col min="9" max="9" width="16.6640625" style="203" customWidth="1"/>
    <col min="10" max="10" width="16.6640625" style="273" customWidth="1"/>
    <col min="11" max="11" width="16.109375" style="273" customWidth="1"/>
  </cols>
  <sheetData>
    <row r="1" spans="2:11" s="234" customFormat="1">
      <c r="B1" s="215"/>
      <c r="C1" s="322" t="s">
        <v>1</v>
      </c>
      <c r="D1" s="323"/>
      <c r="E1" s="217"/>
      <c r="F1" s="215"/>
      <c r="G1" s="215"/>
      <c r="H1" s="215"/>
      <c r="I1" s="215"/>
      <c r="J1" s="313"/>
      <c r="K1" s="313"/>
    </row>
    <row r="2" spans="2:11" s="234" customFormat="1">
      <c r="B2" s="215"/>
      <c r="C2" s="215" t="s">
        <v>2</v>
      </c>
      <c r="D2" s="323"/>
      <c r="E2" s="217"/>
      <c r="F2" s="215"/>
      <c r="G2" s="215"/>
      <c r="H2" s="215"/>
      <c r="I2" s="215"/>
      <c r="J2" s="313"/>
      <c r="K2" s="313"/>
    </row>
    <row r="3" spans="2:11" s="234" customFormat="1">
      <c r="B3" s="215"/>
      <c r="C3" s="324" t="s">
        <v>443</v>
      </c>
      <c r="D3" s="323"/>
      <c r="E3" s="325"/>
      <c r="F3" s="215"/>
      <c r="G3" s="215"/>
      <c r="H3" s="215"/>
      <c r="I3" s="215"/>
      <c r="J3" s="313"/>
      <c r="K3" s="313"/>
    </row>
    <row r="4" spans="2:11" s="234" customFormat="1">
      <c r="B4" s="215"/>
      <c r="C4" s="215" t="s">
        <v>444</v>
      </c>
      <c r="D4" s="323"/>
      <c r="E4" s="217"/>
      <c r="F4" s="215"/>
      <c r="G4" s="215"/>
      <c r="H4" s="215"/>
      <c r="I4" s="215"/>
      <c r="J4" s="313"/>
      <c r="K4" s="313"/>
    </row>
    <row r="5" spans="2:11" s="234" customFormat="1">
      <c r="B5" s="215"/>
      <c r="C5" s="215" t="s">
        <v>676</v>
      </c>
      <c r="D5" s="323"/>
      <c r="E5" s="217"/>
      <c r="F5" s="215"/>
      <c r="G5" s="215"/>
      <c r="H5" s="215"/>
      <c r="I5" s="215"/>
      <c r="J5" s="313"/>
      <c r="K5" s="313"/>
    </row>
    <row r="6" spans="2:11" s="234" customFormat="1">
      <c r="B6" s="215"/>
      <c r="C6" s="215" t="s">
        <v>446</v>
      </c>
      <c r="D6" s="323"/>
      <c r="E6" s="217"/>
      <c r="F6" s="215"/>
      <c r="G6" s="215"/>
      <c r="H6" s="215"/>
      <c r="I6" s="215"/>
      <c r="J6" s="313"/>
      <c r="K6" s="313"/>
    </row>
    <row r="7" spans="2:11" s="234" customFormat="1">
      <c r="B7" s="215"/>
      <c r="C7" s="215" t="s">
        <v>445</v>
      </c>
      <c r="D7" s="323"/>
      <c r="E7" s="217"/>
      <c r="F7" s="215"/>
      <c r="G7" s="215"/>
      <c r="H7" s="215"/>
      <c r="I7" s="215"/>
      <c r="J7" s="313"/>
      <c r="K7" s="313"/>
    </row>
    <row r="8" spans="2:11" s="234" customFormat="1">
      <c r="B8" s="215"/>
      <c r="C8" s="215" t="s">
        <v>669</v>
      </c>
      <c r="D8" s="323"/>
      <c r="E8" s="217"/>
      <c r="F8" s="215"/>
      <c r="G8" s="215"/>
      <c r="H8" s="215"/>
      <c r="I8" s="215"/>
      <c r="J8" s="313"/>
      <c r="K8" s="313"/>
    </row>
    <row r="9" spans="2:11" s="234" customFormat="1">
      <c r="B9" s="215"/>
      <c r="C9" s="322" t="s">
        <v>757</v>
      </c>
      <c r="D9" s="323"/>
      <c r="E9" s="217"/>
      <c r="F9" s="215"/>
      <c r="G9" s="215"/>
      <c r="H9" s="215"/>
      <c r="I9" s="215"/>
      <c r="J9" s="313"/>
      <c r="K9" s="313"/>
    </row>
    <row r="10" spans="2:11" s="234" customFormat="1">
      <c r="B10" s="570" t="s">
        <v>4</v>
      </c>
      <c r="C10" s="566"/>
      <c r="D10" s="221"/>
      <c r="E10" s="221"/>
      <c r="F10" s="222"/>
      <c r="G10" s="222"/>
      <c r="H10" s="222"/>
      <c r="I10" s="223"/>
      <c r="J10" s="313"/>
      <c r="K10" s="313"/>
    </row>
    <row r="11" spans="2:11" s="289" customFormat="1" ht="28.8">
      <c r="B11" s="224" t="s">
        <v>5</v>
      </c>
      <c r="C11" s="225" t="s">
        <v>6</v>
      </c>
      <c r="D11" s="226" t="s">
        <v>7</v>
      </c>
      <c r="E11" s="226" t="s">
        <v>8</v>
      </c>
      <c r="F11" s="227" t="s">
        <v>410</v>
      </c>
      <c r="G11" s="227" t="s">
        <v>408</v>
      </c>
      <c r="H11" s="227" t="s">
        <v>409</v>
      </c>
      <c r="I11" s="227" t="s">
        <v>9</v>
      </c>
      <c r="J11" s="381"/>
      <c r="K11" s="381"/>
    </row>
    <row r="12" spans="2:11" s="234" customFormat="1">
      <c r="B12" s="570" t="s">
        <v>10</v>
      </c>
      <c r="C12" s="566"/>
      <c r="D12" s="221"/>
      <c r="E12" s="221"/>
      <c r="F12" s="222"/>
      <c r="G12" s="222"/>
      <c r="H12" s="222"/>
      <c r="I12" s="223"/>
      <c r="J12" s="313"/>
      <c r="K12" s="313"/>
    </row>
    <row r="13" spans="2:11" s="289" customFormat="1" ht="43.2">
      <c r="B13" s="224" t="s">
        <v>5</v>
      </c>
      <c r="C13" s="225" t="s">
        <v>11</v>
      </c>
      <c r="D13" s="226" t="s">
        <v>7</v>
      </c>
      <c r="E13" s="226" t="s">
        <v>8</v>
      </c>
      <c r="F13" s="227" t="s">
        <v>410</v>
      </c>
      <c r="G13" s="227" t="s">
        <v>408</v>
      </c>
      <c r="H13" s="227" t="s">
        <v>409</v>
      </c>
      <c r="I13" s="227" t="s">
        <v>9</v>
      </c>
      <c r="J13" s="381"/>
      <c r="K13" s="381"/>
    </row>
    <row r="14" spans="2:11" s="326" customFormat="1" ht="28.8">
      <c r="B14" s="206" t="s">
        <v>12</v>
      </c>
      <c r="C14" s="151" t="s">
        <v>670</v>
      </c>
      <c r="D14" s="67" t="s">
        <v>13</v>
      </c>
      <c r="E14" s="67">
        <v>36</v>
      </c>
      <c r="F14" s="68">
        <f t="shared" ref="F14:F15" si="0">(3643*97%)+3643</f>
        <v>7176.71</v>
      </c>
      <c r="G14" s="69">
        <f t="shared" ref="G14:G15" si="1">(4500*97%)+5000</f>
        <v>9365</v>
      </c>
      <c r="H14" s="68">
        <f t="shared" ref="H14:H15" si="2">(5801*97%)+5801</f>
        <v>11427.970000000001</v>
      </c>
      <c r="I14" s="69">
        <f>F14*E14</f>
        <v>258361.56</v>
      </c>
      <c r="J14" s="382"/>
      <c r="K14" s="382"/>
    </row>
    <row r="15" spans="2:11" s="326" customFormat="1" ht="28.8">
      <c r="B15" s="206" t="s">
        <v>14</v>
      </c>
      <c r="C15" s="151" t="s">
        <v>671</v>
      </c>
      <c r="D15" s="67" t="s">
        <v>13</v>
      </c>
      <c r="E15" s="67">
        <v>9</v>
      </c>
      <c r="F15" s="68">
        <f t="shared" si="0"/>
        <v>7176.71</v>
      </c>
      <c r="G15" s="69">
        <f t="shared" si="1"/>
        <v>9365</v>
      </c>
      <c r="H15" s="68">
        <f t="shared" si="2"/>
        <v>11427.970000000001</v>
      </c>
      <c r="I15" s="69">
        <f>F15*E15*2</f>
        <v>129180.78</v>
      </c>
      <c r="J15" s="382"/>
      <c r="K15" s="382"/>
    </row>
    <row r="16" spans="2:11" s="326" customFormat="1" ht="28.8">
      <c r="B16" s="206" t="s">
        <v>16</v>
      </c>
      <c r="C16" s="151" t="s">
        <v>487</v>
      </c>
      <c r="D16" s="67" t="s">
        <v>15</v>
      </c>
      <c r="E16" s="67">
        <f>3*4*36*1</f>
        <v>432</v>
      </c>
      <c r="F16" s="229">
        <v>250</v>
      </c>
      <c r="G16" s="69">
        <v>450</v>
      </c>
      <c r="H16" s="68">
        <v>581</v>
      </c>
      <c r="I16" s="69">
        <f t="shared" ref="I16:I25" si="3">F16*E16</f>
        <v>108000</v>
      </c>
      <c r="J16" s="382"/>
      <c r="K16" s="382"/>
    </row>
    <row r="17" spans="2:11" s="326" customFormat="1" ht="28.8">
      <c r="B17" s="206" t="s">
        <v>19</v>
      </c>
      <c r="C17" s="151" t="s">
        <v>488</v>
      </c>
      <c r="D17" s="67" t="s">
        <v>15</v>
      </c>
      <c r="E17" s="67">
        <f>4*4*9*2</f>
        <v>288</v>
      </c>
      <c r="F17" s="229">
        <v>250</v>
      </c>
      <c r="G17" s="69">
        <v>450</v>
      </c>
      <c r="H17" s="68">
        <v>581</v>
      </c>
      <c r="I17" s="69">
        <f t="shared" si="3"/>
        <v>72000</v>
      </c>
      <c r="J17" s="382"/>
      <c r="K17" s="382"/>
    </row>
    <row r="18" spans="2:11" s="326" customFormat="1" ht="57.6">
      <c r="B18" s="206" t="s">
        <v>20</v>
      </c>
      <c r="C18" s="151" t="s">
        <v>569</v>
      </c>
      <c r="D18" s="67" t="s">
        <v>18</v>
      </c>
      <c r="E18" s="67">
        <v>3</v>
      </c>
      <c r="F18" s="68">
        <v>4149</v>
      </c>
      <c r="G18" s="69">
        <v>5299</v>
      </c>
      <c r="H18" s="70">
        <v>5919</v>
      </c>
      <c r="I18" s="69">
        <f t="shared" si="3"/>
        <v>12447</v>
      </c>
      <c r="J18" s="382"/>
      <c r="K18" s="382"/>
    </row>
    <row r="19" spans="2:11" s="326" customFormat="1" ht="28.8">
      <c r="B19" s="206" t="s">
        <v>21</v>
      </c>
      <c r="C19" s="230" t="s">
        <v>570</v>
      </c>
      <c r="D19" s="67" t="s">
        <v>18</v>
      </c>
      <c r="E19" s="67">
        <v>2</v>
      </c>
      <c r="F19" s="68">
        <v>1849</v>
      </c>
      <c r="G19" s="69">
        <v>2199</v>
      </c>
      <c r="H19" s="68">
        <v>2919</v>
      </c>
      <c r="I19" s="69">
        <f t="shared" si="3"/>
        <v>3698</v>
      </c>
      <c r="J19" s="382"/>
      <c r="K19" s="382"/>
    </row>
    <row r="20" spans="2:11" s="326" customFormat="1" ht="57.6">
      <c r="B20" s="206" t="s">
        <v>22</v>
      </c>
      <c r="C20" s="151" t="s">
        <v>571</v>
      </c>
      <c r="D20" s="67" t="s">
        <v>18</v>
      </c>
      <c r="E20" s="67">
        <v>2</v>
      </c>
      <c r="F20" s="73">
        <v>1849.77</v>
      </c>
      <c r="G20" s="232">
        <v>2899</v>
      </c>
      <c r="H20" s="68">
        <v>3199</v>
      </c>
      <c r="I20" s="69">
        <f t="shared" si="3"/>
        <v>3699.54</v>
      </c>
      <c r="J20" s="382"/>
      <c r="K20" s="382"/>
    </row>
    <row r="21" spans="2:11" s="326" customFormat="1" ht="28.8">
      <c r="B21" s="206" t="s">
        <v>23</v>
      </c>
      <c r="C21" s="151" t="s">
        <v>572</v>
      </c>
      <c r="D21" s="67" t="s">
        <v>18</v>
      </c>
      <c r="E21" s="67">
        <v>2</v>
      </c>
      <c r="F21" s="70">
        <v>169.9</v>
      </c>
      <c r="G21" s="69">
        <v>189.9</v>
      </c>
      <c r="H21" s="68">
        <v>197.59</v>
      </c>
      <c r="I21" s="69">
        <f t="shared" si="3"/>
        <v>339.8</v>
      </c>
      <c r="J21" s="382"/>
      <c r="K21" s="382"/>
    </row>
    <row r="22" spans="2:11" s="326" customFormat="1" ht="28.8">
      <c r="B22" s="206" t="s">
        <v>24</v>
      </c>
      <c r="C22" s="151" t="s">
        <v>461</v>
      </c>
      <c r="D22" s="67" t="s">
        <v>18</v>
      </c>
      <c r="E22" s="67">
        <v>1</v>
      </c>
      <c r="F22" s="73">
        <v>6459.11</v>
      </c>
      <c r="G22" s="68">
        <v>6686</v>
      </c>
      <c r="H22" s="69">
        <v>6892</v>
      </c>
      <c r="I22" s="69">
        <f t="shared" si="3"/>
        <v>6459.11</v>
      </c>
      <c r="J22" s="382"/>
      <c r="K22" s="382"/>
    </row>
    <row r="23" spans="2:11" s="326" customFormat="1" ht="43.2">
      <c r="B23" s="206" t="s">
        <v>25</v>
      </c>
      <c r="C23" s="151" t="s">
        <v>489</v>
      </c>
      <c r="D23" s="67" t="s">
        <v>18</v>
      </c>
      <c r="E23" s="67">
        <v>1</v>
      </c>
      <c r="F23" s="70">
        <v>3598</v>
      </c>
      <c r="G23" s="68">
        <v>3790</v>
      </c>
      <c r="H23" s="68">
        <v>5049</v>
      </c>
      <c r="I23" s="69">
        <f t="shared" si="3"/>
        <v>3598</v>
      </c>
      <c r="J23" s="382"/>
      <c r="K23" s="382"/>
    </row>
    <row r="24" spans="2:11" s="326" customFormat="1" ht="43.2">
      <c r="B24" s="206" t="s">
        <v>27</v>
      </c>
      <c r="C24" s="151" t="s">
        <v>573</v>
      </c>
      <c r="D24" s="67" t="s">
        <v>18</v>
      </c>
      <c r="E24" s="67">
        <v>3</v>
      </c>
      <c r="F24" s="73">
        <v>1386</v>
      </c>
      <c r="G24" s="68">
        <v>1549</v>
      </c>
      <c r="H24" s="68">
        <v>1649.9</v>
      </c>
      <c r="I24" s="69">
        <f t="shared" si="3"/>
        <v>4158</v>
      </c>
      <c r="J24" s="382"/>
      <c r="K24" s="382"/>
    </row>
    <row r="25" spans="2:11" s="326" customFormat="1" ht="28.8">
      <c r="B25" s="206" t="s">
        <v>28</v>
      </c>
      <c r="C25" s="151" t="s">
        <v>462</v>
      </c>
      <c r="D25" s="67" t="s">
        <v>13</v>
      </c>
      <c r="E25" s="67">
        <v>36</v>
      </c>
      <c r="F25" s="68">
        <v>124.99</v>
      </c>
      <c r="G25" s="69">
        <v>142</v>
      </c>
      <c r="H25" s="68">
        <v>159.9</v>
      </c>
      <c r="I25" s="69">
        <f t="shared" si="3"/>
        <v>4499.6399999999994</v>
      </c>
      <c r="J25" s="382"/>
      <c r="K25" s="382"/>
    </row>
    <row r="26" spans="2:11" s="326" customFormat="1" ht="43.2">
      <c r="B26" s="206" t="s">
        <v>29</v>
      </c>
      <c r="C26" s="151" t="s">
        <v>517</v>
      </c>
      <c r="D26" s="67" t="s">
        <v>13</v>
      </c>
      <c r="E26" s="67">
        <v>36</v>
      </c>
      <c r="F26" s="68">
        <v>3168.69</v>
      </c>
      <c r="G26" s="74">
        <v>3297.51</v>
      </c>
      <c r="H26" s="68">
        <v>3622.3</v>
      </c>
      <c r="I26" s="69">
        <f>F26*E26</f>
        <v>114072.84</v>
      </c>
      <c r="J26" s="382"/>
      <c r="K26" s="382"/>
    </row>
    <row r="27" spans="2:11" s="326" customFormat="1" ht="43.2">
      <c r="B27" s="206" t="s">
        <v>30</v>
      </c>
      <c r="C27" s="151" t="s">
        <v>518</v>
      </c>
      <c r="D27" s="67" t="s">
        <v>13</v>
      </c>
      <c r="E27" s="67">
        <v>9</v>
      </c>
      <c r="F27" s="68">
        <v>3168.69</v>
      </c>
      <c r="G27" s="74">
        <v>3297.51</v>
      </c>
      <c r="H27" s="68">
        <v>3622.3</v>
      </c>
      <c r="I27" s="69">
        <f>F27*E27*2</f>
        <v>57036.42</v>
      </c>
      <c r="J27" s="382"/>
      <c r="K27" s="382"/>
    </row>
    <row r="28" spans="2:11" s="326" customFormat="1" ht="28.8">
      <c r="B28" s="206" t="s">
        <v>32</v>
      </c>
      <c r="C28" s="151" t="s">
        <v>702</v>
      </c>
      <c r="D28" s="67" t="s">
        <v>15</v>
      </c>
      <c r="E28" s="67">
        <v>3</v>
      </c>
      <c r="F28" s="68">
        <v>300</v>
      </c>
      <c r="G28" s="69">
        <v>600</v>
      </c>
      <c r="H28" s="68">
        <v>975</v>
      </c>
      <c r="I28" s="69">
        <f t="shared" ref="I28" si="4">F28*E28</f>
        <v>900</v>
      </c>
      <c r="J28" s="382"/>
      <c r="K28" s="382"/>
    </row>
    <row r="29" spans="2:11" s="326" customFormat="1" ht="28.8">
      <c r="B29" s="206" t="s">
        <v>33</v>
      </c>
      <c r="C29" s="151" t="s">
        <v>758</v>
      </c>
      <c r="D29" s="67" t="s">
        <v>13</v>
      </c>
      <c r="E29" s="67">
        <v>36</v>
      </c>
      <c r="F29" s="68">
        <v>49.9</v>
      </c>
      <c r="G29" s="69">
        <v>60</v>
      </c>
      <c r="H29" s="70">
        <v>65.900000000000006</v>
      </c>
      <c r="I29" s="69">
        <f>F29*E29*1</f>
        <v>1796.3999999999999</v>
      </c>
      <c r="J29" s="382"/>
      <c r="K29" s="382"/>
    </row>
    <row r="30" spans="2:11" s="326" customFormat="1" ht="28.8">
      <c r="B30" s="206" t="s">
        <v>34</v>
      </c>
      <c r="C30" s="151" t="s">
        <v>759</v>
      </c>
      <c r="D30" s="67" t="s">
        <v>13</v>
      </c>
      <c r="E30" s="67">
        <v>9</v>
      </c>
      <c r="F30" s="68">
        <v>49.9</v>
      </c>
      <c r="G30" s="69">
        <v>60</v>
      </c>
      <c r="H30" s="70">
        <v>65.900000000000006</v>
      </c>
      <c r="I30" s="69">
        <f>F30*E30*2</f>
        <v>898.19999999999993</v>
      </c>
      <c r="J30" s="382"/>
      <c r="K30" s="382"/>
    </row>
    <row r="31" spans="2:11" s="326" customFormat="1">
      <c r="B31" s="206" t="s">
        <v>37</v>
      </c>
      <c r="C31" s="151" t="s">
        <v>760</v>
      </c>
      <c r="D31" s="67" t="s">
        <v>15</v>
      </c>
      <c r="E31" s="67">
        <v>3</v>
      </c>
      <c r="F31" s="68">
        <v>114</v>
      </c>
      <c r="G31" s="69">
        <v>0</v>
      </c>
      <c r="H31" s="68">
        <v>265</v>
      </c>
      <c r="I31" s="69">
        <f>F31*E31</f>
        <v>342</v>
      </c>
      <c r="J31" s="382"/>
      <c r="K31" s="382"/>
    </row>
    <row r="32" spans="2:11" s="326" customFormat="1" ht="28.8">
      <c r="B32" s="206" t="s">
        <v>39</v>
      </c>
      <c r="C32" s="151" t="s">
        <v>466</v>
      </c>
      <c r="D32" s="67" t="s">
        <v>31</v>
      </c>
      <c r="E32" s="67">
        <f>55*4*36*1</f>
        <v>7920</v>
      </c>
      <c r="F32" s="68">
        <v>6.08</v>
      </c>
      <c r="G32" s="69">
        <v>6.09</v>
      </c>
      <c r="H32" s="70">
        <v>6.35</v>
      </c>
      <c r="I32" s="69">
        <f t="shared" ref="I32:I60" si="5">F32*E32</f>
        <v>48153.599999999999</v>
      </c>
      <c r="J32" s="382"/>
      <c r="K32" s="382"/>
    </row>
    <row r="33" spans="2:11" s="326" customFormat="1" ht="28.8">
      <c r="B33" s="206" t="s">
        <v>40</v>
      </c>
      <c r="C33" s="151" t="s">
        <v>467</v>
      </c>
      <c r="D33" s="67" t="s">
        <v>31</v>
      </c>
      <c r="E33" s="67">
        <f>55*4*9*2</f>
        <v>3960</v>
      </c>
      <c r="F33" s="68">
        <v>6.08</v>
      </c>
      <c r="G33" s="69">
        <v>6.09</v>
      </c>
      <c r="H33" s="70">
        <v>6.35</v>
      </c>
      <c r="I33" s="69">
        <f t="shared" si="5"/>
        <v>24076.799999999999</v>
      </c>
      <c r="J33" s="382"/>
      <c r="K33" s="382"/>
    </row>
    <row r="34" spans="2:11" s="326" customFormat="1" ht="28.8">
      <c r="B34" s="206" t="s">
        <v>42</v>
      </c>
      <c r="C34" s="151" t="s">
        <v>468</v>
      </c>
      <c r="D34" s="67" t="s">
        <v>18</v>
      </c>
      <c r="E34" s="67">
        <f>(1*1*3) + (1*2*1)</f>
        <v>5</v>
      </c>
      <c r="F34" s="68">
        <v>99.86</v>
      </c>
      <c r="G34" s="68">
        <v>109.49</v>
      </c>
      <c r="H34" s="69">
        <v>211.19</v>
      </c>
      <c r="I34" s="69">
        <f t="shared" si="5"/>
        <v>499.3</v>
      </c>
      <c r="J34" s="382"/>
      <c r="K34" s="382"/>
    </row>
    <row r="35" spans="2:11" s="326" customFormat="1" ht="28.8">
      <c r="B35" s="206" t="s">
        <v>44</v>
      </c>
      <c r="C35" s="210" t="s">
        <v>469</v>
      </c>
      <c r="D35" s="67" t="s">
        <v>18</v>
      </c>
      <c r="E35" s="213">
        <f>(6*1*3)+(3*2*1)</f>
        <v>24</v>
      </c>
      <c r="F35" s="68">
        <v>60</v>
      </c>
      <c r="G35" s="68">
        <v>65</v>
      </c>
      <c r="H35" s="69">
        <v>70</v>
      </c>
      <c r="I35" s="69">
        <f t="shared" si="5"/>
        <v>1440</v>
      </c>
      <c r="J35" s="382"/>
      <c r="K35" s="382"/>
    </row>
    <row r="36" spans="2:11" s="326" customFormat="1" ht="43.2">
      <c r="B36" s="206" t="s">
        <v>46</v>
      </c>
      <c r="C36" s="210" t="s">
        <v>470</v>
      </c>
      <c r="D36" s="67" t="s">
        <v>18</v>
      </c>
      <c r="E36" s="213">
        <f>(1*2*3)+(2*3*1)</f>
        <v>12</v>
      </c>
      <c r="F36" s="68">
        <v>75</v>
      </c>
      <c r="G36" s="68">
        <v>90</v>
      </c>
      <c r="H36" s="69">
        <v>98</v>
      </c>
      <c r="I36" s="69">
        <f t="shared" si="5"/>
        <v>900</v>
      </c>
      <c r="J36" s="382"/>
      <c r="K36" s="382"/>
    </row>
    <row r="37" spans="2:11" s="326" customFormat="1" ht="28.8">
      <c r="B37" s="206" t="s">
        <v>48</v>
      </c>
      <c r="C37" s="210" t="s">
        <v>38</v>
      </c>
      <c r="D37" s="67" t="s">
        <v>18</v>
      </c>
      <c r="E37" s="67">
        <f>3*3*3</f>
        <v>27</v>
      </c>
      <c r="F37" s="68">
        <v>25</v>
      </c>
      <c r="G37" s="68">
        <v>40</v>
      </c>
      <c r="H37" s="69">
        <v>43</v>
      </c>
      <c r="I37" s="69">
        <f t="shared" si="5"/>
        <v>675</v>
      </c>
      <c r="J37" s="382"/>
      <c r="K37" s="382"/>
    </row>
    <row r="38" spans="2:11" s="326" customFormat="1" ht="28.8">
      <c r="B38" s="206" t="s">
        <v>49</v>
      </c>
      <c r="C38" s="210" t="s">
        <v>677</v>
      </c>
      <c r="D38" s="67" t="s">
        <v>18</v>
      </c>
      <c r="E38" s="213">
        <f>(4*1*3)+(1*2*1)</f>
        <v>14</v>
      </c>
      <c r="F38" s="68">
        <v>2.77</v>
      </c>
      <c r="G38" s="74">
        <v>3.75</v>
      </c>
      <c r="H38" s="73">
        <v>3.96</v>
      </c>
      <c r="I38" s="69">
        <f t="shared" si="5"/>
        <v>38.78</v>
      </c>
      <c r="J38" s="382"/>
      <c r="K38" s="382"/>
    </row>
    <row r="39" spans="2:11" s="326" customFormat="1" ht="28.8">
      <c r="B39" s="206" t="s">
        <v>51</v>
      </c>
      <c r="C39" s="151" t="s">
        <v>471</v>
      </c>
      <c r="D39" s="67" t="s">
        <v>18</v>
      </c>
      <c r="E39" s="213">
        <f>(2*1*3)+(1*2*1)</f>
        <v>8</v>
      </c>
      <c r="F39" s="68">
        <v>122</v>
      </c>
      <c r="G39" s="74">
        <v>170.91</v>
      </c>
      <c r="H39" s="68">
        <v>185</v>
      </c>
      <c r="I39" s="69">
        <f t="shared" si="5"/>
        <v>976</v>
      </c>
      <c r="J39" s="382"/>
      <c r="K39" s="382"/>
    </row>
    <row r="40" spans="2:11" s="326" customFormat="1" ht="28.8">
      <c r="B40" s="206" t="s">
        <v>53</v>
      </c>
      <c r="C40" s="151" t="s">
        <v>472</v>
      </c>
      <c r="D40" s="67" t="s">
        <v>18</v>
      </c>
      <c r="E40" s="213">
        <f>(2*1*3) + (2*2*1)</f>
        <v>10</v>
      </c>
      <c r="F40" s="68">
        <v>21.8</v>
      </c>
      <c r="G40" s="74">
        <v>36</v>
      </c>
      <c r="H40" s="68">
        <v>46.9</v>
      </c>
      <c r="I40" s="69">
        <f t="shared" si="5"/>
        <v>218</v>
      </c>
      <c r="J40" s="382"/>
      <c r="K40" s="382"/>
    </row>
    <row r="41" spans="2:11" s="326" customFormat="1" ht="28.8">
      <c r="B41" s="206" t="s">
        <v>55</v>
      </c>
      <c r="C41" s="151" t="s">
        <v>485</v>
      </c>
      <c r="D41" s="67" t="s">
        <v>18</v>
      </c>
      <c r="E41" s="67">
        <f>3*3</f>
        <v>9</v>
      </c>
      <c r="F41" s="73">
        <v>13.93</v>
      </c>
      <c r="G41" s="74">
        <v>15.71</v>
      </c>
      <c r="H41" s="68">
        <v>22.5</v>
      </c>
      <c r="I41" s="69">
        <f t="shared" si="5"/>
        <v>125.37</v>
      </c>
      <c r="J41" s="382"/>
      <c r="K41" s="382"/>
    </row>
    <row r="42" spans="2:11" s="326" customFormat="1" ht="28.8">
      <c r="B42" s="206" t="s">
        <v>56</v>
      </c>
      <c r="C42" s="151" t="s">
        <v>473</v>
      </c>
      <c r="D42" s="67" t="s">
        <v>18</v>
      </c>
      <c r="E42" s="67">
        <f>(1*2*3)+(2*2*1)</f>
        <v>10</v>
      </c>
      <c r="F42" s="70">
        <v>12.4</v>
      </c>
      <c r="G42" s="74">
        <v>13.5</v>
      </c>
      <c r="H42" s="68">
        <v>20.260000000000002</v>
      </c>
      <c r="I42" s="69">
        <f t="shared" si="5"/>
        <v>124</v>
      </c>
      <c r="J42" s="382"/>
      <c r="K42" s="382"/>
    </row>
    <row r="43" spans="2:11" s="326" customFormat="1">
      <c r="B43" s="206" t="s">
        <v>57</v>
      </c>
      <c r="C43" s="151" t="s">
        <v>476</v>
      </c>
      <c r="D43" s="67" t="s">
        <v>18</v>
      </c>
      <c r="E43" s="67">
        <f>(2*1*3) +(2*1*1)</f>
        <v>8</v>
      </c>
      <c r="F43" s="68">
        <v>160</v>
      </c>
      <c r="G43" s="74">
        <v>163</v>
      </c>
      <c r="H43" s="73">
        <v>193.63</v>
      </c>
      <c r="I43" s="69">
        <f t="shared" si="5"/>
        <v>1280</v>
      </c>
      <c r="J43" s="382"/>
      <c r="K43" s="382"/>
    </row>
    <row r="44" spans="2:11" s="326" customFormat="1" ht="28.8">
      <c r="B44" s="206" t="s">
        <v>58</v>
      </c>
      <c r="C44" s="151" t="s">
        <v>474</v>
      </c>
      <c r="D44" s="67" t="s">
        <v>18</v>
      </c>
      <c r="E44" s="213">
        <f t="shared" ref="E44:E46" si="6">(1*1*3) + (1*2*1)</f>
        <v>5</v>
      </c>
      <c r="F44" s="70">
        <v>35</v>
      </c>
      <c r="G44" s="74">
        <v>41.4</v>
      </c>
      <c r="H44" s="68">
        <v>168.26</v>
      </c>
      <c r="I44" s="69">
        <f t="shared" si="5"/>
        <v>175</v>
      </c>
      <c r="J44" s="382"/>
      <c r="K44" s="382"/>
    </row>
    <row r="45" spans="2:11" s="326" customFormat="1">
      <c r="B45" s="206" t="s">
        <v>59</v>
      </c>
      <c r="C45" s="151" t="s">
        <v>475</v>
      </c>
      <c r="D45" s="67" t="s">
        <v>18</v>
      </c>
      <c r="E45" s="213">
        <f t="shared" si="6"/>
        <v>5</v>
      </c>
      <c r="F45" s="73">
        <v>41.4</v>
      </c>
      <c r="G45" s="73">
        <v>42.23</v>
      </c>
      <c r="H45" s="73">
        <v>50</v>
      </c>
      <c r="I45" s="69">
        <f t="shared" si="5"/>
        <v>207</v>
      </c>
      <c r="J45" s="382"/>
      <c r="K45" s="382"/>
    </row>
    <row r="46" spans="2:11" s="326" customFormat="1">
      <c r="B46" s="206" t="s">
        <v>60</v>
      </c>
      <c r="C46" s="151" t="s">
        <v>477</v>
      </c>
      <c r="D46" s="67" t="s">
        <v>18</v>
      </c>
      <c r="E46" s="213">
        <f t="shared" si="6"/>
        <v>5</v>
      </c>
      <c r="F46" s="68">
        <v>32.979999999999997</v>
      </c>
      <c r="G46" s="69">
        <v>58.66</v>
      </c>
      <c r="H46" s="68">
        <v>60.82</v>
      </c>
      <c r="I46" s="69">
        <f t="shared" si="5"/>
        <v>164.89999999999998</v>
      </c>
      <c r="J46" s="382"/>
      <c r="K46" s="382"/>
    </row>
    <row r="47" spans="2:11" s="326" customFormat="1" ht="28.8">
      <c r="B47" s="206" t="s">
        <v>62</v>
      </c>
      <c r="C47" s="151" t="s">
        <v>478</v>
      </c>
      <c r="D47" s="67" t="s">
        <v>18</v>
      </c>
      <c r="E47" s="67">
        <v>3</v>
      </c>
      <c r="F47" s="73">
        <v>26.5</v>
      </c>
      <c r="G47" s="73">
        <v>61.9</v>
      </c>
      <c r="H47" s="69">
        <v>83.6</v>
      </c>
      <c r="I47" s="69">
        <f t="shared" si="5"/>
        <v>79.5</v>
      </c>
      <c r="J47" s="382"/>
      <c r="K47" s="382"/>
    </row>
    <row r="48" spans="2:11" s="326" customFormat="1">
      <c r="B48" s="206" t="s">
        <v>64</v>
      </c>
      <c r="C48" s="151" t="s">
        <v>411</v>
      </c>
      <c r="D48" s="67" t="s">
        <v>18</v>
      </c>
      <c r="E48" s="67">
        <v>500</v>
      </c>
      <c r="F48" s="260">
        <v>16.47</v>
      </c>
      <c r="G48" s="260">
        <v>16.899999999999999</v>
      </c>
      <c r="H48" s="260">
        <v>31</v>
      </c>
      <c r="I48" s="69">
        <f t="shared" si="5"/>
        <v>8235</v>
      </c>
      <c r="J48" s="382"/>
      <c r="K48" s="382"/>
    </row>
    <row r="49" spans="1:11" s="326" customFormat="1">
      <c r="B49" s="206" t="s">
        <v>66</v>
      </c>
      <c r="C49" s="255" t="s">
        <v>412</v>
      </c>
      <c r="D49" s="67" t="s">
        <v>18</v>
      </c>
      <c r="E49" s="67">
        <v>500</v>
      </c>
      <c r="F49" s="260">
        <v>1.64</v>
      </c>
      <c r="G49" s="261">
        <v>17.5</v>
      </c>
      <c r="H49" s="261">
        <v>25.9</v>
      </c>
      <c r="I49" s="69">
        <f t="shared" si="5"/>
        <v>820</v>
      </c>
      <c r="J49" s="382"/>
      <c r="K49" s="382"/>
    </row>
    <row r="50" spans="1:11" s="326" customFormat="1">
      <c r="B50" s="206" t="s">
        <v>69</v>
      </c>
      <c r="C50" s="151" t="s">
        <v>413</v>
      </c>
      <c r="D50" s="67" t="s">
        <v>18</v>
      </c>
      <c r="E50" s="67">
        <v>200</v>
      </c>
      <c r="F50" s="260">
        <v>1.5</v>
      </c>
      <c r="G50" s="260">
        <v>2.5</v>
      </c>
      <c r="H50" s="260">
        <v>3.74</v>
      </c>
      <c r="I50" s="69">
        <f t="shared" si="5"/>
        <v>300</v>
      </c>
      <c r="J50" s="382"/>
      <c r="K50" s="382"/>
    </row>
    <row r="51" spans="1:11" s="326" customFormat="1">
      <c r="B51" s="206" t="s">
        <v>71</v>
      </c>
      <c r="C51" s="255" t="s">
        <v>414</v>
      </c>
      <c r="D51" s="67" t="s">
        <v>18</v>
      </c>
      <c r="E51" s="67">
        <v>1800</v>
      </c>
      <c r="F51" s="260">
        <v>0.17</v>
      </c>
      <c r="G51" s="261">
        <v>1</v>
      </c>
      <c r="H51" s="260">
        <v>1.89</v>
      </c>
      <c r="I51" s="69">
        <f t="shared" si="5"/>
        <v>306</v>
      </c>
      <c r="J51" s="382"/>
      <c r="K51" s="382"/>
    </row>
    <row r="52" spans="1:11" s="326" customFormat="1">
      <c r="B52" s="206" t="s">
        <v>73</v>
      </c>
      <c r="C52" s="208" t="s">
        <v>65</v>
      </c>
      <c r="D52" s="67" t="s">
        <v>18</v>
      </c>
      <c r="E52" s="67">
        <v>4</v>
      </c>
      <c r="F52" s="68">
        <v>320</v>
      </c>
      <c r="G52" s="73">
        <v>480</v>
      </c>
      <c r="H52" s="68">
        <v>614.4</v>
      </c>
      <c r="I52" s="69">
        <f t="shared" si="5"/>
        <v>1280</v>
      </c>
      <c r="J52" s="382"/>
      <c r="K52" s="382"/>
    </row>
    <row r="53" spans="1:11" s="326" customFormat="1">
      <c r="B53" s="206" t="s">
        <v>75</v>
      </c>
      <c r="C53" s="151" t="s">
        <v>67</v>
      </c>
      <c r="D53" s="67" t="s">
        <v>68</v>
      </c>
      <c r="E53" s="67">
        <v>2</v>
      </c>
      <c r="F53" s="276">
        <v>34.9</v>
      </c>
      <c r="G53" s="207">
        <v>45.9</v>
      </c>
      <c r="H53" s="70">
        <v>48.62</v>
      </c>
      <c r="I53" s="69">
        <f t="shared" si="5"/>
        <v>69.8</v>
      </c>
      <c r="J53" s="382"/>
      <c r="K53" s="382"/>
    </row>
    <row r="54" spans="1:11" s="326" customFormat="1">
      <c r="B54" s="206" t="s">
        <v>77</v>
      </c>
      <c r="C54" s="151" t="s">
        <v>70</v>
      </c>
      <c r="D54" s="67" t="s">
        <v>18</v>
      </c>
      <c r="E54" s="67">
        <v>15</v>
      </c>
      <c r="F54" s="68">
        <v>14.18</v>
      </c>
      <c r="G54" s="69">
        <v>17.5</v>
      </c>
      <c r="H54" s="68">
        <v>55.99</v>
      </c>
      <c r="I54" s="69">
        <f t="shared" si="5"/>
        <v>212.7</v>
      </c>
      <c r="J54" s="382"/>
      <c r="K54" s="382"/>
    </row>
    <row r="55" spans="1:11" s="326" customFormat="1">
      <c r="B55" s="206" t="s">
        <v>78</v>
      </c>
      <c r="C55" s="151" t="s">
        <v>72</v>
      </c>
      <c r="D55" s="67" t="s">
        <v>68</v>
      </c>
      <c r="E55" s="67">
        <v>4</v>
      </c>
      <c r="F55" s="68">
        <v>19.989999999999998</v>
      </c>
      <c r="G55" s="69">
        <v>22.2</v>
      </c>
      <c r="H55" s="70">
        <v>24.9</v>
      </c>
      <c r="I55" s="69">
        <f t="shared" si="5"/>
        <v>79.959999999999994</v>
      </c>
      <c r="J55" s="382"/>
      <c r="K55" s="382"/>
    </row>
    <row r="56" spans="1:11" s="326" customFormat="1">
      <c r="B56" s="206" t="s">
        <v>79</v>
      </c>
      <c r="C56" s="151" t="s">
        <v>74</v>
      </c>
      <c r="D56" s="67" t="s">
        <v>18</v>
      </c>
      <c r="E56" s="67">
        <v>40</v>
      </c>
      <c r="F56" s="68">
        <v>14.9</v>
      </c>
      <c r="G56" s="69">
        <v>15.2</v>
      </c>
      <c r="H56" s="68">
        <v>24.99</v>
      </c>
      <c r="I56" s="69">
        <f t="shared" si="5"/>
        <v>596</v>
      </c>
      <c r="J56" s="382"/>
      <c r="K56" s="382"/>
    </row>
    <row r="57" spans="1:11" s="326" customFormat="1">
      <c r="B57" s="206" t="s">
        <v>116</v>
      </c>
      <c r="C57" s="208" t="s">
        <v>76</v>
      </c>
      <c r="D57" s="67" t="s">
        <v>68</v>
      </c>
      <c r="E57" s="67">
        <v>5</v>
      </c>
      <c r="F57" s="70">
        <v>7.2</v>
      </c>
      <c r="G57" s="74">
        <v>7.36</v>
      </c>
      <c r="H57" s="73">
        <v>17.8</v>
      </c>
      <c r="I57" s="69">
        <f t="shared" si="5"/>
        <v>36</v>
      </c>
      <c r="J57" s="382"/>
      <c r="K57" s="382"/>
    </row>
    <row r="58" spans="1:11" s="326" customFormat="1" ht="28.8">
      <c r="B58" s="206" t="s">
        <v>118</v>
      </c>
      <c r="C58" s="208" t="s">
        <v>680</v>
      </c>
      <c r="D58" s="67" t="s">
        <v>15</v>
      </c>
      <c r="E58" s="67">
        <v>6</v>
      </c>
      <c r="F58" s="68">
        <v>600</v>
      </c>
      <c r="G58" s="69"/>
      <c r="H58" s="68"/>
      <c r="I58" s="69">
        <f t="shared" si="5"/>
        <v>3600</v>
      </c>
      <c r="J58" s="382"/>
      <c r="K58" s="382"/>
    </row>
    <row r="59" spans="1:11" s="326" customFormat="1" ht="28.8">
      <c r="B59" s="206" t="s">
        <v>119</v>
      </c>
      <c r="C59" s="209" t="s">
        <v>678</v>
      </c>
      <c r="D59" s="67" t="s">
        <v>18</v>
      </c>
      <c r="E59" s="67">
        <v>10</v>
      </c>
      <c r="F59" s="68">
        <v>500</v>
      </c>
      <c r="G59" s="69"/>
      <c r="H59" s="68"/>
      <c r="I59" s="69">
        <f t="shared" si="5"/>
        <v>5000</v>
      </c>
      <c r="J59" s="382"/>
      <c r="K59" s="382"/>
    </row>
    <row r="60" spans="1:11" s="326" customFormat="1">
      <c r="B60" s="206" t="s">
        <v>120</v>
      </c>
      <c r="C60" s="209" t="s">
        <v>679</v>
      </c>
      <c r="D60" s="67" t="s">
        <v>18</v>
      </c>
      <c r="E60" s="67">
        <v>10</v>
      </c>
      <c r="F60" s="68">
        <v>980</v>
      </c>
      <c r="G60" s="69"/>
      <c r="H60" s="68"/>
      <c r="I60" s="69">
        <f t="shared" si="5"/>
        <v>9800</v>
      </c>
      <c r="J60" s="382"/>
      <c r="K60" s="382"/>
    </row>
    <row r="61" spans="1:11">
      <c r="A61" s="234"/>
      <c r="B61" s="571" t="s">
        <v>418</v>
      </c>
      <c r="C61" s="572"/>
      <c r="D61" s="317"/>
      <c r="E61" s="317"/>
      <c r="F61" s="317"/>
      <c r="G61" s="317"/>
      <c r="H61" s="317"/>
      <c r="I61" s="329">
        <f>SUM(I14:I60)</f>
        <v>890956.00000000012</v>
      </c>
    </row>
    <row r="62" spans="1:11" ht="28.8">
      <c r="A62" s="234"/>
      <c r="B62" s="224" t="s">
        <v>80</v>
      </c>
      <c r="C62" s="231" t="s">
        <v>394</v>
      </c>
      <c r="D62" s="226" t="s">
        <v>7</v>
      </c>
      <c r="E62" s="226" t="s">
        <v>8</v>
      </c>
      <c r="F62" s="227" t="s">
        <v>410</v>
      </c>
      <c r="G62" s="227" t="s">
        <v>408</v>
      </c>
      <c r="H62" s="227" t="s">
        <v>409</v>
      </c>
      <c r="I62" s="228" t="s">
        <v>9</v>
      </c>
    </row>
    <row r="63" spans="1:11" ht="28.8">
      <c r="B63" s="206" t="s">
        <v>81</v>
      </c>
      <c r="C63" s="151" t="s">
        <v>82</v>
      </c>
      <c r="D63" s="67" t="s">
        <v>13</v>
      </c>
      <c r="E63" s="67">
        <v>12</v>
      </c>
      <c r="F63" s="68">
        <f>(3643*97%)+3643</f>
        <v>7176.71</v>
      </c>
      <c r="G63" s="69">
        <f>(5000*97%)+5000</f>
        <v>9850</v>
      </c>
      <c r="H63" s="68">
        <f>(5801*97%)+5801</f>
        <v>11427.970000000001</v>
      </c>
      <c r="I63" s="69">
        <f>F63*E63*2</f>
        <v>172241.04</v>
      </c>
    </row>
    <row r="64" spans="1:11" ht="28.8">
      <c r="B64" s="206" t="s">
        <v>83</v>
      </c>
      <c r="C64" s="151" t="s">
        <v>479</v>
      </c>
      <c r="D64" s="67" t="s">
        <v>15</v>
      </c>
      <c r="E64" s="67">
        <v>8</v>
      </c>
      <c r="F64" s="229">
        <v>250</v>
      </c>
      <c r="G64" s="69">
        <v>450</v>
      </c>
      <c r="H64" s="68">
        <v>581</v>
      </c>
      <c r="I64" s="69">
        <f t="shared" ref="I64:I78" si="7">F64*E64</f>
        <v>2000</v>
      </c>
    </row>
    <row r="65" spans="2:9" ht="57.6">
      <c r="B65" s="206" t="s">
        <v>84</v>
      </c>
      <c r="C65" s="151" t="s">
        <v>480</v>
      </c>
      <c r="D65" s="67" t="s">
        <v>18</v>
      </c>
      <c r="E65" s="67">
        <v>2</v>
      </c>
      <c r="F65" s="68">
        <v>4149</v>
      </c>
      <c r="G65" s="69">
        <v>5299</v>
      </c>
      <c r="H65" s="70">
        <v>5919</v>
      </c>
      <c r="I65" s="69">
        <f t="shared" si="7"/>
        <v>8298</v>
      </c>
    </row>
    <row r="66" spans="2:9" ht="43.2">
      <c r="B66" s="206" t="s">
        <v>85</v>
      </c>
      <c r="C66" s="151" t="s">
        <v>481</v>
      </c>
      <c r="D66" s="67" t="s">
        <v>18</v>
      </c>
      <c r="E66" s="67">
        <v>2</v>
      </c>
      <c r="F66" s="73">
        <v>1386</v>
      </c>
      <c r="G66" s="69">
        <v>1549</v>
      </c>
      <c r="H66" s="68">
        <v>1649.9</v>
      </c>
      <c r="I66" s="69">
        <f t="shared" si="7"/>
        <v>2772</v>
      </c>
    </row>
    <row r="67" spans="2:9" ht="28.8">
      <c r="B67" s="206" t="s">
        <v>86</v>
      </c>
      <c r="C67" s="151" t="s">
        <v>462</v>
      </c>
      <c r="D67" s="67" t="s">
        <v>13</v>
      </c>
      <c r="E67" s="67">
        <v>12</v>
      </c>
      <c r="F67" s="68">
        <v>124.99</v>
      </c>
      <c r="G67" s="69">
        <v>142</v>
      </c>
      <c r="H67" s="68">
        <v>159.9</v>
      </c>
      <c r="I67" s="69">
        <f t="shared" si="7"/>
        <v>1499.8799999999999</v>
      </c>
    </row>
    <row r="68" spans="2:9" ht="28.8">
      <c r="B68" s="206" t="s">
        <v>87</v>
      </c>
      <c r="C68" s="210" t="s">
        <v>482</v>
      </c>
      <c r="D68" s="67" t="s">
        <v>18</v>
      </c>
      <c r="E68" s="213">
        <f t="shared" ref="E68:E69" si="8">4*2</f>
        <v>8</v>
      </c>
      <c r="F68" s="68">
        <v>60</v>
      </c>
      <c r="G68" s="68">
        <v>65</v>
      </c>
      <c r="H68" s="69">
        <v>70</v>
      </c>
      <c r="I68" s="69">
        <f t="shared" si="7"/>
        <v>480</v>
      </c>
    </row>
    <row r="69" spans="2:9" ht="43.2">
      <c r="B69" s="206" t="s">
        <v>88</v>
      </c>
      <c r="C69" s="210" t="s">
        <v>483</v>
      </c>
      <c r="D69" s="67" t="s">
        <v>18</v>
      </c>
      <c r="E69" s="213">
        <f t="shared" si="8"/>
        <v>8</v>
      </c>
      <c r="F69" s="68">
        <v>75</v>
      </c>
      <c r="G69" s="68">
        <v>90</v>
      </c>
      <c r="H69" s="69">
        <v>98</v>
      </c>
      <c r="I69" s="69">
        <f t="shared" si="7"/>
        <v>600</v>
      </c>
    </row>
    <row r="70" spans="2:9" ht="43.2">
      <c r="B70" s="206" t="s">
        <v>89</v>
      </c>
      <c r="C70" s="210" t="s">
        <v>484</v>
      </c>
      <c r="D70" s="67" t="s">
        <v>18</v>
      </c>
      <c r="E70" s="213">
        <f t="shared" ref="E70:E75" si="9">2*2</f>
        <v>4</v>
      </c>
      <c r="F70" s="68">
        <v>25</v>
      </c>
      <c r="G70" s="68">
        <v>40</v>
      </c>
      <c r="H70" s="69">
        <v>43</v>
      </c>
      <c r="I70" s="69">
        <f t="shared" si="7"/>
        <v>100</v>
      </c>
    </row>
    <row r="71" spans="2:9" ht="28.8">
      <c r="B71" s="206" t="s">
        <v>91</v>
      </c>
      <c r="C71" s="151" t="s">
        <v>471</v>
      </c>
      <c r="D71" s="67" t="s">
        <v>18</v>
      </c>
      <c r="E71" s="67">
        <f t="shared" si="9"/>
        <v>4</v>
      </c>
      <c r="F71" s="68">
        <v>122</v>
      </c>
      <c r="G71" s="232">
        <v>170.91</v>
      </c>
      <c r="H71" s="68">
        <v>296.93</v>
      </c>
      <c r="I71" s="69">
        <f t="shared" si="7"/>
        <v>488</v>
      </c>
    </row>
    <row r="72" spans="2:9" ht="28.8">
      <c r="B72" s="206" t="s">
        <v>92</v>
      </c>
      <c r="C72" s="151" t="s">
        <v>472</v>
      </c>
      <c r="D72" s="67" t="s">
        <v>18</v>
      </c>
      <c r="E72" s="67">
        <f t="shared" si="9"/>
        <v>4</v>
      </c>
      <c r="F72" s="68">
        <v>21.8</v>
      </c>
      <c r="G72" s="74">
        <v>36</v>
      </c>
      <c r="H72" s="68">
        <v>46.9</v>
      </c>
      <c r="I72" s="69">
        <f t="shared" si="7"/>
        <v>87.2</v>
      </c>
    </row>
    <row r="73" spans="2:9" ht="28.8">
      <c r="B73" s="206" t="s">
        <v>93</v>
      </c>
      <c r="C73" s="151" t="s">
        <v>485</v>
      </c>
      <c r="D73" s="67" t="s">
        <v>18</v>
      </c>
      <c r="E73" s="67">
        <f t="shared" si="9"/>
        <v>4</v>
      </c>
      <c r="F73" s="73">
        <v>13.93</v>
      </c>
      <c r="G73" s="74">
        <v>15.71</v>
      </c>
      <c r="H73" s="68">
        <v>22.5</v>
      </c>
      <c r="I73" s="69">
        <f t="shared" si="7"/>
        <v>55.72</v>
      </c>
    </row>
    <row r="74" spans="2:9" ht="28.8">
      <c r="B74" s="206" t="s">
        <v>94</v>
      </c>
      <c r="C74" s="151" t="s">
        <v>486</v>
      </c>
      <c r="D74" s="67" t="s">
        <v>18</v>
      </c>
      <c r="E74" s="67">
        <f t="shared" si="9"/>
        <v>4</v>
      </c>
      <c r="F74" s="68">
        <v>12.4</v>
      </c>
      <c r="G74" s="69">
        <v>13.5</v>
      </c>
      <c r="H74" s="68">
        <v>20.260000000000002</v>
      </c>
      <c r="I74" s="69">
        <f t="shared" si="7"/>
        <v>49.6</v>
      </c>
    </row>
    <row r="75" spans="2:9">
      <c r="B75" s="206" t="s">
        <v>95</v>
      </c>
      <c r="C75" s="151" t="s">
        <v>491</v>
      </c>
      <c r="D75" s="67" t="s">
        <v>18</v>
      </c>
      <c r="E75" s="67">
        <f t="shared" si="9"/>
        <v>4</v>
      </c>
      <c r="F75" s="73">
        <v>160</v>
      </c>
      <c r="G75" s="232">
        <v>163</v>
      </c>
      <c r="H75" s="73">
        <v>193.63</v>
      </c>
      <c r="I75" s="69">
        <f t="shared" si="7"/>
        <v>640</v>
      </c>
    </row>
    <row r="76" spans="2:9" ht="28.8">
      <c r="B76" s="206" t="s">
        <v>97</v>
      </c>
      <c r="C76" s="151" t="s">
        <v>474</v>
      </c>
      <c r="D76" s="67" t="s">
        <v>18</v>
      </c>
      <c r="E76" s="67">
        <f t="shared" ref="E76:E78" si="10">1*2</f>
        <v>2</v>
      </c>
      <c r="F76" s="73">
        <v>35</v>
      </c>
      <c r="G76" s="69">
        <v>41.4</v>
      </c>
      <c r="H76" s="68">
        <v>168.26</v>
      </c>
      <c r="I76" s="69">
        <f t="shared" si="7"/>
        <v>70</v>
      </c>
    </row>
    <row r="77" spans="2:9">
      <c r="B77" s="206" t="s">
        <v>98</v>
      </c>
      <c r="C77" s="151" t="s">
        <v>475</v>
      </c>
      <c r="D77" s="67" t="s">
        <v>18</v>
      </c>
      <c r="E77" s="67">
        <f t="shared" si="10"/>
        <v>2</v>
      </c>
      <c r="F77" s="73">
        <v>41.4</v>
      </c>
      <c r="G77" s="69">
        <v>42.23</v>
      </c>
      <c r="H77" s="70">
        <v>50</v>
      </c>
      <c r="I77" s="69">
        <f t="shared" si="7"/>
        <v>82.8</v>
      </c>
    </row>
    <row r="78" spans="2:9">
      <c r="B78" s="206" t="s">
        <v>99</v>
      </c>
      <c r="C78" s="151" t="s">
        <v>477</v>
      </c>
      <c r="D78" s="67" t="s">
        <v>18</v>
      </c>
      <c r="E78" s="67">
        <f t="shared" si="10"/>
        <v>2</v>
      </c>
      <c r="F78" s="68">
        <v>32.979999999999997</v>
      </c>
      <c r="G78" s="69">
        <v>58.66</v>
      </c>
      <c r="H78" s="68">
        <v>60.82</v>
      </c>
      <c r="I78" s="69">
        <f t="shared" si="7"/>
        <v>65.959999999999994</v>
      </c>
    </row>
    <row r="79" spans="2:9">
      <c r="B79" s="571" t="s">
        <v>392</v>
      </c>
      <c r="C79" s="572"/>
      <c r="D79" s="317"/>
      <c r="E79" s="317"/>
      <c r="F79" s="317"/>
      <c r="G79" s="317"/>
      <c r="H79" s="317"/>
      <c r="I79" s="328">
        <f>SUM(I63:I78)</f>
        <v>189530.2</v>
      </c>
    </row>
    <row r="80" spans="2:9">
      <c r="B80" s="568" t="s">
        <v>393</v>
      </c>
      <c r="C80" s="569"/>
      <c r="D80" s="331"/>
      <c r="E80" s="331"/>
      <c r="F80" s="331"/>
      <c r="G80" s="331"/>
      <c r="H80" s="331"/>
      <c r="I80" s="304">
        <f>I79+I61</f>
        <v>1080486.2000000002</v>
      </c>
    </row>
    <row r="81" spans="2:9">
      <c r="B81" s="573" t="s">
        <v>100</v>
      </c>
      <c r="C81" s="566"/>
      <c r="D81" s="221"/>
      <c r="E81" s="221"/>
      <c r="F81" s="264"/>
      <c r="G81" s="264"/>
      <c r="H81" s="264"/>
      <c r="I81" s="264"/>
    </row>
    <row r="82" spans="2:9" ht="28.8">
      <c r="B82" s="332">
        <v>1</v>
      </c>
      <c r="C82" s="225" t="s">
        <v>101</v>
      </c>
      <c r="D82" s="226" t="s">
        <v>7</v>
      </c>
      <c r="E82" s="226" t="s">
        <v>8</v>
      </c>
      <c r="F82" s="227" t="s">
        <v>410</v>
      </c>
      <c r="G82" s="227" t="s">
        <v>408</v>
      </c>
      <c r="H82" s="227" t="s">
        <v>409</v>
      </c>
      <c r="I82" s="228" t="s">
        <v>9</v>
      </c>
    </row>
    <row r="83" spans="2:9" ht="28.8" hidden="1">
      <c r="B83" s="334" t="s">
        <v>12</v>
      </c>
      <c r="C83" s="335" t="s">
        <v>721</v>
      </c>
      <c r="D83" s="335"/>
      <c r="E83" s="336"/>
      <c r="F83" s="335"/>
      <c r="G83" s="335"/>
      <c r="H83" s="335"/>
      <c r="I83" s="335"/>
    </row>
    <row r="84" spans="2:9" ht="28.8" hidden="1">
      <c r="B84" s="334" t="s">
        <v>14</v>
      </c>
      <c r="C84" s="335" t="s">
        <v>722</v>
      </c>
      <c r="D84" s="335"/>
      <c r="E84" s="336"/>
      <c r="F84" s="335"/>
      <c r="G84" s="335"/>
      <c r="H84" s="335"/>
      <c r="I84" s="335"/>
    </row>
    <row r="85" spans="2:9">
      <c r="B85" s="334" t="s">
        <v>16</v>
      </c>
      <c r="C85" s="335" t="s">
        <v>104</v>
      </c>
      <c r="D85" s="337"/>
      <c r="E85" s="338"/>
      <c r="F85" s="337"/>
      <c r="G85" s="337"/>
      <c r="H85" s="337"/>
      <c r="I85" s="335"/>
    </row>
    <row r="86" spans="2:9" ht="57.6">
      <c r="B86" s="206" t="s">
        <v>105</v>
      </c>
      <c r="C86" s="208" t="s">
        <v>761</v>
      </c>
      <c r="D86" s="244" t="s">
        <v>18</v>
      </c>
      <c r="E86" s="333">
        <f>(1200*70*1.2)</f>
        <v>100800</v>
      </c>
      <c r="F86" s="246">
        <v>10</v>
      </c>
      <c r="G86" s="246"/>
      <c r="H86" s="246"/>
      <c r="I86" s="247">
        <f t="shared" ref="I86:I87" si="11">F86*E86</f>
        <v>1008000</v>
      </c>
    </row>
    <row r="87" spans="2:9">
      <c r="B87" s="206" t="s">
        <v>419</v>
      </c>
      <c r="C87" s="243" t="s">
        <v>407</v>
      </c>
      <c r="D87" s="244" t="s">
        <v>15</v>
      </c>
      <c r="E87" s="244">
        <v>8</v>
      </c>
      <c r="F87" s="246">
        <v>6000</v>
      </c>
      <c r="G87" s="246"/>
      <c r="H87" s="246"/>
      <c r="I87" s="247">
        <f t="shared" si="11"/>
        <v>48000</v>
      </c>
    </row>
    <row r="88" spans="2:9">
      <c r="B88" s="299" t="s">
        <v>102</v>
      </c>
      <c r="C88" s="307"/>
      <c r="D88" s="307"/>
      <c r="E88" s="307"/>
      <c r="F88" s="307"/>
      <c r="G88" s="307"/>
      <c r="H88" s="307"/>
      <c r="I88" s="315">
        <f>SUM(I86:I87)</f>
        <v>1056000</v>
      </c>
    </row>
    <row r="89" spans="2:9" ht="43.2" hidden="1">
      <c r="B89" s="334" t="s">
        <v>19</v>
      </c>
      <c r="C89" s="335" t="s">
        <v>723</v>
      </c>
      <c r="D89" s="335"/>
      <c r="E89" s="339"/>
      <c r="F89" s="340"/>
      <c r="G89" s="340"/>
      <c r="H89" s="335"/>
      <c r="I89" s="335"/>
    </row>
    <row r="90" spans="2:9">
      <c r="B90" s="294" t="s">
        <v>111</v>
      </c>
      <c r="C90" s="316"/>
      <c r="D90" s="316"/>
      <c r="E90" s="316"/>
      <c r="F90" s="316"/>
      <c r="G90" s="316"/>
      <c r="H90" s="316"/>
      <c r="I90" s="304">
        <f>I88</f>
        <v>1056000</v>
      </c>
    </row>
    <row r="91" spans="2:9" ht="15" customHeight="1">
      <c r="B91" s="570" t="s">
        <v>112</v>
      </c>
      <c r="C91" s="565"/>
      <c r="D91" s="221"/>
      <c r="E91" s="221"/>
      <c r="F91" s="264"/>
      <c r="G91" s="264"/>
      <c r="H91" s="264"/>
      <c r="I91" s="264"/>
    </row>
    <row r="92" spans="2:9">
      <c r="B92" s="224" t="s">
        <v>5</v>
      </c>
      <c r="C92" s="225" t="s">
        <v>113</v>
      </c>
      <c r="D92" s="226" t="s">
        <v>7</v>
      </c>
      <c r="E92" s="226" t="s">
        <v>8</v>
      </c>
      <c r="F92" s="227" t="s">
        <v>410</v>
      </c>
      <c r="G92" s="227" t="s">
        <v>408</v>
      </c>
      <c r="H92" s="227" t="s">
        <v>409</v>
      </c>
      <c r="I92" s="228" t="s">
        <v>9</v>
      </c>
    </row>
    <row r="93" spans="2:9" ht="28.8">
      <c r="B93" s="206" t="s">
        <v>12</v>
      </c>
      <c r="C93" s="151" t="s">
        <v>420</v>
      </c>
      <c r="D93" s="67" t="s">
        <v>13</v>
      </c>
      <c r="E93" s="67">
        <v>10</v>
      </c>
      <c r="F93" s="251">
        <f>(2825.54*97%)+2825.54</f>
        <v>5566.3137999999999</v>
      </c>
      <c r="G93" s="249">
        <f>(2942.99*97%)+2942.99</f>
        <v>5797.6902999999993</v>
      </c>
      <c r="H93" s="250">
        <f>(3397*97%)+3397</f>
        <v>6692.09</v>
      </c>
      <c r="I93" s="69">
        <f>F93*E93*2</f>
        <v>111326.276</v>
      </c>
    </row>
    <row r="94" spans="2:9" ht="28.8">
      <c r="B94" s="206" t="s">
        <v>14</v>
      </c>
      <c r="C94" s="151" t="s">
        <v>421</v>
      </c>
      <c r="D94" s="67" t="s">
        <v>13</v>
      </c>
      <c r="E94" s="67">
        <v>10</v>
      </c>
      <c r="F94" s="68">
        <f>(1412*97%)+1412</f>
        <v>2781.64</v>
      </c>
      <c r="G94" s="69">
        <f>(1454*97%)+1454</f>
        <v>2864.38</v>
      </c>
      <c r="H94" s="68">
        <f>(1700*97%)+1700</f>
        <v>3349</v>
      </c>
      <c r="I94" s="69">
        <f>F94*E94*8</f>
        <v>222531.19999999998</v>
      </c>
    </row>
    <row r="95" spans="2:9" ht="43.2">
      <c r="B95" s="206" t="s">
        <v>16</v>
      </c>
      <c r="C95" s="151" t="s">
        <v>521</v>
      </c>
      <c r="D95" s="67" t="s">
        <v>18</v>
      </c>
      <c r="E95" s="67">
        <v>2</v>
      </c>
      <c r="F95" s="68">
        <v>1386</v>
      </c>
      <c r="G95" s="69">
        <v>1549</v>
      </c>
      <c r="H95" s="68">
        <v>1649.9</v>
      </c>
      <c r="I95" s="69">
        <f t="shared" ref="I95:I98" si="12">F95*E95</f>
        <v>2772</v>
      </c>
    </row>
    <row r="96" spans="2:9" ht="28.8">
      <c r="B96" s="206" t="s">
        <v>19</v>
      </c>
      <c r="C96" s="151" t="s">
        <v>462</v>
      </c>
      <c r="D96" s="67" t="s">
        <v>13</v>
      </c>
      <c r="E96" s="67">
        <v>10</v>
      </c>
      <c r="F96" s="68">
        <v>124.99</v>
      </c>
      <c r="G96" s="69">
        <v>142</v>
      </c>
      <c r="H96" s="68">
        <v>159.9</v>
      </c>
      <c r="I96" s="69">
        <f t="shared" si="12"/>
        <v>1249.8999999999999</v>
      </c>
    </row>
    <row r="97" spans="2:9" ht="28.8">
      <c r="B97" s="206" t="s">
        <v>20</v>
      </c>
      <c r="C97" s="151" t="s">
        <v>515</v>
      </c>
      <c r="D97" s="67" t="s">
        <v>15</v>
      </c>
      <c r="E97" s="67">
        <f t="shared" ref="E97:E98" si="13">20*10*10</f>
        <v>2000</v>
      </c>
      <c r="F97" s="68">
        <v>32</v>
      </c>
      <c r="G97" s="69">
        <v>37</v>
      </c>
      <c r="H97" s="68">
        <v>37</v>
      </c>
      <c r="I97" s="69">
        <f t="shared" si="12"/>
        <v>64000</v>
      </c>
    </row>
    <row r="98" spans="2:9" ht="28.8">
      <c r="B98" s="206" t="s">
        <v>21</v>
      </c>
      <c r="C98" s="151" t="s">
        <v>516</v>
      </c>
      <c r="D98" s="67" t="s">
        <v>15</v>
      </c>
      <c r="E98" s="67">
        <f t="shared" si="13"/>
        <v>2000</v>
      </c>
      <c r="F98" s="68">
        <v>8</v>
      </c>
      <c r="G98" s="69">
        <v>8.6</v>
      </c>
      <c r="H98" s="68">
        <v>9</v>
      </c>
      <c r="I98" s="69">
        <f t="shared" si="12"/>
        <v>16000</v>
      </c>
    </row>
    <row r="99" spans="2:9" ht="28.8">
      <c r="B99" s="206" t="s">
        <v>22</v>
      </c>
      <c r="C99" s="151" t="s">
        <v>522</v>
      </c>
      <c r="D99" s="67" t="s">
        <v>13</v>
      </c>
      <c r="E99" s="213">
        <v>10</v>
      </c>
      <c r="F99" s="68">
        <v>7950</v>
      </c>
      <c r="G99" s="68">
        <v>8763.6</v>
      </c>
      <c r="H99" s="102">
        <v>9350</v>
      </c>
      <c r="I99" s="69">
        <f>F99*E99*2</f>
        <v>159000</v>
      </c>
    </row>
    <row r="100" spans="2:9">
      <c r="B100" s="206" t="s">
        <v>23</v>
      </c>
      <c r="C100" s="151" t="s">
        <v>674</v>
      </c>
      <c r="D100" s="67" t="s">
        <v>15</v>
      </c>
      <c r="E100" s="67">
        <v>10</v>
      </c>
      <c r="F100" s="68">
        <v>300</v>
      </c>
      <c r="G100" s="69">
        <v>600</v>
      </c>
      <c r="H100" s="68">
        <v>975</v>
      </c>
      <c r="I100" s="69">
        <f>F100*E100</f>
        <v>3000</v>
      </c>
    </row>
    <row r="101" spans="2:9" ht="28.8">
      <c r="B101" s="206" t="s">
        <v>24</v>
      </c>
      <c r="C101" s="151" t="s">
        <v>672</v>
      </c>
      <c r="D101" s="67" t="s">
        <v>13</v>
      </c>
      <c r="E101" s="67">
        <v>2</v>
      </c>
      <c r="F101" s="68">
        <v>49.9</v>
      </c>
      <c r="G101" s="69">
        <v>60</v>
      </c>
      <c r="H101" s="68">
        <v>65</v>
      </c>
      <c r="I101" s="69">
        <f>F101*E101*2</f>
        <v>199.6</v>
      </c>
    </row>
    <row r="102" spans="2:9">
      <c r="B102" s="206" t="s">
        <v>25</v>
      </c>
      <c r="C102" s="151" t="s">
        <v>673</v>
      </c>
      <c r="D102" s="67" t="s">
        <v>15</v>
      </c>
      <c r="E102" s="213">
        <v>2</v>
      </c>
      <c r="F102" s="68">
        <v>114</v>
      </c>
      <c r="G102" s="69">
        <v>180</v>
      </c>
      <c r="H102" s="68">
        <v>265</v>
      </c>
      <c r="I102" s="69">
        <f t="shared" ref="I102:I159" si="14">F102*E102</f>
        <v>228</v>
      </c>
    </row>
    <row r="103" spans="2:9" ht="28.8">
      <c r="B103" s="206" t="s">
        <v>27</v>
      </c>
      <c r="C103" s="151" t="s">
        <v>523</v>
      </c>
      <c r="D103" s="67" t="s">
        <v>108</v>
      </c>
      <c r="E103" s="67">
        <f>88*4*10*2</f>
        <v>7040</v>
      </c>
      <c r="F103" s="68">
        <v>6.47</v>
      </c>
      <c r="G103" s="69">
        <v>6.48</v>
      </c>
      <c r="H103" s="68">
        <v>6.49</v>
      </c>
      <c r="I103" s="69">
        <f t="shared" si="14"/>
        <v>45548.799999999996</v>
      </c>
    </row>
    <row r="104" spans="2:9" ht="28.8">
      <c r="B104" s="206" t="s">
        <v>28</v>
      </c>
      <c r="C104" s="151" t="s">
        <v>500</v>
      </c>
      <c r="D104" s="67" t="s">
        <v>18</v>
      </c>
      <c r="E104" s="67">
        <v>2</v>
      </c>
      <c r="F104" s="68">
        <v>99.86</v>
      </c>
      <c r="G104" s="69">
        <v>109.49</v>
      </c>
      <c r="H104" s="73">
        <v>211.19</v>
      </c>
      <c r="I104" s="69">
        <f t="shared" si="14"/>
        <v>199.72</v>
      </c>
    </row>
    <row r="105" spans="2:9" ht="28.8">
      <c r="B105" s="206" t="s">
        <v>29</v>
      </c>
      <c r="C105" s="252" t="s">
        <v>681</v>
      </c>
      <c r="D105" s="67" t="s">
        <v>18</v>
      </c>
      <c r="E105" s="67">
        <f t="shared" ref="E105:E106" si="15">5*10</f>
        <v>50</v>
      </c>
      <c r="F105" s="68">
        <v>60</v>
      </c>
      <c r="G105" s="68">
        <v>65</v>
      </c>
      <c r="H105" s="69">
        <v>70</v>
      </c>
      <c r="I105" s="69">
        <f t="shared" si="14"/>
        <v>3000</v>
      </c>
    </row>
    <row r="106" spans="2:9" ht="43.2">
      <c r="B106" s="206" t="s">
        <v>30</v>
      </c>
      <c r="C106" s="253" t="s">
        <v>682</v>
      </c>
      <c r="D106" s="67" t="s">
        <v>18</v>
      </c>
      <c r="E106" s="67">
        <f t="shared" si="15"/>
        <v>50</v>
      </c>
      <c r="F106" s="68">
        <v>25</v>
      </c>
      <c r="G106" s="68">
        <v>40</v>
      </c>
      <c r="H106" s="69">
        <v>43</v>
      </c>
      <c r="I106" s="69">
        <f t="shared" si="14"/>
        <v>1250</v>
      </c>
    </row>
    <row r="107" spans="2:9" ht="28.8">
      <c r="B107" s="206" t="s">
        <v>32</v>
      </c>
      <c r="C107" s="151" t="s">
        <v>690</v>
      </c>
      <c r="D107" s="67" t="s">
        <v>18</v>
      </c>
      <c r="E107" s="67">
        <f>2*1</f>
        <v>2</v>
      </c>
      <c r="F107" s="68">
        <v>122</v>
      </c>
      <c r="G107" s="74">
        <v>170.91</v>
      </c>
      <c r="H107" s="68">
        <v>296.93</v>
      </c>
      <c r="I107" s="69">
        <f t="shared" si="14"/>
        <v>244</v>
      </c>
    </row>
    <row r="108" spans="2:9" ht="28.8">
      <c r="B108" s="206" t="s">
        <v>33</v>
      </c>
      <c r="C108" s="255" t="s">
        <v>689</v>
      </c>
      <c r="D108" s="67" t="s">
        <v>18</v>
      </c>
      <c r="E108" s="67">
        <f>8*1</f>
        <v>8</v>
      </c>
      <c r="F108" s="68">
        <v>77.34</v>
      </c>
      <c r="G108" s="74">
        <v>103.8</v>
      </c>
      <c r="H108" s="70">
        <v>117.95</v>
      </c>
      <c r="I108" s="69">
        <f t="shared" si="14"/>
        <v>618.72</v>
      </c>
    </row>
    <row r="109" spans="2:9" ht="28.8">
      <c r="B109" s="206" t="s">
        <v>34</v>
      </c>
      <c r="C109" s="254" t="s">
        <v>691</v>
      </c>
      <c r="D109" s="67" t="s">
        <v>18</v>
      </c>
      <c r="E109" s="67">
        <f>2*1</f>
        <v>2</v>
      </c>
      <c r="F109" s="68">
        <v>21.8</v>
      </c>
      <c r="G109" s="74">
        <v>36</v>
      </c>
      <c r="H109" s="68">
        <v>46.9</v>
      </c>
      <c r="I109" s="69">
        <f t="shared" si="14"/>
        <v>43.6</v>
      </c>
    </row>
    <row r="110" spans="2:9" ht="28.8">
      <c r="B110" s="206" t="s">
        <v>37</v>
      </c>
      <c r="C110" s="254" t="s">
        <v>692</v>
      </c>
      <c r="D110" s="67" t="s">
        <v>18</v>
      </c>
      <c r="E110" s="67">
        <f>8*1</f>
        <v>8</v>
      </c>
      <c r="F110" s="73">
        <v>22.94</v>
      </c>
      <c r="G110" s="232">
        <v>23.46</v>
      </c>
      <c r="H110" s="73">
        <v>30</v>
      </c>
      <c r="I110" s="69">
        <f t="shared" si="14"/>
        <v>183.52</v>
      </c>
    </row>
    <row r="111" spans="2:9" ht="28.8">
      <c r="B111" s="206" t="s">
        <v>39</v>
      </c>
      <c r="C111" s="254" t="s">
        <v>685</v>
      </c>
      <c r="D111" s="67" t="s">
        <v>18</v>
      </c>
      <c r="E111" s="67">
        <f>10*1</f>
        <v>10</v>
      </c>
      <c r="F111" s="73">
        <v>13.93</v>
      </c>
      <c r="G111" s="74">
        <v>15.71</v>
      </c>
      <c r="H111" s="68">
        <v>49.9</v>
      </c>
      <c r="I111" s="69">
        <f t="shared" si="14"/>
        <v>139.30000000000001</v>
      </c>
    </row>
    <row r="112" spans="2:9" ht="28.8">
      <c r="B112" s="206" t="s">
        <v>40</v>
      </c>
      <c r="C112" s="151" t="s">
        <v>529</v>
      </c>
      <c r="D112" s="67" t="s">
        <v>18</v>
      </c>
      <c r="E112" s="67">
        <f>3*10*10</f>
        <v>300</v>
      </c>
      <c r="F112" s="73">
        <v>12.4</v>
      </c>
      <c r="G112" s="232">
        <v>13.5</v>
      </c>
      <c r="H112" s="68">
        <v>20.260000000000002</v>
      </c>
      <c r="I112" s="69">
        <f t="shared" si="14"/>
        <v>3720</v>
      </c>
    </row>
    <row r="113" spans="2:9">
      <c r="B113" s="206" t="s">
        <v>42</v>
      </c>
      <c r="C113" s="151" t="s">
        <v>530</v>
      </c>
      <c r="D113" s="67" t="s">
        <v>18</v>
      </c>
      <c r="E113" s="67">
        <f>2*10*10</f>
        <v>200</v>
      </c>
      <c r="F113" s="68">
        <v>2.7</v>
      </c>
      <c r="G113" s="68">
        <v>2.75</v>
      </c>
      <c r="H113" s="232">
        <v>2.94</v>
      </c>
      <c r="I113" s="69">
        <f t="shared" si="14"/>
        <v>540</v>
      </c>
    </row>
    <row r="114" spans="2:9" ht="28.8">
      <c r="B114" s="206" t="s">
        <v>44</v>
      </c>
      <c r="C114" s="151" t="s">
        <v>531</v>
      </c>
      <c r="D114" s="67" t="s">
        <v>18</v>
      </c>
      <c r="E114" s="67">
        <f>4*2</f>
        <v>8</v>
      </c>
      <c r="F114" s="68">
        <v>38.700000000000003</v>
      </c>
      <c r="G114" s="69">
        <v>65.64</v>
      </c>
      <c r="H114" s="73">
        <v>176</v>
      </c>
      <c r="I114" s="69">
        <f t="shared" si="14"/>
        <v>309.60000000000002</v>
      </c>
    </row>
    <row r="115" spans="2:9">
      <c r="B115" s="206" t="s">
        <v>46</v>
      </c>
      <c r="C115" s="255" t="s">
        <v>503</v>
      </c>
      <c r="D115" s="67" t="s">
        <v>18</v>
      </c>
      <c r="E115" s="67">
        <v>10</v>
      </c>
      <c r="F115" s="68">
        <v>160</v>
      </c>
      <c r="G115" s="232">
        <v>163</v>
      </c>
      <c r="H115" s="73">
        <v>193.63</v>
      </c>
      <c r="I115" s="69">
        <f t="shared" si="14"/>
        <v>1600</v>
      </c>
    </row>
    <row r="116" spans="2:9" ht="28.8">
      <c r="B116" s="206" t="s">
        <v>48</v>
      </c>
      <c r="C116" s="161" t="s">
        <v>474</v>
      </c>
      <c r="D116" s="67" t="s">
        <v>18</v>
      </c>
      <c r="E116" s="67">
        <v>10</v>
      </c>
      <c r="F116" s="70">
        <v>35</v>
      </c>
      <c r="G116" s="74">
        <v>41.4</v>
      </c>
      <c r="H116" s="68">
        <v>168.26</v>
      </c>
      <c r="I116" s="69">
        <f t="shared" si="14"/>
        <v>350</v>
      </c>
    </row>
    <row r="117" spans="2:9">
      <c r="B117" s="206" t="s">
        <v>49</v>
      </c>
      <c r="C117" s="255" t="s">
        <v>492</v>
      </c>
      <c r="D117" s="67" t="s">
        <v>18</v>
      </c>
      <c r="E117" s="67">
        <v>10</v>
      </c>
      <c r="F117" s="73">
        <v>41.4</v>
      </c>
      <c r="G117" s="69">
        <v>42.23</v>
      </c>
      <c r="H117" s="70">
        <v>50</v>
      </c>
      <c r="I117" s="69">
        <f t="shared" si="14"/>
        <v>414</v>
      </c>
    </row>
    <row r="118" spans="2:9" ht="28.8">
      <c r="B118" s="206" t="s">
        <v>51</v>
      </c>
      <c r="C118" s="151" t="s">
        <v>532</v>
      </c>
      <c r="D118" s="67" t="s">
        <v>18</v>
      </c>
      <c r="E118" s="213">
        <f>2*10</f>
        <v>20</v>
      </c>
      <c r="F118" s="68">
        <v>2.77</v>
      </c>
      <c r="G118" s="74">
        <v>3.75</v>
      </c>
      <c r="H118" s="73">
        <v>3.96</v>
      </c>
      <c r="I118" s="69">
        <f t="shared" si="14"/>
        <v>55.4</v>
      </c>
    </row>
    <row r="119" spans="2:9" ht="28.8">
      <c r="B119" s="206" t="s">
        <v>53</v>
      </c>
      <c r="C119" s="151" t="s">
        <v>533</v>
      </c>
      <c r="D119" s="67" t="s">
        <v>18</v>
      </c>
      <c r="E119" s="67">
        <f t="shared" ref="E119:E122" si="16">2*2</f>
        <v>4</v>
      </c>
      <c r="F119" s="73">
        <v>27.94</v>
      </c>
      <c r="G119" s="232">
        <v>35.5</v>
      </c>
      <c r="H119" s="73">
        <v>36.9</v>
      </c>
      <c r="I119" s="69">
        <f t="shared" si="14"/>
        <v>111.76</v>
      </c>
    </row>
    <row r="120" spans="2:9" ht="28.8">
      <c r="B120" s="206" t="s">
        <v>55</v>
      </c>
      <c r="C120" s="208" t="s">
        <v>534</v>
      </c>
      <c r="D120" s="67" t="s">
        <v>18</v>
      </c>
      <c r="E120" s="67">
        <f t="shared" si="16"/>
        <v>4</v>
      </c>
      <c r="F120" s="73">
        <v>28.55</v>
      </c>
      <c r="G120" s="232">
        <v>28.8</v>
      </c>
      <c r="H120" s="73">
        <v>103.4</v>
      </c>
      <c r="I120" s="69">
        <f t="shared" si="14"/>
        <v>114.2</v>
      </c>
    </row>
    <row r="121" spans="2:9" ht="28.8">
      <c r="B121" s="206" t="s">
        <v>56</v>
      </c>
      <c r="C121" s="255" t="s">
        <v>535</v>
      </c>
      <c r="D121" s="67" t="s">
        <v>18</v>
      </c>
      <c r="E121" s="67">
        <f t="shared" si="16"/>
        <v>4</v>
      </c>
      <c r="F121" s="232">
        <v>286</v>
      </c>
      <c r="G121" s="69">
        <v>484</v>
      </c>
      <c r="H121" s="68">
        <v>572</v>
      </c>
      <c r="I121" s="69">
        <f t="shared" si="14"/>
        <v>1144</v>
      </c>
    </row>
    <row r="122" spans="2:9" ht="28.8">
      <c r="B122" s="206" t="s">
        <v>57</v>
      </c>
      <c r="C122" s="208" t="s">
        <v>507</v>
      </c>
      <c r="D122" s="67" t="s">
        <v>18</v>
      </c>
      <c r="E122" s="67">
        <f t="shared" si="16"/>
        <v>4</v>
      </c>
      <c r="F122" s="70">
        <v>133.01</v>
      </c>
      <c r="G122" s="69">
        <v>157.19999999999999</v>
      </c>
      <c r="H122" s="70">
        <v>175.33</v>
      </c>
      <c r="I122" s="69">
        <f t="shared" si="14"/>
        <v>532.04</v>
      </c>
    </row>
    <row r="123" spans="2:9">
      <c r="B123" s="206" t="s">
        <v>58</v>
      </c>
      <c r="C123" s="255" t="s">
        <v>536</v>
      </c>
      <c r="D123" s="67" t="s">
        <v>18</v>
      </c>
      <c r="E123" s="67">
        <v>2</v>
      </c>
      <c r="F123" s="70">
        <v>73.900000000000006</v>
      </c>
      <c r="G123" s="69">
        <v>76.5</v>
      </c>
      <c r="H123" s="73">
        <v>78.849999999999994</v>
      </c>
      <c r="I123" s="69">
        <f t="shared" si="14"/>
        <v>147.80000000000001</v>
      </c>
    </row>
    <row r="124" spans="2:9" ht="28.8">
      <c r="B124" s="206" t="s">
        <v>59</v>
      </c>
      <c r="C124" s="208" t="s">
        <v>493</v>
      </c>
      <c r="D124" s="67" t="s">
        <v>18</v>
      </c>
      <c r="E124" s="67">
        <v>2</v>
      </c>
      <c r="F124" s="73">
        <v>26.5</v>
      </c>
      <c r="G124" s="69">
        <v>61.9</v>
      </c>
      <c r="H124" s="68">
        <v>83.6</v>
      </c>
      <c r="I124" s="69">
        <f t="shared" si="14"/>
        <v>53</v>
      </c>
    </row>
    <row r="125" spans="2:9" ht="28.8">
      <c r="B125" s="206" t="s">
        <v>60</v>
      </c>
      <c r="C125" s="208" t="s">
        <v>494</v>
      </c>
      <c r="D125" s="67" t="s">
        <v>18</v>
      </c>
      <c r="E125" s="67">
        <f t="shared" ref="E125:E126" si="17">2*2</f>
        <v>4</v>
      </c>
      <c r="F125" s="70">
        <v>27.9</v>
      </c>
      <c r="G125" s="232">
        <v>30</v>
      </c>
      <c r="H125" s="70">
        <v>32.229999999999997</v>
      </c>
      <c r="I125" s="69">
        <f t="shared" si="14"/>
        <v>111.6</v>
      </c>
    </row>
    <row r="126" spans="2:9">
      <c r="B126" s="206" t="s">
        <v>62</v>
      </c>
      <c r="C126" s="268" t="s">
        <v>495</v>
      </c>
      <c r="D126" s="67" t="s">
        <v>18</v>
      </c>
      <c r="E126" s="213">
        <f t="shared" si="17"/>
        <v>4</v>
      </c>
      <c r="F126" s="68">
        <v>157.44</v>
      </c>
      <c r="G126" s="69">
        <v>184.26</v>
      </c>
      <c r="H126" s="68">
        <v>208.95</v>
      </c>
      <c r="I126" s="69">
        <f t="shared" si="14"/>
        <v>629.76</v>
      </c>
    </row>
    <row r="127" spans="2:9">
      <c r="B127" s="206" t="s">
        <v>64</v>
      </c>
      <c r="C127" s="151" t="s">
        <v>496</v>
      </c>
      <c r="D127" s="67" t="s">
        <v>18</v>
      </c>
      <c r="E127" s="213">
        <f>4*2</f>
        <v>8</v>
      </c>
      <c r="F127" s="68">
        <v>33.729999999999997</v>
      </c>
      <c r="G127" s="69">
        <v>43.66</v>
      </c>
      <c r="H127" s="68">
        <v>72</v>
      </c>
      <c r="I127" s="69">
        <f t="shared" si="14"/>
        <v>269.83999999999997</v>
      </c>
    </row>
    <row r="128" spans="2:9" ht="28.8">
      <c r="B128" s="206" t="s">
        <v>66</v>
      </c>
      <c r="C128" s="151" t="s">
        <v>541</v>
      </c>
      <c r="D128" s="67" t="s">
        <v>18</v>
      </c>
      <c r="E128" s="67">
        <v>2</v>
      </c>
      <c r="F128" s="256">
        <v>3200.55</v>
      </c>
      <c r="G128" s="69">
        <v>3309</v>
      </c>
      <c r="H128" s="68">
        <v>3369</v>
      </c>
      <c r="I128" s="69">
        <f t="shared" si="14"/>
        <v>6401.1</v>
      </c>
    </row>
    <row r="129" spans="2:9" ht="28.8">
      <c r="B129" s="206" t="s">
        <v>69</v>
      </c>
      <c r="C129" s="151" t="s">
        <v>509</v>
      </c>
      <c r="D129" s="67" t="s">
        <v>108</v>
      </c>
      <c r="E129" s="67">
        <f>10*4*2*8</f>
        <v>640</v>
      </c>
      <c r="F129" s="256">
        <v>6.08</v>
      </c>
      <c r="G129" s="69">
        <v>6.09</v>
      </c>
      <c r="H129" s="68">
        <v>6.35</v>
      </c>
      <c r="I129" s="69">
        <f t="shared" si="14"/>
        <v>3891.2</v>
      </c>
    </row>
    <row r="130" spans="2:9">
      <c r="B130" s="206" t="s">
        <v>71</v>
      </c>
      <c r="C130" s="151" t="s">
        <v>510</v>
      </c>
      <c r="D130" s="67" t="s">
        <v>108</v>
      </c>
      <c r="E130" s="67">
        <f>20*2</f>
        <v>40</v>
      </c>
      <c r="F130" s="256">
        <v>43.98</v>
      </c>
      <c r="G130" s="69">
        <v>47.42</v>
      </c>
      <c r="H130" s="68">
        <v>47.9</v>
      </c>
      <c r="I130" s="69">
        <f t="shared" si="14"/>
        <v>1759.1999999999998</v>
      </c>
    </row>
    <row r="131" spans="2:9" ht="28.8">
      <c r="B131" s="206" t="s">
        <v>73</v>
      </c>
      <c r="C131" s="151" t="s">
        <v>511</v>
      </c>
      <c r="D131" s="67" t="s">
        <v>109</v>
      </c>
      <c r="E131" s="67">
        <f>10*2</f>
        <v>20</v>
      </c>
      <c r="F131" s="256">
        <v>26.24</v>
      </c>
      <c r="G131" s="69">
        <v>28.33</v>
      </c>
      <c r="H131" s="68">
        <v>31.98</v>
      </c>
      <c r="I131" s="69">
        <f t="shared" si="14"/>
        <v>524.79999999999995</v>
      </c>
    </row>
    <row r="132" spans="2:9">
      <c r="B132" s="206" t="s">
        <v>75</v>
      </c>
      <c r="C132" s="151" t="s">
        <v>537</v>
      </c>
      <c r="D132" s="67" t="s">
        <v>18</v>
      </c>
      <c r="E132" s="67">
        <f>3*8*2</f>
        <v>48</v>
      </c>
      <c r="F132" s="256">
        <v>94.2</v>
      </c>
      <c r="G132" s="69">
        <v>108.06</v>
      </c>
      <c r="H132" s="68">
        <v>114.93</v>
      </c>
      <c r="I132" s="69">
        <f t="shared" si="14"/>
        <v>4521.6000000000004</v>
      </c>
    </row>
    <row r="133" spans="2:9">
      <c r="B133" s="206" t="s">
        <v>77</v>
      </c>
      <c r="C133" s="151" t="s">
        <v>512</v>
      </c>
      <c r="D133" s="67" t="s">
        <v>18</v>
      </c>
      <c r="E133" s="213">
        <f>4*2</f>
        <v>8</v>
      </c>
      <c r="F133" s="68">
        <v>37.47</v>
      </c>
      <c r="G133" s="232">
        <v>43.66</v>
      </c>
      <c r="H133" s="73">
        <v>48</v>
      </c>
      <c r="I133" s="69">
        <f t="shared" si="14"/>
        <v>299.76</v>
      </c>
    </row>
    <row r="134" spans="2:9" ht="28.8">
      <c r="B134" s="206" t="s">
        <v>78</v>
      </c>
      <c r="C134" s="151" t="s">
        <v>538</v>
      </c>
      <c r="D134" s="67" t="s">
        <v>18</v>
      </c>
      <c r="E134" s="67">
        <f>3*8*2</f>
        <v>48</v>
      </c>
      <c r="F134" s="68">
        <v>23.1</v>
      </c>
      <c r="G134" s="232">
        <v>25.52</v>
      </c>
      <c r="H134" s="73">
        <v>29.6</v>
      </c>
      <c r="I134" s="69">
        <f t="shared" si="14"/>
        <v>1108.8000000000002</v>
      </c>
    </row>
    <row r="135" spans="2:9">
      <c r="B135" s="206" t="s">
        <v>79</v>
      </c>
      <c r="C135" s="151" t="s">
        <v>540</v>
      </c>
      <c r="D135" s="67" t="s">
        <v>18</v>
      </c>
      <c r="E135" s="67">
        <f t="shared" ref="E135:E136" si="18">3*2</f>
        <v>6</v>
      </c>
      <c r="F135" s="256">
        <v>54.78</v>
      </c>
      <c r="G135" s="232">
        <v>74.83</v>
      </c>
      <c r="H135" s="73">
        <v>82.7</v>
      </c>
      <c r="I135" s="69">
        <f t="shared" si="14"/>
        <v>328.68</v>
      </c>
    </row>
    <row r="136" spans="2:9">
      <c r="B136" s="206" t="s">
        <v>116</v>
      </c>
      <c r="C136" s="151" t="s">
        <v>539</v>
      </c>
      <c r="D136" s="67" t="s">
        <v>18</v>
      </c>
      <c r="E136" s="67">
        <f t="shared" si="18"/>
        <v>6</v>
      </c>
      <c r="F136" s="68">
        <v>27.82</v>
      </c>
      <c r="G136" s="69">
        <v>32.369999999999997</v>
      </c>
      <c r="H136" s="68">
        <v>33.74</v>
      </c>
      <c r="I136" s="69">
        <f t="shared" si="14"/>
        <v>166.92000000000002</v>
      </c>
    </row>
    <row r="137" spans="2:9" ht="28.8">
      <c r="B137" s="206" t="s">
        <v>118</v>
      </c>
      <c r="C137" s="151" t="s">
        <v>117</v>
      </c>
      <c r="D137" s="67" t="s">
        <v>18</v>
      </c>
      <c r="E137" s="67">
        <f>2*2</f>
        <v>4</v>
      </c>
      <c r="F137" s="68">
        <v>3647.05</v>
      </c>
      <c r="G137" s="69">
        <v>4061.93</v>
      </c>
      <c r="H137" s="68">
        <v>4274.5</v>
      </c>
      <c r="I137" s="69">
        <f t="shared" si="14"/>
        <v>14588.2</v>
      </c>
    </row>
    <row r="138" spans="2:9" ht="28.8">
      <c r="B138" s="206" t="s">
        <v>119</v>
      </c>
      <c r="C138" s="151" t="s">
        <v>542</v>
      </c>
      <c r="D138" s="67" t="s">
        <v>18</v>
      </c>
      <c r="E138" s="67">
        <f>4*2</f>
        <v>8</v>
      </c>
      <c r="F138" s="68">
        <v>1123.6400000000001</v>
      </c>
      <c r="G138" s="69">
        <v>1285.6300000000001</v>
      </c>
      <c r="H138" s="68">
        <v>1502.31</v>
      </c>
      <c r="I138" s="69">
        <f t="shared" si="14"/>
        <v>8989.1200000000008</v>
      </c>
    </row>
    <row r="139" spans="2:9" ht="28.8">
      <c r="B139" s="206" t="s">
        <v>120</v>
      </c>
      <c r="C139" s="151" t="s">
        <v>543</v>
      </c>
      <c r="D139" s="67" t="s">
        <v>18</v>
      </c>
      <c r="E139" s="67">
        <f>8*2</f>
        <v>16</v>
      </c>
      <c r="F139" s="256">
        <v>456.51</v>
      </c>
      <c r="G139" s="69">
        <v>465</v>
      </c>
      <c r="H139" s="68">
        <v>480.54</v>
      </c>
      <c r="I139" s="69">
        <f t="shared" si="14"/>
        <v>7304.16</v>
      </c>
    </row>
    <row r="140" spans="2:9" ht="28.8">
      <c r="B140" s="206" t="s">
        <v>121</v>
      </c>
      <c r="C140" s="151" t="s">
        <v>544</v>
      </c>
      <c r="D140" s="67" t="s">
        <v>18</v>
      </c>
      <c r="E140" s="213">
        <v>1</v>
      </c>
      <c r="F140" s="68">
        <v>822.41</v>
      </c>
      <c r="G140" s="69">
        <v>835.91</v>
      </c>
      <c r="H140" s="68">
        <v>852.9</v>
      </c>
      <c r="I140" s="69">
        <f t="shared" si="14"/>
        <v>822.41</v>
      </c>
    </row>
    <row r="141" spans="2:9">
      <c r="B141" s="206" t="s">
        <v>122</v>
      </c>
      <c r="C141" s="151" t="s">
        <v>513</v>
      </c>
      <c r="D141" s="67" t="s">
        <v>68</v>
      </c>
      <c r="E141" s="213">
        <v>4</v>
      </c>
      <c r="F141" s="73">
        <v>204</v>
      </c>
      <c r="G141" s="232">
        <v>255</v>
      </c>
      <c r="H141" s="73">
        <v>280</v>
      </c>
      <c r="I141" s="69">
        <f t="shared" si="14"/>
        <v>816</v>
      </c>
    </row>
    <row r="142" spans="2:9" ht="28.8">
      <c r="B142" s="206" t="s">
        <v>123</v>
      </c>
      <c r="C142" s="151" t="s">
        <v>623</v>
      </c>
      <c r="D142" s="67" t="s">
        <v>18</v>
      </c>
      <c r="E142" s="67">
        <f>1*8</f>
        <v>8</v>
      </c>
      <c r="F142" s="68">
        <v>49</v>
      </c>
      <c r="G142" s="69">
        <v>64</v>
      </c>
      <c r="H142" s="68">
        <v>80</v>
      </c>
      <c r="I142" s="69">
        <f t="shared" si="14"/>
        <v>392</v>
      </c>
    </row>
    <row r="143" spans="2:9" ht="28.8">
      <c r="B143" s="206" t="s">
        <v>124</v>
      </c>
      <c r="C143" s="161" t="s">
        <v>546</v>
      </c>
      <c r="D143" s="67" t="s">
        <v>18</v>
      </c>
      <c r="E143" s="67">
        <v>4</v>
      </c>
      <c r="F143" s="70">
        <v>46.6</v>
      </c>
      <c r="G143" s="69">
        <v>62</v>
      </c>
      <c r="H143" s="68">
        <v>95.25</v>
      </c>
      <c r="I143" s="69">
        <f t="shared" si="14"/>
        <v>186.4</v>
      </c>
    </row>
    <row r="144" spans="2:9" ht="28.8">
      <c r="B144" s="206" t="s">
        <v>125</v>
      </c>
      <c r="C144" s="161" t="s">
        <v>547</v>
      </c>
      <c r="D144" s="67" t="s">
        <v>18</v>
      </c>
      <c r="E144" s="67">
        <f>8*2</f>
        <v>16</v>
      </c>
      <c r="F144" s="68">
        <v>103.2</v>
      </c>
      <c r="G144" s="74">
        <v>129</v>
      </c>
      <c r="H144" s="68">
        <v>167.81</v>
      </c>
      <c r="I144" s="69">
        <f t="shared" si="14"/>
        <v>1651.2</v>
      </c>
    </row>
    <row r="145" spans="2:9" ht="28.8">
      <c r="B145" s="206" t="s">
        <v>126</v>
      </c>
      <c r="C145" s="161" t="s">
        <v>548</v>
      </c>
      <c r="D145" s="67" t="s">
        <v>18</v>
      </c>
      <c r="E145" s="67">
        <f>2*2</f>
        <v>4</v>
      </c>
      <c r="F145" s="68">
        <v>37.6</v>
      </c>
      <c r="G145" s="69">
        <v>54</v>
      </c>
      <c r="H145" s="68">
        <v>59.6</v>
      </c>
      <c r="I145" s="69">
        <f t="shared" si="14"/>
        <v>150.4</v>
      </c>
    </row>
    <row r="146" spans="2:9" ht="28.8">
      <c r="B146" s="206" t="s">
        <v>127</v>
      </c>
      <c r="C146" s="161" t="s">
        <v>549</v>
      </c>
      <c r="D146" s="67" t="s">
        <v>18</v>
      </c>
      <c r="E146" s="67">
        <v>8</v>
      </c>
      <c r="F146" s="68">
        <v>29.6</v>
      </c>
      <c r="G146" s="74">
        <v>53.7</v>
      </c>
      <c r="H146" s="68">
        <v>61.28</v>
      </c>
      <c r="I146" s="69">
        <f t="shared" si="14"/>
        <v>236.8</v>
      </c>
    </row>
    <row r="147" spans="2:9" ht="28.8">
      <c r="B147" s="206" t="s">
        <v>128</v>
      </c>
      <c r="C147" s="161" t="s">
        <v>550</v>
      </c>
      <c r="D147" s="67" t="s">
        <v>18</v>
      </c>
      <c r="E147" s="67">
        <v>8</v>
      </c>
      <c r="F147" s="68">
        <v>36</v>
      </c>
      <c r="G147" s="69">
        <v>50.6</v>
      </c>
      <c r="H147" s="68">
        <v>54.6</v>
      </c>
      <c r="I147" s="69">
        <f t="shared" si="14"/>
        <v>288</v>
      </c>
    </row>
    <row r="148" spans="2:9">
      <c r="B148" s="206" t="s">
        <v>129</v>
      </c>
      <c r="C148" s="161" t="s">
        <v>551</v>
      </c>
      <c r="D148" s="67" t="s">
        <v>18</v>
      </c>
      <c r="E148" s="67">
        <v>4</v>
      </c>
      <c r="F148" s="68">
        <v>45.39</v>
      </c>
      <c r="G148" s="232">
        <v>49.8</v>
      </c>
      <c r="H148" s="73">
        <v>84.64</v>
      </c>
      <c r="I148" s="69">
        <f t="shared" si="14"/>
        <v>181.56</v>
      </c>
    </row>
    <row r="149" spans="2:9" ht="28.8">
      <c r="B149" s="206" t="s">
        <v>130</v>
      </c>
      <c r="C149" s="161" t="s">
        <v>552</v>
      </c>
      <c r="D149" s="67" t="s">
        <v>18</v>
      </c>
      <c r="E149" s="67">
        <v>8</v>
      </c>
      <c r="F149" s="68">
        <v>140.54</v>
      </c>
      <c r="G149" s="232">
        <v>186.8</v>
      </c>
      <c r="H149" s="73">
        <v>341.8</v>
      </c>
      <c r="I149" s="69">
        <f t="shared" si="14"/>
        <v>1124.32</v>
      </c>
    </row>
    <row r="150" spans="2:9" ht="28.8">
      <c r="B150" s="206" t="s">
        <v>131</v>
      </c>
      <c r="C150" s="161" t="s">
        <v>553</v>
      </c>
      <c r="D150" s="67" t="s">
        <v>18</v>
      </c>
      <c r="E150" s="67">
        <v>8</v>
      </c>
      <c r="F150" s="256">
        <v>5.38</v>
      </c>
      <c r="G150" s="232">
        <v>5.65</v>
      </c>
      <c r="H150" s="73">
        <v>12.6</v>
      </c>
      <c r="I150" s="69">
        <f t="shared" si="14"/>
        <v>43.04</v>
      </c>
    </row>
    <row r="151" spans="2:9" ht="43.2">
      <c r="B151" s="206" t="s">
        <v>132</v>
      </c>
      <c r="C151" s="161" t="s">
        <v>562</v>
      </c>
      <c r="D151" s="67" t="s">
        <v>18</v>
      </c>
      <c r="E151" s="67">
        <v>1</v>
      </c>
      <c r="F151" s="68">
        <v>800</v>
      </c>
      <c r="G151" s="69"/>
      <c r="H151" s="68"/>
      <c r="I151" s="69">
        <f t="shared" si="14"/>
        <v>800</v>
      </c>
    </row>
    <row r="152" spans="2:9" ht="28.8">
      <c r="B152" s="206" t="s">
        <v>133</v>
      </c>
      <c r="C152" s="161" t="s">
        <v>554</v>
      </c>
      <c r="D152" s="75" t="s">
        <v>18</v>
      </c>
      <c r="E152" s="67">
        <v>10</v>
      </c>
      <c r="F152" s="68">
        <v>120</v>
      </c>
      <c r="G152" s="69">
        <v>150</v>
      </c>
      <c r="H152" s="68">
        <v>156</v>
      </c>
      <c r="I152" s="69">
        <f t="shared" si="14"/>
        <v>1200</v>
      </c>
    </row>
    <row r="153" spans="2:9" ht="28.8">
      <c r="B153" s="206" t="s">
        <v>134</v>
      </c>
      <c r="C153" s="271" t="s">
        <v>555</v>
      </c>
      <c r="D153" s="75" t="s">
        <v>18</v>
      </c>
      <c r="E153" s="67">
        <v>10</v>
      </c>
      <c r="F153" s="68">
        <v>118</v>
      </c>
      <c r="G153" s="69">
        <v>147.5</v>
      </c>
      <c r="H153" s="68">
        <v>171.1</v>
      </c>
      <c r="I153" s="69">
        <f t="shared" si="14"/>
        <v>1180</v>
      </c>
    </row>
    <row r="154" spans="2:9">
      <c r="B154" s="206" t="s">
        <v>135</v>
      </c>
      <c r="C154" s="272" t="s">
        <v>556</v>
      </c>
      <c r="D154" s="75" t="s">
        <v>18</v>
      </c>
      <c r="E154" s="67">
        <v>2</v>
      </c>
      <c r="F154" s="68">
        <v>300</v>
      </c>
      <c r="G154" s="69">
        <v>375</v>
      </c>
      <c r="H154" s="68">
        <v>435</v>
      </c>
      <c r="I154" s="69">
        <f t="shared" si="14"/>
        <v>600</v>
      </c>
    </row>
    <row r="155" spans="2:9" ht="28.8">
      <c r="B155" s="206" t="s">
        <v>136</v>
      </c>
      <c r="C155" s="161" t="s">
        <v>557</v>
      </c>
      <c r="D155" s="75" t="s">
        <v>18</v>
      </c>
      <c r="E155" s="67">
        <v>2</v>
      </c>
      <c r="F155" s="68">
        <v>1000</v>
      </c>
      <c r="G155" s="69">
        <v>1250</v>
      </c>
      <c r="H155" s="68">
        <v>1300</v>
      </c>
      <c r="I155" s="69">
        <f t="shared" si="14"/>
        <v>2000</v>
      </c>
    </row>
    <row r="156" spans="2:9" ht="28.8">
      <c r="B156" s="206" t="s">
        <v>137</v>
      </c>
      <c r="C156" s="151" t="s">
        <v>558</v>
      </c>
      <c r="D156" s="67" t="s">
        <v>18</v>
      </c>
      <c r="E156" s="67">
        <f>340*20</f>
        <v>6800</v>
      </c>
      <c r="F156" s="68">
        <v>28</v>
      </c>
      <c r="G156" s="69">
        <v>44</v>
      </c>
      <c r="H156" s="68">
        <v>44</v>
      </c>
      <c r="I156" s="69">
        <f t="shared" si="14"/>
        <v>190400</v>
      </c>
    </row>
    <row r="157" spans="2:9" ht="28.8">
      <c r="B157" s="206" t="s">
        <v>732</v>
      </c>
      <c r="C157" s="151" t="s">
        <v>559</v>
      </c>
      <c r="D157" s="67" t="s">
        <v>103</v>
      </c>
      <c r="E157" s="67">
        <f>18*20</f>
        <v>360</v>
      </c>
      <c r="F157" s="68">
        <v>400</v>
      </c>
      <c r="G157" s="69">
        <v>553.34</v>
      </c>
      <c r="H157" s="68">
        <v>553.34</v>
      </c>
      <c r="I157" s="69">
        <f t="shared" si="14"/>
        <v>144000</v>
      </c>
    </row>
    <row r="158" spans="2:9" ht="28.8">
      <c r="B158" s="206" t="s">
        <v>733</v>
      </c>
      <c r="C158" s="151" t="s">
        <v>560</v>
      </c>
      <c r="D158" s="67" t="s">
        <v>138</v>
      </c>
      <c r="E158" s="67">
        <f>17*20</f>
        <v>340</v>
      </c>
      <c r="F158" s="68">
        <v>20</v>
      </c>
      <c r="G158" s="69">
        <v>42.9</v>
      </c>
      <c r="H158" s="68">
        <v>42.92</v>
      </c>
      <c r="I158" s="69">
        <f t="shared" si="14"/>
        <v>6800</v>
      </c>
    </row>
    <row r="159" spans="2:9" ht="28.8">
      <c r="B159" s="206" t="s">
        <v>734</v>
      </c>
      <c r="C159" s="151" t="s">
        <v>561</v>
      </c>
      <c r="D159" s="67" t="s">
        <v>18</v>
      </c>
      <c r="E159" s="67">
        <f>2*20</f>
        <v>40</v>
      </c>
      <c r="F159" s="68">
        <v>251.5</v>
      </c>
      <c r="G159" s="69">
        <v>251.5</v>
      </c>
      <c r="H159" s="68">
        <v>326.95</v>
      </c>
      <c r="I159" s="69">
        <f t="shared" si="14"/>
        <v>10060</v>
      </c>
    </row>
    <row r="160" spans="2:9">
      <c r="B160" s="571" t="s">
        <v>139</v>
      </c>
      <c r="C160" s="572"/>
      <c r="D160" s="307"/>
      <c r="E160" s="307"/>
      <c r="F160" s="307"/>
      <c r="G160" s="307"/>
      <c r="H160" s="307"/>
      <c r="I160" s="344">
        <f>SUM(I93:I159)</f>
        <v>1054453.3060000001</v>
      </c>
    </row>
    <row r="161" spans="1:18" s="56" customFormat="1">
      <c r="A161" s="114"/>
      <c r="B161" s="224" t="s">
        <v>80</v>
      </c>
      <c r="C161" s="225" t="s">
        <v>395</v>
      </c>
      <c r="D161" s="226" t="s">
        <v>7</v>
      </c>
      <c r="E161" s="226" t="s">
        <v>8</v>
      </c>
      <c r="F161" s="227" t="s">
        <v>410</v>
      </c>
      <c r="G161" s="227" t="s">
        <v>408</v>
      </c>
      <c r="H161" s="227" t="s">
        <v>409</v>
      </c>
      <c r="I161" s="341" t="s">
        <v>9</v>
      </c>
      <c r="J161" s="273"/>
      <c r="K161" s="273"/>
      <c r="L161"/>
      <c r="M161"/>
      <c r="N161"/>
      <c r="O161"/>
      <c r="P161"/>
      <c r="Q161"/>
      <c r="R161"/>
    </row>
    <row r="162" spans="1:18" s="56" customFormat="1" ht="43.2">
      <c r="A162" s="114"/>
      <c r="B162" s="206" t="s">
        <v>81</v>
      </c>
      <c r="C162" s="151" t="s">
        <v>423</v>
      </c>
      <c r="D162" s="67" t="s">
        <v>13</v>
      </c>
      <c r="E162" s="67">
        <v>16</v>
      </c>
      <c r="F162" s="68">
        <f>(3643*97%)+3643</f>
        <v>7176.71</v>
      </c>
      <c r="G162" s="69">
        <f>(5000*97%)+5000</f>
        <v>9850</v>
      </c>
      <c r="H162" s="68">
        <f>(5801*97%)+5801</f>
        <v>11427.970000000001</v>
      </c>
      <c r="I162" s="69">
        <f>F162*E162</f>
        <v>114827.36</v>
      </c>
      <c r="J162" s="273"/>
      <c r="K162" s="273"/>
      <c r="L162"/>
      <c r="M162"/>
      <c r="N162"/>
      <c r="O162"/>
      <c r="P162"/>
      <c r="Q162"/>
      <c r="R162"/>
    </row>
    <row r="163" spans="1:18" s="56" customFormat="1" ht="28.8">
      <c r="A163" s="114"/>
      <c r="B163" s="206" t="s">
        <v>83</v>
      </c>
      <c r="C163" s="151" t="s">
        <v>416</v>
      </c>
      <c r="D163" s="67" t="s">
        <v>13</v>
      </c>
      <c r="E163" s="67">
        <v>15</v>
      </c>
      <c r="F163" s="251">
        <f>(2825.54*97%)+2825.54</f>
        <v>5566.3137999999999</v>
      </c>
      <c r="G163" s="249">
        <f>(2942.99*97%)+2942.99</f>
        <v>5797.6902999999993</v>
      </c>
      <c r="H163" s="250">
        <f>(3397*97%)+3397</f>
        <v>6692.09</v>
      </c>
      <c r="I163" s="69">
        <f>F163*E163*2</f>
        <v>166989.41399999999</v>
      </c>
      <c r="J163" s="273"/>
      <c r="K163" s="273"/>
      <c r="L163"/>
      <c r="M163"/>
      <c r="N163"/>
      <c r="O163"/>
      <c r="P163"/>
      <c r="Q163"/>
      <c r="R163"/>
    </row>
    <row r="164" spans="1:18" s="56" customFormat="1" ht="28.8">
      <c r="A164" s="114"/>
      <c r="B164" s="206" t="s">
        <v>84</v>
      </c>
      <c r="C164" s="151" t="s">
        <v>220</v>
      </c>
      <c r="D164" s="67" t="s">
        <v>13</v>
      </c>
      <c r="E164" s="67">
        <v>15</v>
      </c>
      <c r="F164" s="343">
        <f>(1992.99+97%)+1992.99</f>
        <v>3986.95</v>
      </c>
      <c r="G164" s="258">
        <f>(2143*97%)+2143</f>
        <v>4221.71</v>
      </c>
      <c r="H164" s="72">
        <f>(3071-97%)+3071</f>
        <v>6141.0300000000007</v>
      </c>
      <c r="I164" s="69">
        <f t="shared" ref="I164" si="19">F164*E164*2</f>
        <v>119608.5</v>
      </c>
      <c r="J164" s="273"/>
      <c r="K164" s="273"/>
      <c r="L164"/>
      <c r="M164"/>
      <c r="N164"/>
      <c r="O164"/>
      <c r="P164"/>
      <c r="Q164"/>
      <c r="R164"/>
    </row>
    <row r="165" spans="1:18" s="56" customFormat="1" ht="28.8">
      <c r="A165" s="114"/>
      <c r="B165" s="206" t="s">
        <v>85</v>
      </c>
      <c r="C165" s="151" t="s">
        <v>422</v>
      </c>
      <c r="D165" s="67" t="s">
        <v>13</v>
      </c>
      <c r="E165" s="67">
        <v>15</v>
      </c>
      <c r="F165" s="68">
        <f>(1412*97%)+1412</f>
        <v>2781.64</v>
      </c>
      <c r="G165" s="69">
        <f>(1454*97%)+1454</f>
        <v>2864.38</v>
      </c>
      <c r="H165" s="68">
        <f>(1700*97%)+1700</f>
        <v>3349</v>
      </c>
      <c r="I165" s="69">
        <f>F165*E165*24</f>
        <v>1001390.3999999999</v>
      </c>
      <c r="J165" s="273"/>
      <c r="K165" s="273"/>
      <c r="L165"/>
      <c r="M165"/>
      <c r="N165"/>
      <c r="O165"/>
      <c r="P165"/>
      <c r="Q165"/>
      <c r="R165"/>
    </row>
    <row r="166" spans="1:18" s="56" customFormat="1" ht="28.8">
      <c r="A166" s="114"/>
      <c r="B166" s="206" t="s">
        <v>86</v>
      </c>
      <c r="C166" s="151" t="s">
        <v>563</v>
      </c>
      <c r="D166" s="67" t="s">
        <v>15</v>
      </c>
      <c r="E166" s="67">
        <f>20*1*16</f>
        <v>320</v>
      </c>
      <c r="F166" s="229">
        <v>250</v>
      </c>
      <c r="G166" s="69">
        <v>450</v>
      </c>
      <c r="H166" s="68">
        <v>581</v>
      </c>
      <c r="I166" s="69">
        <f t="shared" ref="I166:I175" si="20">F166*E166</f>
        <v>80000</v>
      </c>
      <c r="J166" s="273"/>
      <c r="K166" s="273"/>
      <c r="L166"/>
      <c r="M166"/>
      <c r="N166"/>
      <c r="O166"/>
      <c r="P166"/>
      <c r="Q166"/>
      <c r="R166"/>
    </row>
    <row r="167" spans="1:18" s="56" customFormat="1" ht="28.8">
      <c r="A167" s="114"/>
      <c r="B167" s="206" t="s">
        <v>87</v>
      </c>
      <c r="C167" s="151" t="s">
        <v>515</v>
      </c>
      <c r="D167" s="67" t="s">
        <v>15</v>
      </c>
      <c r="E167" s="67">
        <f t="shared" ref="E167:E168" si="21">28*20*15</f>
        <v>8400</v>
      </c>
      <c r="F167" s="311">
        <v>32</v>
      </c>
      <c r="G167" s="312">
        <v>32</v>
      </c>
      <c r="H167" s="311">
        <v>35</v>
      </c>
      <c r="I167" s="69">
        <f t="shared" si="20"/>
        <v>268800</v>
      </c>
      <c r="J167" s="273"/>
      <c r="K167" s="273"/>
      <c r="L167"/>
      <c r="M167"/>
      <c r="N167"/>
      <c r="O167"/>
      <c r="P167"/>
      <c r="Q167"/>
      <c r="R167"/>
    </row>
    <row r="168" spans="1:18" s="56" customFormat="1" ht="28.8">
      <c r="A168" s="114"/>
      <c r="B168" s="206" t="s">
        <v>88</v>
      </c>
      <c r="C168" s="151" t="s">
        <v>574</v>
      </c>
      <c r="D168" s="67" t="s">
        <v>15</v>
      </c>
      <c r="E168" s="67">
        <f t="shared" si="21"/>
        <v>8400</v>
      </c>
      <c r="F168" s="68">
        <v>8</v>
      </c>
      <c r="G168" s="69">
        <v>8.6</v>
      </c>
      <c r="H168" s="68">
        <v>9</v>
      </c>
      <c r="I168" s="69">
        <f t="shared" si="20"/>
        <v>67200</v>
      </c>
      <c r="J168" s="273"/>
      <c r="K168" s="273"/>
      <c r="L168"/>
      <c r="M168"/>
      <c r="N168"/>
      <c r="O168"/>
      <c r="P168"/>
      <c r="Q168"/>
      <c r="R168"/>
    </row>
    <row r="169" spans="1:18" s="56" customFormat="1" ht="57.6">
      <c r="A169" s="114"/>
      <c r="B169" s="206" t="s">
        <v>89</v>
      </c>
      <c r="C169" s="151" t="s">
        <v>564</v>
      </c>
      <c r="D169" s="67" t="s">
        <v>18</v>
      </c>
      <c r="E169" s="67">
        <v>1</v>
      </c>
      <c r="F169" s="68">
        <v>4149</v>
      </c>
      <c r="G169" s="69">
        <v>5299</v>
      </c>
      <c r="H169" s="70">
        <v>5919</v>
      </c>
      <c r="I169" s="69">
        <f t="shared" si="20"/>
        <v>4149</v>
      </c>
      <c r="J169" s="273"/>
      <c r="K169" s="273"/>
      <c r="L169"/>
      <c r="M169"/>
      <c r="N169"/>
      <c r="O169"/>
      <c r="P169"/>
      <c r="Q169"/>
      <c r="R169"/>
    </row>
    <row r="170" spans="1:18" s="56" customFormat="1" ht="28.8">
      <c r="A170" s="114"/>
      <c r="B170" s="206" t="s">
        <v>91</v>
      </c>
      <c r="C170" s="230" t="s">
        <v>565</v>
      </c>
      <c r="D170" s="67" t="s">
        <v>18</v>
      </c>
      <c r="E170" s="67">
        <v>3</v>
      </c>
      <c r="F170" s="68">
        <v>1849</v>
      </c>
      <c r="G170" s="69">
        <v>2199</v>
      </c>
      <c r="H170" s="68">
        <v>2919</v>
      </c>
      <c r="I170" s="69">
        <f t="shared" si="20"/>
        <v>5547</v>
      </c>
      <c r="J170" s="273"/>
      <c r="K170" s="273"/>
      <c r="L170"/>
      <c r="M170"/>
      <c r="N170"/>
      <c r="O170"/>
      <c r="P170"/>
      <c r="Q170"/>
      <c r="R170"/>
    </row>
    <row r="171" spans="1:18" ht="57.6">
      <c r="B171" s="206" t="s">
        <v>92</v>
      </c>
      <c r="C171" s="151" t="s">
        <v>566</v>
      </c>
      <c r="D171" s="67" t="s">
        <v>18</v>
      </c>
      <c r="E171" s="67">
        <v>3</v>
      </c>
      <c r="F171" s="73">
        <v>1849.77</v>
      </c>
      <c r="G171" s="232">
        <v>2891</v>
      </c>
      <c r="H171" s="68">
        <v>3199</v>
      </c>
      <c r="I171" s="69">
        <f t="shared" si="20"/>
        <v>5549.3099999999995</v>
      </c>
    </row>
    <row r="172" spans="1:18" ht="28.8">
      <c r="B172" s="206" t="s">
        <v>93</v>
      </c>
      <c r="C172" s="151" t="s">
        <v>567</v>
      </c>
      <c r="D172" s="67" t="s">
        <v>18</v>
      </c>
      <c r="E172" s="67">
        <v>3</v>
      </c>
      <c r="F172" s="70">
        <v>169.9</v>
      </c>
      <c r="G172" s="69">
        <v>189</v>
      </c>
      <c r="H172" s="68">
        <v>197.59</v>
      </c>
      <c r="I172" s="69">
        <f t="shared" si="20"/>
        <v>509.70000000000005</v>
      </c>
    </row>
    <row r="173" spans="1:18" ht="57.6">
      <c r="B173" s="206" t="s">
        <v>94</v>
      </c>
      <c r="C173" s="151" t="s">
        <v>693</v>
      </c>
      <c r="D173" s="67" t="s">
        <v>18</v>
      </c>
      <c r="E173" s="67">
        <v>5</v>
      </c>
      <c r="F173" s="73">
        <v>1386</v>
      </c>
      <c r="G173" s="69">
        <v>1549</v>
      </c>
      <c r="H173" s="68">
        <v>1649.9</v>
      </c>
      <c r="I173" s="69">
        <f t="shared" si="20"/>
        <v>6930</v>
      </c>
    </row>
    <row r="174" spans="1:18" ht="28.8">
      <c r="B174" s="206" t="s">
        <v>95</v>
      </c>
      <c r="C174" s="151" t="s">
        <v>462</v>
      </c>
      <c r="D174" s="67" t="s">
        <v>13</v>
      </c>
      <c r="E174" s="67">
        <v>15</v>
      </c>
      <c r="F174" s="68">
        <v>124.99</v>
      </c>
      <c r="G174" s="69">
        <v>142</v>
      </c>
      <c r="H174" s="103">
        <v>159.99</v>
      </c>
      <c r="I174" s="69">
        <f t="shared" si="20"/>
        <v>1874.85</v>
      </c>
    </row>
    <row r="175" spans="1:18" ht="43.2">
      <c r="B175" s="206" t="s">
        <v>97</v>
      </c>
      <c r="C175" s="151" t="s">
        <v>575</v>
      </c>
      <c r="D175" s="67" t="s">
        <v>18</v>
      </c>
      <c r="E175" s="67">
        <v>24</v>
      </c>
      <c r="F175" s="68">
        <v>125.75</v>
      </c>
      <c r="G175" s="69">
        <v>150.72999999999999</v>
      </c>
      <c r="H175" s="103">
        <v>179.39</v>
      </c>
      <c r="I175" s="69">
        <f t="shared" si="20"/>
        <v>3018</v>
      </c>
    </row>
    <row r="176" spans="1:18" ht="28.8">
      <c r="B176" s="206" t="s">
        <v>98</v>
      </c>
      <c r="C176" s="151" t="s">
        <v>694</v>
      </c>
      <c r="D176" s="67" t="s">
        <v>13</v>
      </c>
      <c r="E176" s="67">
        <v>15</v>
      </c>
      <c r="F176" s="68">
        <v>7950</v>
      </c>
      <c r="G176" s="68">
        <v>8763.6</v>
      </c>
      <c r="H176" s="102">
        <v>9350</v>
      </c>
      <c r="I176" s="69">
        <f>F176*E176*2</f>
        <v>238500</v>
      </c>
    </row>
    <row r="177" spans="2:9" ht="28.8">
      <c r="B177" s="206" t="s">
        <v>99</v>
      </c>
      <c r="C177" s="151" t="s">
        <v>695</v>
      </c>
      <c r="D177" s="67" t="s">
        <v>13</v>
      </c>
      <c r="E177" s="67">
        <v>16</v>
      </c>
      <c r="F177" s="68">
        <v>2850</v>
      </c>
      <c r="G177" s="69">
        <v>3768</v>
      </c>
      <c r="H177" s="69">
        <v>5367.02</v>
      </c>
      <c r="I177" s="69">
        <f t="shared" ref="I177:I179" si="22">F177*E177</f>
        <v>45600</v>
      </c>
    </row>
    <row r="178" spans="2:9" ht="28.8">
      <c r="B178" s="206" t="s">
        <v>140</v>
      </c>
      <c r="C178" s="151" t="s">
        <v>578</v>
      </c>
      <c r="D178" s="67" t="s">
        <v>15</v>
      </c>
      <c r="E178" s="67">
        <v>3</v>
      </c>
      <c r="F178" s="70">
        <v>300</v>
      </c>
      <c r="G178" s="74">
        <v>600</v>
      </c>
      <c r="H178" s="70">
        <v>975</v>
      </c>
      <c r="I178" s="69">
        <f t="shared" si="22"/>
        <v>900</v>
      </c>
    </row>
    <row r="179" spans="2:9" ht="28.8">
      <c r="B179" s="206" t="s">
        <v>141</v>
      </c>
      <c r="C179" s="151" t="s">
        <v>579</v>
      </c>
      <c r="D179" s="67" t="s">
        <v>15</v>
      </c>
      <c r="E179" s="67">
        <v>3</v>
      </c>
      <c r="F179" s="68">
        <v>144.9</v>
      </c>
      <c r="G179" s="69">
        <v>0</v>
      </c>
      <c r="H179" s="68">
        <v>265</v>
      </c>
      <c r="I179" s="69">
        <f t="shared" si="22"/>
        <v>434.70000000000005</v>
      </c>
    </row>
    <row r="180" spans="2:9" ht="28.8">
      <c r="B180" s="206" t="s">
        <v>142</v>
      </c>
      <c r="C180" s="151" t="s">
        <v>464</v>
      </c>
      <c r="D180" s="67" t="s">
        <v>13</v>
      </c>
      <c r="E180" s="67">
        <v>16</v>
      </c>
      <c r="F180" s="68">
        <v>49.9</v>
      </c>
      <c r="G180" s="74">
        <v>60</v>
      </c>
      <c r="H180" s="68">
        <v>65.900000000000006</v>
      </c>
      <c r="I180" s="69">
        <f>F180*E180</f>
        <v>798.4</v>
      </c>
    </row>
    <row r="181" spans="2:9" ht="28.8">
      <c r="B181" s="206" t="s">
        <v>142</v>
      </c>
      <c r="C181" s="151" t="s">
        <v>464</v>
      </c>
      <c r="D181" s="67" t="s">
        <v>13</v>
      </c>
      <c r="E181" s="67">
        <v>15</v>
      </c>
      <c r="F181" s="68">
        <v>49.9</v>
      </c>
      <c r="G181" s="74">
        <v>60</v>
      </c>
      <c r="H181" s="68">
        <v>65.900000000000006</v>
      </c>
      <c r="I181" s="69">
        <f>F181*E181*2</f>
        <v>1497</v>
      </c>
    </row>
    <row r="182" spans="2:9" ht="28.8">
      <c r="B182" s="206" t="s">
        <v>143</v>
      </c>
      <c r="C182" s="151" t="s">
        <v>580</v>
      </c>
      <c r="D182" s="67" t="s">
        <v>108</v>
      </c>
      <c r="E182" s="67">
        <f>55*4*16</f>
        <v>3520</v>
      </c>
      <c r="F182" s="68">
        <v>6.08</v>
      </c>
      <c r="G182" s="74">
        <v>6.09</v>
      </c>
      <c r="H182" s="103">
        <v>6.35</v>
      </c>
      <c r="I182" s="69">
        <f t="shared" ref="I182:I184" si="23">F182*E182</f>
        <v>21401.599999999999</v>
      </c>
    </row>
    <row r="183" spans="2:9" ht="28.8">
      <c r="B183" s="206" t="s">
        <v>144</v>
      </c>
      <c r="C183" s="151" t="s">
        <v>696</v>
      </c>
      <c r="D183" s="67" t="s">
        <v>108</v>
      </c>
      <c r="E183" s="213">
        <f>(88*4*15)*3</f>
        <v>15840</v>
      </c>
      <c r="F183" s="68">
        <v>6.47</v>
      </c>
      <c r="G183" s="69">
        <v>6.48</v>
      </c>
      <c r="H183" s="68">
        <v>6.49</v>
      </c>
      <c r="I183" s="69">
        <f t="shared" si="23"/>
        <v>102484.8</v>
      </c>
    </row>
    <row r="184" spans="2:9" ht="28.8">
      <c r="B184" s="206" t="s">
        <v>145</v>
      </c>
      <c r="C184" s="151" t="s">
        <v>468</v>
      </c>
      <c r="D184" s="67" t="s">
        <v>18</v>
      </c>
      <c r="E184" s="67">
        <v>6</v>
      </c>
      <c r="F184" s="68">
        <v>99.86</v>
      </c>
      <c r="G184" s="69">
        <v>109.49</v>
      </c>
      <c r="H184" s="73">
        <v>211.19</v>
      </c>
      <c r="I184" s="69">
        <f t="shared" si="23"/>
        <v>599.16</v>
      </c>
    </row>
    <row r="185" spans="2:9">
      <c r="B185" s="206" t="s">
        <v>146</v>
      </c>
      <c r="C185" s="151" t="s">
        <v>398</v>
      </c>
      <c r="D185" s="67" t="s">
        <v>13</v>
      </c>
      <c r="E185" s="67">
        <v>15</v>
      </c>
      <c r="F185" s="68">
        <v>14000</v>
      </c>
      <c r="G185" s="69"/>
      <c r="H185" s="73"/>
      <c r="I185" s="69">
        <f>E185*F185</f>
        <v>210000</v>
      </c>
    </row>
    <row r="186" spans="2:9" ht="28.8">
      <c r="B186" s="206" t="s">
        <v>147</v>
      </c>
      <c r="C186" s="252" t="s">
        <v>469</v>
      </c>
      <c r="D186" s="67" t="s">
        <v>18</v>
      </c>
      <c r="E186" s="213">
        <f>29*6*2</f>
        <v>348</v>
      </c>
      <c r="F186" s="68">
        <v>60</v>
      </c>
      <c r="G186" s="68">
        <v>65</v>
      </c>
      <c r="H186" s="102">
        <v>70</v>
      </c>
      <c r="I186" s="69">
        <f t="shared" ref="I186:I250" si="24">F186*E186</f>
        <v>20880</v>
      </c>
    </row>
    <row r="187" spans="2:9" ht="43.2">
      <c r="B187" s="206" t="s">
        <v>148</v>
      </c>
      <c r="C187" s="252" t="s">
        <v>519</v>
      </c>
      <c r="D187" s="67" t="s">
        <v>18</v>
      </c>
      <c r="E187" s="67">
        <f>6*1</f>
        <v>6</v>
      </c>
      <c r="F187" s="68">
        <v>75</v>
      </c>
      <c r="G187" s="68">
        <v>90</v>
      </c>
      <c r="H187" s="69">
        <v>98</v>
      </c>
      <c r="I187" s="69">
        <f t="shared" si="24"/>
        <v>450</v>
      </c>
    </row>
    <row r="188" spans="2:9" ht="43.2">
      <c r="B188" s="206" t="s">
        <v>149</v>
      </c>
      <c r="C188" s="253" t="s">
        <v>501</v>
      </c>
      <c r="D188" s="67" t="s">
        <v>18</v>
      </c>
      <c r="E188" s="213">
        <f>6*18*2</f>
        <v>216</v>
      </c>
      <c r="F188" s="68">
        <v>25</v>
      </c>
      <c r="G188" s="68">
        <v>40</v>
      </c>
      <c r="H188" s="69">
        <v>43</v>
      </c>
      <c r="I188" s="69">
        <f t="shared" si="24"/>
        <v>5400</v>
      </c>
    </row>
    <row r="189" spans="2:9" ht="28.8">
      <c r="B189" s="206" t="s">
        <v>150</v>
      </c>
      <c r="C189" s="151" t="s">
        <v>471</v>
      </c>
      <c r="D189" s="67" t="s">
        <v>18</v>
      </c>
      <c r="E189" s="213">
        <f>29*2</f>
        <v>58</v>
      </c>
      <c r="F189" s="68">
        <v>122</v>
      </c>
      <c r="G189" s="74">
        <v>170.91</v>
      </c>
      <c r="H189" s="68">
        <v>296.93</v>
      </c>
      <c r="I189" s="69">
        <f t="shared" si="24"/>
        <v>7076</v>
      </c>
    </row>
    <row r="190" spans="2:9" ht="28.8">
      <c r="B190" s="206" t="s">
        <v>151</v>
      </c>
      <c r="C190" s="255" t="s">
        <v>526</v>
      </c>
      <c r="D190" s="67" t="s">
        <v>18</v>
      </c>
      <c r="E190" s="213">
        <v>48</v>
      </c>
      <c r="F190" s="68">
        <v>77.34</v>
      </c>
      <c r="G190" s="74">
        <v>103.8</v>
      </c>
      <c r="H190" s="70">
        <v>117.95</v>
      </c>
      <c r="I190" s="69">
        <f t="shared" si="24"/>
        <v>3712.32</v>
      </c>
    </row>
    <row r="191" spans="2:9" ht="43.2">
      <c r="B191" s="206" t="s">
        <v>151</v>
      </c>
      <c r="C191" s="254" t="s">
        <v>697</v>
      </c>
      <c r="D191" s="67" t="s">
        <v>18</v>
      </c>
      <c r="E191" s="213">
        <f>2*2*2</f>
        <v>8</v>
      </c>
      <c r="F191" s="68">
        <v>21.8</v>
      </c>
      <c r="G191" s="74">
        <v>36</v>
      </c>
      <c r="H191" s="68">
        <v>46.9</v>
      </c>
      <c r="I191" s="69">
        <f t="shared" si="24"/>
        <v>174.4</v>
      </c>
    </row>
    <row r="192" spans="2:9" ht="28.8">
      <c r="B192" s="206" t="s">
        <v>152</v>
      </c>
      <c r="C192" s="254" t="s">
        <v>584</v>
      </c>
      <c r="D192" s="67" t="s">
        <v>18</v>
      </c>
      <c r="E192" s="213">
        <f t="shared" ref="E192:E193" si="25">26*2*1</f>
        <v>52</v>
      </c>
      <c r="F192" s="73">
        <v>22.94</v>
      </c>
      <c r="G192" s="232">
        <v>23.46</v>
      </c>
      <c r="H192" s="73">
        <v>30</v>
      </c>
      <c r="I192" s="69">
        <f t="shared" si="24"/>
        <v>1192.8800000000001</v>
      </c>
    </row>
    <row r="193" spans="2:9" ht="28.8">
      <c r="B193" s="206" t="s">
        <v>153</v>
      </c>
      <c r="C193" s="254" t="s">
        <v>528</v>
      </c>
      <c r="D193" s="67" t="s">
        <v>18</v>
      </c>
      <c r="E193" s="213">
        <f t="shared" si="25"/>
        <v>52</v>
      </c>
      <c r="F193" s="73">
        <v>13.93</v>
      </c>
      <c r="G193" s="232">
        <v>15.71</v>
      </c>
      <c r="H193" s="73">
        <v>22.5</v>
      </c>
      <c r="I193" s="69">
        <f t="shared" si="24"/>
        <v>724.36</v>
      </c>
    </row>
    <row r="194" spans="2:9" ht="28.8">
      <c r="B194" s="206" t="s">
        <v>154</v>
      </c>
      <c r="C194" s="151" t="s">
        <v>529</v>
      </c>
      <c r="D194" s="67" t="s">
        <v>18</v>
      </c>
      <c r="E194" s="67">
        <f>3*28*15</f>
        <v>1260</v>
      </c>
      <c r="F194" s="73">
        <v>12.4</v>
      </c>
      <c r="G194" s="232">
        <v>13.5</v>
      </c>
      <c r="H194" s="73">
        <v>20.260000000000002</v>
      </c>
      <c r="I194" s="69">
        <f t="shared" si="24"/>
        <v>15624</v>
      </c>
    </row>
    <row r="195" spans="2:9">
      <c r="B195" s="206" t="s">
        <v>155</v>
      </c>
      <c r="C195" s="151" t="s">
        <v>502</v>
      </c>
      <c r="D195" s="67" t="s">
        <v>18</v>
      </c>
      <c r="E195" s="67">
        <f>2*29*15</f>
        <v>870</v>
      </c>
      <c r="F195" s="68">
        <v>2.7</v>
      </c>
      <c r="G195" s="232">
        <v>2.75</v>
      </c>
      <c r="H195" s="73">
        <v>2.94</v>
      </c>
      <c r="I195" s="69">
        <f t="shared" si="24"/>
        <v>2349</v>
      </c>
    </row>
    <row r="196" spans="2:9" ht="28.8">
      <c r="B196" s="206" t="s">
        <v>156</v>
      </c>
      <c r="C196" s="151" t="s">
        <v>698</v>
      </c>
      <c r="D196" s="67" t="s">
        <v>18</v>
      </c>
      <c r="E196" s="213">
        <f>2*6*15</f>
        <v>180</v>
      </c>
      <c r="F196" s="73">
        <v>49.99</v>
      </c>
      <c r="G196" s="232">
        <v>59.99</v>
      </c>
      <c r="H196" s="73">
        <v>96.97</v>
      </c>
      <c r="I196" s="69">
        <f t="shared" si="24"/>
        <v>8998.2000000000007</v>
      </c>
    </row>
    <row r="197" spans="2:9">
      <c r="B197" s="206" t="s">
        <v>157</v>
      </c>
      <c r="C197" s="255" t="s">
        <v>586</v>
      </c>
      <c r="D197" s="67" t="s">
        <v>18</v>
      </c>
      <c r="E197" s="213">
        <f>3*15*2</f>
        <v>90</v>
      </c>
      <c r="F197" s="73">
        <v>160</v>
      </c>
      <c r="G197" s="232">
        <v>163</v>
      </c>
      <c r="H197" s="73">
        <v>193.63</v>
      </c>
      <c r="I197" s="69">
        <f t="shared" si="24"/>
        <v>14400</v>
      </c>
    </row>
    <row r="198" spans="2:9" ht="28.8">
      <c r="B198" s="206" t="s">
        <v>158</v>
      </c>
      <c r="C198" s="161" t="s">
        <v>474</v>
      </c>
      <c r="D198" s="67" t="s">
        <v>18</v>
      </c>
      <c r="E198" s="67">
        <f t="shared" ref="E198:E199" si="26">29*2</f>
        <v>58</v>
      </c>
      <c r="F198" s="73">
        <v>35</v>
      </c>
      <c r="G198" s="232">
        <v>41.4</v>
      </c>
      <c r="H198" s="73">
        <v>168.26</v>
      </c>
      <c r="I198" s="69">
        <f t="shared" si="24"/>
        <v>2030</v>
      </c>
    </row>
    <row r="199" spans="2:9">
      <c r="B199" s="206" t="s">
        <v>159</v>
      </c>
      <c r="C199" s="255" t="s">
        <v>475</v>
      </c>
      <c r="D199" s="67" t="s">
        <v>18</v>
      </c>
      <c r="E199" s="67">
        <f t="shared" si="26"/>
        <v>58</v>
      </c>
      <c r="F199" s="73">
        <v>41.4</v>
      </c>
      <c r="G199" s="232">
        <v>42.23</v>
      </c>
      <c r="H199" s="73">
        <v>50</v>
      </c>
      <c r="I199" s="69">
        <f t="shared" si="24"/>
        <v>2401.1999999999998</v>
      </c>
    </row>
    <row r="200" spans="2:9" ht="28.8">
      <c r="B200" s="206" t="s">
        <v>160</v>
      </c>
      <c r="C200" s="151" t="s">
        <v>504</v>
      </c>
      <c r="D200" s="67" t="s">
        <v>18</v>
      </c>
      <c r="E200" s="67">
        <f>6*2</f>
        <v>12</v>
      </c>
      <c r="F200" s="73">
        <v>27.64</v>
      </c>
      <c r="G200" s="232">
        <v>35.5</v>
      </c>
      <c r="H200" s="73">
        <v>36.9</v>
      </c>
      <c r="I200" s="69">
        <f t="shared" si="24"/>
        <v>331.68</v>
      </c>
    </row>
    <row r="201" spans="2:9" ht="28.8">
      <c r="B201" s="206" t="s">
        <v>161</v>
      </c>
      <c r="C201" s="208" t="s">
        <v>534</v>
      </c>
      <c r="D201" s="67" t="s">
        <v>18</v>
      </c>
      <c r="E201" s="67">
        <f>2*6</f>
        <v>12</v>
      </c>
      <c r="F201" s="73">
        <v>28.55</v>
      </c>
      <c r="G201" s="232">
        <v>28.8</v>
      </c>
      <c r="H201" s="73">
        <v>103.4</v>
      </c>
      <c r="I201" s="69">
        <f t="shared" si="24"/>
        <v>342.6</v>
      </c>
    </row>
    <row r="202" spans="2:9" ht="28.8">
      <c r="B202" s="206" t="s">
        <v>162</v>
      </c>
      <c r="C202" s="208" t="s">
        <v>587</v>
      </c>
      <c r="D202" s="67" t="s">
        <v>18</v>
      </c>
      <c r="E202" s="67">
        <f>2*29*15</f>
        <v>870</v>
      </c>
      <c r="F202" s="73">
        <v>1.29</v>
      </c>
      <c r="G202" s="232">
        <v>1.48</v>
      </c>
      <c r="H202" s="73">
        <v>1.75</v>
      </c>
      <c r="I202" s="69">
        <f t="shared" si="24"/>
        <v>1122.3</v>
      </c>
    </row>
    <row r="203" spans="2:9" ht="28.8">
      <c r="B203" s="206" t="s">
        <v>163</v>
      </c>
      <c r="C203" s="255" t="s">
        <v>535</v>
      </c>
      <c r="D203" s="67" t="s">
        <v>18</v>
      </c>
      <c r="E203" s="67">
        <v>12</v>
      </c>
      <c r="F203" s="232">
        <v>286</v>
      </c>
      <c r="G203" s="232">
        <v>484</v>
      </c>
      <c r="H203" s="73">
        <v>572</v>
      </c>
      <c r="I203" s="69">
        <f t="shared" si="24"/>
        <v>3432</v>
      </c>
    </row>
    <row r="204" spans="2:9" ht="28.8">
      <c r="B204" s="206" t="s">
        <v>164</v>
      </c>
      <c r="C204" s="161" t="s">
        <v>506</v>
      </c>
      <c r="D204" s="67" t="s">
        <v>18</v>
      </c>
      <c r="E204" s="213">
        <f>4*12</f>
        <v>48</v>
      </c>
      <c r="F204" s="73">
        <v>38.700000000000003</v>
      </c>
      <c r="G204" s="232">
        <v>65.64</v>
      </c>
      <c r="H204" s="73">
        <v>156.94999999999999</v>
      </c>
      <c r="I204" s="69">
        <f t="shared" si="24"/>
        <v>1857.6000000000001</v>
      </c>
    </row>
    <row r="205" spans="2:9" ht="28.8">
      <c r="B205" s="206" t="s">
        <v>165</v>
      </c>
      <c r="C205" s="208" t="s">
        <v>507</v>
      </c>
      <c r="D205" s="67" t="s">
        <v>18</v>
      </c>
      <c r="E205" s="213">
        <f t="shared" ref="E205:E206" si="27">2*6</f>
        <v>12</v>
      </c>
      <c r="F205" s="73">
        <v>133.01</v>
      </c>
      <c r="G205" s="232">
        <v>157.19999999999999</v>
      </c>
      <c r="H205" s="73">
        <v>175.33</v>
      </c>
      <c r="I205" s="69">
        <f t="shared" si="24"/>
        <v>1596.12</v>
      </c>
    </row>
    <row r="206" spans="2:9" ht="28.8">
      <c r="B206" s="206" t="s">
        <v>166</v>
      </c>
      <c r="C206" s="208" t="s">
        <v>508</v>
      </c>
      <c r="D206" s="67" t="s">
        <v>18</v>
      </c>
      <c r="E206" s="67">
        <f t="shared" si="27"/>
        <v>12</v>
      </c>
      <c r="F206" s="68">
        <v>2.77</v>
      </c>
      <c r="G206" s="74">
        <v>3.75</v>
      </c>
      <c r="H206" s="73">
        <v>3.96</v>
      </c>
      <c r="I206" s="69">
        <f t="shared" si="24"/>
        <v>33.24</v>
      </c>
    </row>
    <row r="207" spans="2:9">
      <c r="B207" s="206" t="s">
        <v>167</v>
      </c>
      <c r="C207" s="255" t="s">
        <v>536</v>
      </c>
      <c r="D207" s="267" t="s">
        <v>103</v>
      </c>
      <c r="E207" s="67">
        <f>2*2</f>
        <v>4</v>
      </c>
      <c r="F207" s="73">
        <v>73.900000000000006</v>
      </c>
      <c r="G207" s="232">
        <v>76.5</v>
      </c>
      <c r="H207" s="73">
        <v>78.849999999999994</v>
      </c>
      <c r="I207" s="69">
        <f t="shared" si="24"/>
        <v>295.60000000000002</v>
      </c>
    </row>
    <row r="208" spans="2:9" ht="28.8">
      <c r="B208" s="206" t="s">
        <v>168</v>
      </c>
      <c r="C208" s="208" t="s">
        <v>493</v>
      </c>
      <c r="D208" s="67" t="s">
        <v>18</v>
      </c>
      <c r="E208" s="75">
        <v>3</v>
      </c>
      <c r="F208" s="73">
        <v>26.5</v>
      </c>
      <c r="G208" s="232">
        <v>61.9</v>
      </c>
      <c r="H208" s="73">
        <v>83.6</v>
      </c>
      <c r="I208" s="69">
        <f t="shared" si="24"/>
        <v>79.5</v>
      </c>
    </row>
    <row r="209" spans="2:9" ht="28.8">
      <c r="B209" s="206" t="s">
        <v>169</v>
      </c>
      <c r="C209" s="208" t="s">
        <v>494</v>
      </c>
      <c r="D209" s="274" t="s">
        <v>18</v>
      </c>
      <c r="E209" s="67">
        <f t="shared" ref="E209:E210" si="28">2*3</f>
        <v>6</v>
      </c>
      <c r="F209" s="70">
        <v>27.9</v>
      </c>
      <c r="G209" s="232">
        <v>30</v>
      </c>
      <c r="H209" s="70">
        <v>32.229999999999997</v>
      </c>
      <c r="I209" s="69">
        <f t="shared" si="24"/>
        <v>167.39999999999998</v>
      </c>
    </row>
    <row r="210" spans="2:9">
      <c r="B210" s="206" t="s">
        <v>170</v>
      </c>
      <c r="C210" s="268" t="s">
        <v>495</v>
      </c>
      <c r="D210" s="67" t="s">
        <v>18</v>
      </c>
      <c r="E210" s="67">
        <f t="shared" si="28"/>
        <v>6</v>
      </c>
      <c r="F210" s="68">
        <v>157.44</v>
      </c>
      <c r="G210" s="69">
        <v>184.26</v>
      </c>
      <c r="H210" s="68">
        <v>208.95</v>
      </c>
      <c r="I210" s="69">
        <f t="shared" si="24"/>
        <v>944.64</v>
      </c>
    </row>
    <row r="211" spans="2:9">
      <c r="B211" s="206" t="s">
        <v>172</v>
      </c>
      <c r="C211" s="151" t="s">
        <v>496</v>
      </c>
      <c r="D211" s="67" t="s">
        <v>18</v>
      </c>
      <c r="E211" s="213">
        <f>4*3</f>
        <v>12</v>
      </c>
      <c r="F211" s="68">
        <v>33.729999999999997</v>
      </c>
      <c r="G211" s="69">
        <v>43.66</v>
      </c>
      <c r="H211" s="68">
        <v>72</v>
      </c>
      <c r="I211" s="69">
        <f t="shared" si="24"/>
        <v>404.76</v>
      </c>
    </row>
    <row r="212" spans="2:9" ht="28.8">
      <c r="B212" s="206" t="s">
        <v>171</v>
      </c>
      <c r="C212" s="151" t="s">
        <v>107</v>
      </c>
      <c r="D212" s="67" t="s">
        <v>18</v>
      </c>
      <c r="E212" s="67">
        <v>6</v>
      </c>
      <c r="F212" s="256">
        <v>3200.55</v>
      </c>
      <c r="G212" s="69">
        <v>3309</v>
      </c>
      <c r="H212" s="103">
        <v>3369</v>
      </c>
      <c r="I212" s="69">
        <f t="shared" si="24"/>
        <v>19203.300000000003</v>
      </c>
    </row>
    <row r="213" spans="2:9" ht="28.8">
      <c r="B213" s="206" t="s">
        <v>173</v>
      </c>
      <c r="C213" s="151" t="s">
        <v>509</v>
      </c>
      <c r="D213" s="67" t="s">
        <v>108</v>
      </c>
      <c r="E213" s="67">
        <f>10*4*15*6</f>
        <v>3600</v>
      </c>
      <c r="F213" s="256">
        <v>6.08</v>
      </c>
      <c r="G213" s="69">
        <v>6.09</v>
      </c>
      <c r="H213" s="68">
        <v>6.35</v>
      </c>
      <c r="I213" s="69">
        <f t="shared" si="24"/>
        <v>21888</v>
      </c>
    </row>
    <row r="214" spans="2:9">
      <c r="B214" s="206" t="s">
        <v>174</v>
      </c>
      <c r="C214" s="151" t="s">
        <v>510</v>
      </c>
      <c r="D214" s="67" t="s">
        <v>108</v>
      </c>
      <c r="E214" s="67">
        <f>6*20</f>
        <v>120</v>
      </c>
      <c r="F214" s="256">
        <v>43.98</v>
      </c>
      <c r="G214" s="69">
        <v>47.42</v>
      </c>
      <c r="H214" s="68">
        <v>47.9</v>
      </c>
      <c r="I214" s="69">
        <f t="shared" si="24"/>
        <v>5277.5999999999995</v>
      </c>
    </row>
    <row r="215" spans="2:9" ht="28.8">
      <c r="B215" s="206" t="s">
        <v>175</v>
      </c>
      <c r="C215" s="151" t="s">
        <v>511</v>
      </c>
      <c r="D215" s="67" t="s">
        <v>109</v>
      </c>
      <c r="E215" s="67">
        <f>10*6</f>
        <v>60</v>
      </c>
      <c r="F215" s="275">
        <v>26.24</v>
      </c>
      <c r="G215" s="232">
        <v>28.33</v>
      </c>
      <c r="H215" s="73">
        <v>31.98</v>
      </c>
      <c r="I215" s="69">
        <f t="shared" si="24"/>
        <v>1574.3999999999999</v>
      </c>
    </row>
    <row r="216" spans="2:9">
      <c r="B216" s="206" t="s">
        <v>176</v>
      </c>
      <c r="C216" s="151" t="s">
        <v>537</v>
      </c>
      <c r="D216" s="67" t="s">
        <v>18</v>
      </c>
      <c r="E216" s="67">
        <f>3*6*15</f>
        <v>270</v>
      </c>
      <c r="F216" s="275">
        <v>94.2</v>
      </c>
      <c r="G216" s="232">
        <v>108.06</v>
      </c>
      <c r="H216" s="73">
        <v>114.93</v>
      </c>
      <c r="I216" s="69">
        <f t="shared" si="24"/>
        <v>25434</v>
      </c>
    </row>
    <row r="217" spans="2:9">
      <c r="B217" s="206" t="s">
        <v>177</v>
      </c>
      <c r="C217" s="151" t="s">
        <v>512</v>
      </c>
      <c r="D217" s="67" t="s">
        <v>18</v>
      </c>
      <c r="E217" s="213">
        <f>4*6</f>
        <v>24</v>
      </c>
      <c r="F217" s="232">
        <v>37.47</v>
      </c>
      <c r="G217" s="73">
        <v>43.66</v>
      </c>
      <c r="H217" s="73">
        <v>48</v>
      </c>
      <c r="I217" s="69">
        <f t="shared" si="24"/>
        <v>899.28</v>
      </c>
    </row>
    <row r="218" spans="2:9" ht="28.8">
      <c r="B218" s="206" t="s">
        <v>178</v>
      </c>
      <c r="C218" s="151" t="s">
        <v>588</v>
      </c>
      <c r="D218" s="67" t="s">
        <v>18</v>
      </c>
      <c r="E218" s="213">
        <f>3*6*15</f>
        <v>270</v>
      </c>
      <c r="F218" s="275">
        <v>23.1</v>
      </c>
      <c r="G218" s="232">
        <v>25.52</v>
      </c>
      <c r="H218" s="104">
        <v>29.6</v>
      </c>
      <c r="I218" s="69">
        <f t="shared" si="24"/>
        <v>6237</v>
      </c>
    </row>
    <row r="219" spans="2:9">
      <c r="B219" s="206" t="s">
        <v>179</v>
      </c>
      <c r="C219" s="151" t="s">
        <v>589</v>
      </c>
      <c r="D219" s="67" t="s">
        <v>18</v>
      </c>
      <c r="E219" s="67">
        <f t="shared" ref="E219:E220" si="29">3*15</f>
        <v>45</v>
      </c>
      <c r="F219" s="275">
        <v>54.78</v>
      </c>
      <c r="G219" s="232">
        <f>35.03+39.8</f>
        <v>74.83</v>
      </c>
      <c r="H219" s="73">
        <v>82.7</v>
      </c>
      <c r="I219" s="69">
        <f t="shared" si="24"/>
        <v>2465.1</v>
      </c>
    </row>
    <row r="220" spans="2:9">
      <c r="B220" s="206" t="s">
        <v>180</v>
      </c>
      <c r="C220" s="151" t="s">
        <v>590</v>
      </c>
      <c r="D220" s="67" t="s">
        <v>18</v>
      </c>
      <c r="E220" s="67">
        <f t="shared" si="29"/>
        <v>45</v>
      </c>
      <c r="F220" s="275">
        <v>27.82</v>
      </c>
      <c r="G220" s="232">
        <v>32.369999999999997</v>
      </c>
      <c r="H220" s="104">
        <v>33.74</v>
      </c>
      <c r="I220" s="69">
        <f t="shared" si="24"/>
        <v>1251.9000000000001</v>
      </c>
    </row>
    <row r="221" spans="2:9" ht="28.8">
      <c r="B221" s="206" t="s">
        <v>181</v>
      </c>
      <c r="C221" s="151" t="s">
        <v>117</v>
      </c>
      <c r="D221" s="67" t="s">
        <v>18</v>
      </c>
      <c r="E221" s="67">
        <v>6</v>
      </c>
      <c r="F221" s="256">
        <v>3647.05</v>
      </c>
      <c r="G221" s="69">
        <v>4061.63</v>
      </c>
      <c r="H221" s="103">
        <v>4274.5</v>
      </c>
      <c r="I221" s="69">
        <f t="shared" si="24"/>
        <v>21882.300000000003</v>
      </c>
    </row>
    <row r="222" spans="2:9" ht="28.8">
      <c r="B222" s="206" t="s">
        <v>182</v>
      </c>
      <c r="C222" s="151" t="s">
        <v>542</v>
      </c>
      <c r="D222" s="67" t="s">
        <v>18</v>
      </c>
      <c r="E222" s="213">
        <f>2*6</f>
        <v>12</v>
      </c>
      <c r="F222" s="256">
        <v>1123.6400000000001</v>
      </c>
      <c r="G222" s="69">
        <v>1285.6300000000001</v>
      </c>
      <c r="H222" s="103">
        <v>1502.31</v>
      </c>
      <c r="I222" s="69">
        <f t="shared" si="24"/>
        <v>13483.68</v>
      </c>
    </row>
    <row r="223" spans="2:9" ht="28.8">
      <c r="B223" s="206" t="s">
        <v>183</v>
      </c>
      <c r="C223" s="151" t="s">
        <v>543</v>
      </c>
      <c r="D223" s="67" t="s">
        <v>18</v>
      </c>
      <c r="E223" s="213">
        <f>12*15</f>
        <v>180</v>
      </c>
      <c r="F223" s="256">
        <v>456.51</v>
      </c>
      <c r="G223" s="69">
        <v>465</v>
      </c>
      <c r="H223" s="103">
        <v>480.54</v>
      </c>
      <c r="I223" s="69">
        <f t="shared" si="24"/>
        <v>82171.8</v>
      </c>
    </row>
    <row r="224" spans="2:9">
      <c r="B224" s="206" t="s">
        <v>184</v>
      </c>
      <c r="C224" s="151" t="s">
        <v>513</v>
      </c>
      <c r="D224" s="67" t="s">
        <v>68</v>
      </c>
      <c r="E224" s="67">
        <f>4*15</f>
        <v>60</v>
      </c>
      <c r="F224" s="73">
        <v>204</v>
      </c>
      <c r="G224" s="232">
        <v>25</v>
      </c>
      <c r="H224" s="73">
        <v>280</v>
      </c>
      <c r="I224" s="69">
        <f t="shared" si="24"/>
        <v>12240</v>
      </c>
    </row>
    <row r="225" spans="2:9" ht="28.8">
      <c r="B225" s="206" t="s">
        <v>185</v>
      </c>
      <c r="C225" s="151" t="s">
        <v>545</v>
      </c>
      <c r="D225" s="67" t="s">
        <v>18</v>
      </c>
      <c r="E225" s="213">
        <f>2*29</f>
        <v>58</v>
      </c>
      <c r="F225" s="68">
        <v>49</v>
      </c>
      <c r="G225" s="69">
        <v>64</v>
      </c>
      <c r="H225" s="103">
        <v>80</v>
      </c>
      <c r="I225" s="69">
        <f t="shared" si="24"/>
        <v>2842</v>
      </c>
    </row>
    <row r="226" spans="2:9" ht="28.8">
      <c r="B226" s="206" t="s">
        <v>186</v>
      </c>
      <c r="C226" s="161" t="s">
        <v>591</v>
      </c>
      <c r="D226" s="67" t="s">
        <v>18</v>
      </c>
      <c r="E226" s="213">
        <f>3*29</f>
        <v>87</v>
      </c>
      <c r="F226" s="68">
        <v>103.2</v>
      </c>
      <c r="G226" s="74">
        <v>129</v>
      </c>
      <c r="H226" s="68">
        <v>167.81</v>
      </c>
      <c r="I226" s="69">
        <f t="shared" si="24"/>
        <v>8978.4</v>
      </c>
    </row>
    <row r="227" spans="2:9" ht="28.8">
      <c r="B227" s="206" t="s">
        <v>187</v>
      </c>
      <c r="C227" s="161" t="s">
        <v>592</v>
      </c>
      <c r="D227" s="67" t="s">
        <v>18</v>
      </c>
      <c r="E227" s="213">
        <f t="shared" ref="E227:E230" si="30">2*4</f>
        <v>8</v>
      </c>
      <c r="F227" s="68">
        <v>37.6</v>
      </c>
      <c r="G227" s="69">
        <v>54</v>
      </c>
      <c r="H227" s="103">
        <v>59.6</v>
      </c>
      <c r="I227" s="69">
        <f t="shared" si="24"/>
        <v>300.8</v>
      </c>
    </row>
    <row r="228" spans="2:9" ht="28.8">
      <c r="B228" s="206" t="s">
        <v>188</v>
      </c>
      <c r="C228" s="161" t="s">
        <v>594</v>
      </c>
      <c r="D228" s="67" t="s">
        <v>18</v>
      </c>
      <c r="E228" s="213">
        <f t="shared" si="30"/>
        <v>8</v>
      </c>
      <c r="F228" s="68">
        <v>29.6</v>
      </c>
      <c r="G228" s="74">
        <v>53.7</v>
      </c>
      <c r="H228" s="68">
        <v>61.28</v>
      </c>
      <c r="I228" s="69">
        <f t="shared" si="24"/>
        <v>236.8</v>
      </c>
    </row>
    <row r="229" spans="2:9" ht="28.8">
      <c r="B229" s="206" t="s">
        <v>189</v>
      </c>
      <c r="C229" s="161" t="s">
        <v>593</v>
      </c>
      <c r="D229" s="67" t="s">
        <v>18</v>
      </c>
      <c r="E229" s="213">
        <f t="shared" si="30"/>
        <v>8</v>
      </c>
      <c r="F229" s="68">
        <v>36</v>
      </c>
      <c r="G229" s="69">
        <v>50.6</v>
      </c>
      <c r="H229" s="103">
        <v>54.6</v>
      </c>
      <c r="I229" s="69">
        <f t="shared" si="24"/>
        <v>288</v>
      </c>
    </row>
    <row r="230" spans="2:9" ht="28.8">
      <c r="B230" s="206" t="s">
        <v>190</v>
      </c>
      <c r="C230" s="161" t="s">
        <v>595</v>
      </c>
      <c r="D230" s="67" t="s">
        <v>18</v>
      </c>
      <c r="E230" s="213">
        <f t="shared" si="30"/>
        <v>8</v>
      </c>
      <c r="F230" s="68">
        <v>45.39</v>
      </c>
      <c r="G230" s="232">
        <v>49.8</v>
      </c>
      <c r="H230" s="73">
        <v>84.64</v>
      </c>
      <c r="I230" s="69">
        <f t="shared" si="24"/>
        <v>363.12</v>
      </c>
    </row>
    <row r="231" spans="2:9" ht="28.8">
      <c r="B231" s="206" t="s">
        <v>191</v>
      </c>
      <c r="C231" s="161" t="s">
        <v>552</v>
      </c>
      <c r="D231" s="67" t="s">
        <v>18</v>
      </c>
      <c r="E231" s="67">
        <f>1*24</f>
        <v>24</v>
      </c>
      <c r="F231" s="68">
        <v>140.54</v>
      </c>
      <c r="G231" s="232">
        <v>186.8</v>
      </c>
      <c r="H231" s="73">
        <v>341.8</v>
      </c>
      <c r="I231" s="69">
        <f t="shared" si="24"/>
        <v>3372.96</v>
      </c>
    </row>
    <row r="232" spans="2:9" ht="28.8">
      <c r="B232" s="206" t="s">
        <v>192</v>
      </c>
      <c r="C232" s="161" t="s">
        <v>596</v>
      </c>
      <c r="D232" s="67" t="s">
        <v>18</v>
      </c>
      <c r="E232" s="213">
        <f>2*4</f>
        <v>8</v>
      </c>
      <c r="F232" s="256">
        <v>5.38</v>
      </c>
      <c r="G232" s="232">
        <v>5.65</v>
      </c>
      <c r="H232" s="73">
        <v>12.6</v>
      </c>
      <c r="I232" s="69">
        <f t="shared" si="24"/>
        <v>43.04</v>
      </c>
    </row>
    <row r="233" spans="2:9" ht="28.8">
      <c r="B233" s="206" t="s">
        <v>193</v>
      </c>
      <c r="C233" s="161" t="s">
        <v>554</v>
      </c>
      <c r="D233" s="75" t="s">
        <v>18</v>
      </c>
      <c r="E233" s="67">
        <f>1*29</f>
        <v>29</v>
      </c>
      <c r="F233" s="68">
        <v>120</v>
      </c>
      <c r="G233" s="232">
        <v>150</v>
      </c>
      <c r="H233" s="73">
        <v>156</v>
      </c>
      <c r="I233" s="69">
        <f t="shared" si="24"/>
        <v>3480</v>
      </c>
    </row>
    <row r="234" spans="2:9" ht="28.8">
      <c r="B234" s="206" t="s">
        <v>194</v>
      </c>
      <c r="C234" s="271" t="s">
        <v>555</v>
      </c>
      <c r="D234" s="75" t="s">
        <v>18</v>
      </c>
      <c r="E234" s="67">
        <v>29</v>
      </c>
      <c r="F234" s="68">
        <v>118</v>
      </c>
      <c r="G234" s="69">
        <v>147.5</v>
      </c>
      <c r="H234" s="68">
        <v>171.1</v>
      </c>
      <c r="I234" s="69">
        <f t="shared" si="24"/>
        <v>3422</v>
      </c>
    </row>
    <row r="235" spans="2:9">
      <c r="B235" s="206" t="s">
        <v>195</v>
      </c>
      <c r="C235" s="272" t="s">
        <v>597</v>
      </c>
      <c r="D235" s="75" t="s">
        <v>18</v>
      </c>
      <c r="E235" s="67">
        <f t="shared" ref="E235:E239" si="31">2*2</f>
        <v>4</v>
      </c>
      <c r="F235" s="68">
        <v>300</v>
      </c>
      <c r="G235" s="69">
        <v>375</v>
      </c>
      <c r="H235" s="68">
        <v>435</v>
      </c>
      <c r="I235" s="69">
        <f t="shared" si="24"/>
        <v>1200</v>
      </c>
    </row>
    <row r="236" spans="2:9" ht="28.8">
      <c r="B236" s="206" t="s">
        <v>196</v>
      </c>
      <c r="C236" s="161" t="s">
        <v>557</v>
      </c>
      <c r="D236" s="75" t="s">
        <v>18</v>
      </c>
      <c r="E236" s="67">
        <f t="shared" si="31"/>
        <v>4</v>
      </c>
      <c r="F236" s="68">
        <v>1000</v>
      </c>
      <c r="G236" s="69">
        <v>1250</v>
      </c>
      <c r="H236" s="68">
        <v>1300</v>
      </c>
      <c r="I236" s="69">
        <f t="shared" si="24"/>
        <v>4000</v>
      </c>
    </row>
    <row r="237" spans="2:9" ht="28.8">
      <c r="B237" s="206" t="s">
        <v>197</v>
      </c>
      <c r="C237" s="161" t="s">
        <v>598</v>
      </c>
      <c r="D237" s="75" t="s">
        <v>18</v>
      </c>
      <c r="E237" s="67">
        <f t="shared" si="31"/>
        <v>4</v>
      </c>
      <c r="F237" s="68">
        <v>116</v>
      </c>
      <c r="G237" s="69">
        <v>145</v>
      </c>
      <c r="H237" s="103">
        <v>150.80000000000001</v>
      </c>
      <c r="I237" s="69">
        <f t="shared" si="24"/>
        <v>464</v>
      </c>
    </row>
    <row r="238" spans="2:9">
      <c r="B238" s="206" t="s">
        <v>198</v>
      </c>
      <c r="C238" s="161" t="s">
        <v>599</v>
      </c>
      <c r="D238" s="75" t="s">
        <v>18</v>
      </c>
      <c r="E238" s="67">
        <f t="shared" si="31"/>
        <v>4</v>
      </c>
      <c r="F238" s="68">
        <v>300</v>
      </c>
      <c r="G238" s="69">
        <v>375</v>
      </c>
      <c r="H238" s="103">
        <v>390</v>
      </c>
      <c r="I238" s="69">
        <f t="shared" si="24"/>
        <v>1200</v>
      </c>
    </row>
    <row r="239" spans="2:9">
      <c r="B239" s="206" t="s">
        <v>199</v>
      </c>
      <c r="C239" s="161" t="s">
        <v>600</v>
      </c>
      <c r="D239" s="75" t="s">
        <v>18</v>
      </c>
      <c r="E239" s="67">
        <f t="shared" si="31"/>
        <v>4</v>
      </c>
      <c r="F239" s="68">
        <v>519.79999999999995</v>
      </c>
      <c r="G239" s="69">
        <v>519</v>
      </c>
      <c r="H239" s="103">
        <v>675.74</v>
      </c>
      <c r="I239" s="69">
        <f t="shared" si="24"/>
        <v>2079.1999999999998</v>
      </c>
    </row>
    <row r="240" spans="2:9">
      <c r="B240" s="206" t="s">
        <v>200</v>
      </c>
      <c r="C240" s="161" t="s">
        <v>601</v>
      </c>
      <c r="D240" s="75" t="s">
        <v>18</v>
      </c>
      <c r="E240" s="67">
        <v>24</v>
      </c>
      <c r="F240" s="68">
        <v>29.46</v>
      </c>
      <c r="G240" s="69">
        <v>36.83</v>
      </c>
      <c r="H240" s="103">
        <v>38.299999999999997</v>
      </c>
      <c r="I240" s="69">
        <f t="shared" si="24"/>
        <v>707.04</v>
      </c>
    </row>
    <row r="241" spans="2:9">
      <c r="B241" s="206" t="s">
        <v>201</v>
      </c>
      <c r="C241" s="151" t="s">
        <v>514</v>
      </c>
      <c r="D241" s="67" t="s">
        <v>15</v>
      </c>
      <c r="E241" s="213">
        <f>3*24</f>
        <v>72</v>
      </c>
      <c r="F241" s="68">
        <v>15.18</v>
      </c>
      <c r="G241" s="69">
        <v>18.899999999999999</v>
      </c>
      <c r="H241" s="103">
        <v>19.73</v>
      </c>
      <c r="I241" s="69">
        <f t="shared" si="24"/>
        <v>1092.96</v>
      </c>
    </row>
    <row r="242" spans="2:9" ht="28.8">
      <c r="B242" s="206" t="s">
        <v>202</v>
      </c>
      <c r="C242" s="151" t="s">
        <v>582</v>
      </c>
      <c r="D242" s="67" t="s">
        <v>15</v>
      </c>
      <c r="E242" s="67">
        <f>3*2</f>
        <v>6</v>
      </c>
      <c r="F242" s="68">
        <v>800</v>
      </c>
      <c r="G242" s="69"/>
      <c r="H242" s="68"/>
      <c r="I242" s="69">
        <f t="shared" si="24"/>
        <v>4800</v>
      </c>
    </row>
    <row r="243" spans="2:9">
      <c r="B243" s="206" t="s">
        <v>203</v>
      </c>
      <c r="C243" s="151" t="s">
        <v>605</v>
      </c>
      <c r="D243" s="67" t="s">
        <v>417</v>
      </c>
      <c r="E243" s="67">
        <v>31</v>
      </c>
      <c r="F243" s="68">
        <v>780</v>
      </c>
      <c r="G243" s="69">
        <v>975</v>
      </c>
      <c r="H243" s="68">
        <v>1170</v>
      </c>
      <c r="I243" s="69">
        <f t="shared" si="24"/>
        <v>24180</v>
      </c>
    </row>
    <row r="244" spans="2:9">
      <c r="B244" s="206" t="s">
        <v>204</v>
      </c>
      <c r="C244" s="151" t="s">
        <v>603</v>
      </c>
      <c r="D244" s="67" t="s">
        <v>110</v>
      </c>
      <c r="E244" s="67">
        <f>(100*100800/1000)/50</f>
        <v>201.6</v>
      </c>
      <c r="F244" s="68">
        <v>174</v>
      </c>
      <c r="G244" s="69">
        <v>217.5</v>
      </c>
      <c r="H244" s="68">
        <v>261</v>
      </c>
      <c r="I244" s="69">
        <f t="shared" si="24"/>
        <v>35078.400000000001</v>
      </c>
    </row>
    <row r="245" spans="2:9">
      <c r="B245" s="206" t="s">
        <v>205</v>
      </c>
      <c r="C245" s="151" t="s">
        <v>604</v>
      </c>
      <c r="D245" s="67" t="s">
        <v>110</v>
      </c>
      <c r="E245" s="67">
        <f>(80*100800/1000)/50</f>
        <v>161.28</v>
      </c>
      <c r="F245" s="68">
        <v>25.8</v>
      </c>
      <c r="G245" s="69">
        <v>32.25</v>
      </c>
      <c r="H245" s="68">
        <v>38.700000000000003</v>
      </c>
      <c r="I245" s="69">
        <f t="shared" si="24"/>
        <v>4161.0240000000003</v>
      </c>
    </row>
    <row r="246" spans="2:9" ht="28.8">
      <c r="B246" s="206" t="s">
        <v>206</v>
      </c>
      <c r="C246" s="151" t="s">
        <v>602</v>
      </c>
      <c r="D246" s="67" t="s">
        <v>110</v>
      </c>
      <c r="E246" s="67">
        <f>E244</f>
        <v>201.6</v>
      </c>
      <c r="F246" s="68">
        <v>130.6</v>
      </c>
      <c r="G246" s="68">
        <v>163.25</v>
      </c>
      <c r="H246" s="68">
        <v>195.9</v>
      </c>
      <c r="I246" s="69">
        <f t="shared" si="24"/>
        <v>26328.959999999999</v>
      </c>
    </row>
    <row r="247" spans="2:9" ht="28.8">
      <c r="B247" s="206" t="s">
        <v>207</v>
      </c>
      <c r="C247" s="151" t="s">
        <v>606</v>
      </c>
      <c r="D247" s="67" t="s">
        <v>110</v>
      </c>
      <c r="E247" s="67">
        <f>(150*100800/1000)/50</f>
        <v>302.39999999999998</v>
      </c>
      <c r="F247" s="68">
        <v>131.6</v>
      </c>
      <c r="G247" s="69">
        <v>164.5</v>
      </c>
      <c r="H247" s="68">
        <v>197.4</v>
      </c>
      <c r="I247" s="69">
        <f t="shared" si="24"/>
        <v>39795.839999999997</v>
      </c>
    </row>
    <row r="248" spans="2:9" ht="28.8">
      <c r="B248" s="206" t="s">
        <v>208</v>
      </c>
      <c r="C248" s="151" t="s">
        <v>699</v>
      </c>
      <c r="D248" s="67" t="s">
        <v>68</v>
      </c>
      <c r="E248" s="213">
        <v>100</v>
      </c>
      <c r="F248" s="68">
        <v>100</v>
      </c>
      <c r="G248" s="69">
        <v>125</v>
      </c>
      <c r="H248" s="68">
        <v>150</v>
      </c>
      <c r="I248" s="69">
        <f t="shared" si="24"/>
        <v>10000</v>
      </c>
    </row>
    <row r="249" spans="2:9">
      <c r="B249" s="206" t="s">
        <v>209</v>
      </c>
      <c r="C249" s="151" t="s">
        <v>700</v>
      </c>
      <c r="D249" s="67" t="s">
        <v>68</v>
      </c>
      <c r="E249" s="213">
        <v>1310</v>
      </c>
      <c r="F249" s="68">
        <v>11.4</v>
      </c>
      <c r="G249" s="69">
        <v>14.25</v>
      </c>
      <c r="H249" s="68">
        <v>17.100000000000001</v>
      </c>
      <c r="I249" s="69">
        <f t="shared" si="24"/>
        <v>14934</v>
      </c>
    </row>
    <row r="250" spans="2:9">
      <c r="B250" s="206" t="s">
        <v>387</v>
      </c>
      <c r="C250" s="151" t="s">
        <v>607</v>
      </c>
      <c r="D250" s="67" t="s">
        <v>110</v>
      </c>
      <c r="E250" s="67">
        <f>E246</f>
        <v>201.6</v>
      </c>
      <c r="F250" s="68">
        <v>24</v>
      </c>
      <c r="G250" s="69">
        <v>30</v>
      </c>
      <c r="H250" s="68">
        <v>36</v>
      </c>
      <c r="I250" s="69">
        <f t="shared" si="24"/>
        <v>4838.3999999999996</v>
      </c>
    </row>
    <row r="251" spans="2:9">
      <c r="B251" s="571" t="s">
        <v>425</v>
      </c>
      <c r="C251" s="572"/>
      <c r="D251" s="307"/>
      <c r="E251" s="307"/>
      <c r="F251" s="307"/>
      <c r="G251" s="307"/>
      <c r="H251" s="307"/>
      <c r="I251" s="345">
        <f>SUM(I162:I250)</f>
        <v>2976824.2979999995</v>
      </c>
    </row>
    <row r="252" spans="2:9">
      <c r="B252" s="342">
        <v>3</v>
      </c>
      <c r="C252" s="225" t="s">
        <v>424</v>
      </c>
      <c r="D252" s="226" t="s">
        <v>7</v>
      </c>
      <c r="E252" s="226" t="s">
        <v>8</v>
      </c>
      <c r="F252" s="227" t="s">
        <v>410</v>
      </c>
      <c r="G252" s="227" t="s">
        <v>408</v>
      </c>
      <c r="H252" s="227" t="s">
        <v>409</v>
      </c>
      <c r="I252" s="228" t="s">
        <v>9</v>
      </c>
    </row>
    <row r="253" spans="2:9" ht="28.8">
      <c r="B253" s="206" t="s">
        <v>212</v>
      </c>
      <c r="C253" s="151" t="s">
        <v>213</v>
      </c>
      <c r="D253" s="67" t="s">
        <v>214</v>
      </c>
      <c r="E253" s="67">
        <v>520</v>
      </c>
      <c r="F253" s="68">
        <v>240</v>
      </c>
      <c r="G253" s="69">
        <v>240</v>
      </c>
      <c r="H253" s="68"/>
      <c r="I253" s="69">
        <f t="shared" ref="I253:I255" si="32">F253*E253</f>
        <v>124800</v>
      </c>
    </row>
    <row r="254" spans="2:9">
      <c r="B254" s="206" t="s">
        <v>215</v>
      </c>
      <c r="C254" s="151" t="s">
        <v>216</v>
      </c>
      <c r="D254" s="67" t="s">
        <v>214</v>
      </c>
      <c r="E254" s="67">
        <v>620</v>
      </c>
      <c r="F254" s="68">
        <v>240</v>
      </c>
      <c r="G254" s="69">
        <v>240</v>
      </c>
      <c r="H254" s="68"/>
      <c r="I254" s="69">
        <f t="shared" si="32"/>
        <v>148800</v>
      </c>
    </row>
    <row r="255" spans="2:9" ht="28.8">
      <c r="B255" s="206" t="s">
        <v>217</v>
      </c>
      <c r="C255" s="151" t="s">
        <v>218</v>
      </c>
      <c r="D255" s="67" t="s">
        <v>13</v>
      </c>
      <c r="E255" s="67">
        <v>5</v>
      </c>
      <c r="F255" s="68">
        <f>(3643*97%)+3643</f>
        <v>7176.71</v>
      </c>
      <c r="G255" s="69">
        <f>(5000*97%)+5000</f>
        <v>9850</v>
      </c>
      <c r="H255" s="68">
        <f>(5801*97%)+5801</f>
        <v>11427.970000000001</v>
      </c>
      <c r="I255" s="69">
        <f t="shared" si="32"/>
        <v>35883.550000000003</v>
      </c>
    </row>
    <row r="256" spans="2:9" ht="28.8">
      <c r="B256" s="206" t="s">
        <v>219</v>
      </c>
      <c r="C256" s="151" t="s">
        <v>220</v>
      </c>
      <c r="D256" s="67" t="s">
        <v>13</v>
      </c>
      <c r="E256" s="67">
        <v>5</v>
      </c>
      <c r="F256" s="68">
        <f>(1992.99+97%)+1992.99</f>
        <v>3986.95</v>
      </c>
      <c r="G256" s="69">
        <f>(2143*97%)+2143</f>
        <v>4221.71</v>
      </c>
      <c r="H256" s="72">
        <f>(3071*97%)+3071</f>
        <v>6049.87</v>
      </c>
      <c r="I256" s="69">
        <f>F256*E256*2</f>
        <v>39869.5</v>
      </c>
    </row>
    <row r="257" spans="2:9" ht="28.8">
      <c r="B257" s="206" t="s">
        <v>256</v>
      </c>
      <c r="C257" s="151" t="s">
        <v>608</v>
      </c>
      <c r="D257" s="67" t="s">
        <v>15</v>
      </c>
      <c r="E257" s="213">
        <f>20*5*3</f>
        <v>300</v>
      </c>
      <c r="F257" s="229">
        <v>250</v>
      </c>
      <c r="G257" s="69">
        <v>450</v>
      </c>
      <c r="H257" s="68">
        <v>581</v>
      </c>
      <c r="I257" s="69">
        <f t="shared" ref="I257:I265" si="33">F257*E257</f>
        <v>75000</v>
      </c>
    </row>
    <row r="258" spans="2:9" ht="57.6">
      <c r="B258" s="206" t="s">
        <v>221</v>
      </c>
      <c r="C258" s="151" t="s">
        <v>564</v>
      </c>
      <c r="D258" s="67" t="s">
        <v>18</v>
      </c>
      <c r="E258" s="67">
        <v>1</v>
      </c>
      <c r="F258" s="68">
        <v>4149</v>
      </c>
      <c r="G258" s="69">
        <v>5299</v>
      </c>
      <c r="H258" s="70">
        <v>5919</v>
      </c>
      <c r="I258" s="69">
        <f t="shared" si="33"/>
        <v>4149</v>
      </c>
    </row>
    <row r="259" spans="2:9" ht="28.8">
      <c r="B259" s="206" t="s">
        <v>222</v>
      </c>
      <c r="C259" s="230" t="s">
        <v>565</v>
      </c>
      <c r="D259" s="67" t="s">
        <v>18</v>
      </c>
      <c r="E259" s="67">
        <v>2</v>
      </c>
      <c r="F259" s="68">
        <v>1849</v>
      </c>
      <c r="G259" s="69">
        <v>2199</v>
      </c>
      <c r="H259" s="68">
        <v>2919</v>
      </c>
      <c r="I259" s="69">
        <f t="shared" si="33"/>
        <v>3698</v>
      </c>
    </row>
    <row r="260" spans="2:9" ht="57.6">
      <c r="B260" s="206" t="s">
        <v>223</v>
      </c>
      <c r="C260" s="151" t="s">
        <v>609</v>
      </c>
      <c r="D260" s="67" t="s">
        <v>18</v>
      </c>
      <c r="E260" s="67">
        <v>3</v>
      </c>
      <c r="F260" s="73">
        <v>1849.77</v>
      </c>
      <c r="G260" s="232">
        <v>2891</v>
      </c>
      <c r="H260" s="68">
        <v>3199</v>
      </c>
      <c r="I260" s="69">
        <f t="shared" si="33"/>
        <v>5549.3099999999995</v>
      </c>
    </row>
    <row r="261" spans="2:9" ht="28.8">
      <c r="B261" s="206" t="s">
        <v>224</v>
      </c>
      <c r="C261" s="151" t="s">
        <v>611</v>
      </c>
      <c r="D261" s="67" t="s">
        <v>18</v>
      </c>
      <c r="E261" s="67">
        <v>3</v>
      </c>
      <c r="F261" s="73">
        <v>169.9</v>
      </c>
      <c r="G261" s="232">
        <v>189</v>
      </c>
      <c r="H261" s="68">
        <v>197</v>
      </c>
      <c r="I261" s="69">
        <f t="shared" si="33"/>
        <v>509.70000000000005</v>
      </c>
    </row>
    <row r="262" spans="2:9" ht="43.2">
      <c r="B262" s="206" t="s">
        <v>225</v>
      </c>
      <c r="C262" s="151" t="s">
        <v>610</v>
      </c>
      <c r="D262" s="67" t="s">
        <v>18</v>
      </c>
      <c r="E262" s="67">
        <v>3</v>
      </c>
      <c r="F262" s="73">
        <v>1386</v>
      </c>
      <c r="G262" s="232">
        <v>1549</v>
      </c>
      <c r="H262" s="68">
        <v>1649.9</v>
      </c>
      <c r="I262" s="69">
        <f t="shared" si="33"/>
        <v>4158</v>
      </c>
    </row>
    <row r="263" spans="2:9" ht="28.8">
      <c r="B263" s="206" t="s">
        <v>226</v>
      </c>
      <c r="C263" s="151" t="s">
        <v>462</v>
      </c>
      <c r="D263" s="67" t="s">
        <v>13</v>
      </c>
      <c r="E263" s="67">
        <v>5</v>
      </c>
      <c r="F263" s="68">
        <v>124.99</v>
      </c>
      <c r="G263" s="69">
        <v>142</v>
      </c>
      <c r="H263" s="68">
        <v>159.9</v>
      </c>
      <c r="I263" s="69">
        <f t="shared" si="33"/>
        <v>624.94999999999993</v>
      </c>
    </row>
    <row r="264" spans="2:9" ht="43.2">
      <c r="B264" s="206" t="s">
        <v>227</v>
      </c>
      <c r="C264" s="151" t="s">
        <v>701</v>
      </c>
      <c r="D264" s="67" t="s">
        <v>13</v>
      </c>
      <c r="E264" s="67">
        <v>5</v>
      </c>
      <c r="F264" s="68">
        <v>2850</v>
      </c>
      <c r="G264" s="69">
        <v>3768</v>
      </c>
      <c r="H264" s="69">
        <v>5367.02</v>
      </c>
      <c r="I264" s="69">
        <f t="shared" si="33"/>
        <v>14250</v>
      </c>
    </row>
    <row r="265" spans="2:9" ht="28.8">
      <c r="B265" s="206" t="s">
        <v>228</v>
      </c>
      <c r="C265" s="151" t="s">
        <v>702</v>
      </c>
      <c r="D265" s="67" t="s">
        <v>15</v>
      </c>
      <c r="E265" s="67">
        <v>3</v>
      </c>
      <c r="F265" s="70">
        <v>300</v>
      </c>
      <c r="G265" s="74">
        <v>600</v>
      </c>
      <c r="H265" s="70">
        <v>975</v>
      </c>
      <c r="I265" s="69">
        <f t="shared" si="33"/>
        <v>900</v>
      </c>
    </row>
    <row r="266" spans="2:9" ht="28.8">
      <c r="B266" s="206" t="s">
        <v>229</v>
      </c>
      <c r="C266" s="151" t="s">
        <v>703</v>
      </c>
      <c r="D266" s="67" t="s">
        <v>13</v>
      </c>
      <c r="E266" s="67">
        <v>5</v>
      </c>
      <c r="F266" s="68">
        <v>49.9</v>
      </c>
      <c r="G266" s="69">
        <v>60</v>
      </c>
      <c r="H266" s="68">
        <v>65.900000000000006</v>
      </c>
      <c r="I266" s="69">
        <f>F266*E266*3</f>
        <v>748.5</v>
      </c>
    </row>
    <row r="267" spans="2:9" ht="28.8">
      <c r="B267" s="206" t="s">
        <v>230</v>
      </c>
      <c r="C267" s="151" t="s">
        <v>704</v>
      </c>
      <c r="D267" s="67" t="s">
        <v>15</v>
      </c>
      <c r="E267" s="67">
        <v>3</v>
      </c>
      <c r="F267" s="68">
        <v>144.9</v>
      </c>
      <c r="G267" s="69">
        <v>0</v>
      </c>
      <c r="H267" s="68">
        <v>265</v>
      </c>
      <c r="I267" s="69">
        <f t="shared" ref="I267:I289" si="34">F267*E267</f>
        <v>434.70000000000005</v>
      </c>
    </row>
    <row r="268" spans="2:9" ht="28.8">
      <c r="B268" s="206" t="s">
        <v>231</v>
      </c>
      <c r="C268" s="151" t="s">
        <v>615</v>
      </c>
      <c r="D268" s="67" t="s">
        <v>31</v>
      </c>
      <c r="E268" s="67">
        <f>55*4*5*3</f>
        <v>3300</v>
      </c>
      <c r="F268" s="256">
        <v>6.8</v>
      </c>
      <c r="G268" s="69">
        <v>6.9</v>
      </c>
      <c r="H268" s="68">
        <v>6.35</v>
      </c>
      <c r="I268" s="69">
        <f t="shared" si="34"/>
        <v>22440</v>
      </c>
    </row>
    <row r="269" spans="2:9" ht="28.8">
      <c r="B269" s="206" t="s">
        <v>232</v>
      </c>
      <c r="C269" s="151" t="s">
        <v>500</v>
      </c>
      <c r="D269" s="67" t="s">
        <v>18</v>
      </c>
      <c r="E269" s="67">
        <v>3</v>
      </c>
      <c r="F269" s="68">
        <v>99.86</v>
      </c>
      <c r="G269" s="69">
        <v>109.49</v>
      </c>
      <c r="H269" s="73">
        <v>211.19</v>
      </c>
      <c r="I269" s="69">
        <f t="shared" si="34"/>
        <v>299.58</v>
      </c>
    </row>
    <row r="270" spans="2:9" ht="28.8">
      <c r="B270" s="206" t="s">
        <v>233</v>
      </c>
      <c r="C270" s="252" t="s">
        <v>524</v>
      </c>
      <c r="D270" s="67" t="s">
        <v>18</v>
      </c>
      <c r="E270" s="213">
        <f>3*3</f>
        <v>9</v>
      </c>
      <c r="F270" s="68">
        <v>60</v>
      </c>
      <c r="G270" s="68">
        <v>65</v>
      </c>
      <c r="H270" s="69">
        <v>70</v>
      </c>
      <c r="I270" s="69">
        <f t="shared" si="34"/>
        <v>540</v>
      </c>
    </row>
    <row r="271" spans="2:9" ht="43.2">
      <c r="B271" s="206" t="s">
        <v>234</v>
      </c>
      <c r="C271" s="252" t="s">
        <v>705</v>
      </c>
      <c r="D271" s="67" t="s">
        <v>18</v>
      </c>
      <c r="E271" s="67">
        <f>3*1</f>
        <v>3</v>
      </c>
      <c r="F271" s="68">
        <v>75</v>
      </c>
      <c r="G271" s="68">
        <v>90</v>
      </c>
      <c r="H271" s="69">
        <v>98</v>
      </c>
      <c r="I271" s="69">
        <f t="shared" si="34"/>
        <v>225</v>
      </c>
    </row>
    <row r="272" spans="2:9" ht="43.2">
      <c r="B272" s="206" t="s">
        <v>235</v>
      </c>
      <c r="C272" s="252" t="s">
        <v>682</v>
      </c>
      <c r="D272" s="67" t="s">
        <v>18</v>
      </c>
      <c r="E272" s="213">
        <f>3*3</f>
        <v>9</v>
      </c>
      <c r="F272" s="68">
        <v>25</v>
      </c>
      <c r="G272" s="68">
        <v>40</v>
      </c>
      <c r="H272" s="69">
        <v>43</v>
      </c>
      <c r="I272" s="69">
        <f t="shared" si="34"/>
        <v>225</v>
      </c>
    </row>
    <row r="273" spans="2:9" ht="28.8">
      <c r="B273" s="206" t="s">
        <v>236</v>
      </c>
      <c r="C273" s="151" t="s">
        <v>617</v>
      </c>
      <c r="D273" s="67" t="s">
        <v>18</v>
      </c>
      <c r="E273" s="67">
        <v>3</v>
      </c>
      <c r="F273" s="68">
        <v>122</v>
      </c>
      <c r="G273" s="74">
        <v>170.91</v>
      </c>
      <c r="H273" s="68">
        <v>185</v>
      </c>
      <c r="I273" s="69">
        <f t="shared" si="34"/>
        <v>366</v>
      </c>
    </row>
    <row r="274" spans="2:9" ht="28.8">
      <c r="B274" s="206" t="s">
        <v>237</v>
      </c>
      <c r="C274" s="254" t="s">
        <v>527</v>
      </c>
      <c r="D274" s="67" t="s">
        <v>18</v>
      </c>
      <c r="E274" s="67">
        <v>3</v>
      </c>
      <c r="F274" s="68">
        <v>21.8</v>
      </c>
      <c r="G274" s="74">
        <v>36</v>
      </c>
      <c r="H274" s="68">
        <v>46.9</v>
      </c>
      <c r="I274" s="69">
        <f t="shared" si="34"/>
        <v>65.400000000000006</v>
      </c>
    </row>
    <row r="275" spans="2:9" ht="28.8">
      <c r="B275" s="206" t="s">
        <v>238</v>
      </c>
      <c r="C275" s="254" t="s">
        <v>618</v>
      </c>
      <c r="D275" s="67" t="s">
        <v>18</v>
      </c>
      <c r="E275" s="67">
        <v>3</v>
      </c>
      <c r="F275" s="73">
        <v>13.93</v>
      </c>
      <c r="G275" s="232">
        <v>15.71</v>
      </c>
      <c r="H275" s="73">
        <v>49.9</v>
      </c>
      <c r="I275" s="69">
        <f t="shared" si="34"/>
        <v>41.79</v>
      </c>
    </row>
    <row r="276" spans="2:9" ht="28.8">
      <c r="B276" s="206" t="s">
        <v>239</v>
      </c>
      <c r="C276" s="151" t="s">
        <v>529</v>
      </c>
      <c r="D276" s="67" t="s">
        <v>18</v>
      </c>
      <c r="E276" s="213">
        <f>3*3</f>
        <v>9</v>
      </c>
      <c r="F276" s="73">
        <v>12.4</v>
      </c>
      <c r="G276" s="232">
        <v>13.5</v>
      </c>
      <c r="H276" s="73">
        <v>20.260000000000002</v>
      </c>
      <c r="I276" s="69">
        <f t="shared" si="34"/>
        <v>111.60000000000001</v>
      </c>
    </row>
    <row r="277" spans="2:9">
      <c r="B277" s="206" t="s">
        <v>240</v>
      </c>
      <c r="C277" s="255" t="s">
        <v>619</v>
      </c>
      <c r="D277" s="67" t="s">
        <v>18</v>
      </c>
      <c r="E277" s="67">
        <v>3</v>
      </c>
      <c r="F277" s="68">
        <v>160</v>
      </c>
      <c r="G277" s="232">
        <v>163</v>
      </c>
      <c r="H277" s="73">
        <v>193.63</v>
      </c>
      <c r="I277" s="69">
        <f t="shared" si="34"/>
        <v>480</v>
      </c>
    </row>
    <row r="278" spans="2:9" ht="28.8">
      <c r="B278" s="206" t="s">
        <v>241</v>
      </c>
      <c r="C278" s="161" t="s">
        <v>474</v>
      </c>
      <c r="D278" s="67" t="s">
        <v>18</v>
      </c>
      <c r="E278" s="67">
        <v>3</v>
      </c>
      <c r="F278" s="70">
        <v>35</v>
      </c>
      <c r="G278" s="74">
        <v>41.4</v>
      </c>
      <c r="H278" s="68">
        <v>168.26</v>
      </c>
      <c r="I278" s="69">
        <f t="shared" si="34"/>
        <v>105</v>
      </c>
    </row>
    <row r="279" spans="2:9">
      <c r="B279" s="206" t="s">
        <v>242</v>
      </c>
      <c r="C279" s="255" t="s">
        <v>475</v>
      </c>
      <c r="D279" s="67" t="s">
        <v>18</v>
      </c>
      <c r="E279" s="67">
        <v>3</v>
      </c>
      <c r="F279" s="73">
        <v>41.4</v>
      </c>
      <c r="G279" s="69">
        <v>42.23</v>
      </c>
      <c r="H279" s="70">
        <v>50</v>
      </c>
      <c r="I279" s="69">
        <f t="shared" si="34"/>
        <v>124.19999999999999</v>
      </c>
    </row>
    <row r="280" spans="2:9" ht="28.8">
      <c r="B280" s="206" t="s">
        <v>243</v>
      </c>
      <c r="C280" s="210" t="s">
        <v>620</v>
      </c>
      <c r="D280" s="67" t="s">
        <v>18</v>
      </c>
      <c r="E280" s="67">
        <v>3</v>
      </c>
      <c r="F280" s="68">
        <v>2.77</v>
      </c>
      <c r="G280" s="74">
        <v>3.75</v>
      </c>
      <c r="H280" s="73">
        <v>3.96</v>
      </c>
      <c r="I280" s="69">
        <f t="shared" si="34"/>
        <v>8.31</v>
      </c>
    </row>
    <row r="281" spans="2:9">
      <c r="B281" s="206" t="s">
        <v>244</v>
      </c>
      <c r="C281" s="151" t="s">
        <v>477</v>
      </c>
      <c r="D281" s="67" t="s">
        <v>18</v>
      </c>
      <c r="E281" s="67">
        <v>3</v>
      </c>
      <c r="F281" s="68">
        <v>32.979999999999997</v>
      </c>
      <c r="G281" s="69">
        <v>58.66</v>
      </c>
      <c r="H281" s="68">
        <v>60.82</v>
      </c>
      <c r="I281" s="69">
        <f t="shared" si="34"/>
        <v>98.94</v>
      </c>
    </row>
    <row r="282" spans="2:9" ht="28.8">
      <c r="B282" s="206" t="s">
        <v>245</v>
      </c>
      <c r="C282" s="151" t="s">
        <v>621</v>
      </c>
      <c r="D282" s="67" t="s">
        <v>18</v>
      </c>
      <c r="E282" s="67">
        <v>3</v>
      </c>
      <c r="F282" s="73">
        <v>26.5</v>
      </c>
      <c r="G282" s="69">
        <v>61.9</v>
      </c>
      <c r="H282" s="68">
        <v>83.6</v>
      </c>
      <c r="I282" s="69">
        <f t="shared" si="34"/>
        <v>79.5</v>
      </c>
    </row>
    <row r="283" spans="2:9">
      <c r="B283" s="206" t="s">
        <v>246</v>
      </c>
      <c r="C283" s="151" t="s">
        <v>622</v>
      </c>
      <c r="D283" s="67" t="s">
        <v>68</v>
      </c>
      <c r="E283" s="67">
        <v>1</v>
      </c>
      <c r="F283" s="73">
        <v>204</v>
      </c>
      <c r="G283" s="232">
        <v>255</v>
      </c>
      <c r="H283" s="73">
        <v>280</v>
      </c>
      <c r="I283" s="69">
        <f t="shared" si="34"/>
        <v>204</v>
      </c>
    </row>
    <row r="284" spans="2:9" ht="28.8">
      <c r="B284" s="206" t="s">
        <v>247</v>
      </c>
      <c r="C284" s="151" t="s">
        <v>623</v>
      </c>
      <c r="D284" s="67" t="s">
        <v>18</v>
      </c>
      <c r="E284" s="67">
        <v>2</v>
      </c>
      <c r="F284" s="68">
        <v>49</v>
      </c>
      <c r="G284" s="69">
        <v>64</v>
      </c>
      <c r="H284" s="68">
        <v>80</v>
      </c>
      <c r="I284" s="69">
        <f t="shared" si="34"/>
        <v>98</v>
      </c>
    </row>
    <row r="285" spans="2:9" ht="28.8">
      <c r="B285" s="206" t="s">
        <v>248</v>
      </c>
      <c r="C285" s="161" t="s">
        <v>624</v>
      </c>
      <c r="D285" s="67" t="s">
        <v>18</v>
      </c>
      <c r="E285" s="67">
        <v>2</v>
      </c>
      <c r="F285" s="68">
        <v>103.2</v>
      </c>
      <c r="G285" s="74">
        <v>129</v>
      </c>
      <c r="H285" s="68">
        <v>167.81</v>
      </c>
      <c r="I285" s="69">
        <f t="shared" si="34"/>
        <v>206.4</v>
      </c>
    </row>
    <row r="286" spans="2:9" ht="28.8">
      <c r="B286" s="206" t="s">
        <v>249</v>
      </c>
      <c r="C286" s="161" t="s">
        <v>625</v>
      </c>
      <c r="D286" s="67" t="s">
        <v>18</v>
      </c>
      <c r="E286" s="67">
        <v>2</v>
      </c>
      <c r="F286" s="68">
        <v>37.6</v>
      </c>
      <c r="G286" s="69">
        <v>54</v>
      </c>
      <c r="H286" s="68">
        <v>59.6</v>
      </c>
      <c r="I286" s="69">
        <f t="shared" si="34"/>
        <v>75.2</v>
      </c>
    </row>
    <row r="287" spans="2:9" ht="28.8">
      <c r="B287" s="206" t="s">
        <v>250</v>
      </c>
      <c r="C287" s="161" t="s">
        <v>626</v>
      </c>
      <c r="D287" s="67" t="s">
        <v>18</v>
      </c>
      <c r="E287" s="67">
        <v>2</v>
      </c>
      <c r="F287" s="68">
        <v>29.6</v>
      </c>
      <c r="G287" s="74">
        <v>53.7</v>
      </c>
      <c r="H287" s="68">
        <v>61.28</v>
      </c>
      <c r="I287" s="69">
        <f t="shared" si="34"/>
        <v>59.2</v>
      </c>
    </row>
    <row r="288" spans="2:9" ht="28.8">
      <c r="B288" s="206" t="s">
        <v>251</v>
      </c>
      <c r="C288" s="161" t="s">
        <v>627</v>
      </c>
      <c r="D288" s="67" t="s">
        <v>18</v>
      </c>
      <c r="E288" s="67">
        <v>2</v>
      </c>
      <c r="F288" s="68">
        <v>36</v>
      </c>
      <c r="G288" s="69">
        <v>50.6</v>
      </c>
      <c r="H288" s="68">
        <v>54.6</v>
      </c>
      <c r="I288" s="69">
        <f t="shared" si="34"/>
        <v>72</v>
      </c>
    </row>
    <row r="289" spans="2:9" ht="28.8">
      <c r="B289" s="206" t="s">
        <v>252</v>
      </c>
      <c r="C289" s="161" t="s">
        <v>552</v>
      </c>
      <c r="D289" s="67" t="s">
        <v>18</v>
      </c>
      <c r="E289" s="67">
        <v>2</v>
      </c>
      <c r="F289" s="68">
        <v>140.54</v>
      </c>
      <c r="G289" s="69">
        <v>186.8</v>
      </c>
      <c r="H289" s="68">
        <v>341.8</v>
      </c>
      <c r="I289" s="69">
        <f t="shared" si="34"/>
        <v>281.08</v>
      </c>
    </row>
    <row r="290" spans="2:9">
      <c r="B290" s="571" t="s">
        <v>253</v>
      </c>
      <c r="C290" s="572"/>
      <c r="D290" s="300"/>
      <c r="E290" s="300"/>
      <c r="F290" s="302"/>
      <c r="G290" s="302"/>
      <c r="H290" s="302"/>
      <c r="I290" s="327">
        <f>SUM(I253:I289)</f>
        <v>485581.41000000009</v>
      </c>
    </row>
    <row r="291" spans="2:9" ht="28.8">
      <c r="B291" s="224" t="s">
        <v>257</v>
      </c>
      <c r="C291" s="225" t="s">
        <v>258</v>
      </c>
      <c r="D291" s="226" t="s">
        <v>7</v>
      </c>
      <c r="E291" s="226" t="s">
        <v>8</v>
      </c>
      <c r="F291" s="227" t="s">
        <v>410</v>
      </c>
      <c r="G291" s="227" t="s">
        <v>408</v>
      </c>
      <c r="H291" s="227" t="s">
        <v>409</v>
      </c>
      <c r="I291" s="228" t="s">
        <v>9</v>
      </c>
    </row>
    <row r="292" spans="2:9" ht="43.2">
      <c r="B292" s="206" t="s">
        <v>259</v>
      </c>
      <c r="C292" s="151" t="s">
        <v>260</v>
      </c>
      <c r="D292" s="67" t="s">
        <v>13</v>
      </c>
      <c r="E292" s="67">
        <v>12</v>
      </c>
      <c r="F292" s="68">
        <f>(3643*97%)+3643</f>
        <v>7176.71</v>
      </c>
      <c r="G292" s="69">
        <f>(5000*97%)+5000</f>
        <v>9850</v>
      </c>
      <c r="H292" s="68">
        <f>(5801*97%)+5801</f>
        <v>11427.970000000001</v>
      </c>
      <c r="I292" s="69">
        <f t="shared" ref="I292:I293" si="35">F292*E292</f>
        <v>86120.52</v>
      </c>
    </row>
    <row r="293" spans="2:9" ht="28.8">
      <c r="B293" s="206" t="s">
        <v>261</v>
      </c>
      <c r="C293" s="151" t="s">
        <v>262</v>
      </c>
      <c r="D293" s="67" t="s">
        <v>13</v>
      </c>
      <c r="E293" s="67">
        <v>12</v>
      </c>
      <c r="F293" s="251">
        <f>(2825.54*97%)+2825.54</f>
        <v>5566.3137999999999</v>
      </c>
      <c r="G293" s="249">
        <f>(2942.99*97%)+2942.99</f>
        <v>5797.6902999999993</v>
      </c>
      <c r="H293" s="250">
        <f>(3397*97%)+3397</f>
        <v>6692.09</v>
      </c>
      <c r="I293" s="69">
        <f t="shared" si="35"/>
        <v>66795.765599999999</v>
      </c>
    </row>
    <row r="294" spans="2:9" ht="28.8">
      <c r="B294" s="206" t="s">
        <v>263</v>
      </c>
      <c r="C294" s="151" t="s">
        <v>264</v>
      </c>
      <c r="D294" s="67" t="s">
        <v>13</v>
      </c>
      <c r="E294" s="67">
        <v>12</v>
      </c>
      <c r="F294" s="68">
        <f>(1412*97%)+1412</f>
        <v>2781.64</v>
      </c>
      <c r="G294" s="69">
        <f>(1454*97%)+1454</f>
        <v>2864.38</v>
      </c>
      <c r="H294" s="68">
        <f>(1700*97%)+1700</f>
        <v>3349</v>
      </c>
      <c r="I294" s="69">
        <f>F294*E294*2</f>
        <v>66759.360000000001</v>
      </c>
    </row>
    <row r="295" spans="2:9" ht="28.8">
      <c r="B295" s="206" t="s">
        <v>265</v>
      </c>
      <c r="C295" s="151" t="s">
        <v>515</v>
      </c>
      <c r="D295" s="67" t="s">
        <v>15</v>
      </c>
      <c r="E295" s="67">
        <f t="shared" ref="E295:E296" si="36">4*20*12</f>
        <v>960</v>
      </c>
      <c r="F295" s="68">
        <v>32</v>
      </c>
      <c r="G295" s="69">
        <v>32</v>
      </c>
      <c r="H295" s="68">
        <v>35</v>
      </c>
      <c r="I295" s="69">
        <f t="shared" ref="I295:I305" si="37">F295*E295</f>
        <v>30720</v>
      </c>
    </row>
    <row r="296" spans="2:9" ht="28.8">
      <c r="B296" s="206" t="s">
        <v>266</v>
      </c>
      <c r="C296" s="151" t="s">
        <v>574</v>
      </c>
      <c r="D296" s="67" t="s">
        <v>15</v>
      </c>
      <c r="E296" s="67">
        <f t="shared" si="36"/>
        <v>960</v>
      </c>
      <c r="F296" s="68">
        <v>8</v>
      </c>
      <c r="G296" s="69">
        <v>8.6</v>
      </c>
      <c r="H296" s="68">
        <v>9</v>
      </c>
      <c r="I296" s="69">
        <f t="shared" si="37"/>
        <v>7680</v>
      </c>
    </row>
    <row r="297" spans="2:9" ht="28.8">
      <c r="B297" s="206" t="s">
        <v>268</v>
      </c>
      <c r="C297" s="230" t="s">
        <v>565</v>
      </c>
      <c r="D297" s="67" t="s">
        <v>18</v>
      </c>
      <c r="E297" s="67">
        <v>2</v>
      </c>
      <c r="F297" s="68">
        <v>1849</v>
      </c>
      <c r="G297" s="69">
        <v>2199</v>
      </c>
      <c r="H297" s="68">
        <v>2919</v>
      </c>
      <c r="I297" s="69">
        <f t="shared" si="37"/>
        <v>3698</v>
      </c>
    </row>
    <row r="298" spans="2:9" ht="57.6">
      <c r="B298" s="206" t="s">
        <v>269</v>
      </c>
      <c r="C298" s="151" t="s">
        <v>609</v>
      </c>
      <c r="D298" s="67" t="s">
        <v>18</v>
      </c>
      <c r="E298" s="67">
        <v>2</v>
      </c>
      <c r="F298" s="73">
        <v>1849.77</v>
      </c>
      <c r="G298" s="232">
        <v>2891</v>
      </c>
      <c r="H298" s="68">
        <v>3199</v>
      </c>
      <c r="I298" s="69">
        <f t="shared" si="37"/>
        <v>3699.54</v>
      </c>
    </row>
    <row r="299" spans="2:9" ht="28.8">
      <c r="B299" s="206" t="s">
        <v>270</v>
      </c>
      <c r="C299" s="151" t="s">
        <v>567</v>
      </c>
      <c r="D299" s="67" t="s">
        <v>18</v>
      </c>
      <c r="E299" s="67">
        <v>2</v>
      </c>
      <c r="F299" s="68">
        <v>169.9</v>
      </c>
      <c r="G299" s="69">
        <v>189.9</v>
      </c>
      <c r="H299" s="68">
        <v>197.59</v>
      </c>
      <c r="I299" s="69">
        <f t="shared" si="37"/>
        <v>339.8</v>
      </c>
    </row>
    <row r="300" spans="2:9" ht="43.2">
      <c r="B300" s="206" t="s">
        <v>271</v>
      </c>
      <c r="C300" s="151" t="s">
        <v>629</v>
      </c>
      <c r="D300" s="67" t="s">
        <v>18</v>
      </c>
      <c r="E300" s="67">
        <v>2</v>
      </c>
      <c r="F300" s="73">
        <v>1386</v>
      </c>
      <c r="G300" s="69">
        <v>1549</v>
      </c>
      <c r="H300" s="68">
        <v>1649.9</v>
      </c>
      <c r="I300" s="69">
        <f t="shared" si="37"/>
        <v>2772</v>
      </c>
    </row>
    <row r="301" spans="2:9" ht="28.8">
      <c r="B301" s="206" t="s">
        <v>272</v>
      </c>
      <c r="C301" s="151" t="s">
        <v>462</v>
      </c>
      <c r="D301" s="67" t="s">
        <v>13</v>
      </c>
      <c r="E301" s="67">
        <v>12</v>
      </c>
      <c r="F301" s="68">
        <v>124.99</v>
      </c>
      <c r="G301" s="69">
        <v>142</v>
      </c>
      <c r="H301" s="68">
        <v>159.99</v>
      </c>
      <c r="I301" s="69">
        <f t="shared" si="37"/>
        <v>1499.8799999999999</v>
      </c>
    </row>
    <row r="302" spans="2:9" ht="28.8">
      <c r="B302" s="206" t="s">
        <v>273</v>
      </c>
      <c r="C302" s="151" t="s">
        <v>628</v>
      </c>
      <c r="D302" s="67" t="s">
        <v>18</v>
      </c>
      <c r="E302" s="213">
        <v>1</v>
      </c>
      <c r="F302" s="73">
        <v>6459.11</v>
      </c>
      <c r="G302" s="68">
        <v>6686</v>
      </c>
      <c r="H302" s="69">
        <v>6892</v>
      </c>
      <c r="I302" s="69">
        <f t="shared" si="37"/>
        <v>6459.11</v>
      </c>
    </row>
    <row r="303" spans="2:9" ht="28.8">
      <c r="B303" s="206" t="s">
        <v>274</v>
      </c>
      <c r="C303" s="151" t="s">
        <v>706</v>
      </c>
      <c r="D303" s="67" t="s">
        <v>13</v>
      </c>
      <c r="E303" s="67">
        <v>12</v>
      </c>
      <c r="F303" s="68">
        <v>2850</v>
      </c>
      <c r="G303" s="69">
        <v>3768</v>
      </c>
      <c r="H303" s="69">
        <v>5367.02</v>
      </c>
      <c r="I303" s="69">
        <f t="shared" si="37"/>
        <v>34200</v>
      </c>
    </row>
    <row r="304" spans="2:9" ht="28.8">
      <c r="B304" s="206" t="s">
        <v>275</v>
      </c>
      <c r="C304" s="151" t="s">
        <v>707</v>
      </c>
      <c r="D304" s="67" t="s">
        <v>15</v>
      </c>
      <c r="E304" s="67">
        <v>2</v>
      </c>
      <c r="F304" s="70">
        <v>300</v>
      </c>
      <c r="G304" s="74">
        <v>600</v>
      </c>
      <c r="H304" s="70">
        <v>975</v>
      </c>
      <c r="I304" s="69">
        <f t="shared" si="37"/>
        <v>600</v>
      </c>
    </row>
    <row r="305" spans="2:9" ht="28.8">
      <c r="B305" s="206" t="s">
        <v>276</v>
      </c>
      <c r="C305" s="151" t="s">
        <v>579</v>
      </c>
      <c r="D305" s="67" t="s">
        <v>15</v>
      </c>
      <c r="E305" s="67">
        <v>2</v>
      </c>
      <c r="F305" s="68">
        <v>144.9</v>
      </c>
      <c r="G305" s="74">
        <v>0</v>
      </c>
      <c r="H305" s="68">
        <v>265</v>
      </c>
      <c r="I305" s="69">
        <f t="shared" si="37"/>
        <v>289.8</v>
      </c>
    </row>
    <row r="306" spans="2:9" ht="28.8">
      <c r="B306" s="206" t="s">
        <v>277</v>
      </c>
      <c r="C306" s="151" t="s">
        <v>632</v>
      </c>
      <c r="D306" s="67" t="s">
        <v>13</v>
      </c>
      <c r="E306" s="67">
        <v>12</v>
      </c>
      <c r="F306" s="68">
        <v>49.9</v>
      </c>
      <c r="G306" s="74">
        <v>60</v>
      </c>
      <c r="H306" s="68">
        <v>65.900000000000006</v>
      </c>
      <c r="I306" s="69">
        <f>F306*E306*2</f>
        <v>1197.5999999999999</v>
      </c>
    </row>
    <row r="307" spans="2:9" ht="28.8">
      <c r="B307" s="206" t="s">
        <v>278</v>
      </c>
      <c r="C307" s="151" t="s">
        <v>633</v>
      </c>
      <c r="D307" s="67" t="s">
        <v>108</v>
      </c>
      <c r="E307" s="67">
        <f>55*4*12*2</f>
        <v>5280</v>
      </c>
      <c r="F307" s="256">
        <v>6.08</v>
      </c>
      <c r="G307" s="69">
        <v>6.09</v>
      </c>
      <c r="H307" s="68">
        <v>6.35</v>
      </c>
      <c r="I307" s="69">
        <f t="shared" ref="I307:I342" si="38">F307*E307</f>
        <v>32102.400000000001</v>
      </c>
    </row>
    <row r="308" spans="2:9" ht="28.8">
      <c r="B308" s="206" t="s">
        <v>279</v>
      </c>
      <c r="C308" s="151" t="s">
        <v>634</v>
      </c>
      <c r="D308" s="67" t="s">
        <v>18</v>
      </c>
      <c r="E308" s="67">
        <v>2</v>
      </c>
      <c r="F308" s="68">
        <v>99.86</v>
      </c>
      <c r="G308" s="69">
        <v>109.49</v>
      </c>
      <c r="H308" s="73">
        <v>211.19</v>
      </c>
      <c r="I308" s="69">
        <f t="shared" si="38"/>
        <v>199.72</v>
      </c>
    </row>
    <row r="309" spans="2:9" ht="28.8">
      <c r="B309" s="206" t="s">
        <v>280</v>
      </c>
      <c r="C309" s="252" t="s">
        <v>469</v>
      </c>
      <c r="D309" s="67" t="s">
        <v>18</v>
      </c>
      <c r="E309" s="213">
        <f t="shared" ref="E309:E310" si="39">6*4*1</f>
        <v>24</v>
      </c>
      <c r="F309" s="68">
        <v>60</v>
      </c>
      <c r="G309" s="68">
        <v>65</v>
      </c>
      <c r="H309" s="69">
        <v>70</v>
      </c>
      <c r="I309" s="69">
        <f t="shared" si="38"/>
        <v>1440</v>
      </c>
    </row>
    <row r="310" spans="2:9" ht="43.2">
      <c r="B310" s="206" t="s">
        <v>281</v>
      </c>
      <c r="C310" s="252" t="s">
        <v>501</v>
      </c>
      <c r="D310" s="67" t="s">
        <v>18</v>
      </c>
      <c r="E310" s="213">
        <f t="shared" si="39"/>
        <v>24</v>
      </c>
      <c r="F310" s="68">
        <v>25</v>
      </c>
      <c r="G310" s="68">
        <v>40</v>
      </c>
      <c r="H310" s="69">
        <v>43</v>
      </c>
      <c r="I310" s="69">
        <f t="shared" si="38"/>
        <v>600</v>
      </c>
    </row>
    <row r="311" spans="2:9" ht="28.8">
      <c r="B311" s="206" t="s">
        <v>384</v>
      </c>
      <c r="C311" s="151" t="s">
        <v>617</v>
      </c>
      <c r="D311" s="67" t="s">
        <v>18</v>
      </c>
      <c r="E311" s="67">
        <f t="shared" ref="E311:E314" si="40">2*4</f>
        <v>8</v>
      </c>
      <c r="F311" s="73">
        <v>122</v>
      </c>
      <c r="G311" s="232">
        <v>170.91</v>
      </c>
      <c r="H311" s="73">
        <v>185</v>
      </c>
      <c r="I311" s="69">
        <f t="shared" si="38"/>
        <v>976</v>
      </c>
    </row>
    <row r="312" spans="2:9" ht="28.8">
      <c r="B312" s="206" t="s">
        <v>385</v>
      </c>
      <c r="C312" s="151" t="s">
        <v>584</v>
      </c>
      <c r="D312" s="67" t="s">
        <v>18</v>
      </c>
      <c r="E312" s="67">
        <f t="shared" si="40"/>
        <v>8</v>
      </c>
      <c r="F312" s="73">
        <v>22.94</v>
      </c>
      <c r="G312" s="232">
        <v>23.46</v>
      </c>
      <c r="H312" s="73">
        <v>30</v>
      </c>
      <c r="I312" s="69">
        <f t="shared" si="38"/>
        <v>183.52</v>
      </c>
    </row>
    <row r="313" spans="2:9" ht="28.8">
      <c r="B313" s="206" t="s">
        <v>282</v>
      </c>
      <c r="C313" s="151" t="s">
        <v>668</v>
      </c>
      <c r="D313" s="67" t="s">
        <v>18</v>
      </c>
      <c r="E313" s="67">
        <f t="shared" si="40"/>
        <v>8</v>
      </c>
      <c r="F313" s="73">
        <v>21.8</v>
      </c>
      <c r="G313" s="232">
        <v>36</v>
      </c>
      <c r="H313" s="73">
        <v>46.9</v>
      </c>
      <c r="I313" s="69">
        <f t="shared" si="38"/>
        <v>174.4</v>
      </c>
    </row>
    <row r="314" spans="2:9" ht="28.8">
      <c r="B314" s="206" t="s">
        <v>283</v>
      </c>
      <c r="C314" s="254" t="s">
        <v>528</v>
      </c>
      <c r="D314" s="67" t="s">
        <v>18</v>
      </c>
      <c r="E314" s="67">
        <f t="shared" si="40"/>
        <v>8</v>
      </c>
      <c r="F314" s="73">
        <v>13.93</v>
      </c>
      <c r="G314" s="232">
        <v>15.71</v>
      </c>
      <c r="H314" s="73">
        <v>22.5</v>
      </c>
      <c r="I314" s="69">
        <f t="shared" si="38"/>
        <v>111.44</v>
      </c>
    </row>
    <row r="315" spans="2:9" ht="28.8">
      <c r="B315" s="206" t="s">
        <v>284</v>
      </c>
      <c r="C315" s="151" t="s">
        <v>529</v>
      </c>
      <c r="D315" s="67" t="s">
        <v>18</v>
      </c>
      <c r="E315" s="67">
        <f>3*4*12</f>
        <v>144</v>
      </c>
      <c r="F315" s="73">
        <v>12.4</v>
      </c>
      <c r="G315" s="232">
        <v>13.5</v>
      </c>
      <c r="H315" s="73">
        <v>20.260000000000002</v>
      </c>
      <c r="I315" s="69">
        <f t="shared" si="38"/>
        <v>1785.6000000000001</v>
      </c>
    </row>
    <row r="316" spans="2:9">
      <c r="B316" s="206" t="s">
        <v>285</v>
      </c>
      <c r="C316" s="255" t="s">
        <v>619</v>
      </c>
      <c r="D316" s="67" t="s">
        <v>18</v>
      </c>
      <c r="E316" s="67">
        <f>2*4</f>
        <v>8</v>
      </c>
      <c r="F316" s="73">
        <v>160</v>
      </c>
      <c r="G316" s="232">
        <v>163</v>
      </c>
      <c r="H316" s="73">
        <v>193.63</v>
      </c>
      <c r="I316" s="69">
        <f t="shared" si="38"/>
        <v>1280</v>
      </c>
    </row>
    <row r="317" spans="2:9" ht="28.8">
      <c r="B317" s="206" t="s">
        <v>286</v>
      </c>
      <c r="C317" s="161" t="s">
        <v>474</v>
      </c>
      <c r="D317" s="67" t="s">
        <v>18</v>
      </c>
      <c r="E317" s="67">
        <v>4</v>
      </c>
      <c r="F317" s="73">
        <v>35</v>
      </c>
      <c r="G317" s="232">
        <v>41.4</v>
      </c>
      <c r="H317" s="73">
        <v>168.26</v>
      </c>
      <c r="I317" s="69">
        <f t="shared" si="38"/>
        <v>140</v>
      </c>
    </row>
    <row r="318" spans="2:9">
      <c r="B318" s="206" t="s">
        <v>287</v>
      </c>
      <c r="C318" s="255" t="s">
        <v>475</v>
      </c>
      <c r="D318" s="67" t="s">
        <v>18</v>
      </c>
      <c r="E318" s="67">
        <v>4</v>
      </c>
      <c r="F318" s="73">
        <v>41.4</v>
      </c>
      <c r="G318" s="232">
        <v>42.23</v>
      </c>
      <c r="H318" s="73">
        <v>50</v>
      </c>
      <c r="I318" s="69">
        <f t="shared" si="38"/>
        <v>165.6</v>
      </c>
    </row>
    <row r="319" spans="2:9" ht="28.8">
      <c r="B319" s="206" t="s">
        <v>288</v>
      </c>
      <c r="C319" s="151" t="s">
        <v>621</v>
      </c>
      <c r="D319" s="67" t="s">
        <v>18</v>
      </c>
      <c r="E319" s="67">
        <v>2</v>
      </c>
      <c r="F319" s="73">
        <v>26.5</v>
      </c>
      <c r="G319" s="232">
        <v>61.9</v>
      </c>
      <c r="H319" s="73">
        <v>83.6</v>
      </c>
      <c r="I319" s="69">
        <f t="shared" si="38"/>
        <v>53</v>
      </c>
    </row>
    <row r="320" spans="2:9" ht="28.8">
      <c r="B320" s="206" t="s">
        <v>289</v>
      </c>
      <c r="C320" s="151" t="s">
        <v>494</v>
      </c>
      <c r="D320" s="67" t="s">
        <v>18</v>
      </c>
      <c r="E320" s="67">
        <f t="shared" ref="E320:E321" si="41">2*2</f>
        <v>4</v>
      </c>
      <c r="F320" s="73">
        <v>27.9</v>
      </c>
      <c r="G320" s="232">
        <v>30</v>
      </c>
      <c r="H320" s="73">
        <v>32.229999999999997</v>
      </c>
      <c r="I320" s="69">
        <f t="shared" si="38"/>
        <v>111.6</v>
      </c>
    </row>
    <row r="321" spans="2:9">
      <c r="B321" s="206" t="s">
        <v>290</v>
      </c>
      <c r="C321" s="151" t="s">
        <v>495</v>
      </c>
      <c r="D321" s="67" t="s">
        <v>18</v>
      </c>
      <c r="E321" s="67">
        <f t="shared" si="41"/>
        <v>4</v>
      </c>
      <c r="F321" s="68">
        <v>157.44</v>
      </c>
      <c r="G321" s="69">
        <v>184.26</v>
      </c>
      <c r="H321" s="68">
        <v>208.95</v>
      </c>
      <c r="I321" s="69">
        <f t="shared" si="38"/>
        <v>629.76</v>
      </c>
    </row>
    <row r="322" spans="2:9">
      <c r="B322" s="206" t="s">
        <v>291</v>
      </c>
      <c r="C322" s="151" t="s">
        <v>496</v>
      </c>
      <c r="D322" s="67" t="s">
        <v>18</v>
      </c>
      <c r="E322" s="67">
        <f>4*2</f>
        <v>8</v>
      </c>
      <c r="F322" s="68">
        <v>33.729999999999997</v>
      </c>
      <c r="G322" s="69">
        <v>43.66</v>
      </c>
      <c r="H322" s="68">
        <v>72</v>
      </c>
      <c r="I322" s="69">
        <f t="shared" si="38"/>
        <v>269.83999999999997</v>
      </c>
    </row>
    <row r="323" spans="2:9" ht="28.8">
      <c r="B323" s="206" t="s">
        <v>292</v>
      </c>
      <c r="C323" s="151" t="s">
        <v>640</v>
      </c>
      <c r="D323" s="67" t="s">
        <v>18</v>
      </c>
      <c r="E323" s="213">
        <f t="shared" ref="E323:E325" si="42">1*4</f>
        <v>4</v>
      </c>
      <c r="F323" s="68">
        <v>197.13</v>
      </c>
      <c r="G323" s="69">
        <v>389.9</v>
      </c>
      <c r="H323" s="68">
        <v>389.9</v>
      </c>
      <c r="I323" s="69">
        <f t="shared" si="38"/>
        <v>788.52</v>
      </c>
    </row>
    <row r="324" spans="2:9" ht="28.8">
      <c r="B324" s="206" t="s">
        <v>293</v>
      </c>
      <c r="C324" s="151" t="s">
        <v>639</v>
      </c>
      <c r="D324" s="67" t="s">
        <v>18</v>
      </c>
      <c r="E324" s="67">
        <f t="shared" si="42"/>
        <v>4</v>
      </c>
      <c r="F324" s="68">
        <v>54.06</v>
      </c>
      <c r="G324" s="69">
        <v>114.99</v>
      </c>
      <c r="H324" s="68">
        <v>125</v>
      </c>
      <c r="I324" s="69">
        <f t="shared" si="38"/>
        <v>216.24</v>
      </c>
    </row>
    <row r="325" spans="2:9" ht="28.8">
      <c r="B325" s="206" t="s">
        <v>294</v>
      </c>
      <c r="C325" s="151" t="s">
        <v>638</v>
      </c>
      <c r="D325" s="75" t="s">
        <v>18</v>
      </c>
      <c r="E325" s="67">
        <f t="shared" si="42"/>
        <v>4</v>
      </c>
      <c r="F325" s="68">
        <v>5842.47</v>
      </c>
      <c r="G325" s="69">
        <v>6594.73</v>
      </c>
      <c r="H325" s="68">
        <v>7022.18</v>
      </c>
      <c r="I325" s="69">
        <f t="shared" si="38"/>
        <v>23369.88</v>
      </c>
    </row>
    <row r="326" spans="2:9" ht="28.8">
      <c r="B326" s="206" t="s">
        <v>295</v>
      </c>
      <c r="C326" s="151" t="s">
        <v>637</v>
      </c>
      <c r="D326" s="75" t="s">
        <v>18</v>
      </c>
      <c r="E326" s="67">
        <v>4</v>
      </c>
      <c r="F326" s="68">
        <v>310</v>
      </c>
      <c r="G326" s="69">
        <v>345.99</v>
      </c>
      <c r="H326" s="68">
        <v>440</v>
      </c>
      <c r="I326" s="69">
        <f t="shared" si="38"/>
        <v>1240</v>
      </c>
    </row>
    <row r="327" spans="2:9" ht="28.8">
      <c r="B327" s="206" t="s">
        <v>296</v>
      </c>
      <c r="C327" s="151" t="s">
        <v>636</v>
      </c>
      <c r="D327" s="75" t="s">
        <v>18</v>
      </c>
      <c r="E327" s="67">
        <v>4</v>
      </c>
      <c r="F327" s="68">
        <v>69</v>
      </c>
      <c r="G327" s="69">
        <v>74.2</v>
      </c>
      <c r="H327" s="68">
        <v>75.14</v>
      </c>
      <c r="I327" s="69">
        <f t="shared" si="38"/>
        <v>276</v>
      </c>
    </row>
    <row r="328" spans="2:9" ht="28.8">
      <c r="B328" s="206" t="s">
        <v>297</v>
      </c>
      <c r="C328" s="151" t="s">
        <v>635</v>
      </c>
      <c r="D328" s="75" t="s">
        <v>18</v>
      </c>
      <c r="E328" s="67">
        <v>2</v>
      </c>
      <c r="F328" s="68">
        <v>14.8</v>
      </c>
      <c r="G328" s="69">
        <v>15.18</v>
      </c>
      <c r="H328" s="68">
        <v>16.899999999999999</v>
      </c>
      <c r="I328" s="69">
        <f t="shared" si="38"/>
        <v>29.6</v>
      </c>
    </row>
    <row r="329" spans="2:9" ht="28.8">
      <c r="B329" s="206" t="s">
        <v>298</v>
      </c>
      <c r="C329" s="161" t="s">
        <v>626</v>
      </c>
      <c r="D329" s="75" t="s">
        <v>18</v>
      </c>
      <c r="E329" s="67">
        <v>4</v>
      </c>
      <c r="F329" s="68">
        <v>29.6</v>
      </c>
      <c r="G329" s="74">
        <v>53.7</v>
      </c>
      <c r="H329" s="68">
        <v>61.28</v>
      </c>
      <c r="I329" s="69">
        <f t="shared" si="38"/>
        <v>118.4</v>
      </c>
    </row>
    <row r="330" spans="2:9">
      <c r="B330" s="206" t="s">
        <v>299</v>
      </c>
      <c r="C330" s="151" t="s">
        <v>641</v>
      </c>
      <c r="D330" s="67" t="s">
        <v>68</v>
      </c>
      <c r="E330" s="67">
        <v>4600</v>
      </c>
      <c r="F330" s="68">
        <v>14</v>
      </c>
      <c r="G330" s="69">
        <v>14</v>
      </c>
      <c r="H330" s="68">
        <v>18.2</v>
      </c>
      <c r="I330" s="69">
        <f t="shared" si="38"/>
        <v>64400</v>
      </c>
    </row>
    <row r="331" spans="2:9">
      <c r="B331" s="206" t="s">
        <v>300</v>
      </c>
      <c r="C331" s="151" t="s">
        <v>302</v>
      </c>
      <c r="D331" s="67" t="s">
        <v>18</v>
      </c>
      <c r="E331" s="67">
        <v>1200</v>
      </c>
      <c r="F331" s="68">
        <v>29.92</v>
      </c>
      <c r="G331" s="69">
        <v>44</v>
      </c>
      <c r="H331" s="68">
        <v>73.44</v>
      </c>
      <c r="I331" s="69">
        <f t="shared" si="38"/>
        <v>35904</v>
      </c>
    </row>
    <row r="332" spans="2:9">
      <c r="B332" s="206" t="s">
        <v>301</v>
      </c>
      <c r="C332" s="161" t="s">
        <v>642</v>
      </c>
      <c r="D332" s="67" t="s">
        <v>18</v>
      </c>
      <c r="E332" s="67">
        <v>20</v>
      </c>
      <c r="F332" s="68">
        <v>20</v>
      </c>
      <c r="G332" s="69">
        <v>27.46</v>
      </c>
      <c r="H332" s="68">
        <v>35</v>
      </c>
      <c r="I332" s="69">
        <f t="shared" si="38"/>
        <v>400</v>
      </c>
    </row>
    <row r="333" spans="2:9">
      <c r="B333" s="206" t="s">
        <v>303</v>
      </c>
      <c r="C333" s="161" t="s">
        <v>643</v>
      </c>
      <c r="D333" s="67" t="s">
        <v>103</v>
      </c>
      <c r="E333" s="67">
        <v>20</v>
      </c>
      <c r="F333" s="68">
        <v>36.200000000000003</v>
      </c>
      <c r="G333" s="69">
        <v>45.25</v>
      </c>
      <c r="H333" s="68">
        <v>52.49</v>
      </c>
      <c r="I333" s="69">
        <f t="shared" si="38"/>
        <v>724</v>
      </c>
    </row>
    <row r="334" spans="2:9" ht="28.8">
      <c r="B334" s="206" t="s">
        <v>304</v>
      </c>
      <c r="C334" s="161" t="s">
        <v>644</v>
      </c>
      <c r="D334" s="67" t="s">
        <v>18</v>
      </c>
      <c r="E334" s="67">
        <v>4</v>
      </c>
      <c r="F334" s="68">
        <v>120</v>
      </c>
      <c r="G334" s="69">
        <v>150</v>
      </c>
      <c r="H334" s="68">
        <v>156</v>
      </c>
      <c r="I334" s="69">
        <f t="shared" si="38"/>
        <v>480</v>
      </c>
    </row>
    <row r="335" spans="2:9">
      <c r="B335" s="206" t="s">
        <v>305</v>
      </c>
      <c r="C335" s="161" t="s">
        <v>645</v>
      </c>
      <c r="D335" s="67" t="s">
        <v>18</v>
      </c>
      <c r="E335" s="213">
        <v>4</v>
      </c>
      <c r="F335" s="68">
        <v>15.18</v>
      </c>
      <c r="G335" s="69">
        <v>18.899999999999999</v>
      </c>
      <c r="H335" s="68">
        <v>19.73</v>
      </c>
      <c r="I335" s="69">
        <f t="shared" si="38"/>
        <v>60.72</v>
      </c>
    </row>
    <row r="336" spans="2:9">
      <c r="B336" s="206" t="s">
        <v>306</v>
      </c>
      <c r="C336" s="151" t="s">
        <v>497</v>
      </c>
      <c r="D336" s="67" t="s">
        <v>68</v>
      </c>
      <c r="E336" s="67">
        <v>2</v>
      </c>
      <c r="F336" s="276">
        <v>34.9</v>
      </c>
      <c r="G336" s="207">
        <v>45.9</v>
      </c>
      <c r="H336" s="70">
        <v>48.62</v>
      </c>
      <c r="I336" s="69">
        <f t="shared" si="38"/>
        <v>69.8</v>
      </c>
    </row>
    <row r="337" spans="2:9">
      <c r="B337" s="206" t="s">
        <v>307</v>
      </c>
      <c r="C337" s="151" t="s">
        <v>498</v>
      </c>
      <c r="D337" s="67" t="s">
        <v>18</v>
      </c>
      <c r="E337" s="67">
        <v>8</v>
      </c>
      <c r="F337" s="68">
        <v>14.18</v>
      </c>
      <c r="G337" s="69">
        <v>17.5</v>
      </c>
      <c r="H337" s="68">
        <v>55.9</v>
      </c>
      <c r="I337" s="69">
        <f t="shared" si="38"/>
        <v>113.44</v>
      </c>
    </row>
    <row r="338" spans="2:9">
      <c r="B338" s="206" t="s">
        <v>308</v>
      </c>
      <c r="C338" s="151" t="s">
        <v>646</v>
      </c>
      <c r="D338" s="67" t="s">
        <v>18</v>
      </c>
      <c r="E338" s="67">
        <v>10</v>
      </c>
      <c r="F338" s="73">
        <v>15.5</v>
      </c>
      <c r="G338" s="232">
        <v>24.2</v>
      </c>
      <c r="H338" s="73">
        <v>29.9</v>
      </c>
      <c r="I338" s="69">
        <f t="shared" si="38"/>
        <v>155</v>
      </c>
    </row>
    <row r="339" spans="2:9" ht="28.8">
      <c r="B339" s="206" t="s">
        <v>309</v>
      </c>
      <c r="C339" s="346" t="s">
        <v>647</v>
      </c>
      <c r="D339" s="267" t="s">
        <v>68</v>
      </c>
      <c r="E339" s="267">
        <v>2</v>
      </c>
      <c r="F339" s="70">
        <v>7.2</v>
      </c>
      <c r="G339" s="74">
        <v>7.36</v>
      </c>
      <c r="H339" s="73">
        <v>17.8</v>
      </c>
      <c r="I339" s="69">
        <f t="shared" si="38"/>
        <v>14.4</v>
      </c>
    </row>
    <row r="340" spans="2:9">
      <c r="B340" s="206" t="s">
        <v>426</v>
      </c>
      <c r="C340" s="151" t="s">
        <v>648</v>
      </c>
      <c r="D340" s="206" t="s">
        <v>103</v>
      </c>
      <c r="E340" s="347">
        <v>10</v>
      </c>
      <c r="F340" s="68">
        <v>14.75</v>
      </c>
      <c r="G340" s="69">
        <v>17.899999999999999</v>
      </c>
      <c r="H340" s="68">
        <v>21.99</v>
      </c>
      <c r="I340" s="69">
        <f t="shared" si="38"/>
        <v>147.5</v>
      </c>
    </row>
    <row r="341" spans="2:9" ht="28.8">
      <c r="B341" s="206" t="s">
        <v>427</v>
      </c>
      <c r="C341" s="151" t="s">
        <v>649</v>
      </c>
      <c r="D341" s="206" t="s">
        <v>68</v>
      </c>
      <c r="E341" s="347">
        <v>4</v>
      </c>
      <c r="F341" s="68">
        <v>5.82</v>
      </c>
      <c r="G341" s="69">
        <v>10.039999999999999</v>
      </c>
      <c r="H341" s="68">
        <v>12.68</v>
      </c>
      <c r="I341" s="69">
        <f t="shared" si="38"/>
        <v>23.28</v>
      </c>
    </row>
    <row r="342" spans="2:9">
      <c r="B342" s="206" t="s">
        <v>428</v>
      </c>
      <c r="C342" s="151" t="s">
        <v>650</v>
      </c>
      <c r="D342" s="206" t="s">
        <v>68</v>
      </c>
      <c r="E342" s="347">
        <v>8</v>
      </c>
      <c r="F342" s="68">
        <v>42.67</v>
      </c>
      <c r="G342" s="68">
        <v>48.67</v>
      </c>
      <c r="H342" s="69">
        <v>68.63</v>
      </c>
      <c r="I342" s="69">
        <f t="shared" si="38"/>
        <v>341.36</v>
      </c>
    </row>
    <row r="343" spans="2:9">
      <c r="B343" s="571" t="s">
        <v>389</v>
      </c>
      <c r="C343" s="572"/>
      <c r="D343" s="572"/>
      <c r="E343" s="348"/>
      <c r="F343" s="302"/>
      <c r="G343" s="302"/>
      <c r="H343" s="302"/>
      <c r="I343" s="306">
        <f>SUM(I292:I342)</f>
        <v>481926.39559999993</v>
      </c>
    </row>
    <row r="344" spans="2:9">
      <c r="B344" s="568" t="s">
        <v>764</v>
      </c>
      <c r="C344" s="579"/>
      <c r="D344" s="295"/>
      <c r="E344" s="295"/>
      <c r="F344" s="297"/>
      <c r="G344" s="297"/>
      <c r="H344" s="297"/>
      <c r="I344" s="349">
        <f>I343+I290+I251+I160</f>
        <v>4998785.4095999999</v>
      </c>
    </row>
    <row r="345" spans="2:9">
      <c r="B345" s="351">
        <v>5</v>
      </c>
      <c r="C345" s="225" t="s">
        <v>312</v>
      </c>
      <c r="D345" s="226" t="s">
        <v>7</v>
      </c>
      <c r="E345" s="226" t="s">
        <v>8</v>
      </c>
      <c r="F345" s="227" t="s">
        <v>410</v>
      </c>
      <c r="G345" s="227" t="s">
        <v>408</v>
      </c>
      <c r="H345" s="227" t="s">
        <v>409</v>
      </c>
      <c r="I345" s="259" t="s">
        <v>9</v>
      </c>
    </row>
    <row r="346" spans="2:9" ht="28.8">
      <c r="B346" s="350" t="s">
        <v>313</v>
      </c>
      <c r="C346" s="151" t="s">
        <v>437</v>
      </c>
      <c r="D346" s="67" t="s">
        <v>13</v>
      </c>
      <c r="E346" s="67">
        <v>17</v>
      </c>
      <c r="F346" s="251">
        <f>(2825.54*97%)+2825.54</f>
        <v>5566.3137999999999</v>
      </c>
      <c r="G346" s="249">
        <f>(2942.99*97%)+2942.99</f>
        <v>5797.6902999999993</v>
      </c>
      <c r="H346" s="68">
        <f>(1700*97%)+1700</f>
        <v>3349</v>
      </c>
      <c r="I346" s="69">
        <f>F346*E346*2</f>
        <v>189254.6692</v>
      </c>
    </row>
    <row r="347" spans="2:9" ht="28.8">
      <c r="B347" s="350" t="s">
        <v>315</v>
      </c>
      <c r="C347" s="151" t="s">
        <v>430</v>
      </c>
      <c r="D347" s="67" t="s">
        <v>13</v>
      </c>
      <c r="E347" s="67">
        <v>17</v>
      </c>
      <c r="F347" s="68">
        <f>(1412*97%)+1412</f>
        <v>2781.64</v>
      </c>
      <c r="G347" s="69">
        <f>(1454*97%)+1454</f>
        <v>2864.38</v>
      </c>
      <c r="H347" s="68">
        <f>(1700*97%)+1700</f>
        <v>3349</v>
      </c>
      <c r="I347" s="69">
        <f>F347*E347*8</f>
        <v>378303.04</v>
      </c>
    </row>
    <row r="348" spans="2:9" ht="28.8">
      <c r="B348" s="350" t="s">
        <v>317</v>
      </c>
      <c r="C348" s="151" t="s">
        <v>515</v>
      </c>
      <c r="D348" s="67" t="s">
        <v>15</v>
      </c>
      <c r="E348" s="67">
        <f t="shared" ref="E348:E349" si="43">20*10*17</f>
        <v>3400</v>
      </c>
      <c r="F348" s="68">
        <v>32</v>
      </c>
      <c r="G348" s="69">
        <v>32</v>
      </c>
      <c r="H348" s="68">
        <v>35</v>
      </c>
      <c r="I348" s="69">
        <f t="shared" ref="I348:I353" si="44">F348*E348</f>
        <v>108800</v>
      </c>
    </row>
    <row r="349" spans="2:9" ht="28.8">
      <c r="B349" s="350" t="s">
        <v>318</v>
      </c>
      <c r="C349" s="151" t="s">
        <v>574</v>
      </c>
      <c r="D349" s="67" t="s">
        <v>15</v>
      </c>
      <c r="E349" s="67">
        <f t="shared" si="43"/>
        <v>3400</v>
      </c>
      <c r="F349" s="68">
        <v>8</v>
      </c>
      <c r="G349" s="69">
        <v>8.6</v>
      </c>
      <c r="H349" s="68">
        <v>9</v>
      </c>
      <c r="I349" s="69">
        <f t="shared" si="44"/>
        <v>27200</v>
      </c>
    </row>
    <row r="350" spans="2:9" ht="57.6">
      <c r="B350" s="350" t="s">
        <v>319</v>
      </c>
      <c r="C350" s="151" t="s">
        <v>651</v>
      </c>
      <c r="D350" s="67" t="s">
        <v>18</v>
      </c>
      <c r="E350" s="67">
        <v>2</v>
      </c>
      <c r="F350" s="73">
        <v>1849.77</v>
      </c>
      <c r="G350" s="232">
        <v>2899</v>
      </c>
      <c r="H350" s="68">
        <v>3199</v>
      </c>
      <c r="I350" s="69">
        <f t="shared" si="44"/>
        <v>3699.54</v>
      </c>
    </row>
    <row r="351" spans="2:9" ht="28.8">
      <c r="B351" s="350" t="s">
        <v>320</v>
      </c>
      <c r="C351" s="151" t="s">
        <v>567</v>
      </c>
      <c r="D351" s="67" t="s">
        <v>18</v>
      </c>
      <c r="E351" s="67">
        <v>2</v>
      </c>
      <c r="F351" s="73">
        <v>169.9</v>
      </c>
      <c r="G351" s="232">
        <v>189</v>
      </c>
      <c r="H351" s="68">
        <v>197.59</v>
      </c>
      <c r="I351" s="265">
        <f t="shared" si="44"/>
        <v>339.8</v>
      </c>
    </row>
    <row r="352" spans="2:9" ht="43.2">
      <c r="B352" s="350" t="s">
        <v>321</v>
      </c>
      <c r="C352" s="151" t="s">
        <v>652</v>
      </c>
      <c r="D352" s="67" t="s">
        <v>18</v>
      </c>
      <c r="E352" s="67">
        <v>2</v>
      </c>
      <c r="F352" s="73">
        <v>1386</v>
      </c>
      <c r="G352" s="232">
        <v>1549</v>
      </c>
      <c r="H352" s="68">
        <v>1649.9</v>
      </c>
      <c r="I352" s="69">
        <f t="shared" si="44"/>
        <v>2772</v>
      </c>
    </row>
    <row r="353" spans="2:9" ht="28.8">
      <c r="B353" s="350" t="s">
        <v>322</v>
      </c>
      <c r="C353" s="151" t="s">
        <v>462</v>
      </c>
      <c r="D353" s="67" t="s">
        <v>13</v>
      </c>
      <c r="E353" s="67">
        <v>17</v>
      </c>
      <c r="F353" s="73">
        <v>124.99</v>
      </c>
      <c r="G353" s="232">
        <v>142</v>
      </c>
      <c r="H353" s="68">
        <v>159.99</v>
      </c>
      <c r="I353" s="69">
        <f t="shared" si="44"/>
        <v>2124.83</v>
      </c>
    </row>
    <row r="354" spans="2:9" ht="43.2">
      <c r="B354" s="350" t="s">
        <v>323</v>
      </c>
      <c r="C354" s="151" t="s">
        <v>653</v>
      </c>
      <c r="D354" s="67" t="s">
        <v>18</v>
      </c>
      <c r="E354" s="67">
        <v>8</v>
      </c>
      <c r="F354" s="68">
        <v>125.75</v>
      </c>
      <c r="G354" s="69">
        <v>150.72999999999999</v>
      </c>
      <c r="H354" s="68">
        <v>179.39</v>
      </c>
      <c r="I354" s="69">
        <f>F354+H354</f>
        <v>305.14</v>
      </c>
    </row>
    <row r="355" spans="2:9" ht="28.8">
      <c r="B355" s="350" t="s">
        <v>324</v>
      </c>
      <c r="C355" s="151" t="s">
        <v>708</v>
      </c>
      <c r="D355" s="67" t="s">
        <v>13</v>
      </c>
      <c r="E355" s="67">
        <v>17</v>
      </c>
      <c r="F355" s="73">
        <v>7950</v>
      </c>
      <c r="G355" s="73">
        <v>8763.6</v>
      </c>
      <c r="H355" s="232">
        <v>9350</v>
      </c>
      <c r="I355" s="69">
        <f>F355*E357*2</f>
        <v>31800</v>
      </c>
    </row>
    <row r="356" spans="2:9" ht="28.8">
      <c r="B356" s="350" t="s">
        <v>325</v>
      </c>
      <c r="C356" s="151" t="s">
        <v>707</v>
      </c>
      <c r="D356" s="67" t="s">
        <v>15</v>
      </c>
      <c r="E356" s="67">
        <v>2</v>
      </c>
      <c r="F356" s="73">
        <v>300</v>
      </c>
      <c r="G356" s="232">
        <v>600</v>
      </c>
      <c r="H356" s="73">
        <v>975</v>
      </c>
      <c r="I356" s="69">
        <f>F356*E356</f>
        <v>600</v>
      </c>
    </row>
    <row r="357" spans="2:9" ht="28.8">
      <c r="B357" s="350" t="s">
        <v>326</v>
      </c>
      <c r="C357" s="151" t="s">
        <v>579</v>
      </c>
      <c r="D357" s="67" t="s">
        <v>15</v>
      </c>
      <c r="E357" s="67">
        <v>2</v>
      </c>
      <c r="F357" s="73">
        <v>144.9</v>
      </c>
      <c r="G357" s="232">
        <v>0</v>
      </c>
      <c r="H357" s="73">
        <v>265</v>
      </c>
      <c r="I357" s="69">
        <f>F357*E357</f>
        <v>289.8</v>
      </c>
    </row>
    <row r="358" spans="2:9" ht="28.8">
      <c r="B358" s="350" t="s">
        <v>327</v>
      </c>
      <c r="C358" s="151" t="s">
        <v>654</v>
      </c>
      <c r="D358" s="67" t="s">
        <v>13</v>
      </c>
      <c r="E358" s="67">
        <v>17</v>
      </c>
      <c r="F358" s="73">
        <v>49.9</v>
      </c>
      <c r="G358" s="232">
        <v>60</v>
      </c>
      <c r="H358" s="73">
        <v>65.900000000000006</v>
      </c>
      <c r="I358" s="69">
        <f>F358*E358*2</f>
        <v>1696.6</v>
      </c>
    </row>
    <row r="359" spans="2:9" ht="28.8">
      <c r="B359" s="350" t="s">
        <v>328</v>
      </c>
      <c r="C359" s="151" t="s">
        <v>655</v>
      </c>
      <c r="D359" s="67" t="s">
        <v>108</v>
      </c>
      <c r="E359" s="67">
        <f>88*4*17*2</f>
        <v>11968</v>
      </c>
      <c r="F359" s="73">
        <v>6.47</v>
      </c>
      <c r="G359" s="232">
        <v>6.48</v>
      </c>
      <c r="H359" s="73">
        <v>6.49</v>
      </c>
      <c r="I359" s="69">
        <f t="shared" ref="I359:I412" si="45">F359*E359</f>
        <v>77432.959999999992</v>
      </c>
    </row>
    <row r="360" spans="2:9" ht="28.8">
      <c r="B360" s="350" t="s">
        <v>329</v>
      </c>
      <c r="C360" s="151" t="s">
        <v>634</v>
      </c>
      <c r="D360" s="67" t="s">
        <v>18</v>
      </c>
      <c r="E360" s="67">
        <v>4</v>
      </c>
      <c r="F360" s="73">
        <v>99.86</v>
      </c>
      <c r="G360" s="232">
        <v>109.49</v>
      </c>
      <c r="H360" s="73">
        <v>211.19</v>
      </c>
      <c r="I360" s="69">
        <f t="shared" si="45"/>
        <v>399.44</v>
      </c>
    </row>
    <row r="361" spans="2:9" ht="28.8">
      <c r="B361" s="350" t="s">
        <v>330</v>
      </c>
      <c r="C361" s="252" t="s">
        <v>469</v>
      </c>
      <c r="D361" s="67" t="s">
        <v>18</v>
      </c>
      <c r="E361" s="67">
        <f t="shared" ref="E361:E362" si="46">6*10*2</f>
        <v>120</v>
      </c>
      <c r="F361" s="73">
        <v>60</v>
      </c>
      <c r="G361" s="73">
        <v>65</v>
      </c>
      <c r="H361" s="232">
        <v>70</v>
      </c>
      <c r="I361" s="69">
        <f t="shared" si="45"/>
        <v>7200</v>
      </c>
    </row>
    <row r="362" spans="2:9" ht="43.2">
      <c r="B362" s="350" t="s">
        <v>331</v>
      </c>
      <c r="C362" s="252" t="s">
        <v>501</v>
      </c>
      <c r="D362" s="67" t="s">
        <v>18</v>
      </c>
      <c r="E362" s="213">
        <f t="shared" si="46"/>
        <v>120</v>
      </c>
      <c r="F362" s="73">
        <v>25</v>
      </c>
      <c r="G362" s="73">
        <v>40</v>
      </c>
      <c r="H362" s="232">
        <v>43</v>
      </c>
      <c r="I362" s="69">
        <f t="shared" si="45"/>
        <v>3000</v>
      </c>
    </row>
    <row r="363" spans="2:9" ht="28.8">
      <c r="B363" s="350" t="s">
        <v>332</v>
      </c>
      <c r="C363" s="151" t="s">
        <v>526</v>
      </c>
      <c r="D363" s="67" t="s">
        <v>18</v>
      </c>
      <c r="E363" s="67">
        <f>2*10*2</f>
        <v>40</v>
      </c>
      <c r="F363" s="73">
        <v>77.34</v>
      </c>
      <c r="G363" s="232">
        <v>103.8</v>
      </c>
      <c r="H363" s="73">
        <v>117.95</v>
      </c>
      <c r="I363" s="69">
        <f t="shared" si="45"/>
        <v>3093.6000000000004</v>
      </c>
    </row>
    <row r="364" spans="2:9" ht="28.8">
      <c r="B364" s="350" t="s">
        <v>333</v>
      </c>
      <c r="C364" s="151" t="s">
        <v>584</v>
      </c>
      <c r="D364" s="67" t="s">
        <v>18</v>
      </c>
      <c r="E364" s="67">
        <f>2*2*2</f>
        <v>8</v>
      </c>
      <c r="F364" s="73">
        <v>22.94</v>
      </c>
      <c r="G364" s="232">
        <v>23.46</v>
      </c>
      <c r="H364" s="73">
        <v>30</v>
      </c>
      <c r="I364" s="69">
        <f t="shared" si="45"/>
        <v>183.52</v>
      </c>
    </row>
    <row r="365" spans="2:9" ht="28.8">
      <c r="B365" s="350" t="s">
        <v>334</v>
      </c>
      <c r="C365" s="151" t="s">
        <v>527</v>
      </c>
      <c r="D365" s="67" t="s">
        <v>18</v>
      </c>
      <c r="E365" s="67">
        <f>2*8*2</f>
        <v>32</v>
      </c>
      <c r="F365" s="73">
        <v>21.8</v>
      </c>
      <c r="G365" s="232">
        <v>36</v>
      </c>
      <c r="H365" s="73">
        <v>46.9</v>
      </c>
      <c r="I365" s="69">
        <f t="shared" si="45"/>
        <v>697.6</v>
      </c>
    </row>
    <row r="366" spans="2:9" ht="28.8">
      <c r="B366" s="350" t="s">
        <v>335</v>
      </c>
      <c r="C366" s="254" t="s">
        <v>528</v>
      </c>
      <c r="D366" s="67" t="s">
        <v>18</v>
      </c>
      <c r="E366" s="67">
        <f>2*10*2</f>
        <v>40</v>
      </c>
      <c r="F366" s="73">
        <v>13.93</v>
      </c>
      <c r="G366" s="74">
        <v>15.71</v>
      </c>
      <c r="H366" s="68">
        <v>22.5</v>
      </c>
      <c r="I366" s="69">
        <f t="shared" si="45"/>
        <v>557.20000000000005</v>
      </c>
    </row>
    <row r="367" spans="2:9" ht="28.8">
      <c r="B367" s="350" t="s">
        <v>336</v>
      </c>
      <c r="C367" s="151" t="s">
        <v>656</v>
      </c>
      <c r="D367" s="67" t="s">
        <v>18</v>
      </c>
      <c r="E367" s="67">
        <f>3*17*10</f>
        <v>510</v>
      </c>
      <c r="F367" s="260">
        <v>12.4</v>
      </c>
      <c r="G367" s="261">
        <v>13.5</v>
      </c>
      <c r="H367" s="68">
        <v>20.260000000000002</v>
      </c>
      <c r="I367" s="69">
        <f t="shared" si="45"/>
        <v>6324</v>
      </c>
    </row>
    <row r="368" spans="2:9">
      <c r="B368" s="350" t="s">
        <v>337</v>
      </c>
      <c r="C368" s="151" t="s">
        <v>502</v>
      </c>
      <c r="D368" s="67" t="s">
        <v>18</v>
      </c>
      <c r="E368" s="67">
        <f>2*10*17</f>
        <v>340</v>
      </c>
      <c r="F368" s="68">
        <v>2.7</v>
      </c>
      <c r="G368" s="261">
        <v>2.75</v>
      </c>
      <c r="H368" s="260">
        <v>2.94</v>
      </c>
      <c r="I368" s="69">
        <f t="shared" si="45"/>
        <v>918.00000000000011</v>
      </c>
    </row>
    <row r="369" spans="2:9" ht="28.8">
      <c r="B369" s="350" t="s">
        <v>338</v>
      </c>
      <c r="C369" s="151" t="s">
        <v>585</v>
      </c>
      <c r="D369" s="67" t="s">
        <v>18</v>
      </c>
      <c r="E369" s="213">
        <f>2*2*2</f>
        <v>8</v>
      </c>
      <c r="F369" s="260">
        <v>49.99</v>
      </c>
      <c r="G369" s="261">
        <v>59.99</v>
      </c>
      <c r="H369" s="260">
        <v>96.97</v>
      </c>
      <c r="I369" s="69">
        <f t="shared" si="45"/>
        <v>399.92</v>
      </c>
    </row>
    <row r="370" spans="2:9">
      <c r="B370" s="350" t="s">
        <v>339</v>
      </c>
      <c r="C370" s="151" t="s">
        <v>619</v>
      </c>
      <c r="D370" s="67" t="s">
        <v>18</v>
      </c>
      <c r="E370" s="67">
        <f>3*2*4</f>
        <v>24</v>
      </c>
      <c r="F370" s="68">
        <v>160</v>
      </c>
      <c r="G370" s="261">
        <v>163</v>
      </c>
      <c r="H370" s="260">
        <v>193.63</v>
      </c>
      <c r="I370" s="69">
        <f t="shared" si="45"/>
        <v>3840</v>
      </c>
    </row>
    <row r="371" spans="2:9" ht="28.8">
      <c r="B371" s="350" t="s">
        <v>340</v>
      </c>
      <c r="C371" s="151" t="s">
        <v>474</v>
      </c>
      <c r="D371" s="67" t="s">
        <v>18</v>
      </c>
      <c r="E371" s="67">
        <f t="shared" ref="E371:E372" si="47">1*10*2</f>
        <v>20</v>
      </c>
      <c r="F371" s="70">
        <v>35</v>
      </c>
      <c r="G371" s="74">
        <v>41.4</v>
      </c>
      <c r="H371" s="68">
        <v>168.26</v>
      </c>
      <c r="I371" s="69">
        <f t="shared" si="45"/>
        <v>700</v>
      </c>
    </row>
    <row r="372" spans="2:9">
      <c r="B372" s="350" t="s">
        <v>341</v>
      </c>
      <c r="C372" s="151" t="s">
        <v>475</v>
      </c>
      <c r="D372" s="67" t="s">
        <v>18</v>
      </c>
      <c r="E372" s="67">
        <f t="shared" si="47"/>
        <v>20</v>
      </c>
      <c r="F372" s="260">
        <v>41.4</v>
      </c>
      <c r="G372" s="69">
        <v>42.23</v>
      </c>
      <c r="H372" s="70">
        <v>50</v>
      </c>
      <c r="I372" s="69">
        <f t="shared" si="45"/>
        <v>828</v>
      </c>
    </row>
    <row r="373" spans="2:9" ht="28.8">
      <c r="B373" s="350" t="s">
        <v>342</v>
      </c>
      <c r="C373" s="151" t="s">
        <v>504</v>
      </c>
      <c r="D373" s="67" t="s">
        <v>18</v>
      </c>
      <c r="E373" s="67">
        <f t="shared" ref="E373:E374" si="48">2*4</f>
        <v>8</v>
      </c>
      <c r="F373" s="260">
        <v>27.94</v>
      </c>
      <c r="G373" s="69">
        <v>35.5</v>
      </c>
      <c r="H373" s="260">
        <v>39.6</v>
      </c>
      <c r="I373" s="69">
        <f t="shared" si="45"/>
        <v>223.52</v>
      </c>
    </row>
    <row r="374" spans="2:9" ht="28.8">
      <c r="B374" s="350" t="s">
        <v>343</v>
      </c>
      <c r="C374" s="151" t="s">
        <v>505</v>
      </c>
      <c r="D374" s="67" t="s">
        <v>18</v>
      </c>
      <c r="E374" s="67">
        <f t="shared" si="48"/>
        <v>8</v>
      </c>
      <c r="F374" s="260">
        <v>28.55</v>
      </c>
      <c r="G374" s="69">
        <v>28.8</v>
      </c>
      <c r="H374" s="260">
        <v>103.4</v>
      </c>
      <c r="I374" s="69">
        <f t="shared" si="45"/>
        <v>228.4</v>
      </c>
    </row>
    <row r="375" spans="2:9">
      <c r="B375" s="350" t="s">
        <v>344</v>
      </c>
      <c r="C375" s="220" t="s">
        <v>587</v>
      </c>
      <c r="D375" s="67" t="s">
        <v>18</v>
      </c>
      <c r="E375" s="213">
        <f>2*10*12</f>
        <v>240</v>
      </c>
      <c r="F375" s="70">
        <v>1.3</v>
      </c>
      <c r="G375" s="69">
        <v>1.48</v>
      </c>
      <c r="H375" s="68">
        <v>1.75</v>
      </c>
      <c r="I375" s="69">
        <f t="shared" si="45"/>
        <v>312</v>
      </c>
    </row>
    <row r="376" spans="2:9" ht="43.2">
      <c r="B376" s="350" t="s">
        <v>345</v>
      </c>
      <c r="C376" s="151" t="s">
        <v>657</v>
      </c>
      <c r="D376" s="67" t="s">
        <v>18</v>
      </c>
      <c r="E376" s="213">
        <f t="shared" ref="E376:E377" si="49">4*4</f>
        <v>16</v>
      </c>
      <c r="F376" s="261">
        <v>286</v>
      </c>
      <c r="G376" s="69">
        <v>484</v>
      </c>
      <c r="H376" s="68">
        <v>572</v>
      </c>
      <c r="I376" s="69">
        <f t="shared" si="45"/>
        <v>4576</v>
      </c>
    </row>
    <row r="377" spans="2:9" ht="28.8">
      <c r="B377" s="350" t="s">
        <v>346</v>
      </c>
      <c r="C377" s="151" t="s">
        <v>658</v>
      </c>
      <c r="D377" s="67" t="s">
        <v>18</v>
      </c>
      <c r="E377" s="213">
        <f t="shared" si="49"/>
        <v>16</v>
      </c>
      <c r="F377" s="68">
        <v>38.700000000000003</v>
      </c>
      <c r="G377" s="69">
        <v>65.64</v>
      </c>
      <c r="H377" s="260">
        <v>156.94999999999999</v>
      </c>
      <c r="I377" s="69">
        <f t="shared" si="45"/>
        <v>619.20000000000005</v>
      </c>
    </row>
    <row r="378" spans="2:9" ht="28.8">
      <c r="B378" s="350" t="s">
        <v>347</v>
      </c>
      <c r="C378" s="151" t="s">
        <v>507</v>
      </c>
      <c r="D378" s="67" t="s">
        <v>18</v>
      </c>
      <c r="E378" s="67">
        <f t="shared" ref="E378:E379" si="50">2*4</f>
        <v>8</v>
      </c>
      <c r="F378" s="70">
        <v>133.01</v>
      </c>
      <c r="G378" s="69">
        <v>157.19999999999999</v>
      </c>
      <c r="H378" s="70">
        <v>175.33</v>
      </c>
      <c r="I378" s="69">
        <f t="shared" si="45"/>
        <v>1064.08</v>
      </c>
    </row>
    <row r="379" spans="2:9" ht="28.8">
      <c r="B379" s="350" t="s">
        <v>348</v>
      </c>
      <c r="C379" s="151" t="s">
        <v>508</v>
      </c>
      <c r="D379" s="67" t="s">
        <v>18</v>
      </c>
      <c r="E379" s="67">
        <f t="shared" si="50"/>
        <v>8</v>
      </c>
      <c r="F379" s="68">
        <v>2.77</v>
      </c>
      <c r="G379" s="74">
        <v>3.75</v>
      </c>
      <c r="H379" s="260">
        <v>3.96</v>
      </c>
      <c r="I379" s="69">
        <f t="shared" si="45"/>
        <v>22.16</v>
      </c>
    </row>
    <row r="380" spans="2:9" ht="28.8">
      <c r="B380" s="350" t="s">
        <v>349</v>
      </c>
      <c r="C380" s="151" t="s">
        <v>659</v>
      </c>
      <c r="D380" s="67" t="s">
        <v>18</v>
      </c>
      <c r="E380" s="67">
        <v>2</v>
      </c>
      <c r="F380" s="260">
        <v>26.5</v>
      </c>
      <c r="G380" s="260">
        <v>61.9</v>
      </c>
      <c r="H380" s="69">
        <v>83.6</v>
      </c>
      <c r="I380" s="69">
        <f t="shared" si="45"/>
        <v>53</v>
      </c>
    </row>
    <row r="381" spans="2:9" ht="28.8">
      <c r="B381" s="350" t="s">
        <v>350</v>
      </c>
      <c r="C381" s="151" t="s">
        <v>494</v>
      </c>
      <c r="D381" s="67" t="s">
        <v>18</v>
      </c>
      <c r="E381" s="67">
        <v>4</v>
      </c>
      <c r="F381" s="70">
        <v>27.9</v>
      </c>
      <c r="G381" s="261">
        <v>30</v>
      </c>
      <c r="H381" s="70">
        <v>32.229999999999997</v>
      </c>
      <c r="I381" s="69">
        <f t="shared" si="45"/>
        <v>111.6</v>
      </c>
    </row>
    <row r="382" spans="2:9">
      <c r="B382" s="350" t="s">
        <v>351</v>
      </c>
      <c r="C382" s="151" t="s">
        <v>495</v>
      </c>
      <c r="D382" s="67" t="s">
        <v>18</v>
      </c>
      <c r="E382" s="67">
        <f>2*2</f>
        <v>4</v>
      </c>
      <c r="F382" s="68">
        <v>157.44</v>
      </c>
      <c r="G382" s="69">
        <v>184.26</v>
      </c>
      <c r="H382" s="68">
        <v>208.95</v>
      </c>
      <c r="I382" s="69">
        <f t="shared" si="45"/>
        <v>629.76</v>
      </c>
    </row>
    <row r="383" spans="2:9">
      <c r="B383" s="350" t="s">
        <v>352</v>
      </c>
      <c r="C383" s="151" t="s">
        <v>496</v>
      </c>
      <c r="D383" s="67" t="s">
        <v>18</v>
      </c>
      <c r="E383" s="67">
        <f>4*2</f>
        <v>8</v>
      </c>
      <c r="F383" s="68">
        <v>33.729999999999997</v>
      </c>
      <c r="G383" s="69">
        <v>43.66</v>
      </c>
      <c r="H383" s="68">
        <v>72</v>
      </c>
      <c r="I383" s="69">
        <f t="shared" si="45"/>
        <v>269.83999999999997</v>
      </c>
    </row>
    <row r="384" spans="2:9" ht="28.8">
      <c r="B384" s="350" t="s">
        <v>353</v>
      </c>
      <c r="C384" s="151" t="s">
        <v>107</v>
      </c>
      <c r="D384" s="67" t="s">
        <v>18</v>
      </c>
      <c r="E384" s="67">
        <v>4</v>
      </c>
      <c r="F384" s="68">
        <v>3200.55</v>
      </c>
      <c r="G384" s="69">
        <v>3309</v>
      </c>
      <c r="H384" s="68">
        <v>3369</v>
      </c>
      <c r="I384" s="69">
        <f t="shared" si="45"/>
        <v>12802.2</v>
      </c>
    </row>
    <row r="385" spans="2:9" ht="28.8">
      <c r="B385" s="350" t="s">
        <v>354</v>
      </c>
      <c r="C385" s="151" t="s">
        <v>660</v>
      </c>
      <c r="D385" s="67" t="s">
        <v>108</v>
      </c>
      <c r="E385" s="67">
        <f>10*4*20*4</f>
        <v>3200</v>
      </c>
      <c r="F385" s="70">
        <v>6.08</v>
      </c>
      <c r="G385" s="74">
        <v>6.09</v>
      </c>
      <c r="H385" s="70">
        <v>6.35</v>
      </c>
      <c r="I385" s="69">
        <f t="shared" si="45"/>
        <v>19456</v>
      </c>
    </row>
    <row r="386" spans="2:9">
      <c r="B386" s="350" t="s">
        <v>355</v>
      </c>
      <c r="C386" s="151" t="s">
        <v>510</v>
      </c>
      <c r="D386" s="67" t="s">
        <v>108</v>
      </c>
      <c r="E386" s="67">
        <f>20*4</f>
        <v>80</v>
      </c>
      <c r="F386" s="68">
        <v>43.98</v>
      </c>
      <c r="G386" s="69">
        <v>47.42</v>
      </c>
      <c r="H386" s="68">
        <v>47.9</v>
      </c>
      <c r="I386" s="69">
        <f t="shared" si="45"/>
        <v>3518.3999999999996</v>
      </c>
    </row>
    <row r="387" spans="2:9" ht="28.8">
      <c r="B387" s="350" t="s">
        <v>356</v>
      </c>
      <c r="C387" s="151" t="s">
        <v>511</v>
      </c>
      <c r="D387" s="67" t="s">
        <v>109</v>
      </c>
      <c r="E387" s="67">
        <f>10*4</f>
        <v>40</v>
      </c>
      <c r="F387" s="68">
        <v>26.24</v>
      </c>
      <c r="G387" s="69">
        <v>28.33</v>
      </c>
      <c r="H387" s="68">
        <v>31.98</v>
      </c>
      <c r="I387" s="69">
        <f t="shared" si="45"/>
        <v>1049.5999999999999</v>
      </c>
    </row>
    <row r="388" spans="2:9">
      <c r="B388" s="350" t="s">
        <v>357</v>
      </c>
      <c r="C388" s="151" t="s">
        <v>537</v>
      </c>
      <c r="D388" s="67" t="s">
        <v>68</v>
      </c>
      <c r="E388" s="67">
        <v>30</v>
      </c>
      <c r="F388" s="68">
        <v>94.2</v>
      </c>
      <c r="G388" s="69">
        <v>108.6</v>
      </c>
      <c r="H388" s="68">
        <v>114.93</v>
      </c>
      <c r="I388" s="69">
        <f t="shared" si="45"/>
        <v>2826</v>
      </c>
    </row>
    <row r="389" spans="2:9">
      <c r="B389" s="350" t="s">
        <v>358</v>
      </c>
      <c r="C389" s="151" t="s">
        <v>512</v>
      </c>
      <c r="D389" s="67" t="s">
        <v>18</v>
      </c>
      <c r="E389" s="67">
        <f>4*4</f>
        <v>16</v>
      </c>
      <c r="F389" s="232">
        <v>37.47</v>
      </c>
      <c r="G389" s="73">
        <v>43.66</v>
      </c>
      <c r="H389" s="73">
        <v>48</v>
      </c>
      <c r="I389" s="69">
        <f t="shared" si="45"/>
        <v>599.52</v>
      </c>
    </row>
    <row r="390" spans="2:9" ht="28.8">
      <c r="B390" s="350" t="s">
        <v>359</v>
      </c>
      <c r="C390" s="151" t="s">
        <v>588</v>
      </c>
      <c r="D390" s="67" t="s">
        <v>18</v>
      </c>
      <c r="E390" s="213">
        <f>3*4*17</f>
        <v>204</v>
      </c>
      <c r="F390" s="256">
        <v>23.1</v>
      </c>
      <c r="G390" s="69">
        <v>25.52</v>
      </c>
      <c r="H390" s="68">
        <v>29.6</v>
      </c>
      <c r="I390" s="69">
        <f t="shared" si="45"/>
        <v>4712.4000000000005</v>
      </c>
    </row>
    <row r="391" spans="2:9">
      <c r="B391" s="350" t="s">
        <v>360</v>
      </c>
      <c r="C391" s="151" t="s">
        <v>589</v>
      </c>
      <c r="D391" s="67" t="s">
        <v>18</v>
      </c>
      <c r="E391" s="67">
        <v>32</v>
      </c>
      <c r="F391" s="256">
        <v>54.78</v>
      </c>
      <c r="G391" s="69">
        <f>35.03+39.8</f>
        <v>74.83</v>
      </c>
      <c r="H391" s="260">
        <v>82.7</v>
      </c>
      <c r="I391" s="69">
        <f t="shared" si="45"/>
        <v>1752.96</v>
      </c>
    </row>
    <row r="392" spans="2:9">
      <c r="B392" s="350" t="s">
        <v>361</v>
      </c>
      <c r="C392" s="151" t="s">
        <v>590</v>
      </c>
      <c r="D392" s="67" t="s">
        <v>18</v>
      </c>
      <c r="E392" s="67">
        <v>32</v>
      </c>
      <c r="F392" s="68">
        <v>32.369999999999997</v>
      </c>
      <c r="G392" s="69">
        <v>33.74</v>
      </c>
      <c r="H392" s="68">
        <v>33.74</v>
      </c>
      <c r="I392" s="69">
        <f t="shared" si="45"/>
        <v>1035.8399999999999</v>
      </c>
    </row>
    <row r="393" spans="2:9">
      <c r="B393" s="350" t="s">
        <v>362</v>
      </c>
      <c r="C393" s="151" t="s">
        <v>622</v>
      </c>
      <c r="D393" s="67" t="s">
        <v>68</v>
      </c>
      <c r="E393" s="67">
        <v>30</v>
      </c>
      <c r="F393" s="73">
        <v>204</v>
      </c>
      <c r="G393" s="232">
        <v>255</v>
      </c>
      <c r="H393" s="73">
        <v>280</v>
      </c>
      <c r="I393" s="69">
        <f t="shared" si="45"/>
        <v>6120</v>
      </c>
    </row>
    <row r="394" spans="2:9" ht="28.8">
      <c r="B394" s="350" t="s">
        <v>363</v>
      </c>
      <c r="C394" s="151" t="s">
        <v>545</v>
      </c>
      <c r="D394" s="67" t="s">
        <v>18</v>
      </c>
      <c r="E394" s="67">
        <f>2*10</f>
        <v>20</v>
      </c>
      <c r="F394" s="68">
        <v>49</v>
      </c>
      <c r="G394" s="69">
        <v>64</v>
      </c>
      <c r="H394" s="68">
        <v>80</v>
      </c>
      <c r="I394" s="69">
        <f t="shared" si="45"/>
        <v>980</v>
      </c>
    </row>
    <row r="395" spans="2:9" ht="28.8">
      <c r="B395" s="350" t="s">
        <v>364</v>
      </c>
      <c r="C395" s="161" t="s">
        <v>546</v>
      </c>
      <c r="D395" s="67" t="s">
        <v>18</v>
      </c>
      <c r="E395" s="67">
        <f>1*10</f>
        <v>10</v>
      </c>
      <c r="F395" s="68">
        <v>49.6</v>
      </c>
      <c r="G395" s="69">
        <v>62</v>
      </c>
      <c r="H395" s="68">
        <v>95.25</v>
      </c>
      <c r="I395" s="69">
        <f t="shared" si="45"/>
        <v>496</v>
      </c>
    </row>
    <row r="396" spans="2:9" ht="28.8">
      <c r="B396" s="350" t="s">
        <v>365</v>
      </c>
      <c r="C396" s="161" t="s">
        <v>591</v>
      </c>
      <c r="D396" s="67" t="s">
        <v>18</v>
      </c>
      <c r="E396" s="213">
        <f>3*10</f>
        <v>30</v>
      </c>
      <c r="F396" s="68">
        <v>103.2</v>
      </c>
      <c r="G396" s="74">
        <v>129</v>
      </c>
      <c r="H396" s="68">
        <v>167.81</v>
      </c>
      <c r="I396" s="69">
        <f t="shared" si="45"/>
        <v>3096</v>
      </c>
    </row>
    <row r="397" spans="2:9" ht="28.8">
      <c r="B397" s="350" t="s">
        <v>366</v>
      </c>
      <c r="C397" s="161" t="s">
        <v>661</v>
      </c>
      <c r="D397" s="67" t="s">
        <v>18</v>
      </c>
      <c r="E397" s="67">
        <f t="shared" ref="E397:E399" si="51">1*4</f>
        <v>4</v>
      </c>
      <c r="F397" s="68">
        <v>37.6</v>
      </c>
      <c r="G397" s="69">
        <v>54</v>
      </c>
      <c r="H397" s="68">
        <v>59.6</v>
      </c>
      <c r="I397" s="69">
        <f t="shared" si="45"/>
        <v>150.4</v>
      </c>
    </row>
    <row r="398" spans="2:9" ht="28.8">
      <c r="B398" s="350" t="s">
        <v>367</v>
      </c>
      <c r="C398" s="161" t="s">
        <v>662</v>
      </c>
      <c r="D398" s="67" t="s">
        <v>18</v>
      </c>
      <c r="E398" s="67">
        <f t="shared" si="51"/>
        <v>4</v>
      </c>
      <c r="F398" s="68">
        <v>29.6</v>
      </c>
      <c r="G398" s="74">
        <v>53.7</v>
      </c>
      <c r="H398" s="68">
        <v>61.28</v>
      </c>
      <c r="I398" s="69">
        <f t="shared" si="45"/>
        <v>118.4</v>
      </c>
    </row>
    <row r="399" spans="2:9" ht="28.8">
      <c r="B399" s="350" t="s">
        <v>368</v>
      </c>
      <c r="C399" s="161" t="s">
        <v>663</v>
      </c>
      <c r="D399" s="67" t="s">
        <v>18</v>
      </c>
      <c r="E399" s="67">
        <f t="shared" si="51"/>
        <v>4</v>
      </c>
      <c r="F399" s="68">
        <v>36</v>
      </c>
      <c r="G399" s="69">
        <v>50.6</v>
      </c>
      <c r="H399" s="103">
        <v>54.6</v>
      </c>
      <c r="I399" s="69">
        <f t="shared" si="45"/>
        <v>144</v>
      </c>
    </row>
    <row r="400" spans="2:9" ht="28.8">
      <c r="B400" s="350" t="s">
        <v>369</v>
      </c>
      <c r="C400" s="161" t="s">
        <v>664</v>
      </c>
      <c r="D400" s="67" t="s">
        <v>18</v>
      </c>
      <c r="E400" s="67">
        <f>2*1</f>
        <v>2</v>
      </c>
      <c r="F400" s="68">
        <v>45.39</v>
      </c>
      <c r="G400" s="232">
        <v>49.8</v>
      </c>
      <c r="H400" s="73">
        <v>84.64</v>
      </c>
      <c r="I400" s="69">
        <f t="shared" si="45"/>
        <v>90.78</v>
      </c>
    </row>
    <row r="401" spans="1:9" ht="28.8">
      <c r="B401" s="350" t="s">
        <v>370</v>
      </c>
      <c r="C401" s="161" t="s">
        <v>552</v>
      </c>
      <c r="D401" s="67" t="s">
        <v>18</v>
      </c>
      <c r="E401" s="67">
        <f>1*10</f>
        <v>10</v>
      </c>
      <c r="F401" s="68">
        <v>140.54</v>
      </c>
      <c r="G401" s="232">
        <v>186.8</v>
      </c>
      <c r="H401" s="73">
        <v>341.8</v>
      </c>
      <c r="I401" s="69">
        <f t="shared" si="45"/>
        <v>1405.3999999999999</v>
      </c>
    </row>
    <row r="402" spans="1:9" ht="28.8">
      <c r="B402" s="350" t="s">
        <v>371</v>
      </c>
      <c r="C402" s="161" t="s">
        <v>665</v>
      </c>
      <c r="D402" s="67" t="s">
        <v>18</v>
      </c>
      <c r="E402" s="213">
        <f>2*4*2</f>
        <v>16</v>
      </c>
      <c r="F402" s="256">
        <v>5.38</v>
      </c>
      <c r="G402" s="232">
        <v>5.65</v>
      </c>
      <c r="H402" s="73">
        <v>12.6</v>
      </c>
      <c r="I402" s="69">
        <f t="shared" si="45"/>
        <v>86.08</v>
      </c>
    </row>
    <row r="403" spans="1:9" ht="28.8">
      <c r="B403" s="350" t="s">
        <v>372</v>
      </c>
      <c r="C403" s="161" t="s">
        <v>554</v>
      </c>
      <c r="D403" s="75" t="s">
        <v>18</v>
      </c>
      <c r="E403" s="213">
        <f t="shared" ref="E403:E404" si="52">1*10*2</f>
        <v>20</v>
      </c>
      <c r="F403" s="68">
        <v>120</v>
      </c>
      <c r="G403" s="232">
        <v>150</v>
      </c>
      <c r="H403" s="73">
        <v>156</v>
      </c>
      <c r="I403" s="69">
        <f t="shared" si="45"/>
        <v>2400</v>
      </c>
    </row>
    <row r="404" spans="1:9" ht="28.8">
      <c r="B404" s="350" t="s">
        <v>373</v>
      </c>
      <c r="C404" s="271" t="s">
        <v>555</v>
      </c>
      <c r="D404" s="75" t="s">
        <v>18</v>
      </c>
      <c r="E404" s="213">
        <f t="shared" si="52"/>
        <v>20</v>
      </c>
      <c r="F404" s="68">
        <v>118</v>
      </c>
      <c r="G404" s="232">
        <v>147.5</v>
      </c>
      <c r="H404" s="73">
        <v>171.1</v>
      </c>
      <c r="I404" s="69">
        <f t="shared" si="45"/>
        <v>2360</v>
      </c>
    </row>
    <row r="405" spans="1:9">
      <c r="B405" s="350" t="s">
        <v>374</v>
      </c>
      <c r="C405" s="272" t="s">
        <v>597</v>
      </c>
      <c r="D405" s="75" t="s">
        <v>18</v>
      </c>
      <c r="E405" s="67">
        <v>2</v>
      </c>
      <c r="F405" s="68">
        <v>300</v>
      </c>
      <c r="G405" s="69">
        <v>375</v>
      </c>
      <c r="H405" s="68">
        <v>435</v>
      </c>
      <c r="I405" s="69">
        <f t="shared" si="45"/>
        <v>600</v>
      </c>
    </row>
    <row r="406" spans="1:9" ht="28.8">
      <c r="B406" s="350" t="s">
        <v>375</v>
      </c>
      <c r="C406" s="161" t="s">
        <v>557</v>
      </c>
      <c r="D406" s="75" t="s">
        <v>18</v>
      </c>
      <c r="E406" s="67">
        <v>3</v>
      </c>
      <c r="F406" s="68">
        <v>1000</v>
      </c>
      <c r="G406" s="69">
        <v>1250</v>
      </c>
      <c r="H406" s="68">
        <v>1300</v>
      </c>
      <c r="I406" s="69">
        <f t="shared" si="45"/>
        <v>3000</v>
      </c>
    </row>
    <row r="407" spans="1:9" ht="28.8">
      <c r="B407" s="350" t="s">
        <v>376</v>
      </c>
      <c r="C407" s="161" t="s">
        <v>598</v>
      </c>
      <c r="D407" s="75" t="s">
        <v>18</v>
      </c>
      <c r="E407" s="67">
        <v>2</v>
      </c>
      <c r="F407" s="68">
        <v>116</v>
      </c>
      <c r="G407" s="69">
        <v>145</v>
      </c>
      <c r="H407" s="68">
        <v>150</v>
      </c>
      <c r="I407" s="69">
        <f t="shared" si="45"/>
        <v>232</v>
      </c>
    </row>
    <row r="408" spans="1:9">
      <c r="B408" s="350" t="s">
        <v>377</v>
      </c>
      <c r="C408" s="161" t="s">
        <v>599</v>
      </c>
      <c r="D408" s="75" t="s">
        <v>18</v>
      </c>
      <c r="E408" s="67">
        <v>2</v>
      </c>
      <c r="F408" s="68">
        <v>300</v>
      </c>
      <c r="G408" s="69">
        <v>375</v>
      </c>
      <c r="H408" s="68">
        <v>390</v>
      </c>
      <c r="I408" s="69">
        <f t="shared" si="45"/>
        <v>600</v>
      </c>
    </row>
    <row r="409" spans="1:9">
      <c r="B409" s="350" t="s">
        <v>378</v>
      </c>
      <c r="C409" s="161" t="s">
        <v>600</v>
      </c>
      <c r="D409" s="75" t="s">
        <v>18</v>
      </c>
      <c r="E409" s="67">
        <v>2</v>
      </c>
      <c r="F409" s="68">
        <v>519.79999999999995</v>
      </c>
      <c r="G409" s="69">
        <v>519</v>
      </c>
      <c r="H409" s="68">
        <v>675</v>
      </c>
      <c r="I409" s="69">
        <f t="shared" si="45"/>
        <v>1039.5999999999999</v>
      </c>
    </row>
    <row r="410" spans="1:9" ht="28.8">
      <c r="B410" s="350" t="s">
        <v>379</v>
      </c>
      <c r="C410" s="161" t="s">
        <v>666</v>
      </c>
      <c r="D410" s="75" t="s">
        <v>18</v>
      </c>
      <c r="E410" s="67">
        <v>8</v>
      </c>
      <c r="F410" s="68">
        <v>29.46</v>
      </c>
      <c r="G410" s="69">
        <v>36.83</v>
      </c>
      <c r="H410" s="68">
        <v>38.299999999999997</v>
      </c>
      <c r="I410" s="69">
        <f t="shared" si="45"/>
        <v>235.68</v>
      </c>
    </row>
    <row r="411" spans="1:9">
      <c r="B411" s="350" t="s">
        <v>380</v>
      </c>
      <c r="C411" s="151" t="s">
        <v>514</v>
      </c>
      <c r="D411" s="67" t="s">
        <v>15</v>
      </c>
      <c r="E411" s="67">
        <v>8</v>
      </c>
      <c r="F411" s="68">
        <v>15.18</v>
      </c>
      <c r="G411" s="69">
        <v>18.899999999999999</v>
      </c>
      <c r="H411" s="68">
        <v>19.73</v>
      </c>
      <c r="I411" s="69">
        <f t="shared" si="45"/>
        <v>121.44</v>
      </c>
    </row>
    <row r="412" spans="1:9" ht="28.8">
      <c r="B412" s="350" t="s">
        <v>381</v>
      </c>
      <c r="C412" s="151" t="s">
        <v>582</v>
      </c>
      <c r="D412" s="67" t="s">
        <v>15</v>
      </c>
      <c r="E412" s="67">
        <v>2</v>
      </c>
      <c r="F412" s="256">
        <v>800</v>
      </c>
      <c r="G412" s="69"/>
      <c r="H412" s="68"/>
      <c r="I412" s="69">
        <f t="shared" si="45"/>
        <v>1600</v>
      </c>
    </row>
    <row r="413" spans="1:9">
      <c r="B413" s="571" t="s">
        <v>255</v>
      </c>
      <c r="C413" s="578"/>
      <c r="D413" s="300"/>
      <c r="E413" s="300"/>
      <c r="F413" s="302"/>
      <c r="G413" s="302"/>
      <c r="H413" s="302"/>
      <c r="I413" s="303">
        <f>SUM(I346:I412)</f>
        <v>933497.91919999977</v>
      </c>
    </row>
    <row r="414" spans="1:9">
      <c r="B414" s="294" t="s">
        <v>765</v>
      </c>
      <c r="C414" s="295"/>
      <c r="D414" s="295"/>
      <c r="E414" s="295"/>
      <c r="F414" s="297"/>
      <c r="G414" s="297"/>
      <c r="H414" s="297"/>
      <c r="I414" s="304">
        <f>I413</f>
        <v>933497.91919999977</v>
      </c>
    </row>
    <row r="415" spans="1:9">
      <c r="B415" s="580" t="s">
        <v>391</v>
      </c>
      <c r="C415" s="581"/>
      <c r="D415" s="581"/>
      <c r="E415" s="581"/>
      <c r="F415" s="582"/>
      <c r="G415" s="199"/>
      <c r="H415" s="199"/>
      <c r="I415" s="199"/>
    </row>
    <row r="416" spans="1:9" ht="28.8">
      <c r="A416" s="234"/>
      <c r="B416" s="351">
        <v>6</v>
      </c>
      <c r="C416" s="225" t="s">
        <v>383</v>
      </c>
      <c r="D416" s="226" t="s">
        <v>7</v>
      </c>
      <c r="E416" s="226" t="s">
        <v>8</v>
      </c>
      <c r="F416" s="227" t="s">
        <v>410</v>
      </c>
      <c r="G416" s="227" t="s">
        <v>408</v>
      </c>
      <c r="H416" s="227" t="s">
        <v>409</v>
      </c>
      <c r="I416" s="228" t="s">
        <v>9</v>
      </c>
    </row>
    <row r="417" spans="1:11">
      <c r="A417" s="234"/>
      <c r="B417" s="352" t="s">
        <v>431</v>
      </c>
      <c r="C417" s="151" t="s">
        <v>436</v>
      </c>
      <c r="D417" s="282" t="s">
        <v>13</v>
      </c>
      <c r="E417" s="283">
        <v>36</v>
      </c>
      <c r="F417" s="68">
        <f>(3643*97%)+3643</f>
        <v>7176.71</v>
      </c>
      <c r="G417" s="69">
        <f>(5000*97%)+5000</f>
        <v>9850</v>
      </c>
      <c r="H417" s="68">
        <f>(5801*97%)+5801</f>
        <v>11427.970000000001</v>
      </c>
      <c r="I417" s="247">
        <f>F417*E417*2</f>
        <v>516723.12</v>
      </c>
    </row>
    <row r="418" spans="1:11" ht="57.6">
      <c r="A418" s="234"/>
      <c r="B418" s="352" t="s">
        <v>432</v>
      </c>
      <c r="C418" s="151" t="s">
        <v>402</v>
      </c>
      <c r="D418" s="67" t="s">
        <v>15</v>
      </c>
      <c r="E418" s="67">
        <v>3</v>
      </c>
      <c r="F418" s="233">
        <v>10000</v>
      </c>
      <c r="G418" s="233">
        <v>10750</v>
      </c>
      <c r="H418" s="214">
        <v>11500</v>
      </c>
      <c r="I418" s="247">
        <f t="shared" ref="I418:I421" si="53">F418*E418</f>
        <v>30000</v>
      </c>
    </row>
    <row r="419" spans="1:11" ht="28.8">
      <c r="A419" s="234"/>
      <c r="B419" s="352" t="s">
        <v>433</v>
      </c>
      <c r="C419" s="151" t="s">
        <v>403</v>
      </c>
      <c r="D419" s="67" t="s">
        <v>15</v>
      </c>
      <c r="E419" s="67">
        <v>3</v>
      </c>
      <c r="F419" s="233">
        <v>3500</v>
      </c>
      <c r="G419" s="233">
        <v>4000</v>
      </c>
      <c r="H419" s="214">
        <v>4200</v>
      </c>
      <c r="I419" s="247">
        <f t="shared" si="53"/>
        <v>10500</v>
      </c>
    </row>
    <row r="420" spans="1:11" ht="28.8">
      <c r="A420" s="234"/>
      <c r="B420" s="352" t="s">
        <v>434</v>
      </c>
      <c r="C420" s="151" t="s">
        <v>406</v>
      </c>
      <c r="D420" s="67" t="s">
        <v>18</v>
      </c>
      <c r="E420" s="67">
        <v>30</v>
      </c>
      <c r="F420" s="69">
        <v>2810</v>
      </c>
      <c r="G420" s="69">
        <v>2810</v>
      </c>
      <c r="H420" s="68">
        <v>2920</v>
      </c>
      <c r="I420" s="247">
        <f t="shared" si="53"/>
        <v>84300</v>
      </c>
    </row>
    <row r="421" spans="1:11" ht="28.8">
      <c r="A421" s="234"/>
      <c r="B421" s="352" t="s">
        <v>435</v>
      </c>
      <c r="C421" s="151" t="s">
        <v>404</v>
      </c>
      <c r="D421" s="67" t="s">
        <v>15</v>
      </c>
      <c r="E421" s="67">
        <v>1</v>
      </c>
      <c r="F421" s="69">
        <v>7000</v>
      </c>
      <c r="G421" s="69">
        <v>8300</v>
      </c>
      <c r="H421" s="68">
        <v>9500</v>
      </c>
      <c r="I421" s="247">
        <f t="shared" si="53"/>
        <v>7000</v>
      </c>
    </row>
    <row r="422" spans="1:11">
      <c r="A422" s="234"/>
      <c r="B422" s="571" t="s">
        <v>766</v>
      </c>
      <c r="C422" s="583"/>
      <c r="D422" s="583"/>
      <c r="E422" s="583"/>
      <c r="F422" s="583"/>
      <c r="G422" s="583"/>
      <c r="H422" s="584"/>
      <c r="I422" s="315">
        <f>SUM(I417:I421)</f>
        <v>648523.12</v>
      </c>
    </row>
    <row r="423" spans="1:11">
      <c r="B423" s="570" t="s">
        <v>391</v>
      </c>
      <c r="C423" s="566"/>
      <c r="D423" s="200"/>
      <c r="E423" s="200"/>
      <c r="F423" s="201"/>
      <c r="G423" s="201"/>
      <c r="H423" s="201"/>
      <c r="I423" s="201"/>
    </row>
    <row r="424" spans="1:11" ht="28.8" hidden="1">
      <c r="B424" s="224" t="s">
        <v>5</v>
      </c>
      <c r="C424" s="225" t="s">
        <v>724</v>
      </c>
      <c r="D424" s="226" t="s">
        <v>7</v>
      </c>
      <c r="E424" s="226" t="s">
        <v>8</v>
      </c>
      <c r="F424" s="227" t="s">
        <v>410</v>
      </c>
      <c r="G424" s="227" t="s">
        <v>408</v>
      </c>
      <c r="H424" s="227" t="s">
        <v>409</v>
      </c>
      <c r="I424" s="228" t="s">
        <v>9</v>
      </c>
    </row>
    <row r="425" spans="1:11" ht="57.6" hidden="1">
      <c r="B425" s="279">
        <v>2</v>
      </c>
      <c r="C425" s="225" t="s">
        <v>767</v>
      </c>
      <c r="D425" s="226" t="s">
        <v>7</v>
      </c>
      <c r="E425" s="226" t="s">
        <v>8</v>
      </c>
      <c r="F425" s="227" t="s">
        <v>410</v>
      </c>
      <c r="G425" s="227" t="s">
        <v>408</v>
      </c>
      <c r="H425" s="227" t="s">
        <v>409</v>
      </c>
      <c r="I425" s="228" t="s">
        <v>9</v>
      </c>
    </row>
    <row r="426" spans="1:11">
      <c r="B426" s="190"/>
      <c r="C426" s="190"/>
      <c r="D426" s="205"/>
      <c r="E426" s="191"/>
      <c r="F426" s="192"/>
      <c r="G426" s="192"/>
      <c r="H426" s="192"/>
      <c r="I426" s="192"/>
    </row>
    <row r="427" spans="1:11" s="234" customFormat="1">
      <c r="B427" s="215"/>
      <c r="C427" s="564" t="s">
        <v>741</v>
      </c>
      <c r="D427" s="565"/>
      <c r="E427" s="565"/>
      <c r="F427" s="565"/>
      <c r="G427" s="565"/>
      <c r="H427" s="566"/>
      <c r="I427" s="284">
        <f>I422+I414+I344+I90+I80</f>
        <v>8717292.6488000005</v>
      </c>
      <c r="J427" s="313"/>
      <c r="K427" s="313"/>
    </row>
    <row r="428" spans="1:11" s="234" customFormat="1">
      <c r="B428" s="215"/>
      <c r="C428" s="567" t="s">
        <v>742</v>
      </c>
      <c r="D428" s="565"/>
      <c r="E428" s="565"/>
      <c r="F428" s="565"/>
      <c r="G428" s="565"/>
      <c r="H428" s="566"/>
      <c r="I428" s="285">
        <f>I427/100</f>
        <v>87172.926488000012</v>
      </c>
      <c r="J428" s="313"/>
      <c r="K428" s="313"/>
    </row>
    <row r="429" spans="1:11" s="234" customFormat="1">
      <c r="B429" s="215"/>
      <c r="C429" s="215"/>
      <c r="D429" s="323"/>
      <c r="E429" s="217"/>
      <c r="F429" s="215"/>
      <c r="G429" s="286" t="s">
        <v>848</v>
      </c>
      <c r="H429" s="287">
        <v>0.3</v>
      </c>
      <c r="I429" s="218">
        <f>I428*H429</f>
        <v>26151.877946400004</v>
      </c>
      <c r="J429" s="313"/>
      <c r="K429" s="313"/>
    </row>
    <row r="430" spans="1:11" s="234" customFormat="1">
      <c r="B430" s="215"/>
      <c r="C430" s="215"/>
      <c r="D430" s="323"/>
      <c r="E430" s="217"/>
      <c r="F430" s="215"/>
      <c r="G430" s="218"/>
      <c r="H430" s="218"/>
      <c r="I430" s="204">
        <f>I428+I429</f>
        <v>113324.80443440002</v>
      </c>
      <c r="J430" s="313"/>
      <c r="K430" s="313"/>
    </row>
    <row r="431" spans="1:11" s="234" customFormat="1">
      <c r="B431" s="215"/>
      <c r="C431" s="215"/>
      <c r="D431" s="323"/>
      <c r="E431" s="217"/>
      <c r="F431" s="215"/>
      <c r="G431" s="215"/>
      <c r="H431" s="215"/>
      <c r="I431" s="215"/>
      <c r="J431" s="313"/>
      <c r="K431" s="313"/>
    </row>
    <row r="432" spans="1:11">
      <c r="B432" s="190"/>
      <c r="C432" s="190"/>
      <c r="D432" s="205"/>
      <c r="E432" s="191"/>
      <c r="F432" s="190"/>
      <c r="G432" s="190"/>
      <c r="H432" s="190"/>
      <c r="I432" s="190"/>
    </row>
    <row r="433" spans="2:9">
      <c r="B433" s="190"/>
      <c r="C433" s="190"/>
      <c r="D433" s="205"/>
      <c r="E433" s="191"/>
      <c r="F433" s="190"/>
      <c r="G433" s="190"/>
      <c r="H433" s="190"/>
      <c r="I433" s="190"/>
    </row>
    <row r="434" spans="2:9">
      <c r="B434" s="190"/>
      <c r="C434" s="190"/>
      <c r="D434" s="205"/>
      <c r="E434" s="191"/>
      <c r="F434" s="190"/>
      <c r="G434" s="190"/>
      <c r="H434" s="190"/>
      <c r="I434" s="190"/>
    </row>
    <row r="435" spans="2:9">
      <c r="B435" s="190"/>
      <c r="C435" s="190"/>
      <c r="D435" s="205"/>
      <c r="E435" s="191"/>
      <c r="F435" s="190"/>
      <c r="G435" s="190"/>
      <c r="H435" s="190"/>
      <c r="I435" s="190"/>
    </row>
    <row r="436" spans="2:9">
      <c r="B436" s="190"/>
      <c r="C436" s="190"/>
      <c r="D436" s="205"/>
      <c r="E436" s="191"/>
      <c r="F436" s="190"/>
      <c r="G436" s="190"/>
      <c r="H436" s="190"/>
      <c r="I436" s="190"/>
    </row>
    <row r="437" spans="2:9">
      <c r="B437" s="190"/>
      <c r="C437" s="190"/>
      <c r="D437" s="205"/>
      <c r="E437" s="191"/>
      <c r="F437" s="190"/>
      <c r="G437" s="190"/>
      <c r="H437" s="190"/>
      <c r="I437" s="190"/>
    </row>
    <row r="438" spans="2:9">
      <c r="B438" s="190"/>
      <c r="C438" s="190"/>
      <c r="D438" s="205"/>
      <c r="E438" s="191"/>
      <c r="F438" s="190"/>
      <c r="G438" s="190"/>
      <c r="H438" s="190"/>
      <c r="I438" s="190"/>
    </row>
    <row r="439" spans="2:9">
      <c r="B439" s="190"/>
      <c r="C439" s="190"/>
      <c r="D439" s="205"/>
      <c r="E439" s="191"/>
      <c r="F439" s="190"/>
      <c r="G439" s="190"/>
      <c r="H439" s="190"/>
      <c r="I439" s="190"/>
    </row>
    <row r="440" spans="2:9">
      <c r="B440" s="190"/>
      <c r="C440" s="190"/>
      <c r="D440" s="205"/>
      <c r="E440" s="191"/>
      <c r="F440" s="190"/>
      <c r="G440" s="190"/>
      <c r="H440" s="190"/>
      <c r="I440" s="190"/>
    </row>
    <row r="441" spans="2:9">
      <c r="B441" s="190"/>
      <c r="C441" s="190"/>
      <c r="D441" s="205"/>
      <c r="E441" s="191"/>
      <c r="F441" s="190"/>
      <c r="G441" s="190"/>
      <c r="H441" s="190"/>
      <c r="I441" s="190"/>
    </row>
    <row r="442" spans="2:9">
      <c r="B442" s="190"/>
      <c r="C442" s="190"/>
      <c r="D442" s="205"/>
      <c r="E442" s="191"/>
      <c r="F442" s="190"/>
      <c r="G442" s="190"/>
      <c r="H442" s="190"/>
      <c r="I442" s="190"/>
    </row>
    <row r="443" spans="2:9">
      <c r="B443" s="190"/>
      <c r="C443" s="190"/>
      <c r="D443" s="205"/>
      <c r="E443" s="191"/>
      <c r="F443" s="190"/>
      <c r="G443" s="190"/>
      <c r="H443" s="190"/>
      <c r="I443" s="190"/>
    </row>
    <row r="444" spans="2:9">
      <c r="B444" s="190"/>
      <c r="C444" s="190"/>
      <c r="D444" s="205"/>
      <c r="E444" s="191"/>
      <c r="F444" s="190"/>
      <c r="G444" s="190"/>
      <c r="H444" s="190"/>
      <c r="I444" s="190"/>
    </row>
    <row r="445" spans="2:9">
      <c r="B445" s="190"/>
      <c r="C445" s="190"/>
      <c r="D445" s="205"/>
      <c r="E445" s="191"/>
      <c r="F445" s="190"/>
      <c r="G445" s="190"/>
      <c r="H445" s="190"/>
      <c r="I445" s="190"/>
    </row>
    <row r="446" spans="2:9">
      <c r="B446" s="190"/>
      <c r="C446" s="190"/>
      <c r="D446" s="205"/>
      <c r="E446" s="191"/>
      <c r="F446" s="190"/>
      <c r="G446" s="190"/>
      <c r="H446" s="190"/>
      <c r="I446" s="190"/>
    </row>
    <row r="447" spans="2:9">
      <c r="B447" s="190"/>
      <c r="C447" s="190"/>
      <c r="D447" s="205"/>
      <c r="E447" s="191"/>
      <c r="F447" s="190"/>
      <c r="G447" s="190"/>
      <c r="H447" s="190"/>
      <c r="I447" s="190"/>
    </row>
    <row r="448" spans="2:9">
      <c r="B448" s="190"/>
      <c r="C448" s="190"/>
      <c r="D448" s="205"/>
      <c r="E448" s="191"/>
      <c r="F448" s="190"/>
      <c r="G448" s="190"/>
      <c r="H448" s="190"/>
      <c r="I448" s="190"/>
    </row>
    <row r="449" spans="2:9">
      <c r="B449" s="190"/>
      <c r="C449" s="190"/>
      <c r="D449" s="205"/>
      <c r="E449" s="191"/>
      <c r="F449" s="190"/>
      <c r="G449" s="190"/>
      <c r="H449" s="190"/>
      <c r="I449" s="190"/>
    </row>
    <row r="450" spans="2:9">
      <c r="B450" s="190"/>
      <c r="C450" s="190"/>
      <c r="D450" s="205"/>
      <c r="E450" s="191"/>
      <c r="F450" s="190"/>
      <c r="G450" s="190"/>
      <c r="H450" s="190"/>
      <c r="I450" s="190"/>
    </row>
    <row r="451" spans="2:9">
      <c r="B451" s="190"/>
      <c r="C451" s="190"/>
      <c r="D451" s="205"/>
      <c r="E451" s="191"/>
      <c r="F451" s="190"/>
      <c r="G451" s="190"/>
      <c r="H451" s="190"/>
      <c r="I451" s="190"/>
    </row>
    <row r="452" spans="2:9">
      <c r="B452" s="190"/>
      <c r="C452" s="190"/>
      <c r="D452" s="205"/>
      <c r="E452" s="191"/>
      <c r="F452" s="190"/>
      <c r="G452" s="190"/>
      <c r="H452" s="190"/>
      <c r="I452" s="190"/>
    </row>
    <row r="453" spans="2:9">
      <c r="B453" s="190"/>
      <c r="C453" s="190"/>
      <c r="D453" s="190"/>
      <c r="E453" s="190"/>
      <c r="F453" s="190"/>
      <c r="G453" s="190"/>
      <c r="H453" s="190"/>
      <c r="I453" s="190"/>
    </row>
    <row r="454" spans="2:9">
      <c r="B454" s="190"/>
      <c r="C454" s="190"/>
      <c r="D454" s="190"/>
      <c r="E454" s="190"/>
      <c r="F454" s="190"/>
      <c r="G454" s="190"/>
      <c r="H454" s="190"/>
      <c r="I454" s="190"/>
    </row>
    <row r="455" spans="2:9">
      <c r="B455" s="190"/>
      <c r="C455" s="190"/>
      <c r="D455" s="190"/>
      <c r="E455" s="190"/>
      <c r="F455" s="190"/>
      <c r="G455" s="190"/>
      <c r="H455" s="190"/>
      <c r="I455" s="190"/>
    </row>
    <row r="456" spans="2:9">
      <c r="B456" s="190"/>
      <c r="C456" s="190"/>
      <c r="D456" s="190"/>
      <c r="E456" s="190"/>
      <c r="F456" s="190"/>
      <c r="G456" s="190"/>
      <c r="H456" s="190"/>
      <c r="I456" s="190"/>
    </row>
    <row r="457" spans="2:9">
      <c r="B457" s="190"/>
      <c r="C457" s="190"/>
      <c r="D457" s="190"/>
      <c r="E457" s="190"/>
      <c r="F457" s="190"/>
      <c r="G457" s="190"/>
      <c r="H457" s="190"/>
      <c r="I457" s="190"/>
    </row>
    <row r="458" spans="2:9">
      <c r="B458" s="190"/>
      <c r="C458" s="190"/>
      <c r="D458" s="190"/>
      <c r="E458" s="190"/>
      <c r="F458" s="190"/>
      <c r="G458" s="190"/>
      <c r="H458" s="190"/>
      <c r="I458" s="190"/>
    </row>
    <row r="459" spans="2:9">
      <c r="B459" s="190"/>
      <c r="C459" s="190"/>
      <c r="D459" s="190"/>
      <c r="E459" s="190"/>
      <c r="F459" s="190"/>
      <c r="G459" s="190"/>
      <c r="H459" s="190"/>
      <c r="I459" s="190"/>
    </row>
    <row r="460" spans="2:9">
      <c r="B460" s="190"/>
      <c r="C460" s="190"/>
      <c r="D460" s="190"/>
      <c r="E460" s="190"/>
      <c r="F460" s="190"/>
      <c r="G460" s="190"/>
      <c r="H460" s="190"/>
      <c r="I460" s="190"/>
    </row>
    <row r="461" spans="2:9">
      <c r="B461" s="190"/>
      <c r="C461" s="190"/>
      <c r="D461" s="190"/>
      <c r="E461" s="190"/>
      <c r="F461" s="190"/>
      <c r="G461" s="190"/>
      <c r="H461" s="190"/>
      <c r="I461" s="190"/>
    </row>
    <row r="462" spans="2:9">
      <c r="B462" s="190"/>
      <c r="C462" s="190"/>
      <c r="D462" s="190"/>
      <c r="E462" s="190"/>
      <c r="F462" s="190"/>
      <c r="G462" s="190"/>
      <c r="H462" s="190"/>
      <c r="I462" s="190"/>
    </row>
    <row r="463" spans="2:9">
      <c r="B463" s="190"/>
      <c r="C463" s="190"/>
      <c r="D463" s="190"/>
      <c r="E463" s="190"/>
      <c r="F463" s="190"/>
      <c r="G463" s="190"/>
      <c r="H463" s="190"/>
      <c r="I463" s="190"/>
    </row>
    <row r="464" spans="2:9">
      <c r="B464" s="190"/>
      <c r="C464" s="190"/>
      <c r="D464" s="190"/>
      <c r="E464" s="190"/>
      <c r="F464" s="190"/>
      <c r="G464" s="190"/>
      <c r="H464" s="190"/>
      <c r="I464" s="190"/>
    </row>
    <row r="465" spans="2:9">
      <c r="B465" s="190"/>
      <c r="C465" s="190"/>
      <c r="D465" s="190"/>
      <c r="E465" s="190"/>
      <c r="F465" s="190"/>
      <c r="G465" s="190"/>
      <c r="H465" s="190"/>
      <c r="I465" s="190"/>
    </row>
    <row r="466" spans="2:9">
      <c r="B466" s="190"/>
      <c r="C466" s="190"/>
      <c r="D466" s="190"/>
      <c r="E466" s="190"/>
      <c r="F466" s="190"/>
      <c r="G466" s="190"/>
      <c r="H466" s="190"/>
      <c r="I466" s="190"/>
    </row>
    <row r="467" spans="2:9">
      <c r="B467" s="190"/>
      <c r="C467" s="190"/>
      <c r="D467" s="190"/>
      <c r="E467" s="190"/>
      <c r="F467" s="190"/>
      <c r="G467" s="190"/>
      <c r="H467" s="190"/>
      <c r="I467" s="190"/>
    </row>
    <row r="468" spans="2:9">
      <c r="B468" s="190"/>
      <c r="C468" s="190"/>
      <c r="D468" s="190"/>
      <c r="E468" s="190"/>
      <c r="F468" s="190"/>
      <c r="G468" s="190"/>
      <c r="H468" s="190"/>
      <c r="I468" s="190"/>
    </row>
    <row r="469" spans="2:9">
      <c r="B469" s="190"/>
      <c r="C469" s="190"/>
      <c r="D469" s="190"/>
      <c r="E469" s="190"/>
      <c r="F469" s="190"/>
      <c r="G469" s="190"/>
      <c r="H469" s="190"/>
      <c r="I469" s="190"/>
    </row>
    <row r="470" spans="2:9">
      <c r="B470" s="190"/>
      <c r="C470" s="190"/>
      <c r="D470" s="190"/>
      <c r="E470" s="190"/>
      <c r="F470" s="190"/>
      <c r="G470" s="190"/>
      <c r="H470" s="190"/>
      <c r="I470" s="190"/>
    </row>
    <row r="471" spans="2:9">
      <c r="B471" s="190"/>
      <c r="C471" s="190"/>
      <c r="D471" s="190"/>
      <c r="E471" s="190"/>
      <c r="F471" s="190"/>
      <c r="G471" s="190"/>
      <c r="H471" s="190"/>
      <c r="I471" s="190"/>
    </row>
    <row r="472" spans="2:9">
      <c r="B472" s="190"/>
      <c r="C472" s="190"/>
      <c r="D472" s="190"/>
      <c r="E472" s="190"/>
      <c r="F472" s="190"/>
      <c r="G472" s="190"/>
      <c r="H472" s="190"/>
      <c r="I472" s="190"/>
    </row>
    <row r="473" spans="2:9">
      <c r="B473" s="190"/>
      <c r="C473" s="190"/>
      <c r="D473" s="190"/>
      <c r="E473" s="190"/>
      <c r="F473" s="190"/>
      <c r="G473" s="190"/>
      <c r="H473" s="190"/>
      <c r="I473" s="190"/>
    </row>
    <row r="474" spans="2:9">
      <c r="B474" s="190"/>
      <c r="C474" s="190"/>
      <c r="D474" s="190"/>
      <c r="E474" s="190"/>
      <c r="F474" s="190"/>
      <c r="G474" s="190"/>
      <c r="H474" s="190"/>
      <c r="I474" s="190"/>
    </row>
    <row r="475" spans="2:9">
      <c r="B475" s="190"/>
      <c r="C475" s="190"/>
      <c r="D475" s="190"/>
      <c r="E475" s="190"/>
      <c r="F475" s="190"/>
      <c r="G475" s="190"/>
      <c r="H475" s="190"/>
      <c r="I475" s="190"/>
    </row>
    <row r="476" spans="2:9">
      <c r="B476" s="190"/>
      <c r="C476" s="190"/>
      <c r="D476" s="190"/>
      <c r="E476" s="190"/>
      <c r="F476" s="190"/>
      <c r="G476" s="190"/>
      <c r="H476" s="190"/>
      <c r="I476" s="190"/>
    </row>
    <row r="477" spans="2:9">
      <c r="B477" s="190"/>
      <c r="C477" s="190"/>
      <c r="D477" s="190"/>
      <c r="E477" s="190"/>
      <c r="F477" s="190"/>
      <c r="G477" s="190"/>
      <c r="H477" s="190"/>
      <c r="I477" s="190"/>
    </row>
    <row r="478" spans="2:9">
      <c r="B478" s="190"/>
      <c r="C478" s="190"/>
      <c r="D478" s="190"/>
      <c r="E478" s="190"/>
      <c r="F478" s="190"/>
      <c r="G478" s="190"/>
      <c r="H478" s="190"/>
      <c r="I478" s="190"/>
    </row>
    <row r="479" spans="2:9">
      <c r="B479" s="190"/>
      <c r="C479" s="190"/>
      <c r="D479" s="190"/>
      <c r="E479" s="190"/>
      <c r="F479" s="190"/>
      <c r="G479" s="190"/>
      <c r="H479" s="190"/>
      <c r="I479" s="190"/>
    </row>
    <row r="480" spans="2:9">
      <c r="B480" s="190"/>
      <c r="C480" s="190"/>
      <c r="D480" s="190"/>
      <c r="E480" s="190"/>
      <c r="F480" s="190"/>
      <c r="G480" s="190"/>
      <c r="H480" s="190"/>
      <c r="I480" s="190"/>
    </row>
    <row r="481" spans="2:9">
      <c r="B481" s="190"/>
      <c r="C481" s="190"/>
      <c r="D481" s="190"/>
      <c r="E481" s="190"/>
      <c r="F481" s="190"/>
      <c r="G481" s="190"/>
      <c r="H481" s="190"/>
      <c r="I481" s="190"/>
    </row>
    <row r="482" spans="2:9">
      <c r="B482" s="190"/>
      <c r="C482" s="190"/>
      <c r="D482" s="190"/>
      <c r="E482" s="190"/>
      <c r="F482" s="190"/>
      <c r="G482" s="190"/>
      <c r="H482" s="190"/>
      <c r="I482" s="190"/>
    </row>
    <row r="483" spans="2:9">
      <c r="B483" s="190"/>
      <c r="C483" s="190"/>
      <c r="D483" s="190"/>
      <c r="E483" s="190"/>
      <c r="F483" s="190"/>
      <c r="G483" s="190"/>
      <c r="H483" s="190"/>
      <c r="I483" s="190"/>
    </row>
    <row r="484" spans="2:9">
      <c r="B484" s="190"/>
      <c r="C484" s="190"/>
      <c r="D484" s="190"/>
      <c r="E484" s="190"/>
      <c r="F484" s="190"/>
      <c r="G484" s="190"/>
      <c r="H484" s="190"/>
      <c r="I484" s="190"/>
    </row>
    <row r="485" spans="2:9">
      <c r="B485" s="190"/>
      <c r="C485" s="190"/>
      <c r="D485" s="190"/>
      <c r="E485" s="190"/>
      <c r="F485" s="190"/>
      <c r="G485" s="190"/>
      <c r="H485" s="190"/>
      <c r="I485" s="190"/>
    </row>
    <row r="486" spans="2:9">
      <c r="B486" s="190"/>
      <c r="C486" s="190"/>
      <c r="D486" s="190"/>
      <c r="E486" s="190"/>
      <c r="F486" s="190"/>
      <c r="G486" s="190"/>
      <c r="H486" s="190"/>
      <c r="I486" s="190"/>
    </row>
    <row r="487" spans="2:9">
      <c r="B487" s="190"/>
      <c r="C487" s="190"/>
      <c r="D487" s="190"/>
      <c r="E487" s="190"/>
      <c r="F487" s="190"/>
      <c r="G487" s="190"/>
      <c r="H487" s="190"/>
      <c r="I487" s="190"/>
    </row>
    <row r="488" spans="2:9">
      <c r="B488" s="190"/>
      <c r="C488" s="190"/>
      <c r="D488" s="190"/>
      <c r="E488" s="190"/>
      <c r="F488" s="190"/>
      <c r="G488" s="190"/>
      <c r="H488" s="190"/>
      <c r="I488" s="190"/>
    </row>
    <row r="489" spans="2:9">
      <c r="B489" s="190"/>
      <c r="C489" s="190"/>
      <c r="D489" s="190"/>
      <c r="E489" s="190"/>
      <c r="F489" s="190"/>
      <c r="G489" s="190"/>
      <c r="H489" s="190"/>
      <c r="I489" s="190"/>
    </row>
    <row r="490" spans="2:9">
      <c r="B490" s="190"/>
      <c r="C490" s="190"/>
      <c r="D490" s="190"/>
      <c r="E490" s="190"/>
      <c r="F490" s="190"/>
      <c r="G490" s="190"/>
      <c r="H490" s="190"/>
      <c r="I490" s="190"/>
    </row>
    <row r="491" spans="2:9">
      <c r="B491" s="190"/>
      <c r="C491" s="190"/>
      <c r="D491" s="190"/>
      <c r="E491" s="190"/>
      <c r="F491" s="190"/>
      <c r="G491" s="190"/>
      <c r="H491" s="190"/>
      <c r="I491" s="190"/>
    </row>
    <row r="492" spans="2:9">
      <c r="B492" s="190"/>
      <c r="C492" s="190"/>
      <c r="D492" s="190"/>
      <c r="E492" s="190"/>
      <c r="F492" s="190"/>
      <c r="G492" s="190"/>
      <c r="H492" s="190"/>
      <c r="I492" s="190"/>
    </row>
    <row r="493" spans="2:9">
      <c r="B493" s="190"/>
      <c r="C493" s="190"/>
      <c r="D493" s="190"/>
      <c r="E493" s="190"/>
      <c r="F493" s="190"/>
      <c r="G493" s="190"/>
      <c r="H493" s="190"/>
      <c r="I493" s="190"/>
    </row>
    <row r="494" spans="2:9">
      <c r="B494" s="190"/>
      <c r="C494" s="190"/>
      <c r="D494" s="190"/>
      <c r="E494" s="190"/>
      <c r="F494" s="190"/>
      <c r="G494" s="190"/>
      <c r="H494" s="190"/>
      <c r="I494" s="190"/>
    </row>
    <row r="495" spans="2:9">
      <c r="B495" s="190"/>
      <c r="C495" s="190"/>
      <c r="D495" s="190"/>
      <c r="E495" s="190"/>
      <c r="F495" s="190"/>
      <c r="G495" s="190"/>
      <c r="H495" s="190"/>
      <c r="I495" s="190"/>
    </row>
    <row r="496" spans="2:9">
      <c r="B496" s="190"/>
      <c r="C496" s="190"/>
      <c r="D496" s="190"/>
      <c r="E496" s="190"/>
      <c r="F496" s="190"/>
      <c r="G496" s="190"/>
      <c r="H496" s="190"/>
      <c r="I496" s="190"/>
    </row>
    <row r="497" spans="2:9">
      <c r="B497" s="190"/>
      <c r="C497" s="190"/>
      <c r="D497" s="190"/>
      <c r="E497" s="190"/>
      <c r="F497" s="190"/>
      <c r="G497" s="190"/>
      <c r="H497" s="190"/>
      <c r="I497" s="190"/>
    </row>
    <row r="498" spans="2:9">
      <c r="B498" s="190"/>
      <c r="C498" s="190"/>
      <c r="D498" s="190"/>
      <c r="E498" s="190"/>
      <c r="F498" s="190"/>
      <c r="G498" s="190"/>
      <c r="H498" s="190"/>
      <c r="I498" s="190"/>
    </row>
    <row r="499" spans="2:9">
      <c r="B499" s="190"/>
      <c r="C499" s="190"/>
      <c r="D499" s="190"/>
      <c r="E499" s="190"/>
      <c r="F499" s="190"/>
      <c r="G499" s="190"/>
      <c r="H499" s="190"/>
      <c r="I499" s="190"/>
    </row>
    <row r="500" spans="2:9">
      <c r="B500" s="190"/>
      <c r="C500" s="190"/>
      <c r="D500" s="190"/>
      <c r="E500" s="190"/>
      <c r="F500" s="190"/>
      <c r="G500" s="190"/>
      <c r="H500" s="190"/>
      <c r="I500" s="190"/>
    </row>
    <row r="501" spans="2:9">
      <c r="B501" s="190"/>
      <c r="C501" s="190"/>
      <c r="D501" s="190"/>
      <c r="E501" s="190"/>
      <c r="F501" s="190"/>
      <c r="G501" s="190"/>
      <c r="H501" s="190"/>
      <c r="I501" s="190"/>
    </row>
    <row r="502" spans="2:9">
      <c r="B502" s="190"/>
      <c r="C502" s="190"/>
      <c r="D502" s="190"/>
      <c r="E502" s="190"/>
      <c r="F502" s="190"/>
      <c r="G502" s="190"/>
      <c r="H502" s="190"/>
      <c r="I502" s="190"/>
    </row>
    <row r="503" spans="2:9">
      <c r="B503" s="190"/>
      <c r="C503" s="190"/>
      <c r="D503" s="190"/>
      <c r="E503" s="190"/>
      <c r="F503" s="190"/>
      <c r="G503" s="190"/>
      <c r="H503" s="190"/>
      <c r="I503" s="190"/>
    </row>
    <row r="504" spans="2:9">
      <c r="B504" s="190"/>
      <c r="C504" s="190"/>
      <c r="D504" s="190"/>
      <c r="E504" s="190"/>
      <c r="F504" s="190"/>
      <c r="G504" s="190"/>
      <c r="H504" s="190"/>
      <c r="I504" s="190"/>
    </row>
    <row r="505" spans="2:9">
      <c r="B505" s="190"/>
      <c r="C505" s="190"/>
      <c r="D505" s="190"/>
      <c r="E505" s="190"/>
      <c r="F505" s="190"/>
      <c r="G505" s="190"/>
      <c r="H505" s="190"/>
      <c r="I505" s="190"/>
    </row>
    <row r="506" spans="2:9">
      <c r="B506" s="190"/>
      <c r="C506" s="190"/>
      <c r="D506" s="190"/>
      <c r="E506" s="190"/>
      <c r="F506" s="190"/>
      <c r="G506" s="190"/>
      <c r="H506" s="190"/>
      <c r="I506" s="190"/>
    </row>
    <row r="507" spans="2:9">
      <c r="B507" s="190"/>
      <c r="C507" s="190"/>
      <c r="D507" s="190"/>
      <c r="E507" s="190"/>
      <c r="F507" s="190"/>
      <c r="G507" s="190"/>
      <c r="H507" s="190"/>
      <c r="I507" s="190"/>
    </row>
    <row r="508" spans="2:9">
      <c r="B508" s="190"/>
      <c r="C508" s="190"/>
      <c r="D508" s="190"/>
      <c r="E508" s="190"/>
      <c r="F508" s="190"/>
      <c r="G508" s="190"/>
      <c r="H508" s="190"/>
      <c r="I508" s="190"/>
    </row>
    <row r="509" spans="2:9">
      <c r="B509" s="190"/>
      <c r="C509" s="190"/>
      <c r="D509" s="190"/>
      <c r="E509" s="190"/>
      <c r="F509" s="190"/>
      <c r="G509" s="190"/>
      <c r="H509" s="190"/>
      <c r="I509" s="190"/>
    </row>
    <row r="510" spans="2:9">
      <c r="B510" s="190"/>
      <c r="C510" s="190"/>
      <c r="D510" s="190"/>
      <c r="E510" s="190"/>
      <c r="F510" s="190"/>
      <c r="G510" s="190"/>
      <c r="H510" s="190"/>
      <c r="I510" s="190"/>
    </row>
    <row r="511" spans="2:9">
      <c r="B511" s="190"/>
      <c r="C511" s="190"/>
      <c r="D511" s="190"/>
      <c r="E511" s="190"/>
      <c r="F511" s="190"/>
      <c r="G511" s="190"/>
      <c r="H511" s="190"/>
      <c r="I511" s="190"/>
    </row>
    <row r="512" spans="2:9">
      <c r="B512" s="190"/>
      <c r="C512" s="190"/>
      <c r="D512" s="190"/>
      <c r="E512" s="190"/>
      <c r="F512" s="190"/>
      <c r="G512" s="190"/>
      <c r="H512" s="190"/>
      <c r="I512" s="190"/>
    </row>
    <row r="513" spans="2:9">
      <c r="B513" s="190"/>
      <c r="C513" s="190"/>
      <c r="D513" s="190"/>
      <c r="E513" s="190"/>
      <c r="F513" s="190"/>
      <c r="G513" s="190"/>
      <c r="H513" s="190"/>
      <c r="I513" s="190"/>
    </row>
    <row r="514" spans="2:9">
      <c r="B514" s="190"/>
      <c r="C514" s="190"/>
      <c r="D514" s="190"/>
      <c r="E514" s="190"/>
      <c r="F514" s="190"/>
      <c r="G514" s="190"/>
      <c r="H514" s="190"/>
      <c r="I514" s="190"/>
    </row>
    <row r="515" spans="2:9">
      <c r="B515" s="190"/>
      <c r="C515" s="190"/>
      <c r="D515" s="190"/>
      <c r="E515" s="190"/>
      <c r="F515" s="190"/>
      <c r="G515" s="190"/>
      <c r="H515" s="190"/>
      <c r="I515" s="190"/>
    </row>
    <row r="516" spans="2:9">
      <c r="B516" s="190"/>
      <c r="C516" s="190"/>
      <c r="D516" s="190"/>
      <c r="E516" s="190"/>
      <c r="F516" s="190"/>
      <c r="G516" s="190"/>
      <c r="H516" s="190"/>
      <c r="I516" s="190"/>
    </row>
    <row r="517" spans="2:9">
      <c r="B517" s="190"/>
      <c r="C517" s="190"/>
      <c r="D517" s="190"/>
      <c r="E517" s="190"/>
      <c r="F517" s="190"/>
      <c r="G517" s="190"/>
      <c r="H517" s="190"/>
      <c r="I517" s="190"/>
    </row>
    <row r="518" spans="2:9">
      <c r="B518" s="190"/>
      <c r="C518" s="190"/>
      <c r="D518" s="190"/>
      <c r="E518" s="190"/>
      <c r="F518" s="190"/>
      <c r="G518" s="190"/>
      <c r="H518" s="190"/>
      <c r="I518" s="190"/>
    </row>
    <row r="519" spans="2:9">
      <c r="B519" s="190"/>
      <c r="C519" s="190"/>
      <c r="D519" s="190"/>
      <c r="E519" s="190"/>
      <c r="F519" s="190"/>
      <c r="G519" s="190"/>
      <c r="H519" s="190"/>
      <c r="I519" s="190"/>
    </row>
    <row r="520" spans="2:9">
      <c r="B520" s="190"/>
      <c r="C520" s="190"/>
      <c r="D520" s="190"/>
      <c r="E520" s="190"/>
      <c r="F520" s="190"/>
      <c r="G520" s="190"/>
      <c r="H520" s="190"/>
      <c r="I520" s="190"/>
    </row>
    <row r="521" spans="2:9">
      <c r="B521" s="190"/>
      <c r="C521" s="190"/>
      <c r="D521" s="190"/>
      <c r="E521" s="190"/>
      <c r="F521" s="190"/>
      <c r="G521" s="190"/>
      <c r="H521" s="190"/>
      <c r="I521" s="190"/>
    </row>
    <row r="522" spans="2:9">
      <c r="B522" s="190"/>
      <c r="C522" s="190"/>
      <c r="D522" s="190"/>
      <c r="E522" s="190"/>
      <c r="F522" s="190"/>
      <c r="G522" s="190"/>
      <c r="H522" s="190"/>
      <c r="I522" s="190"/>
    </row>
    <row r="523" spans="2:9">
      <c r="B523" s="190"/>
      <c r="C523" s="190"/>
      <c r="D523" s="190"/>
      <c r="E523" s="190"/>
      <c r="F523" s="190"/>
      <c r="G523" s="190"/>
      <c r="H523" s="190"/>
      <c r="I523" s="190"/>
    </row>
    <row r="524" spans="2:9">
      <c r="B524" s="190"/>
      <c r="C524" s="190"/>
      <c r="D524" s="190"/>
      <c r="E524" s="190"/>
      <c r="F524" s="190"/>
      <c r="G524" s="190"/>
      <c r="H524" s="190"/>
      <c r="I524" s="190"/>
    </row>
    <row r="525" spans="2:9">
      <c r="B525" s="190"/>
      <c r="C525" s="190"/>
      <c r="D525" s="190"/>
      <c r="E525" s="190"/>
      <c r="F525" s="190"/>
      <c r="G525" s="190"/>
      <c r="H525" s="190"/>
      <c r="I525" s="190"/>
    </row>
    <row r="526" spans="2:9">
      <c r="B526" s="190"/>
      <c r="C526" s="190"/>
      <c r="D526" s="190"/>
      <c r="E526" s="190"/>
      <c r="F526" s="190"/>
      <c r="G526" s="190"/>
      <c r="H526" s="190"/>
      <c r="I526" s="190"/>
    </row>
    <row r="527" spans="2:9">
      <c r="B527" s="190"/>
      <c r="C527" s="190"/>
      <c r="D527" s="190"/>
      <c r="E527" s="190"/>
      <c r="F527" s="190"/>
      <c r="G527" s="190"/>
      <c r="H527" s="190"/>
      <c r="I527" s="190"/>
    </row>
    <row r="528" spans="2:9">
      <c r="B528" s="190"/>
      <c r="C528" s="190"/>
      <c r="D528" s="190"/>
      <c r="E528" s="190"/>
      <c r="F528" s="190"/>
      <c r="G528" s="190"/>
      <c r="H528" s="190"/>
      <c r="I528" s="190"/>
    </row>
    <row r="529" spans="2:9">
      <c r="B529" s="190"/>
      <c r="C529" s="190"/>
      <c r="D529" s="190"/>
      <c r="E529" s="190"/>
      <c r="F529" s="190"/>
      <c r="G529" s="190"/>
      <c r="H529" s="190"/>
      <c r="I529" s="190"/>
    </row>
    <row r="530" spans="2:9">
      <c r="B530" s="190"/>
      <c r="C530" s="190"/>
      <c r="D530" s="190"/>
      <c r="E530" s="190"/>
      <c r="F530" s="190"/>
      <c r="G530" s="190"/>
      <c r="H530" s="190"/>
      <c r="I530" s="190"/>
    </row>
    <row r="531" spans="2:9">
      <c r="B531" s="190"/>
      <c r="C531" s="190"/>
      <c r="D531" s="190"/>
      <c r="E531" s="190"/>
      <c r="F531" s="190"/>
      <c r="G531" s="190"/>
      <c r="H531" s="190"/>
      <c r="I531" s="190"/>
    </row>
    <row r="532" spans="2:9">
      <c r="B532" s="190"/>
      <c r="C532" s="190"/>
      <c r="D532" s="190"/>
      <c r="E532" s="190"/>
      <c r="F532" s="190"/>
      <c r="G532" s="190"/>
      <c r="H532" s="190"/>
      <c r="I532" s="190"/>
    </row>
    <row r="533" spans="2:9">
      <c r="B533" s="190"/>
      <c r="C533" s="190"/>
      <c r="D533" s="190"/>
      <c r="E533" s="190"/>
      <c r="F533" s="190"/>
      <c r="G533" s="190"/>
      <c r="H533" s="190"/>
      <c r="I533" s="190"/>
    </row>
    <row r="534" spans="2:9">
      <c r="B534" s="190"/>
      <c r="C534" s="190"/>
      <c r="D534" s="190"/>
      <c r="E534" s="190"/>
      <c r="F534" s="190"/>
      <c r="G534" s="190"/>
      <c r="H534" s="190"/>
      <c r="I534" s="190"/>
    </row>
    <row r="535" spans="2:9">
      <c r="B535" s="190"/>
      <c r="C535" s="190"/>
      <c r="D535" s="190"/>
      <c r="E535" s="190"/>
      <c r="F535" s="190"/>
      <c r="G535" s="190"/>
      <c r="H535" s="190"/>
      <c r="I535" s="190"/>
    </row>
    <row r="536" spans="2:9">
      <c r="B536" s="190"/>
      <c r="C536" s="190"/>
      <c r="D536" s="190"/>
      <c r="E536" s="190"/>
      <c r="F536" s="190"/>
      <c r="G536" s="190"/>
      <c r="H536" s="190"/>
      <c r="I536" s="190"/>
    </row>
    <row r="537" spans="2:9">
      <c r="B537" s="190"/>
      <c r="C537" s="190"/>
      <c r="D537" s="190"/>
      <c r="E537" s="190"/>
      <c r="F537" s="190"/>
      <c r="G537" s="190"/>
      <c r="H537" s="190"/>
      <c r="I537" s="190"/>
    </row>
    <row r="538" spans="2:9">
      <c r="B538" s="190"/>
      <c r="C538" s="190"/>
      <c r="D538" s="190"/>
      <c r="E538" s="190"/>
      <c r="F538" s="190"/>
      <c r="G538" s="190"/>
      <c r="H538" s="190"/>
      <c r="I538" s="190"/>
    </row>
    <row r="539" spans="2:9">
      <c r="B539" s="190"/>
      <c r="C539" s="190"/>
      <c r="D539" s="190"/>
      <c r="E539" s="190"/>
      <c r="F539" s="190"/>
      <c r="G539" s="190"/>
      <c r="H539" s="190"/>
      <c r="I539" s="190"/>
    </row>
    <row r="540" spans="2:9">
      <c r="B540" s="190"/>
      <c r="C540" s="190"/>
      <c r="D540" s="190"/>
      <c r="E540" s="190"/>
      <c r="F540" s="190"/>
      <c r="G540" s="190"/>
      <c r="H540" s="190"/>
      <c r="I540" s="190"/>
    </row>
    <row r="541" spans="2:9">
      <c r="B541" s="190"/>
      <c r="C541" s="190"/>
      <c r="D541" s="190"/>
      <c r="E541" s="190"/>
      <c r="F541" s="190"/>
      <c r="G541" s="190"/>
      <c r="H541" s="190"/>
      <c r="I541" s="190"/>
    </row>
    <row r="542" spans="2:9">
      <c r="B542" s="190"/>
      <c r="C542" s="190"/>
      <c r="D542" s="190"/>
      <c r="E542" s="190"/>
      <c r="F542" s="190"/>
      <c r="G542" s="190"/>
      <c r="H542" s="190"/>
      <c r="I542" s="190"/>
    </row>
    <row r="543" spans="2:9">
      <c r="B543" s="190"/>
      <c r="C543" s="190"/>
      <c r="D543" s="190"/>
      <c r="E543" s="190"/>
      <c r="F543" s="190"/>
      <c r="G543" s="190"/>
      <c r="H543" s="190"/>
      <c r="I543" s="190"/>
    </row>
    <row r="544" spans="2:9">
      <c r="B544" s="190"/>
      <c r="C544" s="190"/>
      <c r="D544" s="190"/>
      <c r="E544" s="190"/>
      <c r="F544" s="190"/>
      <c r="G544" s="190"/>
      <c r="H544" s="190"/>
      <c r="I544" s="190"/>
    </row>
    <row r="545" spans="2:9">
      <c r="B545" s="190"/>
      <c r="C545" s="190"/>
      <c r="D545" s="190"/>
      <c r="E545" s="190"/>
      <c r="F545" s="190"/>
      <c r="G545" s="190"/>
      <c r="H545" s="190"/>
      <c r="I545" s="190"/>
    </row>
    <row r="546" spans="2:9">
      <c r="B546" s="190"/>
      <c r="C546" s="190"/>
      <c r="D546" s="190"/>
      <c r="E546" s="190"/>
      <c r="F546" s="190"/>
      <c r="G546" s="190"/>
      <c r="H546" s="190"/>
      <c r="I546" s="190"/>
    </row>
    <row r="547" spans="2:9">
      <c r="B547" s="190"/>
      <c r="C547" s="190"/>
      <c r="D547" s="190"/>
      <c r="E547" s="190"/>
      <c r="F547" s="190"/>
      <c r="G547" s="190"/>
      <c r="H547" s="190"/>
      <c r="I547" s="190"/>
    </row>
    <row r="548" spans="2:9">
      <c r="B548" s="190"/>
      <c r="C548" s="190"/>
      <c r="D548" s="190"/>
      <c r="E548" s="190"/>
      <c r="F548" s="190"/>
      <c r="G548" s="190"/>
      <c r="H548" s="190"/>
      <c r="I548" s="190"/>
    </row>
    <row r="549" spans="2:9">
      <c r="B549" s="190"/>
      <c r="C549" s="190"/>
      <c r="D549" s="190"/>
      <c r="E549" s="190"/>
      <c r="F549" s="190"/>
      <c r="G549" s="190"/>
      <c r="H549" s="190"/>
      <c r="I549" s="190"/>
    </row>
    <row r="550" spans="2:9">
      <c r="B550" s="190"/>
      <c r="C550" s="190"/>
      <c r="D550" s="190"/>
      <c r="E550" s="190"/>
      <c r="F550" s="190"/>
      <c r="G550" s="190"/>
      <c r="H550" s="190"/>
      <c r="I550" s="190"/>
    </row>
    <row r="551" spans="2:9">
      <c r="B551" s="190"/>
      <c r="C551" s="190"/>
      <c r="D551" s="190"/>
      <c r="E551" s="190"/>
      <c r="F551" s="190"/>
      <c r="G551" s="190"/>
      <c r="H551" s="190"/>
      <c r="I551" s="190"/>
    </row>
    <row r="552" spans="2:9">
      <c r="B552" s="190"/>
      <c r="C552" s="190"/>
      <c r="D552" s="190"/>
      <c r="E552" s="190"/>
      <c r="F552" s="190"/>
      <c r="G552" s="190"/>
      <c r="H552" s="190"/>
      <c r="I552" s="190"/>
    </row>
    <row r="553" spans="2:9">
      <c r="B553" s="190"/>
      <c r="C553" s="190"/>
      <c r="D553" s="190"/>
      <c r="E553" s="190"/>
      <c r="F553" s="190"/>
      <c r="G553" s="190"/>
      <c r="H553" s="190"/>
      <c r="I553" s="190"/>
    </row>
    <row r="554" spans="2:9">
      <c r="B554" s="190"/>
      <c r="C554" s="190"/>
      <c r="D554" s="190"/>
      <c r="E554" s="190"/>
      <c r="F554" s="190"/>
      <c r="G554" s="190"/>
      <c r="H554" s="190"/>
      <c r="I554" s="190"/>
    </row>
    <row r="555" spans="2:9">
      <c r="B555" s="190"/>
      <c r="C555" s="190"/>
      <c r="D555" s="190"/>
      <c r="E555" s="190"/>
      <c r="F555" s="190"/>
      <c r="G555" s="190"/>
      <c r="H555" s="190"/>
      <c r="I555" s="190"/>
    </row>
    <row r="556" spans="2:9">
      <c r="B556" s="190"/>
      <c r="C556" s="190"/>
      <c r="D556" s="190"/>
      <c r="E556" s="190"/>
      <c r="F556" s="190"/>
      <c r="G556" s="190"/>
      <c r="H556" s="190"/>
      <c r="I556" s="190"/>
    </row>
    <row r="557" spans="2:9">
      <c r="B557" s="190"/>
      <c r="C557" s="190"/>
      <c r="D557" s="190"/>
      <c r="E557" s="190"/>
      <c r="F557" s="190"/>
      <c r="G557" s="190"/>
      <c r="H557" s="190"/>
      <c r="I557" s="190"/>
    </row>
    <row r="558" spans="2:9">
      <c r="B558" s="190"/>
      <c r="C558" s="190"/>
      <c r="D558" s="190"/>
      <c r="E558" s="190"/>
      <c r="F558" s="190"/>
      <c r="G558" s="190"/>
      <c r="H558" s="190"/>
      <c r="I558" s="190"/>
    </row>
    <row r="559" spans="2:9">
      <c r="B559" s="190"/>
      <c r="C559" s="190"/>
      <c r="D559" s="190"/>
      <c r="E559" s="190"/>
      <c r="F559" s="190"/>
      <c r="G559" s="190"/>
      <c r="H559" s="190"/>
      <c r="I559" s="190"/>
    </row>
    <row r="560" spans="2:9">
      <c r="B560" s="190"/>
      <c r="C560" s="190"/>
      <c r="D560" s="190"/>
      <c r="E560" s="190"/>
      <c r="F560" s="190"/>
      <c r="G560" s="190"/>
      <c r="H560" s="190"/>
      <c r="I560" s="190"/>
    </row>
    <row r="561" spans="2:9">
      <c r="B561" s="190"/>
      <c r="C561" s="190"/>
      <c r="D561" s="190"/>
      <c r="E561" s="190"/>
      <c r="F561" s="190"/>
      <c r="G561" s="190"/>
      <c r="H561" s="190"/>
      <c r="I561" s="190"/>
    </row>
    <row r="562" spans="2:9">
      <c r="B562" s="190"/>
      <c r="C562" s="190"/>
      <c r="D562" s="190"/>
      <c r="E562" s="190"/>
      <c r="F562" s="190"/>
      <c r="G562" s="190"/>
      <c r="H562" s="190"/>
      <c r="I562" s="190"/>
    </row>
    <row r="563" spans="2:9">
      <c r="B563" s="190"/>
      <c r="C563" s="190"/>
      <c r="D563" s="190"/>
      <c r="E563" s="190"/>
      <c r="F563" s="190"/>
      <c r="G563" s="190"/>
      <c r="H563" s="190"/>
      <c r="I563" s="190"/>
    </row>
    <row r="564" spans="2:9">
      <c r="B564" s="190"/>
      <c r="C564" s="190"/>
      <c r="D564" s="190"/>
      <c r="E564" s="190"/>
      <c r="F564" s="190"/>
      <c r="G564" s="190"/>
      <c r="H564" s="190"/>
      <c r="I564" s="190"/>
    </row>
    <row r="565" spans="2:9">
      <c r="B565" s="190"/>
      <c r="C565" s="190"/>
      <c r="D565" s="190"/>
      <c r="E565" s="190"/>
      <c r="F565" s="190"/>
      <c r="G565" s="190"/>
      <c r="H565" s="190"/>
      <c r="I565" s="190"/>
    </row>
    <row r="566" spans="2:9">
      <c r="B566" s="190"/>
      <c r="C566" s="190"/>
      <c r="D566" s="190"/>
      <c r="E566" s="190"/>
      <c r="F566" s="190"/>
      <c r="G566" s="190"/>
      <c r="H566" s="190"/>
      <c r="I566" s="190"/>
    </row>
    <row r="567" spans="2:9">
      <c r="B567" s="190"/>
      <c r="C567" s="190"/>
      <c r="D567" s="190"/>
      <c r="E567" s="190"/>
      <c r="F567" s="190"/>
      <c r="G567" s="190"/>
      <c r="H567" s="190"/>
      <c r="I567" s="190"/>
    </row>
    <row r="568" spans="2:9">
      <c r="B568" s="190"/>
      <c r="C568" s="190"/>
      <c r="D568" s="190"/>
      <c r="E568" s="190"/>
      <c r="F568" s="190"/>
      <c r="G568" s="190"/>
      <c r="H568" s="190"/>
      <c r="I568" s="190"/>
    </row>
    <row r="569" spans="2:9">
      <c r="B569" s="190"/>
      <c r="C569" s="190"/>
      <c r="D569" s="190"/>
      <c r="E569" s="190"/>
      <c r="F569" s="190"/>
      <c r="G569" s="190"/>
      <c r="H569" s="190"/>
      <c r="I569" s="190"/>
    </row>
    <row r="570" spans="2:9">
      <c r="B570" s="190"/>
      <c r="C570" s="190"/>
      <c r="D570" s="190"/>
      <c r="E570" s="190"/>
      <c r="F570" s="190"/>
      <c r="G570" s="190"/>
      <c r="H570" s="190"/>
      <c r="I570" s="190"/>
    </row>
    <row r="571" spans="2:9">
      <c r="B571" s="190"/>
      <c r="C571" s="190"/>
      <c r="D571" s="190"/>
      <c r="E571" s="190"/>
      <c r="F571" s="190"/>
      <c r="G571" s="190"/>
      <c r="H571" s="190"/>
      <c r="I571" s="190"/>
    </row>
    <row r="572" spans="2:9">
      <c r="B572" s="190"/>
      <c r="C572" s="190"/>
      <c r="D572" s="190"/>
      <c r="E572" s="190"/>
      <c r="F572" s="190"/>
      <c r="G572" s="190"/>
      <c r="H572" s="190"/>
      <c r="I572" s="190"/>
    </row>
    <row r="573" spans="2:9">
      <c r="B573" s="190"/>
      <c r="C573" s="190"/>
      <c r="D573" s="190"/>
      <c r="E573" s="190"/>
      <c r="F573" s="190"/>
      <c r="G573" s="190"/>
      <c r="H573" s="190"/>
      <c r="I573" s="190"/>
    </row>
    <row r="574" spans="2:9">
      <c r="B574" s="190"/>
      <c r="C574" s="190"/>
      <c r="D574" s="190"/>
      <c r="E574" s="190"/>
      <c r="F574" s="190"/>
      <c r="G574" s="190"/>
      <c r="H574" s="190"/>
      <c r="I574" s="190"/>
    </row>
    <row r="575" spans="2:9">
      <c r="B575" s="190"/>
      <c r="C575" s="190"/>
      <c r="D575" s="190"/>
      <c r="E575" s="190"/>
      <c r="F575" s="190"/>
      <c r="G575" s="190"/>
      <c r="H575" s="190"/>
      <c r="I575" s="190"/>
    </row>
    <row r="576" spans="2:9">
      <c r="B576" s="190"/>
      <c r="C576" s="190"/>
      <c r="D576" s="190"/>
      <c r="E576" s="190"/>
      <c r="F576" s="190"/>
      <c r="G576" s="190"/>
      <c r="H576" s="190"/>
      <c r="I576" s="190"/>
    </row>
    <row r="577" spans="2:9">
      <c r="B577" s="190"/>
      <c r="C577" s="190"/>
      <c r="D577" s="190"/>
      <c r="E577" s="190"/>
      <c r="F577" s="190"/>
      <c r="G577" s="190"/>
      <c r="H577" s="190"/>
      <c r="I577" s="190"/>
    </row>
    <row r="578" spans="2:9">
      <c r="B578" s="190"/>
      <c r="C578" s="190"/>
      <c r="D578" s="190"/>
      <c r="E578" s="190"/>
      <c r="F578" s="190"/>
      <c r="G578" s="190"/>
      <c r="H578" s="190"/>
      <c r="I578" s="190"/>
    </row>
    <row r="579" spans="2:9">
      <c r="B579" s="190"/>
      <c r="C579" s="190"/>
      <c r="D579" s="190"/>
      <c r="E579" s="190"/>
      <c r="F579" s="190"/>
      <c r="G579" s="190"/>
      <c r="H579" s="190"/>
      <c r="I579" s="190"/>
    </row>
    <row r="580" spans="2:9">
      <c r="B580" s="190"/>
      <c r="C580" s="190"/>
      <c r="D580" s="190"/>
      <c r="E580" s="190"/>
      <c r="F580" s="190"/>
      <c r="G580" s="190"/>
      <c r="H580" s="190"/>
      <c r="I580" s="190"/>
    </row>
    <row r="581" spans="2:9">
      <c r="B581" s="190"/>
      <c r="C581" s="190"/>
      <c r="D581" s="190"/>
      <c r="E581" s="190"/>
      <c r="F581" s="190"/>
      <c r="G581" s="190"/>
      <c r="H581" s="190"/>
      <c r="I581" s="190"/>
    </row>
    <row r="582" spans="2:9">
      <c r="B582" s="190"/>
      <c r="C582" s="190"/>
      <c r="D582" s="190"/>
      <c r="E582" s="190"/>
      <c r="F582" s="190"/>
      <c r="G582" s="190"/>
      <c r="H582" s="190"/>
      <c r="I582" s="190"/>
    </row>
    <row r="583" spans="2:9">
      <c r="B583" s="190"/>
      <c r="C583" s="190"/>
      <c r="D583" s="190"/>
      <c r="E583" s="190"/>
      <c r="F583" s="190"/>
      <c r="G583" s="190"/>
      <c r="H583" s="190"/>
      <c r="I583" s="190"/>
    </row>
    <row r="584" spans="2:9">
      <c r="B584" s="190"/>
      <c r="C584" s="190"/>
      <c r="D584" s="190"/>
      <c r="E584" s="190"/>
      <c r="F584" s="190"/>
      <c r="G584" s="190"/>
      <c r="H584" s="190"/>
      <c r="I584" s="190"/>
    </row>
    <row r="585" spans="2:9">
      <c r="B585" s="190"/>
      <c r="C585" s="190"/>
      <c r="D585" s="190"/>
      <c r="E585" s="190"/>
      <c r="F585" s="190"/>
      <c r="G585" s="190"/>
      <c r="H585" s="190"/>
      <c r="I585" s="190"/>
    </row>
    <row r="586" spans="2:9">
      <c r="B586" s="190"/>
      <c r="C586" s="190"/>
      <c r="D586" s="190"/>
      <c r="E586" s="190"/>
      <c r="F586" s="190"/>
      <c r="G586" s="190"/>
      <c r="H586" s="190"/>
      <c r="I586" s="190"/>
    </row>
    <row r="587" spans="2:9">
      <c r="B587" s="190"/>
      <c r="C587" s="190"/>
      <c r="D587" s="190"/>
      <c r="E587" s="190"/>
      <c r="F587" s="190"/>
      <c r="G587" s="190"/>
      <c r="H587" s="190"/>
      <c r="I587" s="190"/>
    </row>
    <row r="588" spans="2:9">
      <c r="B588" s="190"/>
      <c r="C588" s="190"/>
      <c r="D588" s="190"/>
      <c r="E588" s="190"/>
      <c r="F588" s="190"/>
      <c r="G588" s="190"/>
      <c r="H588" s="190"/>
      <c r="I588" s="190"/>
    </row>
    <row r="589" spans="2:9">
      <c r="B589" s="190"/>
      <c r="C589" s="190"/>
      <c r="D589" s="190"/>
      <c r="E589" s="190"/>
      <c r="F589" s="190"/>
      <c r="G589" s="190"/>
      <c r="H589" s="190"/>
      <c r="I589" s="190"/>
    </row>
    <row r="590" spans="2:9">
      <c r="B590" s="190"/>
      <c r="C590" s="190"/>
      <c r="D590" s="190"/>
      <c r="E590" s="190"/>
      <c r="F590" s="190"/>
      <c r="G590" s="190"/>
      <c r="H590" s="190"/>
      <c r="I590" s="190"/>
    </row>
    <row r="591" spans="2:9">
      <c r="B591" s="190"/>
      <c r="C591" s="190"/>
      <c r="D591" s="190"/>
      <c r="E591" s="190"/>
      <c r="F591" s="190"/>
      <c r="G591" s="190"/>
      <c r="H591" s="190"/>
      <c r="I591" s="190"/>
    </row>
    <row r="592" spans="2:9">
      <c r="B592" s="190"/>
      <c r="C592" s="190"/>
      <c r="D592" s="190"/>
      <c r="E592" s="190"/>
      <c r="F592" s="190"/>
      <c r="G592" s="190"/>
      <c r="H592" s="190"/>
      <c r="I592" s="190"/>
    </row>
    <row r="593" spans="2:9">
      <c r="B593" s="190"/>
      <c r="C593" s="190"/>
      <c r="D593" s="190"/>
      <c r="E593" s="190"/>
      <c r="F593" s="190"/>
      <c r="G593" s="190"/>
      <c r="H593" s="190"/>
      <c r="I593" s="190"/>
    </row>
    <row r="594" spans="2:9">
      <c r="B594" s="190"/>
      <c r="C594" s="190"/>
      <c r="D594" s="190"/>
      <c r="E594" s="190"/>
      <c r="F594" s="190"/>
      <c r="G594" s="190"/>
      <c r="H594" s="190"/>
      <c r="I594" s="190"/>
    </row>
    <row r="595" spans="2:9">
      <c r="B595" s="190"/>
      <c r="C595" s="190"/>
      <c r="D595" s="190"/>
      <c r="E595" s="190"/>
      <c r="F595" s="190"/>
      <c r="G595" s="190"/>
      <c r="H595" s="190"/>
      <c r="I595" s="190"/>
    </row>
    <row r="596" spans="2:9">
      <c r="B596" s="190"/>
      <c r="C596" s="190"/>
      <c r="D596" s="190"/>
      <c r="E596" s="190"/>
      <c r="F596" s="190"/>
      <c r="G596" s="190"/>
      <c r="H596" s="190"/>
      <c r="I596" s="190"/>
    </row>
    <row r="597" spans="2:9">
      <c r="B597" s="190"/>
      <c r="C597" s="190"/>
      <c r="D597" s="190"/>
      <c r="E597" s="190"/>
      <c r="F597" s="190"/>
      <c r="G597" s="190"/>
      <c r="H597" s="190"/>
      <c r="I597" s="190"/>
    </row>
    <row r="598" spans="2:9">
      <c r="B598" s="190"/>
      <c r="C598" s="190"/>
      <c r="D598" s="190"/>
      <c r="E598" s="190"/>
      <c r="F598" s="190"/>
      <c r="G598" s="190"/>
      <c r="H598" s="190"/>
      <c r="I598" s="190"/>
    </row>
    <row r="599" spans="2:9">
      <c r="B599" s="190"/>
      <c r="C599" s="190"/>
      <c r="D599" s="190"/>
      <c r="E599" s="190"/>
      <c r="F599" s="190"/>
      <c r="G599" s="190"/>
      <c r="H599" s="190"/>
      <c r="I599" s="190"/>
    </row>
    <row r="600" spans="2:9">
      <c r="B600" s="190"/>
      <c r="C600" s="190"/>
      <c r="D600" s="190"/>
      <c r="E600" s="190"/>
      <c r="F600" s="190"/>
      <c r="G600" s="190"/>
      <c r="H600" s="190"/>
      <c r="I600" s="190"/>
    </row>
    <row r="601" spans="2:9">
      <c r="B601" s="190"/>
      <c r="C601" s="190"/>
      <c r="D601" s="190"/>
      <c r="E601" s="190"/>
      <c r="F601" s="190"/>
      <c r="G601" s="190"/>
      <c r="H601" s="190"/>
      <c r="I601" s="190"/>
    </row>
    <row r="602" spans="2:9">
      <c r="B602" s="190"/>
      <c r="C602" s="190"/>
      <c r="D602" s="190"/>
      <c r="E602" s="190"/>
      <c r="F602" s="190"/>
      <c r="G602" s="190"/>
      <c r="H602" s="190"/>
      <c r="I602" s="190"/>
    </row>
    <row r="603" spans="2:9">
      <c r="B603" s="190"/>
      <c r="C603" s="190"/>
      <c r="D603" s="190"/>
      <c r="E603" s="190"/>
      <c r="F603" s="190"/>
      <c r="G603" s="190"/>
      <c r="H603" s="190"/>
      <c r="I603" s="190"/>
    </row>
    <row r="604" spans="2:9">
      <c r="B604" s="190"/>
      <c r="C604" s="190"/>
      <c r="D604" s="190"/>
      <c r="E604" s="190"/>
      <c r="F604" s="190"/>
      <c r="G604" s="190"/>
      <c r="H604" s="190"/>
      <c r="I604" s="190"/>
    </row>
    <row r="605" spans="2:9">
      <c r="B605" s="190"/>
      <c r="C605" s="190"/>
      <c r="D605" s="190"/>
      <c r="E605" s="190"/>
      <c r="F605" s="190"/>
      <c r="G605" s="190"/>
      <c r="H605" s="190"/>
      <c r="I605" s="190"/>
    </row>
    <row r="606" spans="2:9">
      <c r="B606" s="190"/>
      <c r="C606" s="190"/>
      <c r="D606" s="190"/>
      <c r="E606" s="190"/>
      <c r="F606" s="190"/>
      <c r="G606" s="190"/>
      <c r="H606" s="190"/>
      <c r="I606" s="190"/>
    </row>
    <row r="607" spans="2:9">
      <c r="B607" s="190"/>
      <c r="C607" s="190"/>
      <c r="D607" s="190"/>
      <c r="E607" s="190"/>
      <c r="F607" s="190"/>
      <c r="G607" s="190"/>
      <c r="H607" s="190"/>
      <c r="I607" s="190"/>
    </row>
    <row r="608" spans="2:9">
      <c r="B608" s="190"/>
      <c r="C608" s="190"/>
      <c r="D608" s="190"/>
      <c r="E608" s="190"/>
      <c r="F608" s="190"/>
      <c r="G608" s="190"/>
      <c r="H608" s="190"/>
      <c r="I608" s="190"/>
    </row>
    <row r="609" spans="2:9">
      <c r="B609" s="190"/>
      <c r="C609" s="190"/>
      <c r="D609" s="190"/>
      <c r="E609" s="190"/>
      <c r="F609" s="190"/>
      <c r="G609" s="190"/>
      <c r="H609" s="190"/>
      <c r="I609" s="190"/>
    </row>
    <row r="610" spans="2:9">
      <c r="B610" s="190"/>
      <c r="C610" s="190"/>
      <c r="D610" s="190"/>
      <c r="E610" s="190"/>
      <c r="F610" s="190"/>
      <c r="G610" s="190"/>
      <c r="H610" s="190"/>
      <c r="I610" s="190"/>
    </row>
    <row r="611" spans="2:9">
      <c r="B611" s="190"/>
      <c r="C611" s="190"/>
      <c r="D611" s="190"/>
      <c r="E611" s="190"/>
      <c r="F611" s="190"/>
      <c r="G611" s="190"/>
      <c r="H611" s="190"/>
      <c r="I611" s="190"/>
    </row>
    <row r="612" spans="2:9">
      <c r="B612" s="190"/>
      <c r="C612" s="190"/>
      <c r="D612" s="190"/>
      <c r="E612" s="190"/>
      <c r="F612" s="190"/>
      <c r="G612" s="190"/>
      <c r="H612" s="190"/>
      <c r="I612" s="190"/>
    </row>
    <row r="613" spans="2:9">
      <c r="B613" s="190"/>
      <c r="C613" s="190"/>
      <c r="D613" s="190"/>
      <c r="E613" s="190"/>
      <c r="F613" s="190"/>
      <c r="G613" s="190"/>
      <c r="H613" s="190"/>
      <c r="I613" s="190"/>
    </row>
    <row r="614" spans="2:9">
      <c r="B614" s="190"/>
      <c r="C614" s="190"/>
      <c r="D614" s="190"/>
      <c r="E614" s="190"/>
      <c r="F614" s="190"/>
      <c r="G614" s="190"/>
      <c r="H614" s="190"/>
      <c r="I614" s="190"/>
    </row>
    <row r="615" spans="2:9">
      <c r="B615" s="190"/>
      <c r="C615" s="190"/>
      <c r="D615" s="190"/>
      <c r="E615" s="190"/>
      <c r="F615" s="190"/>
      <c r="G615" s="190"/>
      <c r="H615" s="190"/>
      <c r="I615" s="190"/>
    </row>
    <row r="616" spans="2:9">
      <c r="B616" s="190"/>
      <c r="C616" s="190"/>
      <c r="D616" s="190"/>
      <c r="E616" s="190"/>
      <c r="F616" s="190"/>
      <c r="G616" s="190"/>
      <c r="H616" s="190"/>
      <c r="I616" s="190"/>
    </row>
    <row r="617" spans="2:9">
      <c r="B617" s="190"/>
      <c r="C617" s="190"/>
      <c r="D617" s="190"/>
      <c r="E617" s="190"/>
      <c r="F617" s="190"/>
      <c r="G617" s="190"/>
      <c r="H617" s="190"/>
      <c r="I617" s="190"/>
    </row>
    <row r="618" spans="2:9">
      <c r="B618" s="190"/>
      <c r="C618" s="190"/>
      <c r="D618" s="190"/>
      <c r="E618" s="190"/>
      <c r="F618" s="190"/>
      <c r="G618" s="190"/>
      <c r="H618" s="190"/>
      <c r="I618" s="190"/>
    </row>
    <row r="619" spans="2:9">
      <c r="B619" s="190"/>
      <c r="C619" s="190"/>
      <c r="D619" s="190"/>
      <c r="E619" s="190"/>
      <c r="F619" s="190"/>
      <c r="G619" s="190"/>
      <c r="H619" s="190"/>
      <c r="I619" s="190"/>
    </row>
    <row r="620" spans="2:9">
      <c r="B620" s="190"/>
      <c r="C620" s="190"/>
      <c r="D620" s="190"/>
      <c r="E620" s="190"/>
      <c r="F620" s="190"/>
      <c r="G620" s="190"/>
      <c r="H620" s="190"/>
      <c r="I620" s="190"/>
    </row>
    <row r="621" spans="2:9">
      <c r="B621" s="190"/>
      <c r="C621" s="190"/>
      <c r="D621" s="190"/>
      <c r="E621" s="190"/>
      <c r="F621" s="190"/>
      <c r="G621" s="190"/>
      <c r="H621" s="190"/>
      <c r="I621" s="190"/>
    </row>
    <row r="622" spans="2:9">
      <c r="B622" s="190"/>
      <c r="C622" s="190"/>
      <c r="D622" s="190"/>
      <c r="E622" s="190"/>
      <c r="F622" s="190"/>
      <c r="G622" s="190"/>
      <c r="H622" s="190"/>
      <c r="I622" s="190"/>
    </row>
    <row r="623" spans="2:9">
      <c r="B623" s="190"/>
      <c r="C623" s="190"/>
      <c r="D623" s="190"/>
      <c r="E623" s="190"/>
      <c r="F623" s="190"/>
      <c r="G623" s="190"/>
      <c r="H623" s="190"/>
      <c r="I623" s="190"/>
    </row>
    <row r="624" spans="2:9">
      <c r="B624" s="190"/>
      <c r="C624" s="190"/>
      <c r="D624" s="190"/>
      <c r="E624" s="190"/>
      <c r="F624" s="190"/>
      <c r="G624" s="190"/>
      <c r="H624" s="190"/>
      <c r="I624" s="190"/>
    </row>
    <row r="625" spans="2:9">
      <c r="B625" s="190"/>
      <c r="C625" s="190"/>
      <c r="D625" s="190"/>
      <c r="E625" s="190"/>
      <c r="F625" s="190"/>
      <c r="G625" s="190"/>
      <c r="H625" s="190"/>
      <c r="I625" s="190"/>
    </row>
    <row r="626" spans="2:9">
      <c r="B626" s="190"/>
      <c r="C626" s="190"/>
      <c r="D626" s="190"/>
      <c r="E626" s="190"/>
      <c r="F626" s="190"/>
      <c r="G626" s="190"/>
      <c r="H626" s="190"/>
      <c r="I626" s="190"/>
    </row>
    <row r="627" spans="2:9">
      <c r="B627" s="190"/>
      <c r="C627" s="190"/>
      <c r="D627" s="190"/>
      <c r="E627" s="190"/>
      <c r="F627" s="190"/>
      <c r="G627" s="190"/>
      <c r="H627" s="190"/>
      <c r="I627" s="190"/>
    </row>
    <row r="628" spans="2:9">
      <c r="B628" s="190"/>
      <c r="C628" s="190"/>
      <c r="D628" s="190"/>
      <c r="E628" s="190"/>
      <c r="F628" s="190"/>
      <c r="G628" s="190"/>
      <c r="H628" s="190"/>
      <c r="I628" s="190"/>
    </row>
    <row r="629" spans="2:9">
      <c r="B629" s="190"/>
      <c r="C629" s="190"/>
      <c r="D629" s="190"/>
      <c r="E629" s="190"/>
      <c r="F629" s="190"/>
      <c r="G629" s="190"/>
      <c r="H629" s="190"/>
      <c r="I629" s="190"/>
    </row>
    <row r="630" spans="2:9">
      <c r="B630" s="190"/>
      <c r="C630" s="190"/>
      <c r="D630" s="190"/>
      <c r="E630" s="190"/>
      <c r="F630" s="190"/>
      <c r="G630" s="190"/>
      <c r="H630" s="190"/>
      <c r="I630" s="190"/>
    </row>
    <row r="631" spans="2:9">
      <c r="B631" s="190"/>
      <c r="C631" s="190"/>
      <c r="D631" s="190"/>
      <c r="E631" s="190"/>
      <c r="F631" s="190"/>
      <c r="G631" s="190"/>
      <c r="H631" s="190"/>
      <c r="I631" s="190"/>
    </row>
    <row r="632" spans="2:9">
      <c r="B632" s="190"/>
      <c r="C632" s="190"/>
      <c r="D632" s="190"/>
      <c r="E632" s="190"/>
      <c r="F632" s="190"/>
      <c r="G632" s="190"/>
      <c r="H632" s="190"/>
      <c r="I632" s="190"/>
    </row>
    <row r="633" spans="2:9">
      <c r="B633" s="190"/>
      <c r="C633" s="190"/>
      <c r="D633" s="190"/>
      <c r="E633" s="190"/>
      <c r="F633" s="190"/>
      <c r="G633" s="190"/>
      <c r="H633" s="190"/>
      <c r="I633" s="190"/>
    </row>
    <row r="634" spans="2:9">
      <c r="B634" s="190"/>
      <c r="C634" s="190"/>
      <c r="D634" s="190"/>
      <c r="E634" s="190"/>
      <c r="F634" s="190"/>
      <c r="G634" s="190"/>
      <c r="H634" s="190"/>
      <c r="I634" s="190"/>
    </row>
    <row r="635" spans="2:9">
      <c r="B635" s="190"/>
      <c r="C635" s="190"/>
      <c r="D635" s="190"/>
      <c r="E635" s="190"/>
      <c r="F635" s="190"/>
      <c r="G635" s="190"/>
      <c r="H635" s="190"/>
      <c r="I635" s="190"/>
    </row>
    <row r="636" spans="2:9">
      <c r="B636" s="190"/>
      <c r="C636" s="190"/>
      <c r="D636" s="190"/>
      <c r="E636" s="190"/>
      <c r="F636" s="190"/>
      <c r="G636" s="190"/>
      <c r="H636" s="190"/>
      <c r="I636" s="190"/>
    </row>
    <row r="637" spans="2:9">
      <c r="B637" s="190"/>
      <c r="C637" s="190"/>
      <c r="D637" s="190"/>
      <c r="E637" s="190"/>
      <c r="F637" s="190"/>
      <c r="G637" s="190"/>
      <c r="H637" s="190"/>
      <c r="I637" s="190"/>
    </row>
    <row r="638" spans="2:9">
      <c r="B638" s="190"/>
      <c r="C638" s="190"/>
      <c r="D638" s="190"/>
      <c r="E638" s="190"/>
      <c r="F638" s="190"/>
      <c r="G638" s="190"/>
      <c r="H638" s="190"/>
      <c r="I638" s="190"/>
    </row>
    <row r="639" spans="2:9">
      <c r="B639" s="190"/>
      <c r="C639" s="190"/>
      <c r="D639" s="190"/>
      <c r="E639" s="190"/>
      <c r="F639" s="190"/>
      <c r="G639" s="190"/>
      <c r="H639" s="190"/>
      <c r="I639" s="190"/>
    </row>
    <row r="640" spans="2:9">
      <c r="B640" s="190"/>
      <c r="C640" s="190"/>
      <c r="D640" s="190"/>
      <c r="E640" s="190"/>
      <c r="F640" s="190"/>
      <c r="G640" s="190"/>
      <c r="H640" s="190"/>
      <c r="I640" s="190"/>
    </row>
    <row r="641" spans="2:9">
      <c r="B641" s="190"/>
      <c r="C641" s="190"/>
      <c r="D641" s="190"/>
      <c r="E641" s="190"/>
      <c r="F641" s="190"/>
      <c r="G641" s="190"/>
      <c r="H641" s="190"/>
      <c r="I641" s="190"/>
    </row>
    <row r="642" spans="2:9">
      <c r="B642" s="190"/>
      <c r="C642" s="190"/>
      <c r="D642" s="190"/>
      <c r="E642" s="190"/>
      <c r="F642" s="190"/>
      <c r="G642" s="190"/>
      <c r="H642" s="190"/>
      <c r="I642" s="190"/>
    </row>
    <row r="643" spans="2:9">
      <c r="B643" s="190"/>
      <c r="C643" s="190"/>
      <c r="D643" s="190"/>
      <c r="E643" s="190"/>
      <c r="F643" s="190"/>
      <c r="G643" s="190"/>
      <c r="H643" s="190"/>
      <c r="I643" s="190"/>
    </row>
    <row r="644" spans="2:9">
      <c r="B644" s="190"/>
      <c r="C644" s="190"/>
      <c r="D644" s="190"/>
      <c r="E644" s="190"/>
      <c r="F644" s="190"/>
      <c r="G644" s="190"/>
      <c r="H644" s="190"/>
      <c r="I644" s="190"/>
    </row>
    <row r="645" spans="2:9">
      <c r="B645" s="190"/>
      <c r="C645" s="190"/>
      <c r="D645" s="190"/>
      <c r="E645" s="190"/>
      <c r="F645" s="190"/>
      <c r="G645" s="190"/>
      <c r="H645" s="190"/>
      <c r="I645" s="190"/>
    </row>
    <row r="646" spans="2:9">
      <c r="B646" s="190"/>
      <c r="C646" s="190"/>
      <c r="D646" s="190"/>
      <c r="E646" s="190"/>
      <c r="F646" s="190"/>
      <c r="G646" s="190"/>
      <c r="H646" s="190"/>
      <c r="I646" s="190"/>
    </row>
    <row r="647" spans="2:9">
      <c r="B647" s="190"/>
      <c r="C647" s="190"/>
      <c r="D647" s="190"/>
      <c r="E647" s="190"/>
      <c r="F647" s="190"/>
      <c r="G647" s="190"/>
      <c r="H647" s="190"/>
      <c r="I647" s="190"/>
    </row>
    <row r="648" spans="2:9">
      <c r="B648" s="190"/>
      <c r="C648" s="190"/>
      <c r="D648" s="190"/>
      <c r="E648" s="190"/>
      <c r="F648" s="190"/>
      <c r="G648" s="190"/>
      <c r="H648" s="190"/>
      <c r="I648" s="190"/>
    </row>
    <row r="649" spans="2:9">
      <c r="B649" s="190"/>
      <c r="C649" s="190"/>
      <c r="D649" s="190"/>
      <c r="E649" s="190"/>
      <c r="F649" s="190"/>
      <c r="G649" s="190"/>
      <c r="H649" s="190"/>
      <c r="I649" s="190"/>
    </row>
    <row r="650" spans="2:9">
      <c r="B650" s="190"/>
      <c r="C650" s="190"/>
      <c r="D650" s="190"/>
      <c r="E650" s="190"/>
      <c r="F650" s="190"/>
      <c r="G650" s="190"/>
      <c r="H650" s="190"/>
      <c r="I650" s="190"/>
    </row>
    <row r="651" spans="2:9">
      <c r="B651" s="190"/>
      <c r="C651" s="190"/>
      <c r="D651" s="190"/>
      <c r="E651" s="190"/>
      <c r="F651" s="190"/>
      <c r="G651" s="190"/>
      <c r="H651" s="190"/>
      <c r="I651" s="190"/>
    </row>
    <row r="652" spans="2:9">
      <c r="B652" s="190"/>
      <c r="C652" s="190"/>
      <c r="D652" s="190"/>
      <c r="E652" s="190"/>
      <c r="F652" s="190"/>
      <c r="G652" s="190"/>
      <c r="H652" s="190"/>
      <c r="I652" s="190"/>
    </row>
    <row r="653" spans="2:9">
      <c r="B653" s="190"/>
      <c r="C653" s="190"/>
      <c r="D653" s="190"/>
      <c r="E653" s="190"/>
      <c r="F653" s="190"/>
      <c r="G653" s="190"/>
      <c r="H653" s="190"/>
      <c r="I653" s="190"/>
    </row>
    <row r="654" spans="2:9">
      <c r="B654" s="190"/>
      <c r="C654" s="190"/>
      <c r="D654" s="190"/>
      <c r="E654" s="190"/>
      <c r="F654" s="190"/>
      <c r="G654" s="190"/>
      <c r="H654" s="190"/>
      <c r="I654" s="190"/>
    </row>
    <row r="655" spans="2:9">
      <c r="B655" s="190"/>
      <c r="C655" s="190"/>
      <c r="D655" s="190"/>
      <c r="E655" s="190"/>
      <c r="F655" s="190"/>
      <c r="G655" s="190"/>
      <c r="H655" s="190"/>
      <c r="I655" s="190"/>
    </row>
    <row r="656" spans="2:9">
      <c r="B656" s="190"/>
      <c r="C656" s="190"/>
      <c r="D656" s="190"/>
      <c r="E656" s="190"/>
      <c r="F656" s="190"/>
      <c r="G656" s="190"/>
      <c r="H656" s="190"/>
      <c r="I656" s="190"/>
    </row>
    <row r="657" spans="2:9">
      <c r="B657" s="190"/>
      <c r="C657" s="190"/>
      <c r="D657" s="190"/>
      <c r="E657" s="190"/>
      <c r="F657" s="190"/>
      <c r="G657" s="190"/>
      <c r="H657" s="190"/>
      <c r="I657" s="190"/>
    </row>
    <row r="658" spans="2:9">
      <c r="B658" s="190"/>
      <c r="C658" s="190"/>
      <c r="D658" s="190"/>
      <c r="E658" s="190"/>
      <c r="F658" s="190"/>
      <c r="G658" s="190"/>
      <c r="H658" s="190"/>
      <c r="I658" s="190"/>
    </row>
    <row r="659" spans="2:9">
      <c r="B659" s="190"/>
      <c r="C659" s="190"/>
      <c r="D659" s="190"/>
      <c r="E659" s="190"/>
      <c r="F659" s="190"/>
      <c r="G659" s="190"/>
      <c r="H659" s="190"/>
      <c r="I659" s="190"/>
    </row>
    <row r="660" spans="2:9">
      <c r="B660" s="190"/>
      <c r="C660" s="190"/>
      <c r="D660" s="190"/>
      <c r="E660" s="190"/>
      <c r="F660" s="190"/>
      <c r="G660" s="190"/>
      <c r="H660" s="190"/>
      <c r="I660" s="190"/>
    </row>
    <row r="661" spans="2:9">
      <c r="B661" s="190"/>
      <c r="C661" s="190"/>
      <c r="D661" s="190"/>
      <c r="E661" s="190"/>
      <c r="F661" s="190"/>
      <c r="G661" s="190"/>
      <c r="H661" s="190"/>
      <c r="I661" s="190"/>
    </row>
    <row r="662" spans="2:9">
      <c r="B662" s="190"/>
      <c r="C662" s="190"/>
      <c r="D662" s="190"/>
      <c r="E662" s="190"/>
      <c r="F662" s="190"/>
      <c r="G662" s="190"/>
      <c r="H662" s="190"/>
      <c r="I662" s="190"/>
    </row>
    <row r="663" spans="2:9">
      <c r="B663" s="190"/>
      <c r="C663" s="190"/>
      <c r="D663" s="190"/>
      <c r="E663" s="190"/>
      <c r="F663" s="190"/>
      <c r="G663" s="190"/>
      <c r="H663" s="190"/>
      <c r="I663" s="190"/>
    </row>
    <row r="664" spans="2:9">
      <c r="B664" s="190"/>
      <c r="C664" s="190"/>
      <c r="D664" s="190"/>
      <c r="E664" s="190"/>
      <c r="F664" s="190"/>
      <c r="G664" s="190"/>
      <c r="H664" s="190"/>
      <c r="I664" s="190"/>
    </row>
    <row r="665" spans="2:9">
      <c r="B665" s="190"/>
      <c r="C665" s="190"/>
      <c r="D665" s="190"/>
      <c r="E665" s="190"/>
      <c r="F665" s="190"/>
      <c r="G665" s="190"/>
      <c r="H665" s="190"/>
      <c r="I665" s="190"/>
    </row>
    <row r="666" spans="2:9">
      <c r="B666" s="190"/>
      <c r="C666" s="190"/>
      <c r="D666" s="190"/>
      <c r="E666" s="190"/>
      <c r="F666" s="190"/>
      <c r="G666" s="190"/>
      <c r="H666" s="190"/>
      <c r="I666" s="190"/>
    </row>
    <row r="667" spans="2:9">
      <c r="B667" s="190"/>
      <c r="C667" s="190"/>
      <c r="D667" s="190"/>
      <c r="E667" s="190"/>
      <c r="F667" s="190"/>
      <c r="G667" s="190"/>
      <c r="H667" s="190"/>
      <c r="I667" s="190"/>
    </row>
    <row r="668" spans="2:9">
      <c r="B668" s="190"/>
      <c r="C668" s="190"/>
      <c r="D668" s="190"/>
      <c r="E668" s="190"/>
      <c r="F668" s="190"/>
      <c r="G668" s="190"/>
      <c r="H668" s="190"/>
      <c r="I668" s="190"/>
    </row>
    <row r="669" spans="2:9">
      <c r="B669" s="190"/>
      <c r="C669" s="190"/>
      <c r="D669" s="190"/>
      <c r="E669" s="190"/>
      <c r="F669" s="190"/>
      <c r="G669" s="190"/>
      <c r="H669" s="190"/>
      <c r="I669" s="190"/>
    </row>
    <row r="670" spans="2:9">
      <c r="B670" s="190"/>
      <c r="C670" s="190"/>
      <c r="D670" s="190"/>
      <c r="E670" s="190"/>
      <c r="F670" s="190"/>
      <c r="G670" s="190"/>
      <c r="H670" s="190"/>
      <c r="I670" s="190"/>
    </row>
    <row r="671" spans="2:9">
      <c r="B671" s="190"/>
      <c r="C671" s="190"/>
      <c r="D671" s="190"/>
      <c r="E671" s="190"/>
      <c r="F671" s="190"/>
      <c r="G671" s="190"/>
      <c r="H671" s="190"/>
      <c r="I671" s="190"/>
    </row>
    <row r="672" spans="2:9">
      <c r="B672" s="190"/>
      <c r="C672" s="190"/>
      <c r="D672" s="190"/>
      <c r="E672" s="190"/>
      <c r="F672" s="190"/>
      <c r="G672" s="190"/>
      <c r="H672" s="190"/>
      <c r="I672" s="190"/>
    </row>
    <row r="673" spans="2:9">
      <c r="B673" s="190"/>
      <c r="C673" s="190"/>
      <c r="D673" s="190"/>
      <c r="E673" s="190"/>
      <c r="F673" s="190"/>
      <c r="G673" s="190"/>
      <c r="H673" s="190"/>
      <c r="I673" s="190"/>
    </row>
    <row r="674" spans="2:9">
      <c r="B674" s="190"/>
      <c r="C674" s="190"/>
      <c r="D674" s="190"/>
      <c r="E674" s="190"/>
      <c r="F674" s="190"/>
      <c r="G674" s="190"/>
      <c r="H674" s="190"/>
      <c r="I674" s="190"/>
    </row>
    <row r="675" spans="2:9">
      <c r="B675" s="190"/>
      <c r="C675" s="190"/>
      <c r="D675" s="190"/>
      <c r="E675" s="190"/>
      <c r="F675" s="190"/>
      <c r="G675" s="190"/>
      <c r="H675" s="190"/>
      <c r="I675" s="190"/>
    </row>
    <row r="676" spans="2:9">
      <c r="B676" s="190"/>
      <c r="C676" s="190"/>
      <c r="D676" s="190"/>
      <c r="E676" s="190"/>
      <c r="F676" s="190"/>
      <c r="G676" s="190"/>
      <c r="H676" s="190"/>
      <c r="I676" s="190"/>
    </row>
    <row r="677" spans="2:9">
      <c r="B677" s="190"/>
      <c r="C677" s="190"/>
      <c r="D677" s="190"/>
      <c r="E677" s="190"/>
      <c r="F677" s="190"/>
      <c r="G677" s="190"/>
      <c r="H677" s="190"/>
      <c r="I677" s="190"/>
    </row>
    <row r="678" spans="2:9">
      <c r="B678" s="190"/>
      <c r="C678" s="190"/>
      <c r="D678" s="190"/>
      <c r="E678" s="190"/>
      <c r="F678" s="190"/>
      <c r="G678" s="190"/>
      <c r="H678" s="190"/>
      <c r="I678" s="190"/>
    </row>
    <row r="679" spans="2:9">
      <c r="B679" s="190"/>
      <c r="C679" s="190"/>
      <c r="D679" s="190"/>
      <c r="E679" s="190"/>
      <c r="F679" s="190"/>
      <c r="G679" s="190"/>
      <c r="H679" s="190"/>
      <c r="I679" s="190"/>
    </row>
    <row r="680" spans="2:9">
      <c r="B680" s="190"/>
      <c r="C680" s="190"/>
      <c r="D680" s="190"/>
      <c r="E680" s="190"/>
      <c r="F680" s="190"/>
      <c r="G680" s="190"/>
      <c r="H680" s="190"/>
      <c r="I680" s="190"/>
    </row>
    <row r="681" spans="2:9">
      <c r="B681" s="190"/>
      <c r="C681" s="190"/>
      <c r="D681" s="190"/>
      <c r="E681" s="190"/>
      <c r="F681" s="190"/>
      <c r="G681" s="190"/>
      <c r="H681" s="190"/>
      <c r="I681" s="190"/>
    </row>
    <row r="682" spans="2:9">
      <c r="B682" s="190"/>
      <c r="C682" s="190"/>
      <c r="D682" s="190"/>
      <c r="E682" s="190"/>
      <c r="F682" s="190"/>
      <c r="G682" s="190"/>
      <c r="H682" s="190"/>
      <c r="I682" s="190"/>
    </row>
    <row r="683" spans="2:9">
      <c r="B683" s="190"/>
      <c r="C683" s="190"/>
      <c r="D683" s="190"/>
      <c r="E683" s="190"/>
      <c r="F683" s="190"/>
      <c r="G683" s="190"/>
      <c r="H683" s="190"/>
      <c r="I683" s="190"/>
    </row>
    <row r="684" spans="2:9">
      <c r="B684" s="190"/>
      <c r="C684" s="190"/>
      <c r="D684" s="190"/>
      <c r="E684" s="190"/>
      <c r="F684" s="190"/>
      <c r="G684" s="190"/>
      <c r="H684" s="190"/>
      <c r="I684" s="190"/>
    </row>
    <row r="685" spans="2:9">
      <c r="B685" s="190"/>
      <c r="C685" s="190"/>
      <c r="D685" s="190"/>
      <c r="E685" s="190"/>
      <c r="F685" s="190"/>
      <c r="G685" s="190"/>
      <c r="H685" s="190"/>
      <c r="I685" s="190"/>
    </row>
    <row r="686" spans="2:9">
      <c r="B686" s="190"/>
      <c r="C686" s="190"/>
      <c r="D686" s="190"/>
      <c r="E686" s="190"/>
      <c r="F686" s="190"/>
      <c r="G686" s="190"/>
      <c r="H686" s="190"/>
      <c r="I686" s="190"/>
    </row>
    <row r="687" spans="2:9">
      <c r="B687" s="190"/>
      <c r="C687" s="190"/>
      <c r="D687" s="190"/>
      <c r="E687" s="190"/>
      <c r="F687" s="190"/>
      <c r="G687" s="190"/>
      <c r="H687" s="190"/>
      <c r="I687" s="190"/>
    </row>
    <row r="688" spans="2:9">
      <c r="B688" s="190"/>
      <c r="C688" s="190"/>
      <c r="D688" s="190"/>
      <c r="E688" s="190"/>
      <c r="F688" s="190"/>
      <c r="G688" s="190"/>
      <c r="H688" s="190"/>
      <c r="I688" s="190"/>
    </row>
    <row r="689" spans="2:9">
      <c r="B689" s="190"/>
      <c r="C689" s="190"/>
      <c r="D689" s="190"/>
      <c r="E689" s="190"/>
      <c r="F689" s="190"/>
      <c r="G689" s="190"/>
      <c r="H689" s="190"/>
      <c r="I689" s="190"/>
    </row>
    <row r="690" spans="2:9">
      <c r="B690" s="190"/>
      <c r="C690" s="190"/>
      <c r="D690" s="190"/>
      <c r="E690" s="190"/>
      <c r="F690" s="190"/>
      <c r="G690" s="190"/>
      <c r="H690" s="190"/>
      <c r="I690" s="190"/>
    </row>
    <row r="691" spans="2:9">
      <c r="B691" s="190"/>
      <c r="C691" s="190"/>
      <c r="D691" s="190"/>
      <c r="E691" s="190"/>
      <c r="F691" s="190"/>
      <c r="G691" s="190"/>
      <c r="H691" s="190"/>
      <c r="I691" s="190"/>
    </row>
    <row r="692" spans="2:9">
      <c r="B692" s="190"/>
      <c r="C692" s="190"/>
      <c r="D692" s="190"/>
      <c r="E692" s="190"/>
      <c r="F692" s="190"/>
      <c r="G692" s="190"/>
      <c r="H692" s="190"/>
      <c r="I692" s="190"/>
    </row>
    <row r="693" spans="2:9">
      <c r="B693" s="190"/>
      <c r="C693" s="190"/>
      <c r="D693" s="190"/>
      <c r="E693" s="190"/>
      <c r="F693" s="190"/>
      <c r="G693" s="190"/>
      <c r="H693" s="190"/>
      <c r="I693" s="190"/>
    </row>
    <row r="694" spans="2:9">
      <c r="B694" s="190"/>
      <c r="C694" s="190"/>
      <c r="D694" s="190"/>
      <c r="E694" s="190"/>
      <c r="F694" s="190"/>
      <c r="G694" s="190"/>
      <c r="H694" s="190"/>
      <c r="I694" s="190"/>
    </row>
    <row r="695" spans="2:9">
      <c r="B695" s="190"/>
      <c r="C695" s="190"/>
      <c r="D695" s="190"/>
      <c r="E695" s="190"/>
      <c r="F695" s="190"/>
      <c r="G695" s="190"/>
      <c r="H695" s="190"/>
      <c r="I695" s="190"/>
    </row>
    <row r="696" spans="2:9">
      <c r="B696" s="190"/>
      <c r="C696" s="190"/>
      <c r="D696" s="190"/>
      <c r="E696" s="190"/>
      <c r="F696" s="190"/>
      <c r="G696" s="190"/>
      <c r="H696" s="190"/>
      <c r="I696" s="190"/>
    </row>
    <row r="697" spans="2:9">
      <c r="B697" s="190"/>
      <c r="C697" s="190"/>
      <c r="D697" s="190"/>
      <c r="E697" s="190"/>
      <c r="F697" s="190"/>
      <c r="G697" s="190"/>
      <c r="H697" s="190"/>
      <c r="I697" s="190"/>
    </row>
    <row r="698" spans="2:9">
      <c r="B698" s="190"/>
      <c r="C698" s="190"/>
      <c r="D698" s="190"/>
      <c r="E698" s="190"/>
      <c r="F698" s="190"/>
      <c r="G698" s="190"/>
      <c r="H698" s="190"/>
      <c r="I698" s="190"/>
    </row>
    <row r="699" spans="2:9">
      <c r="B699" s="190"/>
      <c r="C699" s="190"/>
      <c r="D699" s="190"/>
      <c r="E699" s="190"/>
      <c r="F699" s="190"/>
      <c r="G699" s="190"/>
      <c r="H699" s="190"/>
      <c r="I699" s="190"/>
    </row>
    <row r="700" spans="2:9">
      <c r="B700" s="190"/>
      <c r="C700" s="190"/>
      <c r="D700" s="190"/>
      <c r="E700" s="190"/>
      <c r="F700" s="190"/>
      <c r="G700" s="190"/>
      <c r="H700" s="190"/>
      <c r="I700" s="190"/>
    </row>
    <row r="701" spans="2:9">
      <c r="B701" s="190"/>
      <c r="C701" s="190"/>
      <c r="D701" s="190"/>
      <c r="E701" s="190"/>
      <c r="F701" s="190"/>
      <c r="G701" s="190"/>
      <c r="H701" s="190"/>
      <c r="I701" s="190"/>
    </row>
    <row r="702" spans="2:9">
      <c r="B702" s="190"/>
      <c r="C702" s="190"/>
      <c r="D702" s="190"/>
      <c r="E702" s="190"/>
      <c r="F702" s="190"/>
      <c r="G702" s="190"/>
      <c r="H702" s="190"/>
      <c r="I702" s="190"/>
    </row>
    <row r="703" spans="2:9">
      <c r="B703" s="190"/>
      <c r="C703" s="190"/>
      <c r="D703" s="190"/>
      <c r="E703" s="190"/>
      <c r="F703" s="190"/>
      <c r="G703" s="190"/>
      <c r="H703" s="190"/>
      <c r="I703" s="190"/>
    </row>
    <row r="704" spans="2:9">
      <c r="B704" s="190"/>
      <c r="C704" s="190"/>
      <c r="D704" s="190"/>
      <c r="E704" s="190"/>
      <c r="F704" s="190"/>
      <c r="G704" s="190"/>
      <c r="H704" s="190"/>
      <c r="I704" s="190"/>
    </row>
    <row r="705" spans="2:9">
      <c r="B705" s="190"/>
      <c r="C705" s="190"/>
      <c r="D705" s="190"/>
      <c r="E705" s="190"/>
      <c r="F705" s="190"/>
      <c r="G705" s="190"/>
      <c r="H705" s="190"/>
      <c r="I705" s="190"/>
    </row>
    <row r="706" spans="2:9">
      <c r="B706" s="190"/>
      <c r="C706" s="190"/>
      <c r="D706" s="190"/>
      <c r="E706" s="190"/>
      <c r="F706" s="190"/>
      <c r="G706" s="190"/>
      <c r="H706" s="190"/>
      <c r="I706" s="190"/>
    </row>
    <row r="707" spans="2:9">
      <c r="B707" s="190"/>
      <c r="C707" s="190"/>
      <c r="D707" s="190"/>
      <c r="E707" s="190"/>
      <c r="F707" s="190"/>
      <c r="G707" s="190"/>
      <c r="H707" s="190"/>
      <c r="I707" s="190"/>
    </row>
    <row r="708" spans="2:9">
      <c r="B708" s="190"/>
      <c r="C708" s="190"/>
      <c r="D708" s="190"/>
      <c r="E708" s="190"/>
      <c r="F708" s="190"/>
      <c r="G708" s="190"/>
      <c r="H708" s="190"/>
      <c r="I708" s="190"/>
    </row>
    <row r="709" spans="2:9">
      <c r="B709" s="190"/>
      <c r="C709" s="190"/>
      <c r="D709" s="190"/>
      <c r="E709" s="190"/>
      <c r="F709" s="190"/>
      <c r="G709" s="190"/>
      <c r="H709" s="190"/>
      <c r="I709" s="190"/>
    </row>
    <row r="710" spans="2:9">
      <c r="B710" s="190"/>
      <c r="C710" s="190"/>
      <c r="D710" s="190"/>
      <c r="E710" s="190"/>
      <c r="F710" s="190"/>
      <c r="G710" s="190"/>
      <c r="H710" s="190"/>
      <c r="I710" s="190"/>
    </row>
    <row r="711" spans="2:9">
      <c r="B711" s="190"/>
      <c r="C711" s="190"/>
      <c r="D711" s="190"/>
      <c r="E711" s="190"/>
      <c r="F711" s="190"/>
      <c r="G711" s="190"/>
      <c r="H711" s="190"/>
      <c r="I711" s="190"/>
    </row>
    <row r="712" spans="2:9">
      <c r="B712" s="190"/>
      <c r="C712" s="190"/>
      <c r="D712" s="190"/>
      <c r="E712" s="190"/>
      <c r="F712" s="190"/>
      <c r="G712" s="190"/>
      <c r="H712" s="190"/>
      <c r="I712" s="190"/>
    </row>
    <row r="713" spans="2:9">
      <c r="B713" s="190"/>
      <c r="C713" s="190"/>
      <c r="D713" s="190"/>
      <c r="E713" s="190"/>
      <c r="F713" s="190"/>
      <c r="G713" s="190"/>
      <c r="H713" s="190"/>
      <c r="I713" s="190"/>
    </row>
    <row r="714" spans="2:9">
      <c r="B714" s="190"/>
      <c r="C714" s="190"/>
      <c r="D714" s="190"/>
      <c r="E714" s="190"/>
      <c r="F714" s="190"/>
      <c r="G714" s="190"/>
      <c r="H714" s="190"/>
      <c r="I714" s="190"/>
    </row>
    <row r="715" spans="2:9">
      <c r="B715" s="190"/>
      <c r="C715" s="190"/>
      <c r="D715" s="190"/>
      <c r="E715" s="190"/>
      <c r="F715" s="190"/>
      <c r="G715" s="190"/>
      <c r="H715" s="190"/>
      <c r="I715" s="190"/>
    </row>
    <row r="716" spans="2:9">
      <c r="B716" s="190"/>
      <c r="C716" s="190"/>
      <c r="D716" s="190"/>
      <c r="E716" s="190"/>
      <c r="F716" s="190"/>
      <c r="G716" s="190"/>
      <c r="H716" s="190"/>
      <c r="I716" s="190"/>
    </row>
    <row r="717" spans="2:9">
      <c r="B717" s="190"/>
      <c r="C717" s="190"/>
      <c r="D717" s="190"/>
      <c r="E717" s="190"/>
      <c r="F717" s="190"/>
      <c r="G717" s="190"/>
      <c r="H717" s="190"/>
      <c r="I717" s="190"/>
    </row>
    <row r="718" spans="2:9">
      <c r="B718" s="190"/>
      <c r="C718" s="190"/>
      <c r="D718" s="190"/>
      <c r="E718" s="190"/>
      <c r="F718" s="190"/>
      <c r="G718" s="190"/>
      <c r="H718" s="190"/>
      <c r="I718" s="190"/>
    </row>
    <row r="719" spans="2:9">
      <c r="B719" s="190"/>
      <c r="C719" s="190"/>
      <c r="D719" s="190"/>
      <c r="E719" s="190"/>
      <c r="F719" s="190"/>
      <c r="G719" s="190"/>
      <c r="H719" s="190"/>
      <c r="I719" s="190"/>
    </row>
    <row r="720" spans="2:9">
      <c r="B720" s="190"/>
      <c r="C720" s="190"/>
      <c r="D720" s="190"/>
      <c r="E720" s="190"/>
      <c r="F720" s="190"/>
      <c r="G720" s="190"/>
      <c r="H720" s="190"/>
      <c r="I720" s="190"/>
    </row>
    <row r="721" spans="2:9">
      <c r="B721" s="190"/>
      <c r="C721" s="190"/>
      <c r="D721" s="190"/>
      <c r="E721" s="190"/>
      <c r="F721" s="190"/>
      <c r="G721" s="190"/>
      <c r="H721" s="190"/>
      <c r="I721" s="190"/>
    </row>
    <row r="722" spans="2:9">
      <c r="B722" s="190"/>
      <c r="C722" s="190"/>
      <c r="D722" s="190"/>
      <c r="E722" s="190"/>
      <c r="F722" s="190"/>
      <c r="G722" s="190"/>
      <c r="H722" s="190"/>
      <c r="I722" s="190"/>
    </row>
    <row r="723" spans="2:9">
      <c r="B723" s="190"/>
      <c r="C723" s="190"/>
      <c r="D723" s="190"/>
      <c r="E723" s="190"/>
      <c r="F723" s="190"/>
      <c r="G723" s="190"/>
      <c r="H723" s="190"/>
      <c r="I723" s="190"/>
    </row>
    <row r="724" spans="2:9">
      <c r="B724" s="190"/>
      <c r="C724" s="190"/>
      <c r="D724" s="190"/>
      <c r="E724" s="190"/>
      <c r="F724" s="190"/>
      <c r="G724" s="190"/>
      <c r="H724" s="190"/>
      <c r="I724" s="190"/>
    </row>
    <row r="725" spans="2:9">
      <c r="B725" s="190"/>
      <c r="C725" s="190"/>
      <c r="D725" s="190"/>
      <c r="E725" s="190"/>
      <c r="F725" s="190"/>
      <c r="G725" s="190"/>
      <c r="H725" s="190"/>
      <c r="I725" s="190"/>
    </row>
    <row r="726" spans="2:9">
      <c r="B726" s="190"/>
      <c r="C726" s="190"/>
      <c r="D726" s="190"/>
      <c r="E726" s="190"/>
      <c r="F726" s="190"/>
      <c r="G726" s="190"/>
      <c r="H726" s="190"/>
      <c r="I726" s="190"/>
    </row>
    <row r="727" spans="2:9">
      <c r="B727" s="190"/>
      <c r="C727" s="190"/>
      <c r="D727" s="190"/>
      <c r="E727" s="190"/>
      <c r="F727" s="190"/>
      <c r="G727" s="190"/>
      <c r="H727" s="190"/>
      <c r="I727" s="190"/>
    </row>
    <row r="728" spans="2:9">
      <c r="B728" s="190"/>
      <c r="C728" s="190"/>
      <c r="D728" s="190"/>
      <c r="E728" s="190"/>
      <c r="F728" s="190"/>
      <c r="G728" s="190"/>
      <c r="H728" s="190"/>
      <c r="I728" s="190"/>
    </row>
    <row r="729" spans="2:9">
      <c r="B729" s="190"/>
      <c r="C729" s="190"/>
      <c r="D729" s="190"/>
      <c r="E729" s="190"/>
      <c r="F729" s="190"/>
      <c r="G729" s="190"/>
      <c r="H729" s="190"/>
      <c r="I729" s="190"/>
    </row>
    <row r="730" spans="2:9">
      <c r="B730" s="190"/>
      <c r="C730" s="190"/>
      <c r="D730" s="190"/>
      <c r="E730" s="190"/>
      <c r="F730" s="190"/>
      <c r="G730" s="190"/>
      <c r="H730" s="190"/>
      <c r="I730" s="190"/>
    </row>
    <row r="731" spans="2:9">
      <c r="B731" s="190"/>
      <c r="C731" s="190"/>
      <c r="D731" s="190"/>
      <c r="E731" s="190"/>
      <c r="F731" s="190"/>
      <c r="G731" s="190"/>
      <c r="H731" s="190"/>
      <c r="I731" s="190"/>
    </row>
    <row r="732" spans="2:9">
      <c r="B732" s="190"/>
      <c r="C732" s="190"/>
      <c r="D732" s="190"/>
      <c r="E732" s="190"/>
      <c r="F732" s="190"/>
      <c r="G732" s="190"/>
      <c r="H732" s="190"/>
      <c r="I732" s="190"/>
    </row>
    <row r="733" spans="2:9">
      <c r="B733" s="190"/>
      <c r="C733" s="190"/>
      <c r="D733" s="190"/>
      <c r="E733" s="190"/>
      <c r="F733" s="190"/>
      <c r="G733" s="190"/>
      <c r="H733" s="190"/>
      <c r="I733" s="190"/>
    </row>
    <row r="734" spans="2:9">
      <c r="B734" s="190"/>
      <c r="C734" s="190"/>
      <c r="D734" s="190"/>
      <c r="E734" s="190"/>
      <c r="F734" s="190"/>
      <c r="G734" s="190"/>
      <c r="H734" s="190"/>
      <c r="I734" s="190"/>
    </row>
    <row r="735" spans="2:9">
      <c r="B735" s="190"/>
      <c r="C735" s="190"/>
      <c r="D735" s="190"/>
      <c r="E735" s="190"/>
      <c r="F735" s="190"/>
      <c r="G735" s="190"/>
      <c r="H735" s="190"/>
      <c r="I735" s="190"/>
    </row>
    <row r="736" spans="2:9">
      <c r="B736" s="190"/>
      <c r="C736" s="190"/>
      <c r="D736" s="190"/>
      <c r="E736" s="190"/>
      <c r="F736" s="190"/>
      <c r="G736" s="190"/>
      <c r="H736" s="190"/>
      <c r="I736" s="190"/>
    </row>
    <row r="737" spans="2:9">
      <c r="B737" s="190"/>
      <c r="C737" s="190"/>
      <c r="D737" s="190"/>
      <c r="E737" s="190"/>
      <c r="F737" s="190"/>
      <c r="G737" s="190"/>
      <c r="H737" s="190"/>
      <c r="I737" s="190"/>
    </row>
    <row r="738" spans="2:9">
      <c r="B738" s="190"/>
      <c r="C738" s="190"/>
      <c r="D738" s="190"/>
      <c r="E738" s="190"/>
      <c r="F738" s="190"/>
      <c r="G738" s="190"/>
      <c r="H738" s="190"/>
      <c r="I738" s="190"/>
    </row>
    <row r="739" spans="2:9">
      <c r="B739" s="190"/>
      <c r="C739" s="190"/>
      <c r="D739" s="190"/>
      <c r="E739" s="190"/>
      <c r="F739" s="190"/>
      <c r="G739" s="190"/>
      <c r="H739" s="190"/>
      <c r="I739" s="190"/>
    </row>
    <row r="740" spans="2:9">
      <c r="B740" s="190"/>
      <c r="C740" s="190"/>
      <c r="D740" s="190"/>
      <c r="E740" s="190"/>
      <c r="F740" s="190"/>
      <c r="G740" s="190"/>
      <c r="H740" s="190"/>
      <c r="I740" s="190"/>
    </row>
    <row r="741" spans="2:9">
      <c r="B741" s="190"/>
      <c r="C741" s="190"/>
      <c r="D741" s="190"/>
      <c r="E741" s="190"/>
      <c r="F741" s="190"/>
      <c r="G741" s="190"/>
      <c r="H741" s="190"/>
      <c r="I741" s="190"/>
    </row>
    <row r="742" spans="2:9">
      <c r="B742" s="190"/>
      <c r="C742" s="190"/>
      <c r="D742" s="190"/>
      <c r="E742" s="190"/>
      <c r="F742" s="190"/>
      <c r="G742" s="190"/>
      <c r="H742" s="190"/>
      <c r="I742" s="190"/>
    </row>
    <row r="743" spans="2:9">
      <c r="B743" s="190"/>
      <c r="C743" s="190"/>
      <c r="D743" s="190"/>
      <c r="E743" s="190"/>
      <c r="F743" s="190"/>
      <c r="G743" s="190"/>
      <c r="H743" s="190"/>
      <c r="I743" s="190"/>
    </row>
    <row r="744" spans="2:9">
      <c r="B744" s="190"/>
      <c r="C744" s="190"/>
      <c r="D744" s="190"/>
      <c r="E744" s="190"/>
      <c r="F744" s="190"/>
      <c r="G744" s="190"/>
      <c r="H744" s="190"/>
      <c r="I744" s="190"/>
    </row>
    <row r="745" spans="2:9">
      <c r="B745" s="190"/>
      <c r="C745" s="190"/>
      <c r="D745" s="190"/>
      <c r="E745" s="190"/>
      <c r="F745" s="190"/>
      <c r="G745" s="190"/>
      <c r="H745" s="190"/>
      <c r="I745" s="190"/>
    </row>
    <row r="746" spans="2:9">
      <c r="B746" s="190"/>
      <c r="C746" s="190"/>
      <c r="D746" s="190"/>
      <c r="E746" s="190"/>
      <c r="F746" s="190"/>
      <c r="G746" s="190"/>
      <c r="H746" s="190"/>
      <c r="I746" s="190"/>
    </row>
    <row r="747" spans="2:9">
      <c r="B747" s="190"/>
      <c r="C747" s="190"/>
      <c r="D747" s="190"/>
      <c r="E747" s="190"/>
      <c r="F747" s="190"/>
      <c r="G747" s="190"/>
      <c r="H747" s="190"/>
      <c r="I747" s="190"/>
    </row>
    <row r="748" spans="2:9">
      <c r="B748" s="190"/>
      <c r="C748" s="190"/>
      <c r="D748" s="190"/>
      <c r="E748" s="190"/>
      <c r="F748" s="190"/>
      <c r="G748" s="190"/>
      <c r="H748" s="190"/>
      <c r="I748" s="190"/>
    </row>
    <row r="749" spans="2:9">
      <c r="B749" s="190"/>
      <c r="C749" s="190"/>
      <c r="D749" s="190"/>
      <c r="E749" s="190"/>
      <c r="F749" s="190"/>
      <c r="G749" s="190"/>
      <c r="H749" s="190"/>
      <c r="I749" s="190"/>
    </row>
    <row r="750" spans="2:9">
      <c r="B750" s="190"/>
      <c r="C750" s="190"/>
      <c r="D750" s="190"/>
      <c r="E750" s="190"/>
      <c r="F750" s="190"/>
      <c r="G750" s="190"/>
      <c r="H750" s="190"/>
      <c r="I750" s="190"/>
    </row>
    <row r="751" spans="2:9">
      <c r="B751" s="190"/>
      <c r="C751" s="190"/>
      <c r="D751" s="190"/>
      <c r="E751" s="190"/>
      <c r="F751" s="190"/>
      <c r="G751" s="190"/>
      <c r="H751" s="190"/>
      <c r="I751" s="190"/>
    </row>
    <row r="752" spans="2:9">
      <c r="B752" s="190"/>
      <c r="C752" s="190"/>
      <c r="D752" s="190"/>
      <c r="E752" s="190"/>
      <c r="F752" s="190"/>
      <c r="G752" s="190"/>
      <c r="H752" s="190"/>
      <c r="I752" s="190"/>
    </row>
    <row r="753" spans="2:9">
      <c r="B753" s="190"/>
      <c r="C753" s="190"/>
      <c r="D753" s="190"/>
      <c r="E753" s="190"/>
      <c r="F753" s="190"/>
      <c r="G753" s="190"/>
      <c r="H753" s="190"/>
      <c r="I753" s="190"/>
    </row>
    <row r="754" spans="2:9">
      <c r="B754" s="190"/>
      <c r="C754" s="190"/>
      <c r="D754" s="190"/>
      <c r="E754" s="190"/>
      <c r="F754" s="190"/>
      <c r="G754" s="190"/>
      <c r="H754" s="190"/>
      <c r="I754" s="190"/>
    </row>
    <row r="755" spans="2:9">
      <c r="B755" s="190"/>
      <c r="C755" s="190"/>
      <c r="D755" s="190"/>
      <c r="E755" s="190"/>
      <c r="F755" s="190"/>
      <c r="G755" s="190"/>
      <c r="H755" s="190"/>
      <c r="I755" s="190"/>
    </row>
    <row r="756" spans="2:9">
      <c r="B756" s="190"/>
      <c r="C756" s="190"/>
      <c r="D756" s="190"/>
      <c r="E756" s="190"/>
      <c r="F756" s="190"/>
      <c r="G756" s="190"/>
      <c r="H756" s="190"/>
      <c r="I756" s="190"/>
    </row>
    <row r="757" spans="2:9">
      <c r="B757" s="190"/>
      <c r="C757" s="190"/>
      <c r="D757" s="190"/>
      <c r="E757" s="190"/>
      <c r="F757" s="190"/>
      <c r="G757" s="190"/>
      <c r="H757" s="190"/>
      <c r="I757" s="190"/>
    </row>
    <row r="758" spans="2:9">
      <c r="B758" s="190"/>
      <c r="C758" s="190"/>
      <c r="D758" s="190"/>
      <c r="E758" s="190"/>
      <c r="F758" s="190"/>
      <c r="G758" s="190"/>
      <c r="H758" s="190"/>
      <c r="I758" s="190"/>
    </row>
    <row r="759" spans="2:9">
      <c r="B759" s="190"/>
      <c r="C759" s="190"/>
      <c r="D759" s="190"/>
      <c r="E759" s="190"/>
      <c r="F759" s="190"/>
      <c r="G759" s="190"/>
      <c r="H759" s="190"/>
      <c r="I759" s="190"/>
    </row>
    <row r="760" spans="2:9">
      <c r="B760" s="190"/>
      <c r="C760" s="190"/>
      <c r="D760" s="190"/>
      <c r="E760" s="190"/>
      <c r="F760" s="190"/>
      <c r="G760" s="190"/>
      <c r="H760" s="190"/>
      <c r="I760" s="190"/>
    </row>
    <row r="761" spans="2:9">
      <c r="B761" s="190"/>
      <c r="C761" s="190"/>
      <c r="D761" s="190"/>
      <c r="E761" s="190"/>
      <c r="F761" s="190"/>
      <c r="G761" s="190"/>
      <c r="H761" s="190"/>
      <c r="I761" s="190"/>
    </row>
    <row r="762" spans="2:9">
      <c r="B762" s="190"/>
      <c r="C762" s="190"/>
      <c r="D762" s="190"/>
      <c r="E762" s="190"/>
      <c r="F762" s="190"/>
      <c r="G762" s="190"/>
      <c r="H762" s="190"/>
      <c r="I762" s="190"/>
    </row>
    <row r="763" spans="2:9">
      <c r="B763" s="190"/>
      <c r="C763" s="190"/>
      <c r="D763" s="190"/>
      <c r="E763" s="190"/>
      <c r="F763" s="190"/>
      <c r="G763" s="190"/>
      <c r="H763" s="190"/>
      <c r="I763" s="190"/>
    </row>
    <row r="764" spans="2:9">
      <c r="B764" s="190"/>
      <c r="C764" s="190"/>
      <c r="D764" s="190"/>
      <c r="E764" s="190"/>
      <c r="F764" s="190"/>
      <c r="G764" s="190"/>
      <c r="H764" s="190"/>
      <c r="I764" s="190"/>
    </row>
    <row r="765" spans="2:9">
      <c r="B765" s="190"/>
      <c r="C765" s="190"/>
      <c r="D765" s="190"/>
      <c r="E765" s="190"/>
      <c r="F765" s="190"/>
      <c r="G765" s="190"/>
      <c r="H765" s="190"/>
      <c r="I765" s="190"/>
    </row>
    <row r="766" spans="2:9">
      <c r="B766" s="190"/>
      <c r="C766" s="190"/>
      <c r="D766" s="190"/>
      <c r="E766" s="190"/>
      <c r="F766" s="190"/>
      <c r="G766" s="190"/>
      <c r="H766" s="190"/>
      <c r="I766" s="190"/>
    </row>
    <row r="767" spans="2:9">
      <c r="B767" s="190"/>
      <c r="C767" s="190"/>
      <c r="D767" s="190"/>
      <c r="E767" s="190"/>
      <c r="F767" s="190"/>
      <c r="G767" s="190"/>
      <c r="H767" s="190"/>
      <c r="I767" s="190"/>
    </row>
    <row r="768" spans="2:9">
      <c r="B768" s="190"/>
      <c r="C768" s="190"/>
      <c r="D768" s="190"/>
      <c r="E768" s="190"/>
      <c r="F768" s="190"/>
      <c r="G768" s="190"/>
      <c r="H768" s="190"/>
      <c r="I768" s="190"/>
    </row>
    <row r="769" spans="2:9">
      <c r="B769" s="190"/>
      <c r="C769" s="190"/>
      <c r="D769" s="190"/>
      <c r="E769" s="190"/>
      <c r="F769" s="190"/>
      <c r="G769" s="190"/>
      <c r="H769" s="190"/>
      <c r="I769" s="190"/>
    </row>
    <row r="770" spans="2:9">
      <c r="B770" s="190"/>
      <c r="C770" s="190"/>
      <c r="D770" s="190"/>
      <c r="E770" s="190"/>
      <c r="F770" s="190"/>
      <c r="G770" s="190"/>
      <c r="H770" s="190"/>
      <c r="I770" s="190"/>
    </row>
    <row r="771" spans="2:9">
      <c r="B771" s="190"/>
      <c r="C771" s="190"/>
      <c r="D771" s="190"/>
      <c r="E771" s="190"/>
      <c r="F771" s="190"/>
      <c r="G771" s="190"/>
      <c r="H771" s="190"/>
      <c r="I771" s="190"/>
    </row>
    <row r="772" spans="2:9">
      <c r="B772" s="190"/>
      <c r="C772" s="190"/>
      <c r="D772" s="190"/>
      <c r="E772" s="190"/>
      <c r="F772" s="190"/>
      <c r="G772" s="190"/>
      <c r="H772" s="190"/>
      <c r="I772" s="190"/>
    </row>
    <row r="773" spans="2:9">
      <c r="B773" s="190"/>
      <c r="C773" s="190"/>
      <c r="D773" s="190"/>
      <c r="E773" s="190"/>
      <c r="F773" s="190"/>
      <c r="G773" s="190"/>
      <c r="H773" s="190"/>
      <c r="I773" s="190"/>
    </row>
    <row r="774" spans="2:9">
      <c r="B774" s="190"/>
      <c r="C774" s="190"/>
      <c r="D774" s="190"/>
      <c r="E774" s="190"/>
      <c r="F774" s="190"/>
      <c r="G774" s="190"/>
      <c r="H774" s="190"/>
      <c r="I774" s="190"/>
    </row>
    <row r="775" spans="2:9">
      <c r="B775" s="190"/>
      <c r="C775" s="190"/>
      <c r="D775" s="190"/>
      <c r="E775" s="190"/>
      <c r="F775" s="190"/>
      <c r="G775" s="190"/>
      <c r="H775" s="190"/>
      <c r="I775" s="190"/>
    </row>
    <row r="776" spans="2:9">
      <c r="B776" s="190"/>
      <c r="C776" s="190"/>
      <c r="D776" s="190"/>
      <c r="E776" s="190"/>
      <c r="F776" s="190"/>
      <c r="G776" s="190"/>
      <c r="H776" s="190"/>
      <c r="I776" s="190"/>
    </row>
    <row r="777" spans="2:9">
      <c r="B777" s="190"/>
      <c r="C777" s="190"/>
      <c r="D777" s="190"/>
      <c r="E777" s="190"/>
      <c r="F777" s="190"/>
      <c r="G777" s="190"/>
      <c r="H777" s="190"/>
      <c r="I777" s="190"/>
    </row>
    <row r="778" spans="2:9">
      <c r="B778" s="190"/>
      <c r="C778" s="190"/>
      <c r="D778" s="190"/>
      <c r="E778" s="190"/>
      <c r="F778" s="190"/>
      <c r="G778" s="190"/>
      <c r="H778" s="190"/>
      <c r="I778" s="190"/>
    </row>
    <row r="779" spans="2:9">
      <c r="B779" s="190"/>
      <c r="C779" s="190"/>
      <c r="D779" s="190"/>
      <c r="E779" s="190"/>
      <c r="F779" s="190"/>
      <c r="G779" s="190"/>
      <c r="H779" s="190"/>
      <c r="I779" s="190"/>
    </row>
    <row r="780" spans="2:9">
      <c r="B780" s="190"/>
      <c r="C780" s="190"/>
      <c r="D780" s="190"/>
      <c r="E780" s="190"/>
      <c r="F780" s="190"/>
      <c r="G780" s="190"/>
      <c r="H780" s="190"/>
      <c r="I780" s="190"/>
    </row>
    <row r="781" spans="2:9">
      <c r="B781" s="190"/>
      <c r="C781" s="190"/>
      <c r="D781" s="190"/>
      <c r="E781" s="190"/>
      <c r="F781" s="190"/>
      <c r="G781" s="190"/>
      <c r="H781" s="190"/>
      <c r="I781" s="190"/>
    </row>
    <row r="782" spans="2:9">
      <c r="B782" s="190"/>
      <c r="C782" s="190"/>
      <c r="D782" s="190"/>
      <c r="E782" s="190"/>
      <c r="F782" s="190"/>
      <c r="G782" s="190"/>
      <c r="H782" s="190"/>
      <c r="I782" s="190"/>
    </row>
    <row r="783" spans="2:9">
      <c r="B783" s="190"/>
      <c r="C783" s="190"/>
      <c r="D783" s="190"/>
      <c r="E783" s="190"/>
      <c r="F783" s="190"/>
      <c r="G783" s="190"/>
      <c r="H783" s="190"/>
      <c r="I783" s="190"/>
    </row>
    <row r="784" spans="2:9">
      <c r="B784" s="190"/>
      <c r="C784" s="190"/>
      <c r="D784" s="190"/>
      <c r="E784" s="190"/>
      <c r="F784" s="190"/>
      <c r="G784" s="190"/>
      <c r="H784" s="190"/>
      <c r="I784" s="190"/>
    </row>
    <row r="785" spans="2:9">
      <c r="B785" s="190"/>
      <c r="C785" s="190"/>
      <c r="D785" s="190"/>
      <c r="E785" s="190"/>
      <c r="F785" s="190"/>
      <c r="G785" s="190"/>
      <c r="H785" s="190"/>
      <c r="I785" s="190"/>
    </row>
    <row r="786" spans="2:9">
      <c r="B786" s="190"/>
      <c r="C786" s="190"/>
      <c r="D786" s="190"/>
      <c r="E786" s="190"/>
      <c r="F786" s="190"/>
      <c r="G786" s="190"/>
      <c r="H786" s="190"/>
      <c r="I786" s="190"/>
    </row>
    <row r="787" spans="2:9">
      <c r="B787" s="190"/>
      <c r="C787" s="190"/>
      <c r="D787" s="190"/>
      <c r="E787" s="190"/>
      <c r="F787" s="190"/>
      <c r="G787" s="190"/>
      <c r="H787" s="190"/>
      <c r="I787" s="190"/>
    </row>
    <row r="788" spans="2:9">
      <c r="B788" s="190"/>
      <c r="C788" s="190"/>
      <c r="D788" s="190"/>
      <c r="E788" s="190"/>
      <c r="F788" s="190"/>
      <c r="G788" s="190"/>
      <c r="H788" s="190"/>
      <c r="I788" s="190"/>
    </row>
    <row r="789" spans="2:9">
      <c r="B789" s="190"/>
      <c r="C789" s="190"/>
      <c r="D789" s="190"/>
      <c r="E789" s="190"/>
      <c r="F789" s="190"/>
      <c r="G789" s="190"/>
      <c r="H789" s="190"/>
      <c r="I789" s="190"/>
    </row>
    <row r="790" spans="2:9">
      <c r="B790" s="190"/>
      <c r="C790" s="190"/>
      <c r="D790" s="190"/>
      <c r="E790" s="190"/>
      <c r="F790" s="190"/>
      <c r="G790" s="190"/>
      <c r="H790" s="190"/>
      <c r="I790" s="190"/>
    </row>
    <row r="791" spans="2:9">
      <c r="B791" s="190"/>
      <c r="C791" s="190"/>
      <c r="D791" s="190"/>
      <c r="E791" s="190"/>
      <c r="F791" s="190"/>
      <c r="G791" s="190"/>
      <c r="H791" s="190"/>
      <c r="I791" s="190"/>
    </row>
    <row r="792" spans="2:9">
      <c r="B792" s="190"/>
      <c r="C792" s="190"/>
      <c r="D792" s="190"/>
      <c r="E792" s="190"/>
      <c r="F792" s="190"/>
      <c r="G792" s="190"/>
      <c r="H792" s="190"/>
      <c r="I792" s="190"/>
    </row>
    <row r="793" spans="2:9">
      <c r="B793" s="190"/>
      <c r="C793" s="190"/>
      <c r="D793" s="190"/>
      <c r="E793" s="190"/>
      <c r="F793" s="190"/>
      <c r="G793" s="190"/>
      <c r="H793" s="190"/>
      <c r="I793" s="190"/>
    </row>
    <row r="794" spans="2:9">
      <c r="B794" s="190"/>
      <c r="C794" s="190"/>
      <c r="D794" s="190"/>
      <c r="E794" s="190"/>
      <c r="F794" s="190"/>
      <c r="G794" s="190"/>
      <c r="H794" s="190"/>
      <c r="I794" s="190"/>
    </row>
    <row r="795" spans="2:9">
      <c r="B795" s="190"/>
      <c r="C795" s="190"/>
      <c r="D795" s="190"/>
      <c r="E795" s="190"/>
      <c r="F795" s="190"/>
      <c r="G795" s="190"/>
      <c r="H795" s="190"/>
      <c r="I795" s="190"/>
    </row>
    <row r="796" spans="2:9">
      <c r="B796" s="190"/>
      <c r="C796" s="190"/>
      <c r="D796" s="190"/>
      <c r="E796" s="190"/>
      <c r="F796" s="190"/>
      <c r="G796" s="190"/>
      <c r="H796" s="190"/>
      <c r="I796" s="190"/>
    </row>
    <row r="797" spans="2:9">
      <c r="B797" s="190"/>
      <c r="C797" s="190"/>
      <c r="D797" s="190"/>
      <c r="E797" s="190"/>
      <c r="F797" s="190"/>
      <c r="G797" s="190"/>
      <c r="H797" s="190"/>
      <c r="I797" s="190"/>
    </row>
    <row r="798" spans="2:9">
      <c r="B798" s="190"/>
      <c r="C798" s="190"/>
      <c r="D798" s="190"/>
      <c r="E798" s="190"/>
      <c r="F798" s="190"/>
      <c r="G798" s="190"/>
      <c r="H798" s="190"/>
      <c r="I798" s="190"/>
    </row>
    <row r="799" spans="2:9">
      <c r="B799" s="190"/>
      <c r="C799" s="190"/>
      <c r="D799" s="190"/>
      <c r="E799" s="190"/>
      <c r="F799" s="190"/>
      <c r="G799" s="190"/>
      <c r="H799" s="190"/>
      <c r="I799" s="190"/>
    </row>
    <row r="800" spans="2:9">
      <c r="B800" s="190"/>
      <c r="C800" s="190"/>
      <c r="D800" s="190"/>
      <c r="E800" s="190"/>
      <c r="F800" s="190"/>
      <c r="G800" s="190"/>
      <c r="H800" s="190"/>
      <c r="I800" s="190"/>
    </row>
    <row r="801" spans="2:9">
      <c r="B801" s="190"/>
      <c r="C801" s="190"/>
      <c r="D801" s="190"/>
      <c r="E801" s="190"/>
      <c r="F801" s="190"/>
      <c r="G801" s="190"/>
      <c r="H801" s="190"/>
      <c r="I801" s="190"/>
    </row>
    <row r="802" spans="2:9">
      <c r="B802" s="190"/>
      <c r="C802" s="190"/>
      <c r="D802" s="190"/>
      <c r="E802" s="190"/>
      <c r="F802" s="190"/>
      <c r="G802" s="190"/>
      <c r="H802" s="190"/>
      <c r="I802" s="190"/>
    </row>
    <row r="803" spans="2:9">
      <c r="B803" s="190"/>
      <c r="C803" s="190"/>
      <c r="D803" s="190"/>
      <c r="E803" s="190"/>
      <c r="F803" s="190"/>
      <c r="G803" s="190"/>
      <c r="H803" s="190"/>
      <c r="I803" s="190"/>
    </row>
    <row r="804" spans="2:9">
      <c r="B804" s="190"/>
      <c r="C804" s="190"/>
      <c r="D804" s="190"/>
      <c r="E804" s="190"/>
      <c r="F804" s="190"/>
      <c r="G804" s="190"/>
      <c r="H804" s="190"/>
      <c r="I804" s="190"/>
    </row>
    <row r="805" spans="2:9">
      <c r="B805" s="190"/>
      <c r="C805" s="190"/>
      <c r="D805" s="190"/>
      <c r="E805" s="190"/>
      <c r="F805" s="190"/>
      <c r="G805" s="190"/>
      <c r="H805" s="190"/>
      <c r="I805" s="190"/>
    </row>
    <row r="806" spans="2:9">
      <c r="B806" s="190"/>
      <c r="C806" s="190"/>
      <c r="D806" s="190"/>
      <c r="E806" s="190"/>
      <c r="F806" s="190"/>
      <c r="G806" s="190"/>
      <c r="H806" s="190"/>
      <c r="I806" s="190"/>
    </row>
    <row r="807" spans="2:9">
      <c r="B807" s="190"/>
      <c r="C807" s="190"/>
      <c r="D807" s="190"/>
      <c r="E807" s="190"/>
      <c r="F807" s="190"/>
      <c r="G807" s="190"/>
      <c r="H807" s="190"/>
      <c r="I807" s="190"/>
    </row>
    <row r="808" spans="2:9">
      <c r="B808" s="190"/>
      <c r="C808" s="190"/>
      <c r="D808" s="190"/>
      <c r="E808" s="190"/>
      <c r="F808" s="190"/>
      <c r="G808" s="190"/>
      <c r="H808" s="190"/>
      <c r="I808" s="190"/>
    </row>
    <row r="809" spans="2:9">
      <c r="B809" s="190"/>
      <c r="C809" s="190"/>
      <c r="D809" s="190"/>
      <c r="E809" s="190"/>
      <c r="F809" s="190"/>
      <c r="G809" s="190"/>
      <c r="H809" s="190"/>
      <c r="I809" s="190"/>
    </row>
    <row r="810" spans="2:9">
      <c r="B810" s="190"/>
      <c r="C810" s="190"/>
      <c r="D810" s="190"/>
      <c r="E810" s="190"/>
      <c r="F810" s="190"/>
      <c r="G810" s="190"/>
      <c r="H810" s="190"/>
      <c r="I810" s="190"/>
    </row>
    <row r="811" spans="2:9">
      <c r="B811" s="190"/>
      <c r="C811" s="190"/>
      <c r="D811" s="190"/>
      <c r="E811" s="190"/>
      <c r="F811" s="190"/>
      <c r="G811" s="190"/>
      <c r="H811" s="190"/>
      <c r="I811" s="190"/>
    </row>
    <row r="812" spans="2:9">
      <c r="B812" s="190"/>
      <c r="C812" s="190"/>
      <c r="D812" s="190"/>
      <c r="E812" s="190"/>
      <c r="F812" s="190"/>
      <c r="G812" s="190"/>
      <c r="H812" s="190"/>
      <c r="I812" s="190"/>
    </row>
    <row r="813" spans="2:9">
      <c r="B813" s="190"/>
      <c r="C813" s="190"/>
      <c r="D813" s="190"/>
      <c r="E813" s="190"/>
      <c r="F813" s="190"/>
      <c r="G813" s="190"/>
      <c r="H813" s="190"/>
      <c r="I813" s="190"/>
    </row>
    <row r="814" spans="2:9">
      <c r="B814" s="190"/>
      <c r="C814" s="190"/>
      <c r="D814" s="190"/>
      <c r="E814" s="190"/>
      <c r="F814" s="190"/>
      <c r="G814" s="190"/>
      <c r="H814" s="190"/>
      <c r="I814" s="190"/>
    </row>
    <row r="815" spans="2:9">
      <c r="B815" s="190"/>
      <c r="C815" s="190"/>
      <c r="D815" s="190"/>
      <c r="E815" s="190"/>
      <c r="F815" s="190"/>
      <c r="G815" s="190"/>
      <c r="H815" s="190"/>
      <c r="I815" s="190"/>
    </row>
    <row r="816" spans="2:9">
      <c r="B816" s="190"/>
      <c r="C816" s="190"/>
      <c r="D816" s="190"/>
      <c r="E816" s="190"/>
      <c r="F816" s="190"/>
      <c r="G816" s="190"/>
      <c r="H816" s="190"/>
      <c r="I816" s="190"/>
    </row>
    <row r="817" spans="2:9">
      <c r="B817" s="190"/>
      <c r="C817" s="190"/>
      <c r="D817" s="190"/>
      <c r="E817" s="190"/>
      <c r="F817" s="190"/>
      <c r="G817" s="190"/>
      <c r="H817" s="190"/>
      <c r="I817" s="190"/>
    </row>
    <row r="818" spans="2:9">
      <c r="B818" s="190"/>
      <c r="C818" s="190"/>
      <c r="D818" s="190"/>
      <c r="E818" s="190"/>
      <c r="F818" s="190"/>
      <c r="G818" s="190"/>
      <c r="H818" s="190"/>
      <c r="I818" s="190"/>
    </row>
    <row r="819" spans="2:9">
      <c r="B819" s="190"/>
      <c r="C819" s="190"/>
      <c r="D819" s="190"/>
      <c r="E819" s="190"/>
      <c r="F819" s="190"/>
      <c r="G819" s="190"/>
      <c r="H819" s="190"/>
      <c r="I819" s="190"/>
    </row>
    <row r="820" spans="2:9">
      <c r="B820" s="190"/>
      <c r="C820" s="190"/>
      <c r="D820" s="190"/>
      <c r="E820" s="190"/>
      <c r="F820" s="190"/>
      <c r="G820" s="190"/>
      <c r="H820" s="190"/>
      <c r="I820" s="190"/>
    </row>
    <row r="821" spans="2:9">
      <c r="B821" s="190"/>
      <c r="C821" s="190"/>
      <c r="D821" s="190"/>
      <c r="E821" s="190"/>
      <c r="F821" s="190"/>
      <c r="G821" s="190"/>
      <c r="H821" s="190"/>
      <c r="I821" s="190"/>
    </row>
    <row r="822" spans="2:9">
      <c r="B822" s="190"/>
      <c r="C822" s="190"/>
      <c r="D822" s="190"/>
      <c r="E822" s="190"/>
      <c r="F822" s="190"/>
      <c r="G822" s="190"/>
      <c r="H822" s="190"/>
      <c r="I822" s="190"/>
    </row>
    <row r="823" spans="2:9">
      <c r="B823" s="190"/>
      <c r="C823" s="190"/>
      <c r="D823" s="190"/>
      <c r="E823" s="190"/>
      <c r="F823" s="190"/>
      <c r="G823" s="190"/>
      <c r="H823" s="190"/>
      <c r="I823" s="190"/>
    </row>
    <row r="824" spans="2:9">
      <c r="B824" s="190"/>
      <c r="C824" s="190"/>
      <c r="D824" s="190"/>
      <c r="E824" s="190"/>
      <c r="F824" s="190"/>
      <c r="G824" s="190"/>
      <c r="H824" s="190"/>
      <c r="I824" s="190"/>
    </row>
    <row r="825" spans="2:9">
      <c r="B825" s="190"/>
      <c r="C825" s="190"/>
      <c r="D825" s="190"/>
      <c r="E825" s="190"/>
      <c r="F825" s="190"/>
      <c r="G825" s="190"/>
      <c r="H825" s="190"/>
      <c r="I825" s="190"/>
    </row>
    <row r="826" spans="2:9">
      <c r="B826" s="190"/>
      <c r="C826" s="190"/>
      <c r="D826" s="190"/>
      <c r="E826" s="190"/>
      <c r="F826" s="190"/>
      <c r="G826" s="190"/>
      <c r="H826" s="190"/>
      <c r="I826" s="190"/>
    </row>
    <row r="827" spans="2:9">
      <c r="B827" s="190"/>
      <c r="C827" s="190"/>
      <c r="D827" s="190"/>
      <c r="E827" s="190"/>
      <c r="F827" s="190"/>
      <c r="G827" s="190"/>
      <c r="H827" s="190"/>
      <c r="I827" s="190"/>
    </row>
    <row r="828" spans="2:9">
      <c r="B828" s="190"/>
      <c r="C828" s="190"/>
      <c r="D828" s="190"/>
      <c r="E828" s="190"/>
      <c r="F828" s="190"/>
      <c r="G828" s="190"/>
      <c r="H828" s="190"/>
      <c r="I828" s="190"/>
    </row>
    <row r="829" spans="2:9">
      <c r="B829" s="190"/>
      <c r="C829" s="190"/>
      <c r="D829" s="190"/>
      <c r="E829" s="190"/>
      <c r="F829" s="190"/>
      <c r="G829" s="190"/>
      <c r="H829" s="190"/>
      <c r="I829" s="190"/>
    </row>
    <row r="830" spans="2:9">
      <c r="B830" s="190"/>
      <c r="C830" s="190"/>
      <c r="D830" s="190"/>
      <c r="E830" s="190"/>
      <c r="F830" s="190"/>
      <c r="G830" s="190"/>
      <c r="H830" s="190"/>
      <c r="I830" s="190"/>
    </row>
    <row r="831" spans="2:9">
      <c r="B831" s="190"/>
      <c r="C831" s="190"/>
      <c r="D831" s="190"/>
      <c r="E831" s="190"/>
      <c r="F831" s="190"/>
      <c r="G831" s="190"/>
      <c r="H831" s="190"/>
      <c r="I831" s="190"/>
    </row>
    <row r="832" spans="2:9">
      <c r="B832" s="190"/>
      <c r="C832" s="190"/>
      <c r="D832" s="190"/>
      <c r="E832" s="190"/>
      <c r="F832" s="190"/>
      <c r="G832" s="190"/>
      <c r="H832" s="190"/>
      <c r="I832" s="190"/>
    </row>
    <row r="833" spans="2:9">
      <c r="B833" s="190"/>
      <c r="C833" s="190"/>
      <c r="D833" s="190"/>
      <c r="E833" s="190"/>
      <c r="F833" s="190"/>
      <c r="G833" s="190"/>
      <c r="H833" s="190"/>
      <c r="I833" s="190"/>
    </row>
    <row r="834" spans="2:9">
      <c r="B834" s="190"/>
      <c r="C834" s="190"/>
      <c r="D834" s="190"/>
      <c r="E834" s="190"/>
      <c r="F834" s="190"/>
      <c r="G834" s="190"/>
      <c r="H834" s="190"/>
      <c r="I834" s="190"/>
    </row>
    <row r="835" spans="2:9">
      <c r="B835" s="190"/>
      <c r="C835" s="190"/>
      <c r="D835" s="190"/>
      <c r="E835" s="190"/>
      <c r="F835" s="190"/>
      <c r="G835" s="190"/>
      <c r="H835" s="190"/>
      <c r="I835" s="190"/>
    </row>
    <row r="836" spans="2:9">
      <c r="B836" s="190"/>
      <c r="C836" s="190"/>
      <c r="D836" s="190"/>
      <c r="E836" s="190"/>
      <c r="F836" s="190"/>
      <c r="G836" s="190"/>
      <c r="H836" s="190"/>
      <c r="I836" s="190"/>
    </row>
    <row r="837" spans="2:9">
      <c r="B837" s="190"/>
      <c r="C837" s="190"/>
      <c r="D837" s="190"/>
      <c r="E837" s="190"/>
      <c r="F837" s="190"/>
      <c r="G837" s="190"/>
      <c r="H837" s="190"/>
      <c r="I837" s="190"/>
    </row>
  </sheetData>
  <mergeCells count="18">
    <mergeCell ref="B81:C81"/>
    <mergeCell ref="B91:C91"/>
    <mergeCell ref="B160:C160"/>
    <mergeCell ref="B251:C251"/>
    <mergeCell ref="B10:C10"/>
    <mergeCell ref="B12:C12"/>
    <mergeCell ref="B61:C61"/>
    <mergeCell ref="B79:C79"/>
    <mergeCell ref="B80:C80"/>
    <mergeCell ref="C428:H428"/>
    <mergeCell ref="B290:C290"/>
    <mergeCell ref="B343:D343"/>
    <mergeCell ref="B413:C413"/>
    <mergeCell ref="B423:C423"/>
    <mergeCell ref="C427:H427"/>
    <mergeCell ref="B344:C344"/>
    <mergeCell ref="B415:F415"/>
    <mergeCell ref="B422:H422"/>
  </mergeCells>
  <phoneticPr fontId="13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91A89-008F-4228-AF58-37C740017AB0}">
  <dimension ref="A1:H535"/>
  <sheetViews>
    <sheetView workbookViewId="0">
      <selection activeCell="H442" sqref="F433:H442"/>
    </sheetView>
  </sheetViews>
  <sheetFormatPr defaultRowHeight="14.4"/>
  <cols>
    <col min="1" max="1" width="7.33203125" style="114" customWidth="1"/>
    <col min="2" max="2" width="41.5546875" style="114" customWidth="1"/>
    <col min="3" max="3" width="9.6640625" style="114" customWidth="1"/>
    <col min="4" max="4" width="7.5546875" style="114" customWidth="1"/>
    <col min="5" max="5" width="13.44140625" style="114" customWidth="1"/>
    <col min="6" max="6" width="13.33203125" style="114" customWidth="1"/>
    <col min="7" max="7" width="13.44140625" style="114" customWidth="1"/>
    <col min="8" max="8" width="19.33203125" style="114" customWidth="1"/>
    <col min="9" max="9" width="0.88671875" customWidth="1"/>
    <col min="10" max="10" width="1.33203125" customWidth="1"/>
  </cols>
  <sheetData>
    <row r="1" spans="1:8">
      <c r="A1" s="1"/>
      <c r="B1" s="2" t="s">
        <v>1</v>
      </c>
      <c r="C1" s="3"/>
      <c r="D1" s="4"/>
      <c r="E1" s="1"/>
      <c r="F1" s="1"/>
      <c r="G1" s="1"/>
      <c r="H1" s="1"/>
    </row>
    <row r="2" spans="1:8">
      <c r="A2" s="1"/>
      <c r="B2" s="1" t="s">
        <v>2</v>
      </c>
      <c r="C2" s="3"/>
      <c r="D2" s="4"/>
      <c r="E2" s="1"/>
      <c r="F2" s="1"/>
      <c r="G2" s="1"/>
      <c r="H2" s="1"/>
    </row>
    <row r="3" spans="1:8">
      <c r="A3" s="1"/>
      <c r="B3" s="6" t="s">
        <v>447</v>
      </c>
      <c r="C3" s="3"/>
      <c r="D3" s="97"/>
      <c r="E3" s="1"/>
      <c r="F3" s="1"/>
      <c r="G3" s="1"/>
      <c r="H3" s="1"/>
    </row>
    <row r="4" spans="1:8">
      <c r="A4" s="1"/>
      <c r="B4" s="1" t="s">
        <v>448</v>
      </c>
      <c r="C4" s="3"/>
      <c r="D4" s="4"/>
      <c r="E4" s="1"/>
      <c r="F4" s="1"/>
      <c r="G4" s="1"/>
      <c r="H4" s="1"/>
    </row>
    <row r="5" spans="1:8">
      <c r="A5" s="1"/>
      <c r="B5" s="1" t="s">
        <v>449</v>
      </c>
      <c r="C5" s="3"/>
      <c r="D5" s="4"/>
      <c r="E5" s="1"/>
      <c r="F5" s="1"/>
      <c r="G5" s="1"/>
      <c r="H5" s="1"/>
    </row>
    <row r="6" spans="1:8">
      <c r="A6" s="1"/>
      <c r="B6" s="1" t="s">
        <v>453</v>
      </c>
      <c r="C6" s="3"/>
      <c r="D6" s="4"/>
      <c r="E6" s="96"/>
      <c r="F6" s="96"/>
      <c r="G6" s="96"/>
      <c r="H6" s="1"/>
    </row>
    <row r="7" spans="1:8">
      <c r="A7" s="1"/>
      <c r="B7" s="1" t="s">
        <v>450</v>
      </c>
      <c r="C7" s="3"/>
      <c r="D7" s="4"/>
      <c r="E7" s="96"/>
      <c r="F7" s="96"/>
      <c r="G7" s="96"/>
      <c r="H7" s="1"/>
    </row>
    <row r="8" spans="1:8">
      <c r="A8" s="1"/>
      <c r="B8" s="1" t="s">
        <v>709</v>
      </c>
      <c r="C8" s="3"/>
      <c r="D8" s="4"/>
      <c r="E8" s="96"/>
      <c r="F8" s="96"/>
      <c r="G8" s="96"/>
      <c r="H8" s="1"/>
    </row>
    <row r="9" spans="1:8">
      <c r="A9" s="1"/>
      <c r="B9" s="1" t="s">
        <v>757</v>
      </c>
      <c r="C9" s="3"/>
      <c r="D9" s="4"/>
      <c r="E9" s="96"/>
      <c r="F9" s="96"/>
      <c r="G9" s="96"/>
      <c r="H9" s="1"/>
    </row>
    <row r="10" spans="1:8" ht="15" customHeight="1">
      <c r="A10" s="591" t="s">
        <v>4</v>
      </c>
      <c r="B10" s="592"/>
      <c r="C10" s="82"/>
      <c r="D10" s="82"/>
      <c r="E10" s="83"/>
      <c r="F10" s="83"/>
      <c r="G10" s="83"/>
      <c r="H10" s="84"/>
    </row>
    <row r="11" spans="1:8" ht="28.8">
      <c r="A11" s="115" t="s">
        <v>5</v>
      </c>
      <c r="B11" s="116" t="s">
        <v>6</v>
      </c>
      <c r="C11" s="85" t="s">
        <v>7</v>
      </c>
      <c r="D11" s="85" t="s">
        <v>8</v>
      </c>
      <c r="E11" s="86" t="s">
        <v>410</v>
      </c>
      <c r="F11" s="86" t="s">
        <v>408</v>
      </c>
      <c r="G11" s="86" t="s">
        <v>409</v>
      </c>
      <c r="H11" s="86" t="s">
        <v>9</v>
      </c>
    </row>
    <row r="12" spans="1:8" ht="15" customHeight="1">
      <c r="A12" s="591" t="s">
        <v>10</v>
      </c>
      <c r="B12" s="592"/>
      <c r="C12" s="82"/>
      <c r="D12" s="82"/>
      <c r="E12" s="83"/>
      <c r="F12" s="83"/>
      <c r="G12" s="83"/>
      <c r="H12" s="84"/>
    </row>
    <row r="13" spans="1:8" ht="43.2">
      <c r="A13" s="115" t="s">
        <v>5</v>
      </c>
      <c r="B13" s="116" t="s">
        <v>11</v>
      </c>
      <c r="C13" s="85" t="s">
        <v>7</v>
      </c>
      <c r="D13" s="85" t="s">
        <v>8</v>
      </c>
      <c r="E13" s="86" t="s">
        <v>410</v>
      </c>
      <c r="F13" s="86" t="s">
        <v>408</v>
      </c>
      <c r="G13" s="86" t="s">
        <v>409</v>
      </c>
      <c r="H13" s="86" t="s">
        <v>9</v>
      </c>
    </row>
    <row r="14" spans="1:8" s="56" customFormat="1" ht="28.8">
      <c r="A14" s="117" t="s">
        <v>12</v>
      </c>
      <c r="B14" s="118" t="s">
        <v>710</v>
      </c>
      <c r="C14" s="11" t="s">
        <v>13</v>
      </c>
      <c r="D14" s="11">
        <v>36</v>
      </c>
      <c r="E14" s="12">
        <f>(3643*97%)+3643</f>
        <v>7176.71</v>
      </c>
      <c r="F14" s="13">
        <f>(4500*97%)+5000</f>
        <v>9365</v>
      </c>
      <c r="G14" s="14">
        <f>(5801*97%)+5801</f>
        <v>11427.970000000001</v>
      </c>
      <c r="H14" s="15">
        <f>E14*D14*2</f>
        <v>516723.12</v>
      </c>
    </row>
    <row r="15" spans="1:8" ht="28.8">
      <c r="A15" s="117" t="s">
        <v>14</v>
      </c>
      <c r="B15" s="118" t="s">
        <v>711</v>
      </c>
      <c r="C15" s="11" t="s">
        <v>13</v>
      </c>
      <c r="D15" s="11">
        <v>9</v>
      </c>
      <c r="E15" s="12">
        <f>(3643*97%)+3643</f>
        <v>7176.71</v>
      </c>
      <c r="F15" s="13">
        <f>(4500*97%)+5000</f>
        <v>9365</v>
      </c>
      <c r="G15" s="14">
        <f>(5801*97%)+5801</f>
        <v>11427.970000000001</v>
      </c>
      <c r="H15" s="15">
        <f>E15*D15*3</f>
        <v>193771.16999999998</v>
      </c>
    </row>
    <row r="16" spans="1:8" ht="28.8">
      <c r="A16" s="117" t="s">
        <v>16</v>
      </c>
      <c r="B16" s="119" t="s">
        <v>487</v>
      </c>
      <c r="C16" s="16" t="s">
        <v>15</v>
      </c>
      <c r="D16" s="16">
        <f>3*4*36*2</f>
        <v>864</v>
      </c>
      <c r="E16" s="17">
        <v>250</v>
      </c>
      <c r="F16" s="18">
        <v>450</v>
      </c>
      <c r="G16" s="17">
        <v>650</v>
      </c>
      <c r="H16" s="18">
        <f>E16*D16</f>
        <v>216000</v>
      </c>
    </row>
    <row r="17" spans="1:8" ht="28.8">
      <c r="A17" s="117" t="s">
        <v>19</v>
      </c>
      <c r="B17" s="119" t="s">
        <v>488</v>
      </c>
      <c r="C17" s="16" t="s">
        <v>15</v>
      </c>
      <c r="D17" s="16">
        <f>4*4*9*3</f>
        <v>432</v>
      </c>
      <c r="E17" s="17">
        <v>250</v>
      </c>
      <c r="F17" s="18">
        <v>450</v>
      </c>
      <c r="G17" s="17">
        <v>650</v>
      </c>
      <c r="H17" s="18">
        <f>E17*D17</f>
        <v>108000</v>
      </c>
    </row>
    <row r="18" spans="1:8" ht="57.6">
      <c r="A18" s="117" t="s">
        <v>20</v>
      </c>
      <c r="B18" s="120" t="s">
        <v>569</v>
      </c>
      <c r="C18" s="19" t="s">
        <v>18</v>
      </c>
      <c r="D18" s="19">
        <v>5</v>
      </c>
      <c r="E18" s="20">
        <v>4149</v>
      </c>
      <c r="F18" s="21">
        <v>5299</v>
      </c>
      <c r="G18" s="22">
        <v>5959</v>
      </c>
      <c r="H18" s="18">
        <f t="shared" ref="H18:H21" si="0">E18*D18</f>
        <v>20745</v>
      </c>
    </row>
    <row r="19" spans="1:8" ht="28.8">
      <c r="A19" s="117" t="s">
        <v>21</v>
      </c>
      <c r="B19" s="121" t="s">
        <v>570</v>
      </c>
      <c r="C19" s="19" t="s">
        <v>18</v>
      </c>
      <c r="D19" s="19">
        <v>3</v>
      </c>
      <c r="E19" s="22">
        <v>1849</v>
      </c>
      <c r="F19" s="24">
        <v>2199</v>
      </c>
      <c r="G19" s="25">
        <v>2919</v>
      </c>
      <c r="H19" s="18">
        <f t="shared" si="0"/>
        <v>5547</v>
      </c>
    </row>
    <row r="20" spans="1:8" ht="57.6">
      <c r="A20" s="117" t="s">
        <v>22</v>
      </c>
      <c r="B20" s="120" t="s">
        <v>571</v>
      </c>
      <c r="C20" s="19" t="s">
        <v>18</v>
      </c>
      <c r="D20" s="19">
        <v>3</v>
      </c>
      <c r="E20" s="22">
        <v>1849.77</v>
      </c>
      <c r="F20" s="24">
        <v>2891</v>
      </c>
      <c r="G20" s="26">
        <v>3199</v>
      </c>
      <c r="H20" s="18">
        <f t="shared" si="0"/>
        <v>5549.3099999999995</v>
      </c>
    </row>
    <row r="21" spans="1:8" ht="28.8">
      <c r="A21" s="117" t="s">
        <v>23</v>
      </c>
      <c r="B21" s="120" t="s">
        <v>572</v>
      </c>
      <c r="C21" s="19" t="s">
        <v>18</v>
      </c>
      <c r="D21" s="19">
        <v>3</v>
      </c>
      <c r="E21" s="70">
        <v>169.9</v>
      </c>
      <c r="F21" s="69">
        <v>189.9</v>
      </c>
      <c r="G21" s="68">
        <v>197.59</v>
      </c>
      <c r="H21" s="18">
        <f t="shared" si="0"/>
        <v>509.70000000000005</v>
      </c>
    </row>
    <row r="22" spans="1:8" ht="28.8">
      <c r="A22" s="117" t="s">
        <v>24</v>
      </c>
      <c r="B22" s="122" t="s">
        <v>461</v>
      </c>
      <c r="C22" s="19" t="s">
        <v>18</v>
      </c>
      <c r="D22" s="19">
        <v>3</v>
      </c>
      <c r="E22" s="73">
        <v>6459.11</v>
      </c>
      <c r="F22" s="68">
        <v>6686</v>
      </c>
      <c r="G22" s="69">
        <v>6892</v>
      </c>
      <c r="H22" s="353">
        <f>E22*D22</f>
        <v>19377.329999999998</v>
      </c>
    </row>
    <row r="23" spans="1:8" ht="43.2">
      <c r="A23" s="117" t="s">
        <v>25</v>
      </c>
      <c r="B23" s="120" t="s">
        <v>489</v>
      </c>
      <c r="C23" s="19" t="s">
        <v>18</v>
      </c>
      <c r="D23" s="19">
        <v>2</v>
      </c>
      <c r="E23" s="70">
        <v>3598</v>
      </c>
      <c r="F23" s="68">
        <v>3790</v>
      </c>
      <c r="G23" s="68">
        <v>5049</v>
      </c>
      <c r="H23" s="18">
        <f t="shared" ref="H23:H25" si="1">E23*D23</f>
        <v>7196</v>
      </c>
    </row>
    <row r="24" spans="1:8" ht="43.2">
      <c r="A24" s="117" t="s">
        <v>27</v>
      </c>
      <c r="B24" s="120" t="s">
        <v>573</v>
      </c>
      <c r="C24" s="19" t="s">
        <v>18</v>
      </c>
      <c r="D24" s="19">
        <v>5</v>
      </c>
      <c r="E24" s="73">
        <v>1386</v>
      </c>
      <c r="F24" s="68">
        <v>1549</v>
      </c>
      <c r="G24" s="68">
        <v>1649.9</v>
      </c>
      <c r="H24" s="18">
        <f t="shared" si="1"/>
        <v>6930</v>
      </c>
    </row>
    <row r="25" spans="1:8" ht="28.8">
      <c r="A25" s="117" t="s">
        <v>28</v>
      </c>
      <c r="B25" s="120" t="s">
        <v>462</v>
      </c>
      <c r="C25" s="19" t="s">
        <v>13</v>
      </c>
      <c r="D25" s="19">
        <v>36</v>
      </c>
      <c r="E25" s="68">
        <v>124.99</v>
      </c>
      <c r="F25" s="69">
        <v>142</v>
      </c>
      <c r="G25" s="68">
        <v>159.9</v>
      </c>
      <c r="H25" s="18">
        <f t="shared" si="1"/>
        <v>4499.6399999999994</v>
      </c>
    </row>
    <row r="26" spans="1:8" ht="28.8">
      <c r="A26" s="117" t="s">
        <v>29</v>
      </c>
      <c r="B26" s="120" t="s">
        <v>462</v>
      </c>
      <c r="C26" s="19" t="s">
        <v>13</v>
      </c>
      <c r="D26" s="19">
        <v>9</v>
      </c>
      <c r="E26" s="29">
        <v>124.99</v>
      </c>
      <c r="F26" s="30">
        <v>142</v>
      </c>
      <c r="G26" s="31">
        <v>159.9</v>
      </c>
      <c r="H26" s="18">
        <f t="shared" ref="H26" si="2">E26*D26</f>
        <v>1124.9099999999999</v>
      </c>
    </row>
    <row r="27" spans="1:8" ht="43.2">
      <c r="A27" s="117" t="s">
        <v>30</v>
      </c>
      <c r="B27" s="123" t="s">
        <v>717</v>
      </c>
      <c r="C27" s="7" t="s">
        <v>13</v>
      </c>
      <c r="D27" s="7">
        <v>36</v>
      </c>
      <c r="E27" s="8">
        <v>3168.69</v>
      </c>
      <c r="F27" s="9">
        <v>3597.51</v>
      </c>
      <c r="G27" s="8">
        <v>3622.3</v>
      </c>
      <c r="H27" s="9">
        <f>E27*D27*2</f>
        <v>228145.68</v>
      </c>
    </row>
    <row r="28" spans="1:8" ht="43.2">
      <c r="A28" s="117" t="s">
        <v>32</v>
      </c>
      <c r="B28" s="123" t="s">
        <v>716</v>
      </c>
      <c r="C28" s="7" t="s">
        <v>13</v>
      </c>
      <c r="D28" s="7">
        <f>9</f>
        <v>9</v>
      </c>
      <c r="E28" s="8">
        <v>3168.69</v>
      </c>
      <c r="F28" s="9">
        <v>3597.51</v>
      </c>
      <c r="G28" s="8">
        <v>3622.3</v>
      </c>
      <c r="H28" s="9">
        <f>E28*D28*3</f>
        <v>85554.63</v>
      </c>
    </row>
    <row r="29" spans="1:8" ht="28.8">
      <c r="A29" s="117" t="s">
        <v>33</v>
      </c>
      <c r="B29" s="123" t="s">
        <v>768</v>
      </c>
      <c r="C29" s="7" t="s">
        <v>15</v>
      </c>
      <c r="D29" s="7">
        <v>5</v>
      </c>
      <c r="E29" s="68">
        <v>300</v>
      </c>
      <c r="F29" s="69">
        <v>600</v>
      </c>
      <c r="G29" s="68">
        <v>975</v>
      </c>
      <c r="H29" s="9">
        <f>E29*D29</f>
        <v>1500</v>
      </c>
    </row>
    <row r="30" spans="1:8" ht="28.8">
      <c r="A30" s="117" t="s">
        <v>34</v>
      </c>
      <c r="B30" s="123" t="s">
        <v>465</v>
      </c>
      <c r="C30" s="7" t="s">
        <v>13</v>
      </c>
      <c r="D30" s="7">
        <v>36</v>
      </c>
      <c r="E30" s="68">
        <v>49.9</v>
      </c>
      <c r="F30" s="69">
        <v>60</v>
      </c>
      <c r="G30" s="70">
        <v>65.900000000000006</v>
      </c>
      <c r="H30" s="9">
        <f>E30*D30*2</f>
        <v>3592.7999999999997</v>
      </c>
    </row>
    <row r="31" spans="1:8" ht="28.8">
      <c r="A31" s="117" t="s">
        <v>37</v>
      </c>
      <c r="B31" s="123" t="s">
        <v>718</v>
      </c>
      <c r="C31" s="7" t="s">
        <v>13</v>
      </c>
      <c r="D31" s="7">
        <f>9</f>
        <v>9</v>
      </c>
      <c r="E31" s="68">
        <v>49.9</v>
      </c>
      <c r="F31" s="69">
        <v>60</v>
      </c>
      <c r="G31" s="70">
        <v>65.900000000000006</v>
      </c>
      <c r="H31" s="9">
        <f>E31*D31*3</f>
        <v>1347.3</v>
      </c>
    </row>
    <row r="32" spans="1:8" ht="28.8">
      <c r="A32" s="117" t="s">
        <v>39</v>
      </c>
      <c r="B32" s="123" t="s">
        <v>667</v>
      </c>
      <c r="C32" s="7" t="s">
        <v>15</v>
      </c>
      <c r="D32" s="7">
        <v>5</v>
      </c>
      <c r="E32" s="68">
        <v>114</v>
      </c>
      <c r="F32" s="69">
        <v>0</v>
      </c>
      <c r="G32" s="68">
        <v>265</v>
      </c>
      <c r="H32" s="9">
        <f t="shared" ref="H32:H61" si="3">E32*D32</f>
        <v>570</v>
      </c>
    </row>
    <row r="33" spans="1:8" ht="28.8">
      <c r="A33" s="117" t="s">
        <v>40</v>
      </c>
      <c r="B33" s="123" t="s">
        <v>466</v>
      </c>
      <c r="C33" s="7" t="s">
        <v>31</v>
      </c>
      <c r="D33" s="7">
        <f>55*4*36*2</f>
        <v>15840</v>
      </c>
      <c r="E33" s="68">
        <v>6.08</v>
      </c>
      <c r="F33" s="69">
        <v>6.09</v>
      </c>
      <c r="G33" s="70">
        <v>6.35</v>
      </c>
      <c r="H33" s="9">
        <f t="shared" si="3"/>
        <v>96307.199999999997</v>
      </c>
    </row>
    <row r="34" spans="1:8" ht="28.8">
      <c r="A34" s="117" t="s">
        <v>42</v>
      </c>
      <c r="B34" s="123" t="s">
        <v>467</v>
      </c>
      <c r="C34" s="7" t="s">
        <v>31</v>
      </c>
      <c r="D34" s="7">
        <f>55*4*9*3</f>
        <v>5940</v>
      </c>
      <c r="E34" s="68">
        <v>6.08</v>
      </c>
      <c r="F34" s="69">
        <v>6.09</v>
      </c>
      <c r="G34" s="70">
        <v>6.35</v>
      </c>
      <c r="H34" s="9">
        <f t="shared" si="3"/>
        <v>36115.199999999997</v>
      </c>
    </row>
    <row r="35" spans="1:8" ht="33" customHeight="1">
      <c r="A35" s="117" t="s">
        <v>44</v>
      </c>
      <c r="B35" s="123" t="s">
        <v>468</v>
      </c>
      <c r="C35" s="7" t="s">
        <v>18</v>
      </c>
      <c r="D35" s="7">
        <v>5</v>
      </c>
      <c r="E35" s="68">
        <v>99.86</v>
      </c>
      <c r="F35" s="68">
        <v>109.49</v>
      </c>
      <c r="G35" s="69">
        <v>211.19</v>
      </c>
      <c r="H35" s="9">
        <f t="shared" si="3"/>
        <v>499.3</v>
      </c>
    </row>
    <row r="36" spans="1:8" ht="35.25" customHeight="1">
      <c r="A36" s="117" t="s">
        <v>46</v>
      </c>
      <c r="B36" s="124" t="s">
        <v>469</v>
      </c>
      <c r="C36" s="32" t="s">
        <v>18</v>
      </c>
      <c r="D36" s="32">
        <f>(2*3*3)+(3*3*1)</f>
        <v>27</v>
      </c>
      <c r="E36" s="68">
        <v>60</v>
      </c>
      <c r="F36" s="68">
        <v>65</v>
      </c>
      <c r="G36" s="69">
        <v>70</v>
      </c>
      <c r="H36" s="9">
        <f t="shared" si="3"/>
        <v>1620</v>
      </c>
    </row>
    <row r="37" spans="1:8" ht="43.2">
      <c r="A37" s="117" t="s">
        <v>48</v>
      </c>
      <c r="B37" s="124" t="s">
        <v>470</v>
      </c>
      <c r="C37" s="32" t="s">
        <v>18</v>
      </c>
      <c r="D37" s="32">
        <f>(2*3*3)+(3*3*1)</f>
        <v>27</v>
      </c>
      <c r="E37" s="68">
        <v>75</v>
      </c>
      <c r="F37" s="68">
        <v>90</v>
      </c>
      <c r="G37" s="69">
        <v>98</v>
      </c>
      <c r="H37" s="9">
        <f t="shared" si="3"/>
        <v>2025</v>
      </c>
    </row>
    <row r="38" spans="1:8" ht="28.8">
      <c r="A38" s="117" t="s">
        <v>49</v>
      </c>
      <c r="B38" s="124" t="s">
        <v>38</v>
      </c>
      <c r="C38" s="32" t="s">
        <v>18</v>
      </c>
      <c r="D38" s="32">
        <f>5*3*3</f>
        <v>45</v>
      </c>
      <c r="E38" s="68">
        <v>25</v>
      </c>
      <c r="F38" s="68">
        <v>40</v>
      </c>
      <c r="G38" s="69">
        <v>43</v>
      </c>
      <c r="H38" s="9">
        <f t="shared" si="3"/>
        <v>1125</v>
      </c>
    </row>
    <row r="39" spans="1:8" ht="28.8">
      <c r="A39" s="117" t="s">
        <v>51</v>
      </c>
      <c r="B39" s="124" t="s">
        <v>677</v>
      </c>
      <c r="C39" s="32" t="s">
        <v>18</v>
      </c>
      <c r="D39" s="32">
        <f>(4*2*3)+(4*3*1)</f>
        <v>36</v>
      </c>
      <c r="E39" s="68">
        <v>2.77</v>
      </c>
      <c r="F39" s="74">
        <v>3.75</v>
      </c>
      <c r="G39" s="73">
        <v>3.96</v>
      </c>
      <c r="H39" s="9">
        <f t="shared" si="3"/>
        <v>99.72</v>
      </c>
    </row>
    <row r="40" spans="1:8" ht="28.8">
      <c r="A40" s="117" t="s">
        <v>53</v>
      </c>
      <c r="B40" s="125" t="s">
        <v>471</v>
      </c>
      <c r="C40" s="32" t="s">
        <v>18</v>
      </c>
      <c r="D40" s="32">
        <f>(2*3*3)+(3*2*1)</f>
        <v>24</v>
      </c>
      <c r="E40" s="68">
        <v>122</v>
      </c>
      <c r="F40" s="74">
        <v>170.91</v>
      </c>
      <c r="G40" s="68">
        <v>185</v>
      </c>
      <c r="H40" s="9">
        <f t="shared" si="3"/>
        <v>2928</v>
      </c>
    </row>
    <row r="41" spans="1:8" ht="28.8">
      <c r="A41" s="117" t="s">
        <v>55</v>
      </c>
      <c r="B41" s="125" t="s">
        <v>472</v>
      </c>
      <c r="C41" s="32" t="s">
        <v>18</v>
      </c>
      <c r="D41" s="32">
        <f>(2*3*3)+(3*2*1)</f>
        <v>24</v>
      </c>
      <c r="E41" s="68">
        <v>21.8</v>
      </c>
      <c r="F41" s="74">
        <v>36</v>
      </c>
      <c r="G41" s="68">
        <v>46.9</v>
      </c>
      <c r="H41" s="9">
        <f t="shared" si="3"/>
        <v>523.20000000000005</v>
      </c>
    </row>
    <row r="42" spans="1:8" ht="28.8">
      <c r="A42" s="117" t="s">
        <v>56</v>
      </c>
      <c r="B42" s="125" t="s">
        <v>485</v>
      </c>
      <c r="C42" s="32" t="s">
        <v>18</v>
      </c>
      <c r="D42" s="32">
        <f>5*3</f>
        <v>15</v>
      </c>
      <c r="E42" s="73">
        <v>13.93</v>
      </c>
      <c r="F42" s="74">
        <v>15.71</v>
      </c>
      <c r="G42" s="68">
        <v>22.5</v>
      </c>
      <c r="H42" s="9">
        <f t="shared" si="3"/>
        <v>208.95</v>
      </c>
    </row>
    <row r="43" spans="1:8" ht="28.8">
      <c r="A43" s="117" t="s">
        <v>57</v>
      </c>
      <c r="B43" s="125" t="s">
        <v>473</v>
      </c>
      <c r="C43" s="32" t="s">
        <v>18</v>
      </c>
      <c r="D43" s="32">
        <f>(2*2*3)+(3*2*1)</f>
        <v>18</v>
      </c>
      <c r="E43" s="70">
        <v>12.4</v>
      </c>
      <c r="F43" s="74">
        <v>13.5</v>
      </c>
      <c r="G43" s="68">
        <v>20.260000000000002</v>
      </c>
      <c r="H43" s="9">
        <f t="shared" si="3"/>
        <v>223.20000000000002</v>
      </c>
    </row>
    <row r="44" spans="1:8" ht="28.8">
      <c r="A44" s="117" t="s">
        <v>58</v>
      </c>
      <c r="B44" s="125" t="s">
        <v>476</v>
      </c>
      <c r="C44" s="32" t="s">
        <v>18</v>
      </c>
      <c r="D44" s="32">
        <v>10</v>
      </c>
      <c r="E44" s="68">
        <v>160</v>
      </c>
      <c r="F44" s="74">
        <v>163</v>
      </c>
      <c r="G44" s="73">
        <v>193.63</v>
      </c>
      <c r="H44" s="9">
        <f t="shared" si="3"/>
        <v>1600</v>
      </c>
    </row>
    <row r="45" spans="1:8" ht="28.8">
      <c r="A45" s="117" t="s">
        <v>59</v>
      </c>
      <c r="B45" s="125" t="s">
        <v>474</v>
      </c>
      <c r="C45" s="32" t="s">
        <v>18</v>
      </c>
      <c r="D45" s="32">
        <v>10</v>
      </c>
      <c r="E45" s="70">
        <v>35</v>
      </c>
      <c r="F45" s="74">
        <v>41.4</v>
      </c>
      <c r="G45" s="68">
        <v>168.26</v>
      </c>
      <c r="H45" s="9">
        <f t="shared" si="3"/>
        <v>350</v>
      </c>
    </row>
    <row r="46" spans="1:8" ht="28.8">
      <c r="A46" s="117" t="s">
        <v>60</v>
      </c>
      <c r="B46" s="125" t="s">
        <v>475</v>
      </c>
      <c r="C46" s="32" t="s">
        <v>18</v>
      </c>
      <c r="D46" s="32">
        <v>5</v>
      </c>
      <c r="E46" s="73">
        <v>41.4</v>
      </c>
      <c r="F46" s="73">
        <v>42.23</v>
      </c>
      <c r="G46" s="73">
        <v>50</v>
      </c>
      <c r="H46" s="9">
        <f t="shared" si="3"/>
        <v>207</v>
      </c>
    </row>
    <row r="47" spans="1:8">
      <c r="A47" s="117" t="s">
        <v>62</v>
      </c>
      <c r="B47" s="125" t="s">
        <v>477</v>
      </c>
      <c r="C47" s="32" t="s">
        <v>18</v>
      </c>
      <c r="D47" s="32">
        <v>5</v>
      </c>
      <c r="E47" s="68">
        <v>32.979999999999997</v>
      </c>
      <c r="F47" s="69">
        <v>58.66</v>
      </c>
      <c r="G47" s="68">
        <v>60.82</v>
      </c>
      <c r="H47" s="9">
        <f t="shared" si="3"/>
        <v>164.89999999999998</v>
      </c>
    </row>
    <row r="48" spans="1:8" ht="28.8">
      <c r="A48" s="117" t="s">
        <v>64</v>
      </c>
      <c r="B48" s="125" t="s">
        <v>478</v>
      </c>
      <c r="C48" s="7" t="s">
        <v>18</v>
      </c>
      <c r="D48" s="7">
        <v>5</v>
      </c>
      <c r="E48" s="73">
        <v>26.5</v>
      </c>
      <c r="F48" s="73">
        <v>61.9</v>
      </c>
      <c r="G48" s="69">
        <v>83.6</v>
      </c>
      <c r="H48" s="9">
        <f t="shared" si="3"/>
        <v>132.5</v>
      </c>
    </row>
    <row r="49" spans="1:8">
      <c r="A49" s="117" t="s">
        <v>66</v>
      </c>
      <c r="B49" s="126" t="s">
        <v>411</v>
      </c>
      <c r="C49" s="49" t="s">
        <v>18</v>
      </c>
      <c r="D49" s="49">
        <v>500</v>
      </c>
      <c r="E49" s="260">
        <v>16.47</v>
      </c>
      <c r="F49" s="260">
        <v>16.899999999999999</v>
      </c>
      <c r="G49" s="260">
        <v>31</v>
      </c>
      <c r="H49" s="9">
        <f t="shared" si="3"/>
        <v>8235</v>
      </c>
    </row>
    <row r="50" spans="1:8">
      <c r="A50" s="117" t="s">
        <v>69</v>
      </c>
      <c r="B50" s="127" t="s">
        <v>412</v>
      </c>
      <c r="C50" s="49" t="s">
        <v>18</v>
      </c>
      <c r="D50" s="49">
        <v>500</v>
      </c>
      <c r="E50" s="260">
        <v>1.64</v>
      </c>
      <c r="F50" s="261">
        <v>17.5</v>
      </c>
      <c r="G50" s="261">
        <v>25.9</v>
      </c>
      <c r="H50" s="9">
        <f t="shared" si="3"/>
        <v>820</v>
      </c>
    </row>
    <row r="51" spans="1:8">
      <c r="A51" s="117" t="s">
        <v>71</v>
      </c>
      <c r="B51" s="126" t="s">
        <v>413</v>
      </c>
      <c r="C51" s="49" t="s">
        <v>18</v>
      </c>
      <c r="D51" s="49">
        <v>200</v>
      </c>
      <c r="E51" s="260">
        <v>1.5</v>
      </c>
      <c r="F51" s="260">
        <v>2.5</v>
      </c>
      <c r="G51" s="260">
        <v>3.74</v>
      </c>
      <c r="H51" s="9">
        <f t="shared" si="3"/>
        <v>300</v>
      </c>
    </row>
    <row r="52" spans="1:8">
      <c r="A52" s="117" t="s">
        <v>73</v>
      </c>
      <c r="B52" s="127" t="s">
        <v>414</v>
      </c>
      <c r="C52" s="49" t="s">
        <v>18</v>
      </c>
      <c r="D52" s="49">
        <v>1800</v>
      </c>
      <c r="E52" s="260">
        <v>0.17</v>
      </c>
      <c r="F52" s="261">
        <v>1</v>
      </c>
      <c r="G52" s="260">
        <v>1.89</v>
      </c>
      <c r="H52" s="9">
        <f t="shared" si="3"/>
        <v>306</v>
      </c>
    </row>
    <row r="53" spans="1:8">
      <c r="A53" s="117" t="s">
        <v>75</v>
      </c>
      <c r="B53" s="128" t="s">
        <v>65</v>
      </c>
      <c r="C53" s="49" t="s">
        <v>18</v>
      </c>
      <c r="D53" s="49">
        <v>4</v>
      </c>
      <c r="E53" s="68">
        <v>320</v>
      </c>
      <c r="F53" s="73">
        <v>480</v>
      </c>
      <c r="G53" s="68">
        <v>614.4</v>
      </c>
      <c r="H53" s="9">
        <f t="shared" si="3"/>
        <v>1280</v>
      </c>
    </row>
    <row r="54" spans="1:8">
      <c r="A54" s="117" t="s">
        <v>77</v>
      </c>
      <c r="B54" s="126" t="s">
        <v>67</v>
      </c>
      <c r="C54" s="49" t="s">
        <v>68</v>
      </c>
      <c r="D54" s="49">
        <v>2</v>
      </c>
      <c r="E54" s="276">
        <v>34.9</v>
      </c>
      <c r="F54" s="207">
        <v>45.9</v>
      </c>
      <c r="G54" s="70">
        <v>48.62</v>
      </c>
      <c r="H54" s="9">
        <f t="shared" si="3"/>
        <v>69.8</v>
      </c>
    </row>
    <row r="55" spans="1:8">
      <c r="A55" s="117" t="s">
        <v>78</v>
      </c>
      <c r="B55" s="126" t="s">
        <v>70</v>
      </c>
      <c r="C55" s="49" t="s">
        <v>18</v>
      </c>
      <c r="D55" s="49">
        <v>15</v>
      </c>
      <c r="E55" s="68">
        <v>14.18</v>
      </c>
      <c r="F55" s="69">
        <v>17.5</v>
      </c>
      <c r="G55" s="68">
        <v>55.99</v>
      </c>
      <c r="H55" s="9">
        <f t="shared" si="3"/>
        <v>212.7</v>
      </c>
    </row>
    <row r="56" spans="1:8">
      <c r="A56" s="117" t="s">
        <v>79</v>
      </c>
      <c r="B56" s="126" t="s">
        <v>72</v>
      </c>
      <c r="C56" s="49" t="s">
        <v>68</v>
      </c>
      <c r="D56" s="49">
        <v>4</v>
      </c>
      <c r="E56" s="68">
        <v>19.989999999999998</v>
      </c>
      <c r="F56" s="69">
        <v>22.2</v>
      </c>
      <c r="G56" s="70">
        <v>24.9</v>
      </c>
      <c r="H56" s="9">
        <f t="shared" si="3"/>
        <v>79.959999999999994</v>
      </c>
    </row>
    <row r="57" spans="1:8">
      <c r="A57" s="117" t="s">
        <v>116</v>
      </c>
      <c r="B57" s="126" t="s">
        <v>74</v>
      </c>
      <c r="C57" s="49" t="s">
        <v>18</v>
      </c>
      <c r="D57" s="49">
        <v>40</v>
      </c>
      <c r="E57" s="68">
        <v>14.9</v>
      </c>
      <c r="F57" s="69">
        <v>15.2</v>
      </c>
      <c r="G57" s="68">
        <v>24.99</v>
      </c>
      <c r="H57" s="9">
        <f t="shared" si="3"/>
        <v>596</v>
      </c>
    </row>
    <row r="58" spans="1:8">
      <c r="A58" s="117" t="s">
        <v>118</v>
      </c>
      <c r="B58" s="128" t="s">
        <v>76</v>
      </c>
      <c r="C58" s="49" t="s">
        <v>68</v>
      </c>
      <c r="D58" s="49">
        <v>5</v>
      </c>
      <c r="E58" s="70">
        <v>7.2</v>
      </c>
      <c r="F58" s="74">
        <v>7.36</v>
      </c>
      <c r="G58" s="73">
        <v>17.8</v>
      </c>
      <c r="H58" s="9">
        <f t="shared" si="3"/>
        <v>36</v>
      </c>
    </row>
    <row r="59" spans="1:8" ht="28.8">
      <c r="A59" s="117" t="s">
        <v>119</v>
      </c>
      <c r="B59" s="128" t="s">
        <v>680</v>
      </c>
      <c r="C59" s="49" t="s">
        <v>15</v>
      </c>
      <c r="D59" s="49">
        <v>6</v>
      </c>
      <c r="E59" s="68">
        <v>600</v>
      </c>
      <c r="F59" s="69"/>
      <c r="G59" s="68"/>
      <c r="H59" s="9">
        <f t="shared" si="3"/>
        <v>3600</v>
      </c>
    </row>
    <row r="60" spans="1:8" ht="28.8">
      <c r="A60" s="117" t="s">
        <v>120</v>
      </c>
      <c r="B60" s="129" t="s">
        <v>678</v>
      </c>
      <c r="C60" s="49" t="s">
        <v>18</v>
      </c>
      <c r="D60" s="49">
        <v>10</v>
      </c>
      <c r="E60" s="68">
        <v>500</v>
      </c>
      <c r="F60" s="69"/>
      <c r="G60" s="68"/>
      <c r="H60" s="9">
        <f t="shared" si="3"/>
        <v>5000</v>
      </c>
    </row>
    <row r="61" spans="1:8">
      <c r="A61" s="117" t="s">
        <v>121</v>
      </c>
      <c r="B61" s="129" t="s">
        <v>679</v>
      </c>
      <c r="C61" s="49" t="s">
        <v>18</v>
      </c>
      <c r="D61" s="49">
        <v>10</v>
      </c>
      <c r="E61" s="68">
        <v>980</v>
      </c>
      <c r="F61" s="69"/>
      <c r="G61" s="68"/>
      <c r="H61" s="9">
        <f t="shared" si="3"/>
        <v>9800</v>
      </c>
    </row>
    <row r="62" spans="1:8">
      <c r="A62" s="593" t="s">
        <v>418</v>
      </c>
      <c r="B62" s="594"/>
      <c r="C62" s="330"/>
      <c r="D62" s="330"/>
      <c r="E62" s="330"/>
      <c r="F62" s="330"/>
      <c r="G62" s="330"/>
      <c r="H62" s="354">
        <f>SUM(H14:H61)</f>
        <v>1601148.2199999995</v>
      </c>
    </row>
    <row r="63" spans="1:8" ht="28.8">
      <c r="A63" s="115" t="s">
        <v>80</v>
      </c>
      <c r="B63" s="130" t="s">
        <v>394</v>
      </c>
      <c r="C63" s="85" t="s">
        <v>7</v>
      </c>
      <c r="D63" s="85" t="s">
        <v>8</v>
      </c>
      <c r="E63" s="86" t="s">
        <v>410</v>
      </c>
      <c r="F63" s="86" t="s">
        <v>408</v>
      </c>
      <c r="G63" s="86" t="s">
        <v>409</v>
      </c>
      <c r="H63" s="87" t="s">
        <v>9</v>
      </c>
    </row>
    <row r="64" spans="1:8" ht="28.8">
      <c r="A64" s="117" t="s">
        <v>81</v>
      </c>
      <c r="B64" s="118" t="s">
        <v>82</v>
      </c>
      <c r="C64" s="11" t="s">
        <v>13</v>
      </c>
      <c r="D64" s="11">
        <v>18</v>
      </c>
      <c r="E64" s="12">
        <f>(3643*97%)+3643</f>
        <v>7176.71</v>
      </c>
      <c r="F64" s="13">
        <f>(4500*97%)+4500</f>
        <v>8865</v>
      </c>
      <c r="G64" s="14">
        <f>(5801*97%)+5801</f>
        <v>11427.970000000001</v>
      </c>
      <c r="H64" s="15">
        <f>E64*D64*2</f>
        <v>258361.56</v>
      </c>
    </row>
    <row r="65" spans="1:8">
      <c r="A65" s="117" t="s">
        <v>83</v>
      </c>
      <c r="B65" s="119" t="s">
        <v>415</v>
      </c>
      <c r="C65" s="16" t="s">
        <v>15</v>
      </c>
      <c r="D65" s="16">
        <f>8*2</f>
        <v>16</v>
      </c>
      <c r="E65" s="17">
        <v>250</v>
      </c>
      <c r="F65" s="18">
        <v>450</v>
      </c>
      <c r="G65" s="17">
        <v>650</v>
      </c>
      <c r="H65" s="18">
        <f>E65*D65</f>
        <v>4000</v>
      </c>
    </row>
    <row r="66" spans="1:8" ht="43.2">
      <c r="A66" s="117" t="s">
        <v>84</v>
      </c>
      <c r="B66" s="120" t="s">
        <v>17</v>
      </c>
      <c r="C66" s="19" t="s">
        <v>18</v>
      </c>
      <c r="D66" s="19">
        <v>2</v>
      </c>
      <c r="E66" s="20">
        <v>4149</v>
      </c>
      <c r="F66" s="21">
        <v>5299</v>
      </c>
      <c r="G66" s="22">
        <v>5939</v>
      </c>
      <c r="H66" s="18">
        <f t="shared" ref="H66:H79" si="4">E66*D66</f>
        <v>8298</v>
      </c>
    </row>
    <row r="67" spans="1:8" ht="28.8">
      <c r="A67" s="117" t="s">
        <v>85</v>
      </c>
      <c r="B67" s="120" t="s">
        <v>106</v>
      </c>
      <c r="C67" s="19" t="s">
        <v>18</v>
      </c>
      <c r="D67" s="19">
        <v>2</v>
      </c>
      <c r="E67" s="28">
        <v>969</v>
      </c>
      <c r="F67" s="24">
        <v>1029</v>
      </c>
      <c r="G67" s="22">
        <v>1799</v>
      </c>
      <c r="H67" s="18">
        <f t="shared" si="4"/>
        <v>1938</v>
      </c>
    </row>
    <row r="68" spans="1:8" ht="20.25" customHeight="1">
      <c r="A68" s="117" t="s">
        <v>86</v>
      </c>
      <c r="B68" s="120" t="s">
        <v>26</v>
      </c>
      <c r="C68" s="19" t="s">
        <v>13</v>
      </c>
      <c r="D68" s="19">
        <v>18</v>
      </c>
      <c r="E68" s="29">
        <v>124.99</v>
      </c>
      <c r="F68" s="50">
        <v>142</v>
      </c>
      <c r="G68" s="31">
        <v>159.9</v>
      </c>
      <c r="H68" s="18">
        <f t="shared" si="4"/>
        <v>2249.8199999999997</v>
      </c>
    </row>
    <row r="69" spans="1:8" ht="35.25" customHeight="1">
      <c r="A69" s="117" t="s">
        <v>87</v>
      </c>
      <c r="B69" s="124" t="s">
        <v>35</v>
      </c>
      <c r="C69" s="32" t="s">
        <v>18</v>
      </c>
      <c r="D69" s="71">
        <f>3*2</f>
        <v>6</v>
      </c>
      <c r="E69" s="33">
        <v>60</v>
      </c>
      <c r="F69" s="34">
        <v>65</v>
      </c>
      <c r="G69" s="35">
        <v>70</v>
      </c>
      <c r="H69" s="18">
        <f t="shared" si="4"/>
        <v>360</v>
      </c>
    </row>
    <row r="70" spans="1:8" ht="43.2">
      <c r="A70" s="117" t="s">
        <v>88</v>
      </c>
      <c r="B70" s="124" t="s">
        <v>36</v>
      </c>
      <c r="C70" s="32" t="s">
        <v>18</v>
      </c>
      <c r="D70" s="71">
        <f>3*2</f>
        <v>6</v>
      </c>
      <c r="E70" s="33">
        <v>75</v>
      </c>
      <c r="F70" s="34">
        <v>90</v>
      </c>
      <c r="G70" s="35">
        <v>98</v>
      </c>
      <c r="H70" s="18">
        <f t="shared" si="4"/>
        <v>450</v>
      </c>
    </row>
    <row r="71" spans="1:8" ht="43.2">
      <c r="A71" s="117" t="s">
        <v>89</v>
      </c>
      <c r="B71" s="124" t="s">
        <v>90</v>
      </c>
      <c r="C71" s="32" t="s">
        <v>18</v>
      </c>
      <c r="D71" s="71">
        <f>3*2</f>
        <v>6</v>
      </c>
      <c r="E71" s="33">
        <v>25</v>
      </c>
      <c r="F71" s="34">
        <v>40</v>
      </c>
      <c r="G71" s="35">
        <v>43</v>
      </c>
      <c r="H71" s="18">
        <f t="shared" si="4"/>
        <v>150</v>
      </c>
    </row>
    <row r="72" spans="1:8">
      <c r="A72" s="117" t="s">
        <v>91</v>
      </c>
      <c r="B72" s="125" t="s">
        <v>41</v>
      </c>
      <c r="C72" s="32" t="s">
        <v>18</v>
      </c>
      <c r="D72" s="71">
        <v>4</v>
      </c>
      <c r="E72" s="38">
        <v>122</v>
      </c>
      <c r="F72" s="40">
        <v>134.9</v>
      </c>
      <c r="G72" s="36">
        <v>170.91</v>
      </c>
      <c r="H72" s="18">
        <f t="shared" si="4"/>
        <v>488</v>
      </c>
    </row>
    <row r="73" spans="1:8">
      <c r="A73" s="117" t="s">
        <v>92</v>
      </c>
      <c r="B73" s="125" t="s">
        <v>43</v>
      </c>
      <c r="C73" s="32" t="s">
        <v>18</v>
      </c>
      <c r="D73" s="71">
        <v>4</v>
      </c>
      <c r="E73" s="36">
        <v>27.01</v>
      </c>
      <c r="F73" s="48">
        <v>30.75</v>
      </c>
      <c r="G73" s="51">
        <v>46.9</v>
      </c>
      <c r="H73" s="18">
        <f t="shared" si="4"/>
        <v>108.04</v>
      </c>
    </row>
    <row r="74" spans="1:8">
      <c r="A74" s="117" t="s">
        <v>93</v>
      </c>
      <c r="B74" s="125" t="s">
        <v>45</v>
      </c>
      <c r="C74" s="32" t="s">
        <v>18</v>
      </c>
      <c r="D74" s="71">
        <v>4</v>
      </c>
      <c r="E74" s="52">
        <v>10.99</v>
      </c>
      <c r="F74" s="27">
        <v>13.93</v>
      </c>
      <c r="G74" s="37">
        <v>49.9</v>
      </c>
      <c r="H74" s="18">
        <f t="shared" si="4"/>
        <v>43.96</v>
      </c>
    </row>
    <row r="75" spans="1:8" ht="28.8">
      <c r="A75" s="117" t="s">
        <v>94</v>
      </c>
      <c r="B75" s="125" t="s">
        <v>47</v>
      </c>
      <c r="C75" s="32" t="s">
        <v>18</v>
      </c>
      <c r="D75" s="71">
        <v>4</v>
      </c>
      <c r="E75" s="42">
        <v>15</v>
      </c>
      <c r="F75" s="53">
        <v>17.899999999999999</v>
      </c>
      <c r="G75" s="36">
        <v>20.260000000000002</v>
      </c>
      <c r="H75" s="18">
        <f t="shared" si="4"/>
        <v>60</v>
      </c>
    </row>
    <row r="76" spans="1:8">
      <c r="A76" s="117" t="s">
        <v>95</v>
      </c>
      <c r="B76" s="125" t="s">
        <v>96</v>
      </c>
      <c r="C76" s="32" t="s">
        <v>18</v>
      </c>
      <c r="D76" s="71">
        <v>4</v>
      </c>
      <c r="E76" s="20">
        <v>160</v>
      </c>
      <c r="F76" s="43">
        <v>215</v>
      </c>
      <c r="G76" s="12">
        <v>230</v>
      </c>
      <c r="H76" s="18">
        <f t="shared" si="4"/>
        <v>640</v>
      </c>
    </row>
    <row r="77" spans="1:8">
      <c r="A77" s="117" t="s">
        <v>97</v>
      </c>
      <c r="B77" s="125" t="s">
        <v>50</v>
      </c>
      <c r="C77" s="32" t="s">
        <v>18</v>
      </c>
      <c r="D77" s="71">
        <v>2</v>
      </c>
      <c r="E77" s="25">
        <v>109.9</v>
      </c>
      <c r="F77" s="44">
        <v>155</v>
      </c>
      <c r="G77" s="41">
        <v>168.26</v>
      </c>
      <c r="H77" s="18">
        <f t="shared" si="4"/>
        <v>219.8</v>
      </c>
    </row>
    <row r="78" spans="1:8">
      <c r="A78" s="117" t="s">
        <v>98</v>
      </c>
      <c r="B78" s="125" t="s">
        <v>52</v>
      </c>
      <c r="C78" s="32" t="s">
        <v>18</v>
      </c>
      <c r="D78" s="71">
        <v>2</v>
      </c>
      <c r="E78" s="37">
        <v>73.27</v>
      </c>
      <c r="F78" s="24">
        <v>116.58</v>
      </c>
      <c r="G78" s="45">
        <v>150</v>
      </c>
      <c r="H78" s="18">
        <f t="shared" si="4"/>
        <v>146.54</v>
      </c>
    </row>
    <row r="79" spans="1:8">
      <c r="A79" s="117" t="s">
        <v>99</v>
      </c>
      <c r="B79" s="125" t="s">
        <v>54</v>
      </c>
      <c r="C79" s="32" t="s">
        <v>18</v>
      </c>
      <c r="D79" s="71">
        <v>2</v>
      </c>
      <c r="E79" s="20">
        <v>32.979999999999997</v>
      </c>
      <c r="F79" s="46">
        <v>58.66</v>
      </c>
      <c r="G79" s="47">
        <v>60.82</v>
      </c>
      <c r="H79" s="18">
        <f t="shared" si="4"/>
        <v>65.959999999999994</v>
      </c>
    </row>
    <row r="80" spans="1:8">
      <c r="A80" s="589" t="s">
        <v>392</v>
      </c>
      <c r="B80" s="590"/>
      <c r="C80" s="317"/>
      <c r="D80" s="317"/>
      <c r="E80" s="317"/>
      <c r="F80" s="317"/>
      <c r="G80" s="317"/>
      <c r="H80" s="357">
        <f>SUM(H64:H79)</f>
        <v>277579.68</v>
      </c>
    </row>
    <row r="81" spans="1:8">
      <c r="A81" s="595" t="s">
        <v>393</v>
      </c>
      <c r="B81" s="596"/>
      <c r="C81" s="331"/>
      <c r="D81" s="331"/>
      <c r="E81" s="331"/>
      <c r="F81" s="331"/>
      <c r="G81" s="331"/>
      <c r="H81" s="360">
        <f>H80+H62</f>
        <v>1878727.8999999994</v>
      </c>
    </row>
    <row r="82" spans="1:8" ht="15" customHeight="1">
      <c r="A82" s="585" t="s">
        <v>100</v>
      </c>
      <c r="B82" s="586"/>
      <c r="C82" s="82"/>
      <c r="D82" s="82"/>
      <c r="E82" s="88"/>
      <c r="F82" s="88"/>
      <c r="G82" s="88"/>
      <c r="H82" s="88"/>
    </row>
    <row r="83" spans="1:8" ht="28.8">
      <c r="A83" s="131">
        <v>1</v>
      </c>
      <c r="B83" s="116" t="s">
        <v>101</v>
      </c>
      <c r="C83" s="85" t="s">
        <v>7</v>
      </c>
      <c r="D83" s="85" t="s">
        <v>8</v>
      </c>
      <c r="E83" s="86" t="s">
        <v>410</v>
      </c>
      <c r="F83" s="86" t="s">
        <v>408</v>
      </c>
      <c r="G83" s="86" t="s">
        <v>409</v>
      </c>
      <c r="H83" s="87" t="s">
        <v>9</v>
      </c>
    </row>
    <row r="84" spans="1:8" ht="28.8" hidden="1">
      <c r="A84" s="361" t="s">
        <v>12</v>
      </c>
      <c r="B84" s="362" t="s">
        <v>726</v>
      </c>
      <c r="C84" s="362"/>
      <c r="D84" s="363"/>
      <c r="E84" s="362"/>
      <c r="F84" s="362"/>
      <c r="G84" s="362"/>
      <c r="H84" s="362"/>
    </row>
    <row r="85" spans="1:8" ht="28.8" hidden="1">
      <c r="A85" s="361" t="s">
        <v>14</v>
      </c>
      <c r="B85" s="362" t="s">
        <v>727</v>
      </c>
      <c r="C85" s="362"/>
      <c r="D85" s="363"/>
      <c r="E85" s="362"/>
      <c r="F85" s="362"/>
      <c r="G85" s="362"/>
      <c r="H85" s="362"/>
    </row>
    <row r="86" spans="1:8">
      <c r="A86" s="361" t="s">
        <v>16</v>
      </c>
      <c r="B86" s="362" t="s">
        <v>104</v>
      </c>
      <c r="C86" s="364"/>
      <c r="D86" s="365"/>
      <c r="E86" s="364"/>
      <c r="F86" s="364"/>
      <c r="G86" s="364"/>
      <c r="H86" s="362"/>
    </row>
    <row r="87" spans="1:8" ht="57.6">
      <c r="A87" s="139" t="s">
        <v>105</v>
      </c>
      <c r="B87" s="140" t="s">
        <v>761</v>
      </c>
      <c r="C87" s="106" t="s">
        <v>18</v>
      </c>
      <c r="D87" s="107">
        <f>1200*140*1.2</f>
        <v>201600</v>
      </c>
      <c r="E87" s="108">
        <v>10</v>
      </c>
      <c r="F87" s="108"/>
      <c r="G87" s="108"/>
      <c r="H87" s="105">
        <f>E87*D87</f>
        <v>2016000</v>
      </c>
    </row>
    <row r="88" spans="1:8">
      <c r="A88" s="139" t="s">
        <v>419</v>
      </c>
      <c r="B88" s="141" t="s">
        <v>407</v>
      </c>
      <c r="C88" s="106" t="s">
        <v>15</v>
      </c>
      <c r="D88" s="106">
        <v>10</v>
      </c>
      <c r="E88" s="108">
        <v>6000</v>
      </c>
      <c r="F88" s="108"/>
      <c r="G88" s="108"/>
      <c r="H88" s="105">
        <f>E88*D88</f>
        <v>60000</v>
      </c>
    </row>
    <row r="89" spans="1:8">
      <c r="A89" s="299" t="s">
        <v>102</v>
      </c>
      <c r="B89" s="307"/>
      <c r="C89" s="307"/>
      <c r="D89" s="307"/>
      <c r="E89" s="307"/>
      <c r="F89" s="307"/>
      <c r="G89" s="307"/>
      <c r="H89" s="367">
        <f>SUM(H87:H88)</f>
        <v>2076000</v>
      </c>
    </row>
    <row r="90" spans="1:8" ht="43.2" hidden="1">
      <c r="A90" s="361" t="s">
        <v>19</v>
      </c>
      <c r="B90" s="362" t="s">
        <v>728</v>
      </c>
      <c r="C90" s="362"/>
      <c r="D90" s="368"/>
      <c r="E90" s="369"/>
      <c r="F90" s="369"/>
      <c r="G90" s="362"/>
      <c r="H90" s="362"/>
    </row>
    <row r="91" spans="1:8">
      <c r="A91" s="294" t="s">
        <v>111</v>
      </c>
      <c r="B91" s="316"/>
      <c r="C91" s="316"/>
      <c r="D91" s="316"/>
      <c r="E91" s="316"/>
      <c r="F91" s="316"/>
      <c r="G91" s="316"/>
      <c r="H91" s="304">
        <f>H89</f>
        <v>2076000</v>
      </c>
    </row>
    <row r="92" spans="1:8" s="234" customFormat="1">
      <c r="A92" s="587" t="s">
        <v>112</v>
      </c>
      <c r="B92" s="588"/>
      <c r="C92" s="262"/>
      <c r="D92" s="262"/>
      <c r="E92" s="263"/>
      <c r="F92" s="263"/>
      <c r="G92" s="263"/>
      <c r="H92" s="263"/>
    </row>
    <row r="93" spans="1:8">
      <c r="A93" s="115" t="s">
        <v>5</v>
      </c>
      <c r="B93" s="116" t="s">
        <v>113</v>
      </c>
      <c r="C93" s="85" t="s">
        <v>7</v>
      </c>
      <c r="D93" s="85" t="s">
        <v>8</v>
      </c>
      <c r="E93" s="86" t="s">
        <v>410</v>
      </c>
      <c r="F93" s="86" t="s">
        <v>408</v>
      </c>
      <c r="G93" s="86" t="s">
        <v>409</v>
      </c>
      <c r="H93" s="87" t="s">
        <v>9</v>
      </c>
    </row>
    <row r="94" spans="1:8" ht="28.8">
      <c r="A94" s="117" t="s">
        <v>12</v>
      </c>
      <c r="B94" s="118" t="s">
        <v>451</v>
      </c>
      <c r="C94" s="11" t="s">
        <v>13</v>
      </c>
      <c r="D94" s="11">
        <v>10</v>
      </c>
      <c r="E94" s="251">
        <f>(2825.54*97%)+2825.54</f>
        <v>5566.3137999999999</v>
      </c>
      <c r="F94" s="249">
        <f>(2942.99*97%)+2942.99</f>
        <v>5797.6902999999993</v>
      </c>
      <c r="G94" s="250">
        <f>(3397*97%)+3397</f>
        <v>6692.09</v>
      </c>
      <c r="H94" s="15">
        <f>E94*D94*4</f>
        <v>222652.552</v>
      </c>
    </row>
    <row r="95" spans="1:8" ht="28.8">
      <c r="A95" s="117" t="s">
        <v>14</v>
      </c>
      <c r="B95" s="118" t="s">
        <v>452</v>
      </c>
      <c r="C95" s="11" t="s">
        <v>13</v>
      </c>
      <c r="D95" s="11">
        <v>10</v>
      </c>
      <c r="E95" s="68">
        <f>(1412*97%)+1412</f>
        <v>2781.64</v>
      </c>
      <c r="F95" s="69">
        <f>(1454*97%)+1454</f>
        <v>2864.38</v>
      </c>
      <c r="G95" s="68">
        <f>(1700*97%)+1700</f>
        <v>3349</v>
      </c>
      <c r="H95" s="15">
        <f>E95*D95*16</f>
        <v>445062.39999999997</v>
      </c>
    </row>
    <row r="96" spans="1:8" ht="43.2">
      <c r="A96" s="117" t="s">
        <v>16</v>
      </c>
      <c r="B96" s="120" t="s">
        <v>521</v>
      </c>
      <c r="C96" s="19" t="s">
        <v>18</v>
      </c>
      <c r="D96" s="19">
        <v>4</v>
      </c>
      <c r="E96" s="68">
        <v>1386</v>
      </c>
      <c r="F96" s="69">
        <v>1549</v>
      </c>
      <c r="G96" s="68">
        <v>1649.9</v>
      </c>
      <c r="H96" s="15">
        <f>E96*D96</f>
        <v>5544</v>
      </c>
    </row>
    <row r="97" spans="1:8" ht="28.8">
      <c r="A97" s="117" t="s">
        <v>19</v>
      </c>
      <c r="B97" s="120" t="s">
        <v>462</v>
      </c>
      <c r="C97" s="19" t="s">
        <v>13</v>
      </c>
      <c r="D97" s="19">
        <v>10</v>
      </c>
      <c r="E97" s="68">
        <v>124.99</v>
      </c>
      <c r="F97" s="69">
        <v>142</v>
      </c>
      <c r="G97" s="68">
        <v>159.9</v>
      </c>
      <c r="H97" s="15">
        <f t="shared" ref="H97:H100" si="5">E97*D97</f>
        <v>1249.8999999999999</v>
      </c>
    </row>
    <row r="98" spans="1:8" ht="28.8">
      <c r="A98" s="117" t="s">
        <v>20</v>
      </c>
      <c r="B98" s="119" t="s">
        <v>515</v>
      </c>
      <c r="C98" s="19" t="s">
        <v>15</v>
      </c>
      <c r="D98" s="16">
        <f>20*20*10</f>
        <v>4000</v>
      </c>
      <c r="E98" s="68">
        <v>32</v>
      </c>
      <c r="F98" s="69">
        <v>37</v>
      </c>
      <c r="G98" s="68">
        <v>37</v>
      </c>
      <c r="H98" s="15">
        <f t="shared" si="5"/>
        <v>128000</v>
      </c>
    </row>
    <row r="99" spans="1:8" s="100" customFormat="1" ht="33" customHeight="1">
      <c r="A99" s="117" t="s">
        <v>21</v>
      </c>
      <c r="B99" s="119" t="s">
        <v>516</v>
      </c>
      <c r="C99" s="19" t="s">
        <v>15</v>
      </c>
      <c r="D99" s="16">
        <f>20*20*10</f>
        <v>4000</v>
      </c>
      <c r="E99" s="68">
        <v>8</v>
      </c>
      <c r="F99" s="69">
        <v>8.6</v>
      </c>
      <c r="G99" s="68">
        <v>9</v>
      </c>
      <c r="H99" s="15">
        <f t="shared" si="5"/>
        <v>32000</v>
      </c>
    </row>
    <row r="100" spans="1:8" ht="30.75" customHeight="1">
      <c r="A100" s="117" t="s">
        <v>22</v>
      </c>
      <c r="B100" s="123" t="s">
        <v>522</v>
      </c>
      <c r="C100" s="7" t="s">
        <v>13</v>
      </c>
      <c r="D100" s="7">
        <v>4</v>
      </c>
      <c r="E100" s="68">
        <v>7950</v>
      </c>
      <c r="F100" s="68">
        <v>8763.6</v>
      </c>
      <c r="G100" s="102">
        <v>9350</v>
      </c>
      <c r="H100" s="15">
        <f t="shared" si="5"/>
        <v>31800</v>
      </c>
    </row>
    <row r="101" spans="1:8">
      <c r="A101" s="117" t="s">
        <v>23</v>
      </c>
      <c r="B101" s="123" t="s">
        <v>674</v>
      </c>
      <c r="C101" s="7" t="s">
        <v>15</v>
      </c>
      <c r="D101" s="7">
        <v>10</v>
      </c>
      <c r="E101" s="68">
        <v>300</v>
      </c>
      <c r="F101" s="69">
        <v>600</v>
      </c>
      <c r="G101" s="68">
        <v>975</v>
      </c>
      <c r="H101" s="9">
        <f>E101*D101</f>
        <v>3000</v>
      </c>
    </row>
    <row r="102" spans="1:8" ht="28.8">
      <c r="A102" s="117" t="s">
        <v>24</v>
      </c>
      <c r="B102" s="123" t="s">
        <v>672</v>
      </c>
      <c r="C102" s="7" t="s">
        <v>13</v>
      </c>
      <c r="D102" s="7">
        <v>10</v>
      </c>
      <c r="E102" s="68">
        <v>49.9</v>
      </c>
      <c r="F102" s="69">
        <v>60</v>
      </c>
      <c r="G102" s="68">
        <v>65</v>
      </c>
      <c r="H102" s="9">
        <f>E102*D102*2</f>
        <v>998</v>
      </c>
    </row>
    <row r="103" spans="1:8">
      <c r="A103" s="117" t="s">
        <v>25</v>
      </c>
      <c r="B103" s="123" t="s">
        <v>673</v>
      </c>
      <c r="C103" s="7" t="s">
        <v>15</v>
      </c>
      <c r="D103" s="7">
        <v>20</v>
      </c>
      <c r="E103" s="68">
        <v>114</v>
      </c>
      <c r="F103" s="69">
        <v>180</v>
      </c>
      <c r="G103" s="68">
        <v>265</v>
      </c>
      <c r="H103" s="15">
        <f>E103*D103*4</f>
        <v>9120</v>
      </c>
    </row>
    <row r="104" spans="1:8" ht="28.8">
      <c r="A104" s="117" t="s">
        <v>27</v>
      </c>
      <c r="B104" s="123" t="s">
        <v>523</v>
      </c>
      <c r="C104" s="7" t="s">
        <v>108</v>
      </c>
      <c r="D104" s="7">
        <f>88*4*10*4</f>
        <v>14080</v>
      </c>
      <c r="E104" s="68">
        <v>6.47</v>
      </c>
      <c r="F104" s="69">
        <v>6.48</v>
      </c>
      <c r="G104" s="68">
        <v>6.49</v>
      </c>
      <c r="H104" s="15">
        <f>E104*D104</f>
        <v>91097.599999999991</v>
      </c>
    </row>
    <row r="105" spans="1:8" ht="28.8">
      <c r="A105" s="117" t="s">
        <v>28</v>
      </c>
      <c r="B105" s="123" t="s">
        <v>500</v>
      </c>
      <c r="C105" s="7" t="s">
        <v>18</v>
      </c>
      <c r="D105" s="7">
        <v>4</v>
      </c>
      <c r="E105" s="68">
        <v>99.86</v>
      </c>
      <c r="F105" s="69">
        <v>109.49</v>
      </c>
      <c r="G105" s="73">
        <v>211.19</v>
      </c>
      <c r="H105" s="15">
        <f t="shared" ref="H105:H160" si="6">E105*D105</f>
        <v>399.44</v>
      </c>
    </row>
    <row r="106" spans="1:8" ht="28.8">
      <c r="A106" s="117" t="s">
        <v>29</v>
      </c>
      <c r="B106" s="132" t="s">
        <v>681</v>
      </c>
      <c r="C106" s="32" t="s">
        <v>18</v>
      </c>
      <c r="D106" s="32">
        <f>3*20</f>
        <v>60</v>
      </c>
      <c r="E106" s="68">
        <v>60</v>
      </c>
      <c r="F106" s="68">
        <v>65</v>
      </c>
      <c r="G106" s="69">
        <v>70</v>
      </c>
      <c r="H106" s="15">
        <f t="shared" si="6"/>
        <v>3600</v>
      </c>
    </row>
    <row r="107" spans="1:8" ht="43.2">
      <c r="A107" s="117" t="s">
        <v>30</v>
      </c>
      <c r="B107" s="133" t="s">
        <v>682</v>
      </c>
      <c r="C107" s="32" t="s">
        <v>18</v>
      </c>
      <c r="D107" s="32">
        <f>3*20</f>
        <v>60</v>
      </c>
      <c r="E107" s="68">
        <v>25</v>
      </c>
      <c r="F107" s="68">
        <v>40</v>
      </c>
      <c r="G107" s="69">
        <v>43</v>
      </c>
      <c r="H107" s="15">
        <f t="shared" si="6"/>
        <v>1500</v>
      </c>
    </row>
    <row r="108" spans="1:8" ht="28.8">
      <c r="A108" s="117" t="s">
        <v>32</v>
      </c>
      <c r="B108" s="142" t="s">
        <v>690</v>
      </c>
      <c r="C108" s="32" t="s">
        <v>18</v>
      </c>
      <c r="D108" s="32">
        <f>1*4</f>
        <v>4</v>
      </c>
      <c r="E108" s="68">
        <v>122</v>
      </c>
      <c r="F108" s="74">
        <v>170.91</v>
      </c>
      <c r="G108" s="68">
        <v>296.93</v>
      </c>
      <c r="H108" s="15">
        <f t="shared" si="6"/>
        <v>488</v>
      </c>
    </row>
    <row r="109" spans="1:8" ht="28.8">
      <c r="A109" s="117" t="s">
        <v>33</v>
      </c>
      <c r="B109" s="134" t="s">
        <v>689</v>
      </c>
      <c r="C109" s="32" t="s">
        <v>18</v>
      </c>
      <c r="D109" s="32">
        <f>1*16</f>
        <v>16</v>
      </c>
      <c r="E109" s="68">
        <v>77.34</v>
      </c>
      <c r="F109" s="74">
        <v>103.8</v>
      </c>
      <c r="G109" s="70">
        <v>117.95</v>
      </c>
      <c r="H109" s="15">
        <f t="shared" si="6"/>
        <v>1237.44</v>
      </c>
    </row>
    <row r="110" spans="1:8" ht="28.8">
      <c r="A110" s="117" t="s">
        <v>34</v>
      </c>
      <c r="B110" s="135" t="s">
        <v>691</v>
      </c>
      <c r="C110" s="32" t="s">
        <v>18</v>
      </c>
      <c r="D110" s="32">
        <f>4*1</f>
        <v>4</v>
      </c>
      <c r="E110" s="68">
        <v>21.8</v>
      </c>
      <c r="F110" s="74">
        <v>36</v>
      </c>
      <c r="G110" s="68">
        <v>46.9</v>
      </c>
      <c r="H110" s="15">
        <f t="shared" si="6"/>
        <v>87.2</v>
      </c>
    </row>
    <row r="111" spans="1:8" ht="28.8">
      <c r="A111" s="117" t="s">
        <v>37</v>
      </c>
      <c r="B111" s="135" t="s">
        <v>692</v>
      </c>
      <c r="C111" s="32" t="s">
        <v>18</v>
      </c>
      <c r="D111" s="32">
        <f>16*1</f>
        <v>16</v>
      </c>
      <c r="E111" s="73">
        <v>22.94</v>
      </c>
      <c r="F111" s="232">
        <v>23.46</v>
      </c>
      <c r="G111" s="73">
        <v>30</v>
      </c>
      <c r="H111" s="15">
        <f t="shared" si="6"/>
        <v>367.04</v>
      </c>
    </row>
    <row r="112" spans="1:8" ht="28.8">
      <c r="A112" s="117" t="s">
        <v>39</v>
      </c>
      <c r="B112" s="135" t="s">
        <v>685</v>
      </c>
      <c r="C112" s="32" t="s">
        <v>18</v>
      </c>
      <c r="D112" s="32">
        <f>20*1</f>
        <v>20</v>
      </c>
      <c r="E112" s="73">
        <v>13.93</v>
      </c>
      <c r="F112" s="74">
        <v>15.71</v>
      </c>
      <c r="G112" s="68">
        <v>49.9</v>
      </c>
      <c r="H112" s="15">
        <f t="shared" si="6"/>
        <v>278.60000000000002</v>
      </c>
    </row>
    <row r="113" spans="1:8" ht="28.8">
      <c r="A113" s="117" t="s">
        <v>40</v>
      </c>
      <c r="B113" s="125" t="s">
        <v>529</v>
      </c>
      <c r="C113" s="32" t="s">
        <v>18</v>
      </c>
      <c r="D113" s="32">
        <f>3*20*10</f>
        <v>600</v>
      </c>
      <c r="E113" s="73">
        <v>12.4</v>
      </c>
      <c r="F113" s="232">
        <v>13.5</v>
      </c>
      <c r="G113" s="68">
        <v>20.260000000000002</v>
      </c>
      <c r="H113" s="15">
        <f t="shared" si="6"/>
        <v>7440</v>
      </c>
    </row>
    <row r="114" spans="1:8" ht="28.8">
      <c r="A114" s="117" t="s">
        <v>42</v>
      </c>
      <c r="B114" s="125" t="s">
        <v>530</v>
      </c>
      <c r="C114" s="32" t="s">
        <v>18</v>
      </c>
      <c r="D114" s="32">
        <f>2*20*10</f>
        <v>400</v>
      </c>
      <c r="E114" s="68">
        <v>2.7</v>
      </c>
      <c r="F114" s="68">
        <v>2.75</v>
      </c>
      <c r="G114" s="232">
        <v>2.94</v>
      </c>
      <c r="H114" s="15">
        <f t="shared" si="6"/>
        <v>1080</v>
      </c>
    </row>
    <row r="115" spans="1:8" ht="28.8">
      <c r="A115" s="117" t="s">
        <v>44</v>
      </c>
      <c r="B115" s="125" t="s">
        <v>531</v>
      </c>
      <c r="C115" s="32" t="s">
        <v>18</v>
      </c>
      <c r="D115" s="32">
        <f>1*2*4</f>
        <v>8</v>
      </c>
      <c r="E115" s="68">
        <v>38.700000000000003</v>
      </c>
      <c r="F115" s="69">
        <v>65.64</v>
      </c>
      <c r="G115" s="73">
        <v>176</v>
      </c>
      <c r="H115" s="15">
        <f t="shared" si="6"/>
        <v>309.60000000000002</v>
      </c>
    </row>
    <row r="116" spans="1:8">
      <c r="A116" s="117" t="s">
        <v>46</v>
      </c>
      <c r="B116" s="134" t="s">
        <v>503</v>
      </c>
      <c r="C116" s="32" t="s">
        <v>18</v>
      </c>
      <c r="D116" s="32">
        <f>4*2</f>
        <v>8</v>
      </c>
      <c r="E116" s="68">
        <v>160</v>
      </c>
      <c r="F116" s="232">
        <v>163</v>
      </c>
      <c r="G116" s="73">
        <v>193.63</v>
      </c>
      <c r="H116" s="15">
        <f t="shared" si="6"/>
        <v>1280</v>
      </c>
    </row>
    <row r="117" spans="1:8" ht="28.8">
      <c r="A117" s="117" t="s">
        <v>48</v>
      </c>
      <c r="B117" s="136" t="s">
        <v>474</v>
      </c>
      <c r="C117" s="32" t="s">
        <v>18</v>
      </c>
      <c r="D117" s="32">
        <v>20</v>
      </c>
      <c r="E117" s="70">
        <v>35</v>
      </c>
      <c r="F117" s="74">
        <v>41.4</v>
      </c>
      <c r="G117" s="68">
        <v>168.26</v>
      </c>
      <c r="H117" s="15">
        <f t="shared" si="6"/>
        <v>700</v>
      </c>
    </row>
    <row r="118" spans="1:8" ht="28.8">
      <c r="A118" s="117" t="s">
        <v>49</v>
      </c>
      <c r="B118" s="134" t="s">
        <v>492</v>
      </c>
      <c r="C118" s="32" t="s">
        <v>18</v>
      </c>
      <c r="D118" s="32">
        <v>20</v>
      </c>
      <c r="E118" s="73">
        <v>41.4</v>
      </c>
      <c r="F118" s="69">
        <v>42.23</v>
      </c>
      <c r="G118" s="70">
        <v>50</v>
      </c>
      <c r="H118" s="15">
        <f t="shared" si="6"/>
        <v>828</v>
      </c>
    </row>
    <row r="119" spans="1:8" ht="28.8">
      <c r="A119" s="117" t="s">
        <v>51</v>
      </c>
      <c r="B119" s="125" t="s">
        <v>532</v>
      </c>
      <c r="C119" s="32" t="s">
        <v>18</v>
      </c>
      <c r="D119" s="32">
        <f>8*2*2</f>
        <v>32</v>
      </c>
      <c r="E119" s="68">
        <v>2.77</v>
      </c>
      <c r="F119" s="74">
        <v>3.75</v>
      </c>
      <c r="G119" s="73">
        <v>3.96</v>
      </c>
      <c r="H119" s="15">
        <f t="shared" si="6"/>
        <v>88.64</v>
      </c>
    </row>
    <row r="120" spans="1:8" ht="28.8">
      <c r="A120" s="117" t="s">
        <v>53</v>
      </c>
      <c r="B120" s="125" t="s">
        <v>533</v>
      </c>
      <c r="C120" s="32" t="s">
        <v>18</v>
      </c>
      <c r="D120" s="32">
        <f>4*2</f>
        <v>8</v>
      </c>
      <c r="E120" s="73">
        <v>27.94</v>
      </c>
      <c r="F120" s="232">
        <v>35.5</v>
      </c>
      <c r="G120" s="73">
        <v>36.9</v>
      </c>
      <c r="H120" s="15">
        <f t="shared" si="6"/>
        <v>223.52</v>
      </c>
    </row>
    <row r="121" spans="1:8" ht="28.8">
      <c r="A121" s="117" t="s">
        <v>55</v>
      </c>
      <c r="B121" s="137" t="s">
        <v>534</v>
      </c>
      <c r="C121" s="32" t="s">
        <v>18</v>
      </c>
      <c r="D121" s="32">
        <f>4*2</f>
        <v>8</v>
      </c>
      <c r="E121" s="73">
        <v>28.55</v>
      </c>
      <c r="F121" s="232">
        <v>28.8</v>
      </c>
      <c r="G121" s="73">
        <v>103.4</v>
      </c>
      <c r="H121" s="15">
        <f t="shared" si="6"/>
        <v>228.4</v>
      </c>
    </row>
    <row r="122" spans="1:8" ht="43.2">
      <c r="A122" s="117" t="s">
        <v>56</v>
      </c>
      <c r="B122" s="134" t="s">
        <v>535</v>
      </c>
      <c r="C122" s="32" t="s">
        <v>18</v>
      </c>
      <c r="D122" s="32">
        <f>4*2</f>
        <v>8</v>
      </c>
      <c r="E122" s="232">
        <v>286</v>
      </c>
      <c r="F122" s="69">
        <v>484</v>
      </c>
      <c r="G122" s="68">
        <v>572</v>
      </c>
      <c r="H122" s="15">
        <f t="shared" si="6"/>
        <v>2288</v>
      </c>
    </row>
    <row r="123" spans="1:8" ht="28.8">
      <c r="A123" s="117" t="s">
        <v>57</v>
      </c>
      <c r="B123" s="137" t="s">
        <v>507</v>
      </c>
      <c r="C123" s="32" t="s">
        <v>18</v>
      </c>
      <c r="D123" s="32">
        <f>2*4</f>
        <v>8</v>
      </c>
      <c r="E123" s="70">
        <v>133.01</v>
      </c>
      <c r="F123" s="69">
        <v>157.19999999999999</v>
      </c>
      <c r="G123" s="70">
        <v>175.33</v>
      </c>
      <c r="H123" s="15">
        <f t="shared" si="6"/>
        <v>1064.08</v>
      </c>
    </row>
    <row r="124" spans="1:8" ht="28.8">
      <c r="A124" s="117" t="s">
        <v>58</v>
      </c>
      <c r="B124" s="134" t="s">
        <v>536</v>
      </c>
      <c r="C124" s="32" t="s">
        <v>18</v>
      </c>
      <c r="D124" s="32">
        <v>4</v>
      </c>
      <c r="E124" s="70">
        <v>73.900000000000006</v>
      </c>
      <c r="F124" s="69">
        <v>76.5</v>
      </c>
      <c r="G124" s="73">
        <v>78.849999999999994</v>
      </c>
      <c r="H124" s="15">
        <f t="shared" si="6"/>
        <v>295.60000000000002</v>
      </c>
    </row>
    <row r="125" spans="1:8" ht="28.8">
      <c r="A125" s="117" t="s">
        <v>59</v>
      </c>
      <c r="B125" s="137" t="s">
        <v>493</v>
      </c>
      <c r="C125" s="32" t="s">
        <v>18</v>
      </c>
      <c r="D125" s="32">
        <v>4</v>
      </c>
      <c r="E125" s="73">
        <v>26.5</v>
      </c>
      <c r="F125" s="69">
        <v>61.9</v>
      </c>
      <c r="G125" s="68">
        <v>83.6</v>
      </c>
      <c r="H125" s="15">
        <f t="shared" si="6"/>
        <v>106</v>
      </c>
    </row>
    <row r="126" spans="1:8" ht="28.8">
      <c r="A126" s="117" t="s">
        <v>60</v>
      </c>
      <c r="B126" s="145" t="s">
        <v>494</v>
      </c>
      <c r="C126" s="32" t="s">
        <v>18</v>
      </c>
      <c r="D126" s="32">
        <f>4*2</f>
        <v>8</v>
      </c>
      <c r="E126" s="70">
        <v>27.9</v>
      </c>
      <c r="F126" s="232">
        <v>30</v>
      </c>
      <c r="G126" s="70">
        <v>32.229999999999997</v>
      </c>
      <c r="H126" s="15">
        <f t="shared" si="6"/>
        <v>223.2</v>
      </c>
    </row>
    <row r="127" spans="1:8">
      <c r="A127" s="117" t="s">
        <v>62</v>
      </c>
      <c r="B127" s="146" t="s">
        <v>495</v>
      </c>
      <c r="C127" s="32" t="s">
        <v>18</v>
      </c>
      <c r="D127" s="32">
        <f>2*4</f>
        <v>8</v>
      </c>
      <c r="E127" s="68">
        <v>157.44</v>
      </c>
      <c r="F127" s="69">
        <v>184.26</v>
      </c>
      <c r="G127" s="68">
        <v>208.95</v>
      </c>
      <c r="H127" s="15">
        <f t="shared" si="6"/>
        <v>1259.52</v>
      </c>
    </row>
    <row r="128" spans="1:8">
      <c r="A128" s="117" t="s">
        <v>64</v>
      </c>
      <c r="B128" s="125" t="s">
        <v>496</v>
      </c>
      <c r="C128" s="32" t="s">
        <v>18</v>
      </c>
      <c r="D128" s="32">
        <f>4*4</f>
        <v>16</v>
      </c>
      <c r="E128" s="68">
        <v>33.729999999999997</v>
      </c>
      <c r="F128" s="69">
        <v>43.66</v>
      </c>
      <c r="G128" s="68">
        <v>72</v>
      </c>
      <c r="H128" s="15">
        <f t="shared" si="6"/>
        <v>539.67999999999995</v>
      </c>
    </row>
    <row r="129" spans="1:8" ht="28.8">
      <c r="A129" s="117" t="s">
        <v>66</v>
      </c>
      <c r="B129" s="143" t="s">
        <v>541</v>
      </c>
      <c r="C129" s="57" t="s">
        <v>18</v>
      </c>
      <c r="D129" s="57">
        <v>4</v>
      </c>
      <c r="E129" s="256">
        <v>3200.55</v>
      </c>
      <c r="F129" s="69">
        <v>3309</v>
      </c>
      <c r="G129" s="68">
        <v>3369</v>
      </c>
      <c r="H129" s="15">
        <f t="shared" si="6"/>
        <v>12802.2</v>
      </c>
    </row>
    <row r="130" spans="1:8" ht="28.8">
      <c r="A130" s="117" t="s">
        <v>69</v>
      </c>
      <c r="B130" s="143" t="s">
        <v>509</v>
      </c>
      <c r="C130" s="57" t="s">
        <v>108</v>
      </c>
      <c r="D130" s="57">
        <f>10*4*8*4</f>
        <v>1280</v>
      </c>
      <c r="E130" s="256">
        <v>6.08</v>
      </c>
      <c r="F130" s="69">
        <v>6.09</v>
      </c>
      <c r="G130" s="68">
        <v>6.35</v>
      </c>
      <c r="H130" s="15">
        <f t="shared" si="6"/>
        <v>7782.4</v>
      </c>
    </row>
    <row r="131" spans="1:8" ht="28.8">
      <c r="A131" s="117" t="s">
        <v>71</v>
      </c>
      <c r="B131" s="143" t="s">
        <v>510</v>
      </c>
      <c r="C131" s="57" t="s">
        <v>108</v>
      </c>
      <c r="D131" s="57">
        <f>20*2</f>
        <v>40</v>
      </c>
      <c r="E131" s="256">
        <v>43.98</v>
      </c>
      <c r="F131" s="69">
        <v>47.42</v>
      </c>
      <c r="G131" s="68">
        <v>47.9</v>
      </c>
      <c r="H131" s="15">
        <f t="shared" si="6"/>
        <v>1759.1999999999998</v>
      </c>
    </row>
    <row r="132" spans="1:8" ht="28.8">
      <c r="A132" s="117" t="s">
        <v>73</v>
      </c>
      <c r="B132" s="143" t="s">
        <v>511</v>
      </c>
      <c r="C132" s="57" t="s">
        <v>109</v>
      </c>
      <c r="D132" s="370">
        <f>10*4</f>
        <v>40</v>
      </c>
      <c r="E132" s="256">
        <v>26.24</v>
      </c>
      <c r="F132" s="69">
        <v>28.33</v>
      </c>
      <c r="G132" s="68">
        <v>31.98</v>
      </c>
      <c r="H132" s="15">
        <f t="shared" si="6"/>
        <v>1049.5999999999999</v>
      </c>
    </row>
    <row r="133" spans="1:8" ht="28.8">
      <c r="A133" s="117" t="s">
        <v>75</v>
      </c>
      <c r="B133" s="143" t="s">
        <v>537</v>
      </c>
      <c r="C133" s="57" t="s">
        <v>675</v>
      </c>
      <c r="D133" s="57">
        <f>10*2</f>
        <v>20</v>
      </c>
      <c r="E133" s="256">
        <v>94.2</v>
      </c>
      <c r="F133" s="69">
        <v>108.06</v>
      </c>
      <c r="G133" s="68">
        <v>114.93</v>
      </c>
      <c r="H133" s="15">
        <f t="shared" si="6"/>
        <v>1884</v>
      </c>
    </row>
    <row r="134" spans="1:8" ht="28.8">
      <c r="A134" s="117" t="s">
        <v>77</v>
      </c>
      <c r="B134" s="143" t="s">
        <v>512</v>
      </c>
      <c r="C134" s="57" t="s">
        <v>18</v>
      </c>
      <c r="D134" s="57">
        <f>2*4</f>
        <v>8</v>
      </c>
      <c r="E134" s="68">
        <v>37.47</v>
      </c>
      <c r="F134" s="232">
        <v>43.66</v>
      </c>
      <c r="G134" s="73">
        <v>48</v>
      </c>
      <c r="H134" s="15">
        <f t="shared" si="6"/>
        <v>299.76</v>
      </c>
    </row>
    <row r="135" spans="1:8" ht="28.8">
      <c r="A135" s="117" t="s">
        <v>78</v>
      </c>
      <c r="B135" s="143" t="s">
        <v>538</v>
      </c>
      <c r="C135" s="57" t="s">
        <v>18</v>
      </c>
      <c r="D135" s="57">
        <f>3*8*4</f>
        <v>96</v>
      </c>
      <c r="E135" s="68">
        <v>23.1</v>
      </c>
      <c r="F135" s="232">
        <v>25.52</v>
      </c>
      <c r="G135" s="73">
        <v>29.6</v>
      </c>
      <c r="H135" s="15">
        <f t="shared" si="6"/>
        <v>2217.6000000000004</v>
      </c>
    </row>
    <row r="136" spans="1:8">
      <c r="A136" s="117" t="s">
        <v>79</v>
      </c>
      <c r="B136" s="143" t="s">
        <v>540</v>
      </c>
      <c r="C136" s="57" t="s">
        <v>18</v>
      </c>
      <c r="D136" s="57">
        <f>3*4</f>
        <v>12</v>
      </c>
      <c r="E136" s="256">
        <v>54.78</v>
      </c>
      <c r="F136" s="232">
        <v>74.83</v>
      </c>
      <c r="G136" s="73">
        <v>82.7</v>
      </c>
      <c r="H136" s="15">
        <f t="shared" si="6"/>
        <v>657.36</v>
      </c>
    </row>
    <row r="137" spans="1:8">
      <c r="A137" s="117" t="s">
        <v>116</v>
      </c>
      <c r="B137" s="143" t="s">
        <v>539</v>
      </c>
      <c r="C137" s="57" t="s">
        <v>18</v>
      </c>
      <c r="D137" s="57">
        <f>3*4</f>
        <v>12</v>
      </c>
      <c r="E137" s="68">
        <v>27.82</v>
      </c>
      <c r="F137" s="69">
        <v>32.369999999999997</v>
      </c>
      <c r="G137" s="68">
        <v>33.74</v>
      </c>
      <c r="H137" s="15">
        <f t="shared" si="6"/>
        <v>333.84000000000003</v>
      </c>
    </row>
    <row r="138" spans="1:8" ht="28.8">
      <c r="A138" s="117" t="s">
        <v>118</v>
      </c>
      <c r="B138" s="143" t="s">
        <v>117</v>
      </c>
      <c r="C138" s="57" t="s">
        <v>18</v>
      </c>
      <c r="D138" s="57">
        <f>2*4</f>
        <v>8</v>
      </c>
      <c r="E138" s="68">
        <v>3647.05</v>
      </c>
      <c r="F138" s="69">
        <v>4061.93</v>
      </c>
      <c r="G138" s="68">
        <v>4274.5</v>
      </c>
      <c r="H138" s="15">
        <f t="shared" si="6"/>
        <v>29176.400000000001</v>
      </c>
    </row>
    <row r="139" spans="1:8" ht="28.8">
      <c r="A139" s="117" t="s">
        <v>119</v>
      </c>
      <c r="B139" s="143" t="s">
        <v>542</v>
      </c>
      <c r="C139" s="57" t="s">
        <v>18</v>
      </c>
      <c r="D139" s="370">
        <f>4*4</f>
        <v>16</v>
      </c>
      <c r="E139" s="68">
        <v>1123.6400000000001</v>
      </c>
      <c r="F139" s="69">
        <v>1285.6300000000001</v>
      </c>
      <c r="G139" s="68">
        <v>1502.31</v>
      </c>
      <c r="H139" s="15">
        <f t="shared" si="6"/>
        <v>17978.240000000002</v>
      </c>
    </row>
    <row r="140" spans="1:8" ht="28.8">
      <c r="A140" s="117" t="s">
        <v>120</v>
      </c>
      <c r="B140" s="143" t="s">
        <v>543</v>
      </c>
      <c r="C140" s="57" t="s">
        <v>18</v>
      </c>
      <c r="D140" s="370">
        <f>16*10</f>
        <v>160</v>
      </c>
      <c r="E140" s="256">
        <v>456.51</v>
      </c>
      <c r="F140" s="69">
        <v>465</v>
      </c>
      <c r="G140" s="68">
        <v>480.54</v>
      </c>
      <c r="H140" s="15">
        <f t="shared" si="6"/>
        <v>73041.600000000006</v>
      </c>
    </row>
    <row r="141" spans="1:8" ht="28.8">
      <c r="A141" s="117" t="s">
        <v>121</v>
      </c>
      <c r="B141" s="143" t="s">
        <v>544</v>
      </c>
      <c r="C141" s="55" t="s">
        <v>18</v>
      </c>
      <c r="D141" s="370">
        <v>4</v>
      </c>
      <c r="E141" s="68">
        <v>822.41</v>
      </c>
      <c r="F141" s="69">
        <v>835.91</v>
      </c>
      <c r="G141" s="68">
        <v>852.9</v>
      </c>
      <c r="H141" s="15">
        <f t="shared" si="6"/>
        <v>3289.64</v>
      </c>
    </row>
    <row r="142" spans="1:8" ht="28.8">
      <c r="A142" s="117" t="s">
        <v>122</v>
      </c>
      <c r="B142" s="138" t="s">
        <v>513</v>
      </c>
      <c r="C142" s="55" t="s">
        <v>68</v>
      </c>
      <c r="D142" s="55">
        <f>5*4</f>
        <v>20</v>
      </c>
      <c r="E142" s="73">
        <v>204</v>
      </c>
      <c r="F142" s="232">
        <v>255</v>
      </c>
      <c r="G142" s="73">
        <v>280</v>
      </c>
      <c r="H142" s="15">
        <f t="shared" si="6"/>
        <v>4080</v>
      </c>
    </row>
    <row r="143" spans="1:8" ht="28.8">
      <c r="A143" s="117" t="s">
        <v>123</v>
      </c>
      <c r="B143" s="138" t="s">
        <v>623</v>
      </c>
      <c r="C143" s="55" t="s">
        <v>18</v>
      </c>
      <c r="D143" s="55">
        <f>4*4</f>
        <v>16</v>
      </c>
      <c r="E143" s="68">
        <v>49</v>
      </c>
      <c r="F143" s="69">
        <v>64</v>
      </c>
      <c r="G143" s="68">
        <v>80</v>
      </c>
      <c r="H143" s="15">
        <f t="shared" si="6"/>
        <v>784</v>
      </c>
    </row>
    <row r="144" spans="1:8" ht="28.8">
      <c r="A144" s="117" t="s">
        <v>124</v>
      </c>
      <c r="B144" s="147" t="s">
        <v>546</v>
      </c>
      <c r="C144" s="55" t="s">
        <v>18</v>
      </c>
      <c r="D144" s="55">
        <v>16</v>
      </c>
      <c r="E144" s="70">
        <v>46.6</v>
      </c>
      <c r="F144" s="69">
        <v>62</v>
      </c>
      <c r="G144" s="68">
        <v>95.25</v>
      </c>
      <c r="H144" s="15">
        <f t="shared" si="6"/>
        <v>745.6</v>
      </c>
    </row>
    <row r="145" spans="1:8" ht="28.8">
      <c r="A145" s="117" t="s">
        <v>125</v>
      </c>
      <c r="B145" s="147" t="s">
        <v>547</v>
      </c>
      <c r="C145" s="55" t="s">
        <v>18</v>
      </c>
      <c r="D145" s="55">
        <f>8*4</f>
        <v>32</v>
      </c>
      <c r="E145" s="68">
        <v>103.2</v>
      </c>
      <c r="F145" s="74">
        <v>129</v>
      </c>
      <c r="G145" s="68">
        <v>167.81</v>
      </c>
      <c r="H145" s="15">
        <f t="shared" si="6"/>
        <v>3302.4</v>
      </c>
    </row>
    <row r="146" spans="1:8" ht="28.8">
      <c r="A146" s="117" t="s">
        <v>126</v>
      </c>
      <c r="B146" s="147" t="s">
        <v>548</v>
      </c>
      <c r="C146" s="55" t="s">
        <v>18</v>
      </c>
      <c r="D146" s="55">
        <f>2*4</f>
        <v>8</v>
      </c>
      <c r="E146" s="68">
        <v>37.6</v>
      </c>
      <c r="F146" s="69">
        <v>54</v>
      </c>
      <c r="G146" s="68">
        <v>59.6</v>
      </c>
      <c r="H146" s="15">
        <f t="shared" si="6"/>
        <v>300.8</v>
      </c>
    </row>
    <row r="147" spans="1:8" ht="28.8">
      <c r="A147" s="117" t="s">
        <v>127</v>
      </c>
      <c r="B147" s="147" t="s">
        <v>549</v>
      </c>
      <c r="C147" s="55" t="s">
        <v>18</v>
      </c>
      <c r="D147" s="55">
        <v>16</v>
      </c>
      <c r="E147" s="68">
        <v>29.6</v>
      </c>
      <c r="F147" s="74">
        <v>53.7</v>
      </c>
      <c r="G147" s="68">
        <v>61.28</v>
      </c>
      <c r="H147" s="15">
        <f t="shared" si="6"/>
        <v>473.6</v>
      </c>
    </row>
    <row r="148" spans="1:8" ht="28.8">
      <c r="A148" s="117" t="s">
        <v>128</v>
      </c>
      <c r="B148" s="147" t="s">
        <v>550</v>
      </c>
      <c r="C148" s="55" t="s">
        <v>18</v>
      </c>
      <c r="D148" s="55">
        <v>16</v>
      </c>
      <c r="E148" s="68">
        <v>36</v>
      </c>
      <c r="F148" s="69">
        <v>50.6</v>
      </c>
      <c r="G148" s="68">
        <v>54.6</v>
      </c>
      <c r="H148" s="15">
        <f t="shared" si="6"/>
        <v>576</v>
      </c>
    </row>
    <row r="149" spans="1:8" ht="28.8">
      <c r="A149" s="117" t="s">
        <v>129</v>
      </c>
      <c r="B149" s="147" t="s">
        <v>551</v>
      </c>
      <c r="C149" s="55" t="s">
        <v>18</v>
      </c>
      <c r="D149" s="55">
        <v>4</v>
      </c>
      <c r="E149" s="68">
        <v>45.39</v>
      </c>
      <c r="F149" s="232">
        <v>49.8</v>
      </c>
      <c r="G149" s="73">
        <v>84.64</v>
      </c>
      <c r="H149" s="15">
        <f t="shared" si="6"/>
        <v>181.56</v>
      </c>
    </row>
    <row r="150" spans="1:8" ht="28.8">
      <c r="A150" s="117" t="s">
        <v>130</v>
      </c>
      <c r="B150" s="147" t="s">
        <v>552</v>
      </c>
      <c r="C150" s="55" t="s">
        <v>18</v>
      </c>
      <c r="D150" s="55">
        <f>2*4</f>
        <v>8</v>
      </c>
      <c r="E150" s="68">
        <v>140.54</v>
      </c>
      <c r="F150" s="232">
        <v>186.8</v>
      </c>
      <c r="G150" s="73">
        <v>341.8</v>
      </c>
      <c r="H150" s="15">
        <f t="shared" si="6"/>
        <v>1124.32</v>
      </c>
    </row>
    <row r="151" spans="1:8" ht="28.8">
      <c r="A151" s="117" t="s">
        <v>131</v>
      </c>
      <c r="B151" s="147" t="s">
        <v>553</v>
      </c>
      <c r="C151" s="55" t="s">
        <v>18</v>
      </c>
      <c r="D151" s="55">
        <v>4</v>
      </c>
      <c r="E151" s="256">
        <v>5.38</v>
      </c>
      <c r="F151" s="232">
        <v>5.65</v>
      </c>
      <c r="G151" s="73">
        <v>12.6</v>
      </c>
      <c r="H151" s="15">
        <f t="shared" si="6"/>
        <v>21.52</v>
      </c>
    </row>
    <row r="152" spans="1:8" ht="43.2">
      <c r="A152" s="117" t="s">
        <v>132</v>
      </c>
      <c r="B152" s="147" t="s">
        <v>562</v>
      </c>
      <c r="C152" s="55" t="s">
        <v>15</v>
      </c>
      <c r="D152" s="55">
        <v>2</v>
      </c>
      <c r="E152" s="68">
        <v>800</v>
      </c>
      <c r="F152" s="69"/>
      <c r="G152" s="68"/>
      <c r="H152" s="15">
        <f t="shared" si="6"/>
        <v>1600</v>
      </c>
    </row>
    <row r="153" spans="1:8" ht="28.8">
      <c r="A153" s="117" t="s">
        <v>133</v>
      </c>
      <c r="B153" s="144" t="s">
        <v>554</v>
      </c>
      <c r="C153" s="10" t="s">
        <v>18</v>
      </c>
      <c r="D153" s="7">
        <v>20</v>
      </c>
      <c r="E153" s="68">
        <v>120</v>
      </c>
      <c r="F153" s="69">
        <v>150</v>
      </c>
      <c r="G153" s="68">
        <v>156</v>
      </c>
      <c r="H153" s="15">
        <f t="shared" si="6"/>
        <v>2400</v>
      </c>
    </row>
    <row r="154" spans="1:8" ht="28.8">
      <c r="A154" s="117" t="s">
        <v>134</v>
      </c>
      <c r="B154" s="148" t="s">
        <v>555</v>
      </c>
      <c r="C154" s="10" t="s">
        <v>18</v>
      </c>
      <c r="D154" s="7">
        <v>20</v>
      </c>
      <c r="E154" s="68">
        <v>118</v>
      </c>
      <c r="F154" s="69">
        <v>147.5</v>
      </c>
      <c r="G154" s="68">
        <v>171.1</v>
      </c>
      <c r="H154" s="15">
        <f t="shared" si="6"/>
        <v>2360</v>
      </c>
    </row>
    <row r="155" spans="1:8">
      <c r="A155" s="117" t="s">
        <v>135</v>
      </c>
      <c r="B155" s="149" t="s">
        <v>556</v>
      </c>
      <c r="C155" s="10" t="s">
        <v>18</v>
      </c>
      <c r="D155" s="7">
        <v>4</v>
      </c>
      <c r="E155" s="68">
        <v>300</v>
      </c>
      <c r="F155" s="69">
        <v>375</v>
      </c>
      <c r="G155" s="68">
        <v>435</v>
      </c>
      <c r="H155" s="15">
        <f t="shared" si="6"/>
        <v>1200</v>
      </c>
    </row>
    <row r="156" spans="1:8" ht="28.8">
      <c r="A156" s="117" t="s">
        <v>136</v>
      </c>
      <c r="B156" s="144" t="s">
        <v>557</v>
      </c>
      <c r="C156" s="10" t="s">
        <v>18</v>
      </c>
      <c r="D156" s="7">
        <v>4</v>
      </c>
      <c r="E156" s="68">
        <v>1000</v>
      </c>
      <c r="F156" s="69">
        <v>1250</v>
      </c>
      <c r="G156" s="68">
        <v>1300</v>
      </c>
      <c r="H156" s="15">
        <f t="shared" si="6"/>
        <v>4000</v>
      </c>
    </row>
    <row r="157" spans="1:8" ht="28.8">
      <c r="A157" s="117" t="s">
        <v>137</v>
      </c>
      <c r="B157" s="123" t="s">
        <v>558</v>
      </c>
      <c r="C157" s="7" t="s">
        <v>18</v>
      </c>
      <c r="D157" s="7">
        <f>340*40</f>
        <v>13600</v>
      </c>
      <c r="E157" s="68">
        <v>28</v>
      </c>
      <c r="F157" s="69">
        <v>44</v>
      </c>
      <c r="G157" s="68">
        <v>44</v>
      </c>
      <c r="H157" s="15">
        <f t="shared" si="6"/>
        <v>380800</v>
      </c>
    </row>
    <row r="158" spans="1:8" ht="28.8">
      <c r="A158" s="117" t="s">
        <v>732</v>
      </c>
      <c r="B158" s="123" t="s">
        <v>559</v>
      </c>
      <c r="C158" s="7" t="s">
        <v>103</v>
      </c>
      <c r="D158" s="370">
        <f>18*40</f>
        <v>720</v>
      </c>
      <c r="E158" s="68">
        <v>400</v>
      </c>
      <c r="F158" s="69">
        <v>553.34</v>
      </c>
      <c r="G158" s="68">
        <v>553.34</v>
      </c>
      <c r="H158" s="15">
        <f t="shared" si="6"/>
        <v>288000</v>
      </c>
    </row>
    <row r="159" spans="1:8" ht="28.8">
      <c r="A159" s="117" t="s">
        <v>733</v>
      </c>
      <c r="B159" s="123" t="s">
        <v>560</v>
      </c>
      <c r="C159" s="7" t="s">
        <v>138</v>
      </c>
      <c r="D159" s="370">
        <f>17*40</f>
        <v>680</v>
      </c>
      <c r="E159" s="68">
        <v>20</v>
      </c>
      <c r="F159" s="69">
        <v>42.9</v>
      </c>
      <c r="G159" s="68">
        <v>42.92</v>
      </c>
      <c r="H159" s="15">
        <f t="shared" si="6"/>
        <v>13600</v>
      </c>
    </row>
    <row r="160" spans="1:8" ht="28.8">
      <c r="A160" s="117" t="s">
        <v>734</v>
      </c>
      <c r="B160" s="123" t="s">
        <v>561</v>
      </c>
      <c r="C160" s="7" t="s">
        <v>18</v>
      </c>
      <c r="D160" s="7">
        <f>20*40</f>
        <v>800</v>
      </c>
      <c r="E160" s="68">
        <v>251.5</v>
      </c>
      <c r="F160" s="69">
        <v>251.5</v>
      </c>
      <c r="G160" s="68">
        <v>326.95</v>
      </c>
      <c r="H160" s="15">
        <f t="shared" si="6"/>
        <v>201200</v>
      </c>
    </row>
    <row r="161" spans="1:8">
      <c r="A161" s="355" t="s">
        <v>139</v>
      </c>
      <c r="B161" s="356"/>
      <c r="C161" s="307"/>
      <c r="D161" s="307"/>
      <c r="E161" s="307"/>
      <c r="F161" s="307"/>
      <c r="G161" s="307"/>
      <c r="H161" s="380">
        <f>SUM(H94:H160)</f>
        <v>2055458.0519999999</v>
      </c>
    </row>
    <row r="162" spans="1:8" ht="28.8">
      <c r="A162" s="115" t="s">
        <v>80</v>
      </c>
      <c r="B162" s="116" t="s">
        <v>395</v>
      </c>
      <c r="C162" s="85" t="s">
        <v>7</v>
      </c>
      <c r="D162" s="85" t="s">
        <v>8</v>
      </c>
      <c r="E162" s="86" t="s">
        <v>410</v>
      </c>
      <c r="F162" s="86" t="s">
        <v>408</v>
      </c>
      <c r="G162" s="86" t="s">
        <v>409</v>
      </c>
      <c r="H162" s="99" t="s">
        <v>9</v>
      </c>
    </row>
    <row r="163" spans="1:8" ht="43.2">
      <c r="A163" s="117" t="s">
        <v>81</v>
      </c>
      <c r="B163" s="118" t="s">
        <v>712</v>
      </c>
      <c r="C163" s="11" t="s">
        <v>13</v>
      </c>
      <c r="D163" s="11">
        <v>16</v>
      </c>
      <c r="E163" s="68">
        <f>(3643*97%)+3643</f>
        <v>7176.71</v>
      </c>
      <c r="F163" s="69">
        <f>(5000*97%)+5000</f>
        <v>9850</v>
      </c>
      <c r="G163" s="68">
        <f>(5801*97%)+5801</f>
        <v>11427.970000000001</v>
      </c>
      <c r="H163" s="64">
        <f>E163*D163*2</f>
        <v>229654.72</v>
      </c>
    </row>
    <row r="164" spans="1:8" ht="28.8">
      <c r="A164" s="117" t="s">
        <v>83</v>
      </c>
      <c r="B164" s="118" t="s">
        <v>416</v>
      </c>
      <c r="C164" s="11" t="s">
        <v>13</v>
      </c>
      <c r="D164" s="11">
        <v>15</v>
      </c>
      <c r="E164" s="251">
        <f>(2825.54*97%)+2825.54</f>
        <v>5566.3137999999999</v>
      </c>
      <c r="F164" s="249">
        <f>(2942.99*97%)+2942.99</f>
        <v>5797.6902999999993</v>
      </c>
      <c r="G164" s="250">
        <f>(3397*97%)+3397</f>
        <v>6692.09</v>
      </c>
      <c r="H164" s="64">
        <f>E164*D164*2</f>
        <v>166989.41399999999</v>
      </c>
    </row>
    <row r="165" spans="1:8" ht="28.8">
      <c r="A165" s="117" t="s">
        <v>84</v>
      </c>
      <c r="B165" s="118" t="s">
        <v>438</v>
      </c>
      <c r="C165" s="11" t="s">
        <v>13</v>
      </c>
      <c r="D165" s="11">
        <v>15</v>
      </c>
      <c r="E165" s="343">
        <f>(1992.99+97%)+1992.99</f>
        <v>3986.95</v>
      </c>
      <c r="F165" s="258">
        <f>(2143*97%)+2143</f>
        <v>4221.71</v>
      </c>
      <c r="G165" s="72">
        <f>(3071-97%)+3071</f>
        <v>6141.0300000000007</v>
      </c>
      <c r="H165" s="9">
        <f>E165*D165*4</f>
        <v>239217</v>
      </c>
    </row>
    <row r="166" spans="1:8" ht="28.8">
      <c r="A166" s="117" t="s">
        <v>85</v>
      </c>
      <c r="B166" s="118" t="s">
        <v>455</v>
      </c>
      <c r="C166" s="11" t="s">
        <v>13</v>
      </c>
      <c r="D166" s="11">
        <v>15</v>
      </c>
      <c r="E166" s="68">
        <f>(1412*97%)+1412</f>
        <v>2781.64</v>
      </c>
      <c r="F166" s="69">
        <f>(1454*97%)+1454</f>
        <v>2864.38</v>
      </c>
      <c r="G166" s="68">
        <f>(1700*97%)+1700</f>
        <v>3349</v>
      </c>
      <c r="H166" s="64">
        <f>E166*D166*48</f>
        <v>2002780.7999999998</v>
      </c>
    </row>
    <row r="167" spans="1:8" ht="28.8">
      <c r="A167" s="117" t="s">
        <v>86</v>
      </c>
      <c r="B167" s="150" t="s">
        <v>563</v>
      </c>
      <c r="C167" s="16" t="s">
        <v>15</v>
      </c>
      <c r="D167" s="16">
        <f>1*20*16*2</f>
        <v>640</v>
      </c>
      <c r="E167" s="229">
        <v>250</v>
      </c>
      <c r="F167" s="69">
        <v>450</v>
      </c>
      <c r="G167" s="68">
        <v>581</v>
      </c>
      <c r="H167" s="66">
        <f>E167*D167</f>
        <v>160000</v>
      </c>
    </row>
    <row r="168" spans="1:8" ht="28.8">
      <c r="A168" s="117" t="s">
        <v>87</v>
      </c>
      <c r="B168" s="150" t="s">
        <v>515</v>
      </c>
      <c r="C168" s="16" t="s">
        <v>15</v>
      </c>
      <c r="D168" s="16">
        <f>20*54*15</f>
        <v>16200</v>
      </c>
      <c r="E168" s="311">
        <v>32</v>
      </c>
      <c r="F168" s="312">
        <v>32</v>
      </c>
      <c r="G168" s="311">
        <v>35</v>
      </c>
      <c r="H168" s="66">
        <f t="shared" ref="H168:H232" si="7">E168*D168</f>
        <v>518400</v>
      </c>
    </row>
    <row r="169" spans="1:8" ht="28.8">
      <c r="A169" s="117" t="s">
        <v>88</v>
      </c>
      <c r="B169" s="150" t="s">
        <v>574</v>
      </c>
      <c r="C169" s="16" t="s">
        <v>15</v>
      </c>
      <c r="D169" s="16">
        <f>20*54*15</f>
        <v>16200</v>
      </c>
      <c r="E169" s="68">
        <v>8</v>
      </c>
      <c r="F169" s="69">
        <v>8.6</v>
      </c>
      <c r="G169" s="68">
        <v>9</v>
      </c>
      <c r="H169" s="66">
        <f t="shared" si="7"/>
        <v>129600</v>
      </c>
    </row>
    <row r="170" spans="1:8" ht="57.6">
      <c r="A170" s="117" t="s">
        <v>89</v>
      </c>
      <c r="B170" s="120" t="s">
        <v>564</v>
      </c>
      <c r="C170" s="19" t="s">
        <v>18</v>
      </c>
      <c r="D170" s="19">
        <v>2</v>
      </c>
      <c r="E170" s="68">
        <v>4149</v>
      </c>
      <c r="F170" s="69">
        <v>5299</v>
      </c>
      <c r="G170" s="70">
        <v>5919</v>
      </c>
      <c r="H170" s="66">
        <f t="shared" si="7"/>
        <v>8298</v>
      </c>
    </row>
    <row r="171" spans="1:8" ht="28.8">
      <c r="A171" s="117" t="s">
        <v>91</v>
      </c>
      <c r="B171" s="121" t="s">
        <v>565</v>
      </c>
      <c r="C171" s="19" t="s">
        <v>18</v>
      </c>
      <c r="D171" s="19">
        <v>4</v>
      </c>
      <c r="E171" s="68">
        <v>1849</v>
      </c>
      <c r="F171" s="69">
        <v>2199</v>
      </c>
      <c r="G171" s="68">
        <v>2919</v>
      </c>
      <c r="H171" s="66">
        <f t="shared" si="7"/>
        <v>7396</v>
      </c>
    </row>
    <row r="172" spans="1:8" ht="66" customHeight="1">
      <c r="A172" s="117" t="s">
        <v>92</v>
      </c>
      <c r="B172" s="120" t="s">
        <v>566</v>
      </c>
      <c r="C172" s="19" t="s">
        <v>18</v>
      </c>
      <c r="D172" s="19">
        <v>4</v>
      </c>
      <c r="E172" s="20">
        <v>2891</v>
      </c>
      <c r="F172" s="27">
        <v>2919</v>
      </c>
      <c r="G172" s="25">
        <v>3199</v>
      </c>
      <c r="H172" s="66">
        <f t="shared" si="7"/>
        <v>11564</v>
      </c>
    </row>
    <row r="173" spans="1:8" ht="28.8">
      <c r="A173" s="117" t="s">
        <v>93</v>
      </c>
      <c r="B173" s="120" t="s">
        <v>567</v>
      </c>
      <c r="C173" s="19" t="s">
        <v>18</v>
      </c>
      <c r="D173" s="19">
        <v>4</v>
      </c>
      <c r="E173" s="70">
        <v>169.9</v>
      </c>
      <c r="F173" s="69">
        <v>189</v>
      </c>
      <c r="G173" s="68">
        <v>197.59</v>
      </c>
      <c r="H173" s="66">
        <f t="shared" si="7"/>
        <v>679.6</v>
      </c>
    </row>
    <row r="174" spans="1:8" ht="57.6">
      <c r="A174" s="117" t="s">
        <v>94</v>
      </c>
      <c r="B174" s="122" t="s">
        <v>693</v>
      </c>
      <c r="C174" s="19" t="s">
        <v>18</v>
      </c>
      <c r="D174" s="19">
        <v>8</v>
      </c>
      <c r="E174" s="73">
        <v>1386</v>
      </c>
      <c r="F174" s="69">
        <v>1549</v>
      </c>
      <c r="G174" s="68">
        <v>1649.9</v>
      </c>
      <c r="H174" s="66">
        <f t="shared" si="7"/>
        <v>11088</v>
      </c>
    </row>
    <row r="175" spans="1:8" ht="28.8">
      <c r="A175" s="117" t="s">
        <v>95</v>
      </c>
      <c r="B175" s="122" t="s">
        <v>462</v>
      </c>
      <c r="C175" s="19" t="s">
        <v>13</v>
      </c>
      <c r="D175" s="19">
        <v>15</v>
      </c>
      <c r="E175" s="68">
        <v>124.99</v>
      </c>
      <c r="F175" s="69">
        <v>142</v>
      </c>
      <c r="G175" s="103">
        <v>159.99</v>
      </c>
      <c r="H175" s="66">
        <f t="shared" si="7"/>
        <v>1874.85</v>
      </c>
    </row>
    <row r="176" spans="1:8" ht="43.2">
      <c r="A176" s="117" t="s">
        <v>97</v>
      </c>
      <c r="B176" s="122" t="s">
        <v>575</v>
      </c>
      <c r="C176" s="19" t="s">
        <v>18</v>
      </c>
      <c r="D176" s="19">
        <v>24</v>
      </c>
      <c r="E176" s="68">
        <v>125.75</v>
      </c>
      <c r="F176" s="69">
        <v>150.72999999999999</v>
      </c>
      <c r="G176" s="103">
        <v>179.39</v>
      </c>
      <c r="H176" s="66">
        <f t="shared" si="7"/>
        <v>3018</v>
      </c>
    </row>
    <row r="177" spans="1:8" ht="28.8">
      <c r="A177" s="117" t="s">
        <v>98</v>
      </c>
      <c r="B177" s="151" t="s">
        <v>694</v>
      </c>
      <c r="C177" s="7" t="s">
        <v>13</v>
      </c>
      <c r="D177" s="7">
        <v>15</v>
      </c>
      <c r="E177" s="68">
        <v>7950</v>
      </c>
      <c r="F177" s="68">
        <v>8763.6</v>
      </c>
      <c r="G177" s="102">
        <v>9350</v>
      </c>
      <c r="H177" s="66">
        <f>E177*D177*2</f>
        <v>238500</v>
      </c>
    </row>
    <row r="178" spans="1:8" ht="28.8">
      <c r="A178" s="117" t="s">
        <v>99</v>
      </c>
      <c r="B178" s="151" t="s">
        <v>695</v>
      </c>
      <c r="C178" s="7" t="s">
        <v>13</v>
      </c>
      <c r="D178" s="7">
        <v>16</v>
      </c>
      <c r="E178" s="68">
        <v>2850</v>
      </c>
      <c r="F178" s="69">
        <v>3768</v>
      </c>
      <c r="G178" s="69">
        <v>5367.02</v>
      </c>
      <c r="H178" s="66">
        <f>E178*D178</f>
        <v>45600</v>
      </c>
    </row>
    <row r="179" spans="1:8" ht="28.8">
      <c r="A179" s="117" t="s">
        <v>140</v>
      </c>
      <c r="B179" s="151" t="s">
        <v>578</v>
      </c>
      <c r="C179" s="7" t="s">
        <v>15</v>
      </c>
      <c r="D179" s="7">
        <v>4</v>
      </c>
      <c r="E179" s="70">
        <v>300</v>
      </c>
      <c r="F179" s="74">
        <v>600</v>
      </c>
      <c r="G179" s="70">
        <v>975</v>
      </c>
      <c r="H179" s="66">
        <f t="shared" si="7"/>
        <v>1200</v>
      </c>
    </row>
    <row r="180" spans="1:8" ht="28.8">
      <c r="A180" s="117" t="s">
        <v>141</v>
      </c>
      <c r="B180" s="151" t="s">
        <v>579</v>
      </c>
      <c r="C180" s="7" t="s">
        <v>15</v>
      </c>
      <c r="D180" s="7">
        <v>4</v>
      </c>
      <c r="E180" s="68">
        <v>144.9</v>
      </c>
      <c r="F180" s="69">
        <v>0</v>
      </c>
      <c r="G180" s="68">
        <v>265</v>
      </c>
      <c r="H180" s="66">
        <f t="shared" si="7"/>
        <v>579.6</v>
      </c>
    </row>
    <row r="181" spans="1:8" ht="28.8">
      <c r="A181" s="117" t="s">
        <v>142</v>
      </c>
      <c r="B181" s="151" t="s">
        <v>464</v>
      </c>
      <c r="C181" s="7" t="s">
        <v>13</v>
      </c>
      <c r="D181" s="7">
        <v>15</v>
      </c>
      <c r="E181" s="68">
        <v>49.9</v>
      </c>
      <c r="F181" s="74">
        <v>60</v>
      </c>
      <c r="G181" s="68">
        <v>65.900000000000006</v>
      </c>
      <c r="H181" s="66">
        <f>E181*D181*4</f>
        <v>2994</v>
      </c>
    </row>
    <row r="182" spans="1:8" ht="28.8">
      <c r="A182" s="206" t="s">
        <v>142</v>
      </c>
      <c r="B182" s="151" t="s">
        <v>464</v>
      </c>
      <c r="C182" s="67" t="s">
        <v>13</v>
      </c>
      <c r="D182" s="67">
        <v>15</v>
      </c>
      <c r="E182" s="68">
        <v>49.9</v>
      </c>
      <c r="F182" s="74">
        <v>60</v>
      </c>
      <c r="G182" s="68">
        <v>65.900000000000006</v>
      </c>
      <c r="H182" s="69">
        <f>E182*D182*2</f>
        <v>1497</v>
      </c>
    </row>
    <row r="183" spans="1:8" ht="28.8">
      <c r="A183" s="117" t="s">
        <v>143</v>
      </c>
      <c r="B183" s="151" t="s">
        <v>580</v>
      </c>
      <c r="C183" s="7" t="s">
        <v>108</v>
      </c>
      <c r="D183" s="7">
        <f>55*4*16*2</f>
        <v>7040</v>
      </c>
      <c r="E183" s="68">
        <v>6.08</v>
      </c>
      <c r="F183" s="74">
        <v>6.09</v>
      </c>
      <c r="G183" s="103">
        <v>6.35</v>
      </c>
      <c r="H183" s="66">
        <f t="shared" si="7"/>
        <v>42803.199999999997</v>
      </c>
    </row>
    <row r="184" spans="1:8" ht="43.2">
      <c r="A184" s="117" t="s">
        <v>144</v>
      </c>
      <c r="B184" s="151" t="s">
        <v>696</v>
      </c>
      <c r="C184" s="7" t="s">
        <v>108</v>
      </c>
      <c r="D184" s="7">
        <f>(88*4*15)*2</f>
        <v>10560</v>
      </c>
      <c r="E184" s="68">
        <v>6.47</v>
      </c>
      <c r="F184" s="69">
        <v>6.48</v>
      </c>
      <c r="G184" s="68">
        <v>6.49</v>
      </c>
      <c r="H184" s="66">
        <f t="shared" si="7"/>
        <v>68323.199999999997</v>
      </c>
    </row>
    <row r="185" spans="1:8" ht="28.8">
      <c r="A185" s="117" t="s">
        <v>145</v>
      </c>
      <c r="B185" s="151" t="s">
        <v>468</v>
      </c>
      <c r="C185" s="7" t="s">
        <v>18</v>
      </c>
      <c r="D185" s="7">
        <v>8</v>
      </c>
      <c r="E185" s="68">
        <v>99.86</v>
      </c>
      <c r="F185" s="69">
        <v>109.49</v>
      </c>
      <c r="G185" s="73">
        <v>211.19</v>
      </c>
      <c r="H185" s="66">
        <f t="shared" si="7"/>
        <v>798.88</v>
      </c>
    </row>
    <row r="186" spans="1:8">
      <c r="A186" s="117" t="s">
        <v>146</v>
      </c>
      <c r="B186" s="151" t="s">
        <v>398</v>
      </c>
      <c r="C186" s="7" t="s">
        <v>13</v>
      </c>
      <c r="D186" s="370">
        <v>15</v>
      </c>
      <c r="E186" s="68">
        <v>14000</v>
      </c>
      <c r="F186" s="69"/>
      <c r="G186" s="73"/>
      <c r="H186" s="66">
        <f>E186*D186*4</f>
        <v>840000</v>
      </c>
    </row>
    <row r="187" spans="1:8" ht="28.8">
      <c r="A187" s="117" t="s">
        <v>148</v>
      </c>
      <c r="B187" s="152" t="s">
        <v>469</v>
      </c>
      <c r="C187" s="32" t="s">
        <v>18</v>
      </c>
      <c r="D187" s="370">
        <f>56*6</f>
        <v>336</v>
      </c>
      <c r="E187" s="68">
        <v>60</v>
      </c>
      <c r="F187" s="68">
        <v>65</v>
      </c>
      <c r="G187" s="102">
        <v>70</v>
      </c>
      <c r="H187" s="69">
        <f t="shared" si="7"/>
        <v>20160</v>
      </c>
    </row>
    <row r="188" spans="1:8" ht="43.2">
      <c r="A188" s="117" t="s">
        <v>149</v>
      </c>
      <c r="B188" s="152" t="s">
        <v>519</v>
      </c>
      <c r="C188" s="71" t="s">
        <v>18</v>
      </c>
      <c r="D188" s="371">
        <v>3</v>
      </c>
      <c r="E188" s="68">
        <v>75</v>
      </c>
      <c r="F188" s="68">
        <v>90</v>
      </c>
      <c r="G188" s="69">
        <v>98</v>
      </c>
      <c r="H188" s="69">
        <f t="shared" si="7"/>
        <v>225</v>
      </c>
    </row>
    <row r="189" spans="1:8" ht="43.2">
      <c r="A189" s="117" t="s">
        <v>150</v>
      </c>
      <c r="B189" s="153" t="s">
        <v>501</v>
      </c>
      <c r="C189" s="32" t="s">
        <v>18</v>
      </c>
      <c r="D189" s="370">
        <f>54*6</f>
        <v>324</v>
      </c>
      <c r="E189" s="68">
        <v>25</v>
      </c>
      <c r="F189" s="68">
        <v>40</v>
      </c>
      <c r="G189" s="69">
        <v>43</v>
      </c>
      <c r="H189" s="69">
        <f t="shared" si="7"/>
        <v>8100</v>
      </c>
    </row>
    <row r="190" spans="1:8" ht="28.8">
      <c r="A190" s="117" t="s">
        <v>151</v>
      </c>
      <c r="B190" s="154" t="s">
        <v>471</v>
      </c>
      <c r="C190" s="32" t="s">
        <v>18</v>
      </c>
      <c r="D190" s="32">
        <f>54*2</f>
        <v>108</v>
      </c>
      <c r="E190" s="68">
        <v>122</v>
      </c>
      <c r="F190" s="74">
        <v>170.91</v>
      </c>
      <c r="G190" s="68">
        <v>296.93</v>
      </c>
      <c r="H190" s="69">
        <f t="shared" si="7"/>
        <v>13176</v>
      </c>
    </row>
    <row r="191" spans="1:8" ht="43.2">
      <c r="A191" s="117" t="s">
        <v>152</v>
      </c>
      <c r="B191" s="155" t="s">
        <v>697</v>
      </c>
      <c r="C191" s="32" t="s">
        <v>18</v>
      </c>
      <c r="D191" s="32">
        <f>3*4</f>
        <v>12</v>
      </c>
      <c r="E191" s="68">
        <v>77.34</v>
      </c>
      <c r="F191" s="74">
        <v>103.8</v>
      </c>
      <c r="G191" s="70">
        <v>117.95</v>
      </c>
      <c r="H191" s="69">
        <f t="shared" si="7"/>
        <v>928.08</v>
      </c>
    </row>
    <row r="192" spans="1:8" ht="28.8">
      <c r="A192" s="117" t="s">
        <v>153</v>
      </c>
      <c r="B192" s="155" t="s">
        <v>584</v>
      </c>
      <c r="C192" s="32" t="s">
        <v>18</v>
      </c>
      <c r="D192" s="32">
        <f>52*3</f>
        <v>156</v>
      </c>
      <c r="E192" s="68">
        <v>21.8</v>
      </c>
      <c r="F192" s="74">
        <v>36</v>
      </c>
      <c r="G192" s="68">
        <v>46.9</v>
      </c>
      <c r="H192" s="69">
        <f t="shared" si="7"/>
        <v>3400.8</v>
      </c>
    </row>
    <row r="193" spans="1:8" ht="43.2">
      <c r="A193" s="206" t="s">
        <v>151</v>
      </c>
      <c r="B193" s="254" t="s">
        <v>697</v>
      </c>
      <c r="C193" s="67" t="s">
        <v>18</v>
      </c>
      <c r="D193" s="213">
        <f>2*2*2</f>
        <v>8</v>
      </c>
      <c r="E193" s="73">
        <v>22.94</v>
      </c>
      <c r="F193" s="232">
        <v>23.46</v>
      </c>
      <c r="G193" s="73">
        <v>30</v>
      </c>
      <c r="H193" s="69">
        <f t="shared" si="7"/>
        <v>183.52</v>
      </c>
    </row>
    <row r="194" spans="1:8" ht="28.8">
      <c r="A194" s="117" t="s">
        <v>154</v>
      </c>
      <c r="B194" s="155" t="s">
        <v>528</v>
      </c>
      <c r="C194" s="32" t="s">
        <v>18</v>
      </c>
      <c r="D194" s="32">
        <f>54*3</f>
        <v>162</v>
      </c>
      <c r="E194" s="73">
        <v>13.93</v>
      </c>
      <c r="F194" s="232">
        <v>15.71</v>
      </c>
      <c r="G194" s="73">
        <v>22.5</v>
      </c>
      <c r="H194" s="69">
        <f t="shared" si="7"/>
        <v>2256.66</v>
      </c>
    </row>
    <row r="195" spans="1:8" ht="28.8">
      <c r="A195" s="117" t="s">
        <v>155</v>
      </c>
      <c r="B195" s="156" t="s">
        <v>529</v>
      </c>
      <c r="C195" s="32" t="s">
        <v>18</v>
      </c>
      <c r="D195" s="32">
        <f>54*3*15</f>
        <v>2430</v>
      </c>
      <c r="E195" s="73">
        <v>12.4</v>
      </c>
      <c r="F195" s="232">
        <v>13.5</v>
      </c>
      <c r="G195" s="73">
        <v>20.260000000000002</v>
      </c>
      <c r="H195" s="69">
        <f t="shared" si="7"/>
        <v>30132</v>
      </c>
    </row>
    <row r="196" spans="1:8" ht="28.8">
      <c r="A196" s="117" t="s">
        <v>156</v>
      </c>
      <c r="B196" s="156" t="s">
        <v>502</v>
      </c>
      <c r="C196" s="32" t="s">
        <v>18</v>
      </c>
      <c r="D196" s="32">
        <f>54*2*15</f>
        <v>1620</v>
      </c>
      <c r="E196" s="68">
        <v>2.7</v>
      </c>
      <c r="F196" s="232">
        <v>2.75</v>
      </c>
      <c r="G196" s="73">
        <v>2.94</v>
      </c>
      <c r="H196" s="69">
        <f t="shared" si="7"/>
        <v>4374</v>
      </c>
    </row>
    <row r="197" spans="1:8" ht="28.8">
      <c r="A197" s="117" t="s">
        <v>157</v>
      </c>
      <c r="B197" s="156" t="s">
        <v>698</v>
      </c>
      <c r="C197" s="71" t="s">
        <v>18</v>
      </c>
      <c r="D197" s="71">
        <f>8*15</f>
        <v>120</v>
      </c>
      <c r="E197" s="73">
        <v>49.99</v>
      </c>
      <c r="F197" s="232">
        <v>59.99</v>
      </c>
      <c r="G197" s="73">
        <v>96.97</v>
      </c>
      <c r="H197" s="69">
        <f t="shared" si="7"/>
        <v>5998.8</v>
      </c>
    </row>
    <row r="198" spans="1:8">
      <c r="A198" s="117" t="s">
        <v>158</v>
      </c>
      <c r="B198" s="157" t="s">
        <v>586</v>
      </c>
      <c r="C198" s="32" t="s">
        <v>18</v>
      </c>
      <c r="D198" s="370">
        <f>3*15*4</f>
        <v>180</v>
      </c>
      <c r="E198" s="73">
        <v>160</v>
      </c>
      <c r="F198" s="232">
        <v>163</v>
      </c>
      <c r="G198" s="73">
        <v>193.63</v>
      </c>
      <c r="H198" s="69">
        <f t="shared" si="7"/>
        <v>28800</v>
      </c>
    </row>
    <row r="199" spans="1:8" ht="28.8">
      <c r="A199" s="117" t="s">
        <v>159</v>
      </c>
      <c r="B199" s="158" t="s">
        <v>474</v>
      </c>
      <c r="C199" s="32" t="s">
        <v>18</v>
      </c>
      <c r="D199" s="370">
        <f>56*1</f>
        <v>56</v>
      </c>
      <c r="E199" s="73">
        <v>35</v>
      </c>
      <c r="F199" s="232">
        <v>41.4</v>
      </c>
      <c r="G199" s="73">
        <v>168.26</v>
      </c>
      <c r="H199" s="69">
        <f t="shared" si="7"/>
        <v>1960</v>
      </c>
    </row>
    <row r="200" spans="1:8" ht="28.8">
      <c r="A200" s="117" t="s">
        <v>160</v>
      </c>
      <c r="B200" s="157" t="s">
        <v>475</v>
      </c>
      <c r="C200" s="32" t="s">
        <v>18</v>
      </c>
      <c r="D200" s="370">
        <f>56*1</f>
        <v>56</v>
      </c>
      <c r="E200" s="73">
        <v>41.4</v>
      </c>
      <c r="F200" s="232">
        <v>42.23</v>
      </c>
      <c r="G200" s="73">
        <v>50</v>
      </c>
      <c r="H200" s="69">
        <f t="shared" si="7"/>
        <v>2318.4</v>
      </c>
    </row>
    <row r="201" spans="1:8" ht="28.8">
      <c r="A201" s="117" t="s">
        <v>161</v>
      </c>
      <c r="B201" s="156" t="s">
        <v>504</v>
      </c>
      <c r="C201" s="32" t="s">
        <v>18</v>
      </c>
      <c r="D201" s="370">
        <f>6*2</f>
        <v>12</v>
      </c>
      <c r="E201" s="73">
        <v>27.64</v>
      </c>
      <c r="F201" s="232">
        <v>35.5</v>
      </c>
      <c r="G201" s="73">
        <v>36.9</v>
      </c>
      <c r="H201" s="69">
        <f t="shared" si="7"/>
        <v>331.68</v>
      </c>
    </row>
    <row r="202" spans="1:8" ht="28.8">
      <c r="A202" s="117" t="s">
        <v>162</v>
      </c>
      <c r="B202" s="137" t="s">
        <v>534</v>
      </c>
      <c r="C202" s="32" t="s">
        <v>18</v>
      </c>
      <c r="D202" s="370">
        <v>12</v>
      </c>
      <c r="E202" s="73">
        <v>28.55</v>
      </c>
      <c r="F202" s="232">
        <v>28.8</v>
      </c>
      <c r="G202" s="73">
        <v>103.4</v>
      </c>
      <c r="H202" s="69">
        <f t="shared" si="7"/>
        <v>342.6</v>
      </c>
    </row>
    <row r="203" spans="1:8" ht="28.8">
      <c r="A203" s="117" t="s">
        <v>163</v>
      </c>
      <c r="B203" s="159" t="s">
        <v>587</v>
      </c>
      <c r="C203" s="92" t="s">
        <v>18</v>
      </c>
      <c r="D203" s="371">
        <f>2*56*15</f>
        <v>1680</v>
      </c>
      <c r="E203" s="73">
        <v>1.29</v>
      </c>
      <c r="F203" s="232">
        <v>1.48</v>
      </c>
      <c r="G203" s="73">
        <v>1.75</v>
      </c>
      <c r="H203" s="69">
        <f t="shared" si="7"/>
        <v>2167.2000000000003</v>
      </c>
    </row>
    <row r="204" spans="1:8" ht="15" customHeight="1">
      <c r="A204" s="117" t="s">
        <v>164</v>
      </c>
      <c r="B204" s="134" t="s">
        <v>535</v>
      </c>
      <c r="C204" s="32" t="s">
        <v>18</v>
      </c>
      <c r="D204" s="370">
        <f>12*4</f>
        <v>48</v>
      </c>
      <c r="E204" s="232">
        <v>286</v>
      </c>
      <c r="F204" s="232">
        <v>484</v>
      </c>
      <c r="G204" s="73">
        <v>572</v>
      </c>
      <c r="H204" s="69">
        <f t="shared" si="7"/>
        <v>13728</v>
      </c>
    </row>
    <row r="205" spans="1:8" ht="28.8">
      <c r="A205" s="117" t="s">
        <v>165</v>
      </c>
      <c r="B205" s="158" t="s">
        <v>506</v>
      </c>
      <c r="C205" s="32" t="s">
        <v>18</v>
      </c>
      <c r="D205" s="370">
        <f>12*4</f>
        <v>48</v>
      </c>
      <c r="E205" s="73">
        <v>38.700000000000003</v>
      </c>
      <c r="F205" s="232">
        <v>65.64</v>
      </c>
      <c r="G205" s="73">
        <v>156.94999999999999</v>
      </c>
      <c r="H205" s="69">
        <f t="shared" si="7"/>
        <v>1857.6000000000001</v>
      </c>
    </row>
    <row r="206" spans="1:8" ht="28.8">
      <c r="A206" s="117" t="s">
        <v>166</v>
      </c>
      <c r="B206" s="137" t="s">
        <v>507</v>
      </c>
      <c r="C206" s="32" t="s">
        <v>18</v>
      </c>
      <c r="D206" s="370">
        <v>24</v>
      </c>
      <c r="E206" s="73">
        <v>133.01</v>
      </c>
      <c r="F206" s="232">
        <v>157.19999999999999</v>
      </c>
      <c r="G206" s="73">
        <v>175.33</v>
      </c>
      <c r="H206" s="69">
        <f t="shared" si="7"/>
        <v>3192.24</v>
      </c>
    </row>
    <row r="207" spans="1:8" ht="28.8">
      <c r="A207" s="117" t="s">
        <v>167</v>
      </c>
      <c r="B207" s="159" t="s">
        <v>508</v>
      </c>
      <c r="C207" s="32" t="s">
        <v>18</v>
      </c>
      <c r="D207" s="370">
        <f>2*12</f>
        <v>24</v>
      </c>
      <c r="E207" s="68">
        <v>2.77</v>
      </c>
      <c r="F207" s="74">
        <v>3.75</v>
      </c>
      <c r="G207" s="73">
        <v>3.96</v>
      </c>
      <c r="H207" s="69">
        <f t="shared" si="7"/>
        <v>66.48</v>
      </c>
    </row>
    <row r="208" spans="1:8" ht="28.8">
      <c r="A208" s="117" t="s">
        <v>168</v>
      </c>
      <c r="B208" s="134" t="s">
        <v>536</v>
      </c>
      <c r="C208" s="32" t="s">
        <v>103</v>
      </c>
      <c r="D208" s="370">
        <f>2*4</f>
        <v>8</v>
      </c>
      <c r="E208" s="73">
        <v>73.900000000000006</v>
      </c>
      <c r="F208" s="232">
        <v>76.5</v>
      </c>
      <c r="G208" s="73">
        <v>78.849999999999994</v>
      </c>
      <c r="H208" s="69">
        <f t="shared" si="7"/>
        <v>591.20000000000005</v>
      </c>
    </row>
    <row r="209" spans="1:8" ht="28.8">
      <c r="A209" s="165" t="s">
        <v>169</v>
      </c>
      <c r="B209" s="142" t="s">
        <v>493</v>
      </c>
      <c r="C209" s="91" t="s">
        <v>18</v>
      </c>
      <c r="D209" s="371">
        <v>4</v>
      </c>
      <c r="E209" s="73">
        <v>26.5</v>
      </c>
      <c r="F209" s="232">
        <v>61.9</v>
      </c>
      <c r="G209" s="73">
        <v>83.6</v>
      </c>
      <c r="H209" s="69">
        <f t="shared" si="7"/>
        <v>106</v>
      </c>
    </row>
    <row r="210" spans="1:8" ht="28.8">
      <c r="A210" s="117" t="s">
        <v>170</v>
      </c>
      <c r="B210" s="145" t="s">
        <v>494</v>
      </c>
      <c r="C210" s="71" t="s">
        <v>18</v>
      </c>
      <c r="D210" s="371">
        <f>4*2</f>
        <v>8</v>
      </c>
      <c r="E210" s="70">
        <v>27.9</v>
      </c>
      <c r="F210" s="232">
        <v>30</v>
      </c>
      <c r="G210" s="70">
        <v>32.229999999999997</v>
      </c>
      <c r="H210" s="69">
        <f t="shared" si="7"/>
        <v>223.2</v>
      </c>
    </row>
    <row r="211" spans="1:8">
      <c r="A211" s="117" t="s">
        <v>172</v>
      </c>
      <c r="B211" s="146" t="s">
        <v>495</v>
      </c>
      <c r="C211" s="71" t="s">
        <v>18</v>
      </c>
      <c r="D211" s="371">
        <f>4*2</f>
        <v>8</v>
      </c>
      <c r="E211" s="68">
        <v>157.44</v>
      </c>
      <c r="F211" s="69">
        <v>184.26</v>
      </c>
      <c r="G211" s="68">
        <v>208.95</v>
      </c>
      <c r="H211" s="69">
        <f t="shared" si="7"/>
        <v>1259.52</v>
      </c>
    </row>
    <row r="212" spans="1:8">
      <c r="A212" s="117" t="s">
        <v>171</v>
      </c>
      <c r="B212" s="125" t="s">
        <v>496</v>
      </c>
      <c r="C212" s="71" t="s">
        <v>18</v>
      </c>
      <c r="D212" s="371">
        <f>4*4</f>
        <v>16</v>
      </c>
      <c r="E212" s="68">
        <v>33.729999999999997</v>
      </c>
      <c r="F212" s="69">
        <v>43.66</v>
      </c>
      <c r="G212" s="68">
        <v>72</v>
      </c>
      <c r="H212" s="69">
        <f t="shared" si="7"/>
        <v>539.67999999999995</v>
      </c>
    </row>
    <row r="213" spans="1:8" ht="28.8">
      <c r="A213" s="117" t="s">
        <v>173</v>
      </c>
      <c r="B213" s="160" t="s">
        <v>107</v>
      </c>
      <c r="C213" s="57" t="s">
        <v>18</v>
      </c>
      <c r="D213" s="370">
        <v>12</v>
      </c>
      <c r="E213" s="256">
        <v>3200.55</v>
      </c>
      <c r="F213" s="69">
        <v>3309</v>
      </c>
      <c r="G213" s="103">
        <v>3369</v>
      </c>
      <c r="H213" s="69">
        <f t="shared" si="7"/>
        <v>38406.600000000006</v>
      </c>
    </row>
    <row r="214" spans="1:8" ht="28.8">
      <c r="A214" s="117" t="s">
        <v>174</v>
      </c>
      <c r="B214" s="143" t="s">
        <v>509</v>
      </c>
      <c r="C214" s="57" t="s">
        <v>108</v>
      </c>
      <c r="D214" s="57">
        <f>10*4*15*12</f>
        <v>7200</v>
      </c>
      <c r="E214" s="256">
        <v>6.08</v>
      </c>
      <c r="F214" s="69">
        <v>6.09</v>
      </c>
      <c r="G214" s="68">
        <v>6.35</v>
      </c>
      <c r="H214" s="69">
        <f t="shared" si="7"/>
        <v>43776</v>
      </c>
    </row>
    <row r="215" spans="1:8" ht="28.8">
      <c r="A215" s="117" t="s">
        <v>175</v>
      </c>
      <c r="B215" s="143" t="s">
        <v>510</v>
      </c>
      <c r="C215" s="57" t="s">
        <v>108</v>
      </c>
      <c r="D215" s="57">
        <f>12*20</f>
        <v>240</v>
      </c>
      <c r="E215" s="256">
        <v>43.98</v>
      </c>
      <c r="F215" s="69">
        <v>47.42</v>
      </c>
      <c r="G215" s="68">
        <v>47.9</v>
      </c>
      <c r="H215" s="69">
        <f t="shared" si="7"/>
        <v>10555.199999999999</v>
      </c>
    </row>
    <row r="216" spans="1:8" ht="28.8">
      <c r="A216" s="117" t="s">
        <v>176</v>
      </c>
      <c r="B216" s="143" t="s">
        <v>511</v>
      </c>
      <c r="C216" s="57" t="s">
        <v>109</v>
      </c>
      <c r="D216" s="57">
        <v>120</v>
      </c>
      <c r="E216" s="275">
        <v>26.24</v>
      </c>
      <c r="F216" s="232">
        <v>28.33</v>
      </c>
      <c r="G216" s="73">
        <v>31.98</v>
      </c>
      <c r="H216" s="69">
        <f t="shared" si="7"/>
        <v>3148.7999999999997</v>
      </c>
    </row>
    <row r="217" spans="1:8" ht="28.8">
      <c r="A217" s="117" t="s">
        <v>177</v>
      </c>
      <c r="B217" s="143" t="s">
        <v>537</v>
      </c>
      <c r="C217" s="57" t="s">
        <v>18</v>
      </c>
      <c r="D217" s="57">
        <f>12*3*15</f>
        <v>540</v>
      </c>
      <c r="E217" s="275">
        <v>94.2</v>
      </c>
      <c r="F217" s="232">
        <v>108.06</v>
      </c>
      <c r="G217" s="73">
        <v>114.93</v>
      </c>
      <c r="H217" s="69">
        <f t="shared" si="7"/>
        <v>50868</v>
      </c>
    </row>
    <row r="218" spans="1:8" ht="28.8">
      <c r="A218" s="117" t="s">
        <v>178</v>
      </c>
      <c r="B218" s="143" t="s">
        <v>512</v>
      </c>
      <c r="C218" s="57" t="s">
        <v>18</v>
      </c>
      <c r="D218" s="57">
        <f>12*2</f>
        <v>24</v>
      </c>
      <c r="E218" s="232">
        <v>37.47</v>
      </c>
      <c r="F218" s="73">
        <v>43.66</v>
      </c>
      <c r="G218" s="73">
        <v>48</v>
      </c>
      <c r="H218" s="69">
        <f t="shared" si="7"/>
        <v>899.28</v>
      </c>
    </row>
    <row r="219" spans="1:8" ht="28.8">
      <c r="A219" s="117" t="s">
        <v>179</v>
      </c>
      <c r="B219" s="143" t="s">
        <v>588</v>
      </c>
      <c r="C219" s="57" t="s">
        <v>18</v>
      </c>
      <c r="D219" s="57">
        <f>3*15*12</f>
        <v>540</v>
      </c>
      <c r="E219" s="275">
        <v>23.1</v>
      </c>
      <c r="F219" s="232">
        <v>25.52</v>
      </c>
      <c r="G219" s="104">
        <v>29.6</v>
      </c>
      <c r="H219" s="69">
        <f t="shared" si="7"/>
        <v>12474</v>
      </c>
    </row>
    <row r="220" spans="1:8" ht="28.8">
      <c r="A220" s="117" t="s">
        <v>180</v>
      </c>
      <c r="B220" s="143" t="s">
        <v>589</v>
      </c>
      <c r="C220" s="57" t="s">
        <v>18</v>
      </c>
      <c r="D220" s="57">
        <f>1*12*7.5</f>
        <v>90</v>
      </c>
      <c r="E220" s="275">
        <v>54.78</v>
      </c>
      <c r="F220" s="232">
        <f>35.03+39.8</f>
        <v>74.83</v>
      </c>
      <c r="G220" s="73">
        <v>82.7</v>
      </c>
      <c r="H220" s="69">
        <f t="shared" si="7"/>
        <v>4930.2</v>
      </c>
    </row>
    <row r="221" spans="1:8">
      <c r="A221" s="117" t="s">
        <v>181</v>
      </c>
      <c r="B221" s="143" t="s">
        <v>590</v>
      </c>
      <c r="C221" s="57" t="s">
        <v>18</v>
      </c>
      <c r="D221" s="57">
        <f>1*12*7.5</f>
        <v>90</v>
      </c>
      <c r="E221" s="275">
        <v>27.82</v>
      </c>
      <c r="F221" s="232">
        <v>32.369999999999997</v>
      </c>
      <c r="G221" s="104">
        <v>33.74</v>
      </c>
      <c r="H221" s="69">
        <f t="shared" si="7"/>
        <v>2503.8000000000002</v>
      </c>
    </row>
    <row r="222" spans="1:8" ht="28.8">
      <c r="A222" s="117" t="s">
        <v>182</v>
      </c>
      <c r="B222" s="143" t="s">
        <v>117</v>
      </c>
      <c r="C222" s="57" t="s">
        <v>18</v>
      </c>
      <c r="D222" s="57">
        <f>3*4</f>
        <v>12</v>
      </c>
      <c r="E222" s="256">
        <v>3647.05</v>
      </c>
      <c r="F222" s="69">
        <v>4061.63</v>
      </c>
      <c r="G222" s="103">
        <v>4274.5</v>
      </c>
      <c r="H222" s="69">
        <f t="shared" si="7"/>
        <v>43764.600000000006</v>
      </c>
    </row>
    <row r="223" spans="1:8" ht="28.8">
      <c r="A223" s="117" t="s">
        <v>183</v>
      </c>
      <c r="B223" s="143" t="s">
        <v>542</v>
      </c>
      <c r="C223" s="57" t="s">
        <v>18</v>
      </c>
      <c r="D223" s="57">
        <f>3*4</f>
        <v>12</v>
      </c>
      <c r="E223" s="256">
        <v>1123.6400000000001</v>
      </c>
      <c r="F223" s="69">
        <v>1285.6300000000001</v>
      </c>
      <c r="G223" s="103">
        <v>1502.31</v>
      </c>
      <c r="H223" s="69">
        <f t="shared" si="7"/>
        <v>13483.68</v>
      </c>
    </row>
    <row r="224" spans="1:8" ht="28.8">
      <c r="A224" s="117" t="s">
        <v>184</v>
      </c>
      <c r="B224" s="143" t="s">
        <v>543</v>
      </c>
      <c r="C224" s="57" t="s">
        <v>18</v>
      </c>
      <c r="D224" s="57">
        <f>12*15</f>
        <v>180</v>
      </c>
      <c r="E224" s="256">
        <v>456.51</v>
      </c>
      <c r="F224" s="69">
        <v>465</v>
      </c>
      <c r="G224" s="103">
        <v>480.54</v>
      </c>
      <c r="H224" s="69">
        <f t="shared" si="7"/>
        <v>82171.8</v>
      </c>
    </row>
    <row r="225" spans="1:8" ht="28.8">
      <c r="A225" s="117" t="s">
        <v>185</v>
      </c>
      <c r="B225" s="138" t="s">
        <v>513</v>
      </c>
      <c r="C225" s="55" t="s">
        <v>68</v>
      </c>
      <c r="D225" s="370">
        <f>4*15</f>
        <v>60</v>
      </c>
      <c r="E225" s="73">
        <v>204</v>
      </c>
      <c r="F225" s="232">
        <v>25</v>
      </c>
      <c r="G225" s="73">
        <v>280</v>
      </c>
      <c r="H225" s="69">
        <f t="shared" si="7"/>
        <v>12240</v>
      </c>
    </row>
    <row r="226" spans="1:8" ht="28.8">
      <c r="A226" s="117" t="s">
        <v>186</v>
      </c>
      <c r="B226" s="138" t="s">
        <v>545</v>
      </c>
      <c r="C226" s="55" t="s">
        <v>18</v>
      </c>
      <c r="D226" s="370">
        <f>54*2</f>
        <v>108</v>
      </c>
      <c r="E226" s="68">
        <v>49</v>
      </c>
      <c r="F226" s="69">
        <v>64</v>
      </c>
      <c r="G226" s="103">
        <v>80</v>
      </c>
      <c r="H226" s="69">
        <f t="shared" si="7"/>
        <v>5292</v>
      </c>
    </row>
    <row r="227" spans="1:8" ht="28.8">
      <c r="A227" s="117" t="s">
        <v>187</v>
      </c>
      <c r="B227" s="147" t="s">
        <v>591</v>
      </c>
      <c r="C227" s="55" t="s">
        <v>18</v>
      </c>
      <c r="D227" s="370">
        <f>54*3</f>
        <v>162</v>
      </c>
      <c r="E227" s="68">
        <v>103.2</v>
      </c>
      <c r="F227" s="74">
        <v>129</v>
      </c>
      <c r="G227" s="68">
        <v>167.81</v>
      </c>
      <c r="H227" s="69">
        <f t="shared" si="7"/>
        <v>16718.400000000001</v>
      </c>
    </row>
    <row r="228" spans="1:8" ht="28.8">
      <c r="A228" s="117" t="s">
        <v>188</v>
      </c>
      <c r="B228" s="147" t="s">
        <v>592</v>
      </c>
      <c r="C228" s="55" t="s">
        <v>18</v>
      </c>
      <c r="D228" s="370">
        <f>4*4</f>
        <v>16</v>
      </c>
      <c r="E228" s="68">
        <v>37.6</v>
      </c>
      <c r="F228" s="69">
        <v>54</v>
      </c>
      <c r="G228" s="103">
        <v>59.6</v>
      </c>
      <c r="H228" s="69">
        <f t="shared" si="7"/>
        <v>601.6</v>
      </c>
    </row>
    <row r="229" spans="1:8" ht="28.8">
      <c r="A229" s="117" t="s">
        <v>189</v>
      </c>
      <c r="B229" s="147" t="s">
        <v>594</v>
      </c>
      <c r="C229" s="55" t="s">
        <v>18</v>
      </c>
      <c r="D229" s="55">
        <f>4*4</f>
        <v>16</v>
      </c>
      <c r="E229" s="68">
        <v>29.6</v>
      </c>
      <c r="F229" s="74">
        <v>53.7</v>
      </c>
      <c r="G229" s="68">
        <v>61.28</v>
      </c>
      <c r="H229" s="69">
        <f t="shared" si="7"/>
        <v>473.6</v>
      </c>
    </row>
    <row r="230" spans="1:8" ht="28.8">
      <c r="A230" s="117" t="s">
        <v>190</v>
      </c>
      <c r="B230" s="147" t="s">
        <v>593</v>
      </c>
      <c r="C230" s="55" t="s">
        <v>18</v>
      </c>
      <c r="D230" s="55">
        <f>4*4</f>
        <v>16</v>
      </c>
      <c r="E230" s="68">
        <v>36</v>
      </c>
      <c r="F230" s="69">
        <v>50.6</v>
      </c>
      <c r="G230" s="103">
        <v>54.6</v>
      </c>
      <c r="H230" s="69">
        <f t="shared" si="7"/>
        <v>576</v>
      </c>
    </row>
    <row r="231" spans="1:8" ht="28.8">
      <c r="A231" s="117" t="s">
        <v>191</v>
      </c>
      <c r="B231" s="147" t="s">
        <v>595</v>
      </c>
      <c r="C231" s="55" t="s">
        <v>18</v>
      </c>
      <c r="D231" s="55">
        <f>4*4</f>
        <v>16</v>
      </c>
      <c r="E231" s="68">
        <v>45.39</v>
      </c>
      <c r="F231" s="232">
        <v>49.8</v>
      </c>
      <c r="G231" s="73">
        <v>84.64</v>
      </c>
      <c r="H231" s="69">
        <f t="shared" si="7"/>
        <v>726.24</v>
      </c>
    </row>
    <row r="232" spans="1:8" ht="28.8">
      <c r="A232" s="117" t="s">
        <v>192</v>
      </c>
      <c r="B232" s="147" t="s">
        <v>552</v>
      </c>
      <c r="C232" s="55" t="s">
        <v>18</v>
      </c>
      <c r="D232" s="55">
        <f>1*27</f>
        <v>27</v>
      </c>
      <c r="E232" s="68">
        <v>140.54</v>
      </c>
      <c r="F232" s="232">
        <v>186.8</v>
      </c>
      <c r="G232" s="73">
        <v>341.8</v>
      </c>
      <c r="H232" s="69">
        <f t="shared" si="7"/>
        <v>3794.58</v>
      </c>
    </row>
    <row r="233" spans="1:8" ht="28.8">
      <c r="A233" s="117" t="s">
        <v>193</v>
      </c>
      <c r="B233" s="147" t="s">
        <v>596</v>
      </c>
      <c r="C233" s="55" t="s">
        <v>18</v>
      </c>
      <c r="D233" s="55">
        <v>10</v>
      </c>
      <c r="E233" s="256">
        <v>5.38</v>
      </c>
      <c r="F233" s="232">
        <v>5.65</v>
      </c>
      <c r="G233" s="73">
        <v>12.6</v>
      </c>
      <c r="H233" s="69">
        <f t="shared" ref="H233:H251" si="8">E233*D233</f>
        <v>53.8</v>
      </c>
    </row>
    <row r="234" spans="1:8" ht="28.8">
      <c r="A234" s="117" t="s">
        <v>194</v>
      </c>
      <c r="B234" s="144" t="s">
        <v>554</v>
      </c>
      <c r="C234" s="10" t="s">
        <v>18</v>
      </c>
      <c r="D234" s="7">
        <v>56</v>
      </c>
      <c r="E234" s="68">
        <v>120</v>
      </c>
      <c r="F234" s="232">
        <v>150</v>
      </c>
      <c r="G234" s="73">
        <v>156</v>
      </c>
      <c r="H234" s="69">
        <f t="shared" si="8"/>
        <v>6720</v>
      </c>
    </row>
    <row r="235" spans="1:8" ht="28.8">
      <c r="A235" s="117" t="s">
        <v>195</v>
      </c>
      <c r="B235" s="148" t="s">
        <v>555</v>
      </c>
      <c r="C235" s="10" t="s">
        <v>18</v>
      </c>
      <c r="D235" s="7">
        <v>56</v>
      </c>
      <c r="E235" s="68">
        <v>118</v>
      </c>
      <c r="F235" s="69">
        <v>147.5</v>
      </c>
      <c r="G235" s="68">
        <v>171.1</v>
      </c>
      <c r="H235" s="69">
        <f t="shared" si="8"/>
        <v>6608</v>
      </c>
    </row>
    <row r="236" spans="1:8">
      <c r="A236" s="117" t="s">
        <v>196</v>
      </c>
      <c r="B236" s="149" t="s">
        <v>597</v>
      </c>
      <c r="C236" s="10" t="s">
        <v>18</v>
      </c>
      <c r="D236" s="7">
        <v>8</v>
      </c>
      <c r="E236" s="68">
        <v>300</v>
      </c>
      <c r="F236" s="69">
        <v>375</v>
      </c>
      <c r="G236" s="68">
        <v>435</v>
      </c>
      <c r="H236" s="69">
        <f t="shared" si="8"/>
        <v>2400</v>
      </c>
    </row>
    <row r="237" spans="1:8" ht="28.8">
      <c r="A237" s="117" t="s">
        <v>197</v>
      </c>
      <c r="B237" s="144" t="s">
        <v>557</v>
      </c>
      <c r="C237" s="10" t="s">
        <v>18</v>
      </c>
      <c r="D237" s="7">
        <v>8</v>
      </c>
      <c r="E237" s="68">
        <v>1000</v>
      </c>
      <c r="F237" s="69">
        <v>1250</v>
      </c>
      <c r="G237" s="68">
        <v>1300</v>
      </c>
      <c r="H237" s="69">
        <f t="shared" si="8"/>
        <v>8000</v>
      </c>
    </row>
    <row r="238" spans="1:8" ht="28.8">
      <c r="A238" s="117" t="s">
        <v>198</v>
      </c>
      <c r="B238" s="161" t="s">
        <v>598</v>
      </c>
      <c r="C238" s="10" t="s">
        <v>18</v>
      </c>
      <c r="D238" s="7">
        <v>8</v>
      </c>
      <c r="E238" s="68">
        <v>116</v>
      </c>
      <c r="F238" s="69">
        <v>145</v>
      </c>
      <c r="G238" s="103">
        <v>150.80000000000001</v>
      </c>
      <c r="H238" s="69">
        <f t="shared" si="8"/>
        <v>928</v>
      </c>
    </row>
    <row r="239" spans="1:8" ht="28.8">
      <c r="A239" s="117" t="s">
        <v>199</v>
      </c>
      <c r="B239" s="161" t="s">
        <v>599</v>
      </c>
      <c r="C239" s="10" t="s">
        <v>18</v>
      </c>
      <c r="D239" s="7">
        <v>8</v>
      </c>
      <c r="E239" s="68">
        <v>300</v>
      </c>
      <c r="F239" s="69">
        <v>375</v>
      </c>
      <c r="G239" s="103">
        <v>390</v>
      </c>
      <c r="H239" s="69">
        <f t="shared" si="8"/>
        <v>2400</v>
      </c>
    </row>
    <row r="240" spans="1:8" ht="28.8">
      <c r="A240" s="117" t="s">
        <v>200</v>
      </c>
      <c r="B240" s="161" t="s">
        <v>600</v>
      </c>
      <c r="C240" s="10" t="s">
        <v>18</v>
      </c>
      <c r="D240" s="7">
        <v>8</v>
      </c>
      <c r="E240" s="68">
        <v>519.79999999999995</v>
      </c>
      <c r="F240" s="69">
        <v>519</v>
      </c>
      <c r="G240" s="103">
        <v>675.74</v>
      </c>
      <c r="H240" s="69">
        <f t="shared" si="8"/>
        <v>4158.3999999999996</v>
      </c>
    </row>
    <row r="241" spans="1:8">
      <c r="A241" s="117" t="s">
        <v>201</v>
      </c>
      <c r="B241" s="161" t="s">
        <v>601</v>
      </c>
      <c r="C241" s="10" t="s">
        <v>18</v>
      </c>
      <c r="D241" s="7">
        <v>54</v>
      </c>
      <c r="E241" s="68">
        <v>29.46</v>
      </c>
      <c r="F241" s="69">
        <v>36.83</v>
      </c>
      <c r="G241" s="103">
        <v>38.299999999999997</v>
      </c>
      <c r="H241" s="69">
        <f t="shared" si="8"/>
        <v>1590.8400000000001</v>
      </c>
    </row>
    <row r="242" spans="1:8" ht="28.8">
      <c r="A242" s="117" t="s">
        <v>202</v>
      </c>
      <c r="B242" s="151" t="s">
        <v>514</v>
      </c>
      <c r="C242" s="7" t="s">
        <v>18</v>
      </c>
      <c r="D242" s="7">
        <v>54</v>
      </c>
      <c r="E242" s="68">
        <v>15.18</v>
      </c>
      <c r="F242" s="69">
        <v>18.899999999999999</v>
      </c>
      <c r="G242" s="103">
        <v>19.73</v>
      </c>
      <c r="H242" s="69">
        <f t="shared" si="8"/>
        <v>819.72</v>
      </c>
    </row>
    <row r="243" spans="1:8" ht="28.8">
      <c r="A243" s="117" t="s">
        <v>203</v>
      </c>
      <c r="B243" s="151" t="s">
        <v>582</v>
      </c>
      <c r="C243" s="7" t="s">
        <v>15</v>
      </c>
      <c r="D243" s="7">
        <f>3*2</f>
        <v>6</v>
      </c>
      <c r="E243" s="68">
        <v>800</v>
      </c>
      <c r="F243" s="69"/>
      <c r="G243" s="68"/>
      <c r="H243" s="69">
        <f t="shared" si="8"/>
        <v>4800</v>
      </c>
    </row>
    <row r="244" spans="1:8">
      <c r="A244" s="117" t="s">
        <v>204</v>
      </c>
      <c r="B244" s="123" t="s">
        <v>605</v>
      </c>
      <c r="C244" s="7" t="s">
        <v>417</v>
      </c>
      <c r="D244" s="7">
        <v>33</v>
      </c>
      <c r="E244" s="68">
        <v>780</v>
      </c>
      <c r="F244" s="69">
        <v>975</v>
      </c>
      <c r="G244" s="68">
        <v>1170</v>
      </c>
      <c r="H244" s="69">
        <f t="shared" si="8"/>
        <v>25740</v>
      </c>
    </row>
    <row r="245" spans="1:8">
      <c r="A245" s="117" t="s">
        <v>205</v>
      </c>
      <c r="B245" s="123" t="s">
        <v>603</v>
      </c>
      <c r="C245" s="7" t="s">
        <v>110</v>
      </c>
      <c r="D245" s="7">
        <f>(100*D87/1000)/50</f>
        <v>403.2</v>
      </c>
      <c r="E245" s="68">
        <v>174</v>
      </c>
      <c r="F245" s="69">
        <v>217.5</v>
      </c>
      <c r="G245" s="68">
        <v>261</v>
      </c>
      <c r="H245" s="69">
        <f t="shared" si="8"/>
        <v>70156.800000000003</v>
      </c>
    </row>
    <row r="246" spans="1:8">
      <c r="A246" s="117" t="s">
        <v>206</v>
      </c>
      <c r="B246" s="123" t="s">
        <v>604</v>
      </c>
      <c r="C246" s="7" t="s">
        <v>110</v>
      </c>
      <c r="D246" s="7">
        <f>(80*D87/1000)/50</f>
        <v>322.56</v>
      </c>
      <c r="E246" s="68">
        <v>25.8</v>
      </c>
      <c r="F246" s="69">
        <v>32.25</v>
      </c>
      <c r="G246" s="68">
        <v>38.700000000000003</v>
      </c>
      <c r="H246" s="69">
        <f t="shared" si="8"/>
        <v>8322.0480000000007</v>
      </c>
    </row>
    <row r="247" spans="1:8" ht="28.8">
      <c r="A247" s="117" t="s">
        <v>207</v>
      </c>
      <c r="B247" s="123" t="s">
        <v>602</v>
      </c>
      <c r="C247" s="7" t="s">
        <v>110</v>
      </c>
      <c r="D247" s="7">
        <f>D245</f>
        <v>403.2</v>
      </c>
      <c r="E247" s="68">
        <v>130.6</v>
      </c>
      <c r="F247" s="68">
        <v>163.25</v>
      </c>
      <c r="G247" s="68">
        <v>195.9</v>
      </c>
      <c r="H247" s="69">
        <f t="shared" si="8"/>
        <v>52657.919999999998</v>
      </c>
    </row>
    <row r="248" spans="1:8" ht="28.8">
      <c r="A248" s="117" t="s">
        <v>208</v>
      </c>
      <c r="B248" s="123" t="s">
        <v>606</v>
      </c>
      <c r="C248" s="7" t="s">
        <v>110</v>
      </c>
      <c r="D248" s="98">
        <f>(150*D87/1000)/50</f>
        <v>604.79999999999995</v>
      </c>
      <c r="E248" s="68">
        <v>131.6</v>
      </c>
      <c r="F248" s="69">
        <v>164.5</v>
      </c>
      <c r="G248" s="68">
        <v>197.4</v>
      </c>
      <c r="H248" s="69">
        <f t="shared" si="8"/>
        <v>79591.679999999993</v>
      </c>
    </row>
    <row r="249" spans="1:8" ht="28.8">
      <c r="A249" s="117" t="s">
        <v>209</v>
      </c>
      <c r="B249" s="151" t="s">
        <v>699</v>
      </c>
      <c r="C249" s="7" t="s">
        <v>68</v>
      </c>
      <c r="D249" s="7">
        <v>100</v>
      </c>
      <c r="E249" s="68">
        <v>100</v>
      </c>
      <c r="F249" s="69">
        <v>125</v>
      </c>
      <c r="G249" s="68">
        <v>150</v>
      </c>
      <c r="H249" s="69">
        <f t="shared" si="8"/>
        <v>10000</v>
      </c>
    </row>
    <row r="250" spans="1:8" ht="28.8">
      <c r="A250" s="117" t="s">
        <v>387</v>
      </c>
      <c r="B250" s="151" t="s">
        <v>700</v>
      </c>
      <c r="C250" s="7" t="s">
        <v>68</v>
      </c>
      <c r="D250" s="7">
        <v>1310</v>
      </c>
      <c r="E250" s="68">
        <v>11.4</v>
      </c>
      <c r="F250" s="69">
        <v>14.25</v>
      </c>
      <c r="G250" s="68">
        <v>17.100000000000001</v>
      </c>
      <c r="H250" s="69">
        <f t="shared" si="8"/>
        <v>14934</v>
      </c>
    </row>
    <row r="251" spans="1:8">
      <c r="A251" s="117" t="s">
        <v>388</v>
      </c>
      <c r="B251" s="151" t="s">
        <v>607</v>
      </c>
      <c r="C251" s="7" t="s">
        <v>110</v>
      </c>
      <c r="D251" s="98">
        <f>D247</f>
        <v>403.2</v>
      </c>
      <c r="E251" s="68">
        <v>24</v>
      </c>
      <c r="F251" s="69">
        <v>30</v>
      </c>
      <c r="G251" s="68">
        <v>36</v>
      </c>
      <c r="H251" s="69">
        <f t="shared" si="8"/>
        <v>9676.7999999999993</v>
      </c>
    </row>
    <row r="252" spans="1:8">
      <c r="A252" s="589" t="s">
        <v>425</v>
      </c>
      <c r="B252" s="590"/>
      <c r="C252" s="307"/>
      <c r="D252" s="307"/>
      <c r="E252" s="307"/>
      <c r="F252" s="307"/>
      <c r="G252" s="307"/>
      <c r="H252" s="372">
        <f>SUM(H163:H251)</f>
        <v>5536237.3119999981</v>
      </c>
    </row>
    <row r="253" spans="1:8">
      <c r="A253" s="162">
        <v>3</v>
      </c>
      <c r="B253" s="116" t="s">
        <v>713</v>
      </c>
      <c r="C253" s="85" t="s">
        <v>7</v>
      </c>
      <c r="D253" s="85" t="s">
        <v>8</v>
      </c>
      <c r="E253" s="86" t="s">
        <v>410</v>
      </c>
      <c r="F253" s="86" t="s">
        <v>408</v>
      </c>
      <c r="G253" s="86" t="s">
        <v>409</v>
      </c>
      <c r="H253" s="87" t="s">
        <v>9</v>
      </c>
    </row>
    <row r="254" spans="1:8" ht="28.8">
      <c r="A254" s="163" t="s">
        <v>212</v>
      </c>
      <c r="B254" s="123" t="s">
        <v>213</v>
      </c>
      <c r="C254" s="7" t="s">
        <v>214</v>
      </c>
      <c r="D254" s="7">
        <v>700</v>
      </c>
      <c r="E254" s="68">
        <v>240</v>
      </c>
      <c r="F254" s="69">
        <v>240</v>
      </c>
      <c r="G254" s="68"/>
      <c r="H254" s="9">
        <f>E254*D254</f>
        <v>168000</v>
      </c>
    </row>
    <row r="255" spans="1:8">
      <c r="A255" s="163" t="s">
        <v>215</v>
      </c>
      <c r="B255" s="123" t="s">
        <v>216</v>
      </c>
      <c r="C255" s="7" t="s">
        <v>214</v>
      </c>
      <c r="D255" s="7">
        <v>700</v>
      </c>
      <c r="E255" s="68">
        <v>240</v>
      </c>
      <c r="F255" s="69">
        <v>240</v>
      </c>
      <c r="G255" s="68"/>
      <c r="H255" s="9">
        <f>E255*D255</f>
        <v>168000</v>
      </c>
    </row>
    <row r="256" spans="1:8" ht="43.2">
      <c r="A256" s="163" t="s">
        <v>217</v>
      </c>
      <c r="B256" s="118" t="s">
        <v>218</v>
      </c>
      <c r="C256" s="11" t="s">
        <v>13</v>
      </c>
      <c r="D256" s="11">
        <v>5</v>
      </c>
      <c r="E256" s="68">
        <f>(3643*97%)+3643</f>
        <v>7176.71</v>
      </c>
      <c r="F256" s="69">
        <f>(5000*97%)+5000</f>
        <v>9850</v>
      </c>
      <c r="G256" s="68">
        <f>(5801*97%)+5801</f>
        <v>11427.970000000001</v>
      </c>
      <c r="H256" s="9">
        <f t="shared" ref="H256:H277" si="9">E256*D256</f>
        <v>35883.550000000003</v>
      </c>
    </row>
    <row r="257" spans="1:8" ht="28.8">
      <c r="A257" s="163" t="s">
        <v>219</v>
      </c>
      <c r="B257" s="118" t="s">
        <v>220</v>
      </c>
      <c r="C257" s="11" t="s">
        <v>13</v>
      </c>
      <c r="D257" s="11">
        <v>5</v>
      </c>
      <c r="E257" s="68">
        <f>(1992.99+97%)+1992.99</f>
        <v>3986.95</v>
      </c>
      <c r="F257" s="69">
        <f>(2143*97%)+2143</f>
        <v>4221.71</v>
      </c>
      <c r="G257" s="72">
        <f>(3071*97%)+3071</f>
        <v>6049.87</v>
      </c>
      <c r="H257" s="9">
        <f>E257*D257*2</f>
        <v>39869.5</v>
      </c>
    </row>
    <row r="258" spans="1:8" ht="28.8">
      <c r="A258" s="163" t="s">
        <v>256</v>
      </c>
      <c r="B258" s="119" t="s">
        <v>608</v>
      </c>
      <c r="C258" s="16" t="s">
        <v>15</v>
      </c>
      <c r="D258" s="16">
        <f>20*5*3</f>
        <v>300</v>
      </c>
      <c r="E258" s="229">
        <v>250</v>
      </c>
      <c r="F258" s="69">
        <v>450</v>
      </c>
      <c r="G258" s="68">
        <v>581</v>
      </c>
      <c r="H258" s="9">
        <f t="shared" si="9"/>
        <v>75000</v>
      </c>
    </row>
    <row r="259" spans="1:8" ht="57.6">
      <c r="A259" s="163" t="s">
        <v>221</v>
      </c>
      <c r="B259" s="120" t="s">
        <v>564</v>
      </c>
      <c r="C259" s="19" t="s">
        <v>18</v>
      </c>
      <c r="D259" s="19">
        <v>1</v>
      </c>
      <c r="E259" s="68">
        <v>4149</v>
      </c>
      <c r="F259" s="69">
        <v>5299</v>
      </c>
      <c r="G259" s="70">
        <v>5919</v>
      </c>
      <c r="H259" s="9">
        <f t="shared" si="9"/>
        <v>4149</v>
      </c>
    </row>
    <row r="260" spans="1:8" ht="28.8">
      <c r="A260" s="163" t="s">
        <v>222</v>
      </c>
      <c r="B260" s="121" t="s">
        <v>565</v>
      </c>
      <c r="C260" s="19" t="s">
        <v>18</v>
      </c>
      <c r="D260" s="19">
        <v>2</v>
      </c>
      <c r="E260" s="68">
        <v>1849</v>
      </c>
      <c r="F260" s="69">
        <v>2199</v>
      </c>
      <c r="G260" s="68">
        <v>2919</v>
      </c>
      <c r="H260" s="9">
        <f t="shared" si="9"/>
        <v>3698</v>
      </c>
    </row>
    <row r="261" spans="1:8" ht="57.6">
      <c r="A261" s="163" t="s">
        <v>223</v>
      </c>
      <c r="B261" s="120" t="s">
        <v>609</v>
      </c>
      <c r="C261" s="19" t="s">
        <v>18</v>
      </c>
      <c r="D261" s="19">
        <v>3</v>
      </c>
      <c r="E261" s="73">
        <v>1849.77</v>
      </c>
      <c r="F261" s="232">
        <v>2891</v>
      </c>
      <c r="G261" s="68">
        <v>3199</v>
      </c>
      <c r="H261" s="9">
        <f t="shared" si="9"/>
        <v>5549.3099999999995</v>
      </c>
    </row>
    <row r="262" spans="1:8" ht="28.8">
      <c r="A262" s="163" t="s">
        <v>224</v>
      </c>
      <c r="B262" s="120" t="s">
        <v>611</v>
      </c>
      <c r="C262" s="19" t="s">
        <v>18</v>
      </c>
      <c r="D262" s="19">
        <v>3</v>
      </c>
      <c r="E262" s="73">
        <v>169.9</v>
      </c>
      <c r="F262" s="232">
        <v>189</v>
      </c>
      <c r="G262" s="68">
        <v>197</v>
      </c>
      <c r="H262" s="9">
        <f t="shared" si="9"/>
        <v>509.70000000000005</v>
      </c>
    </row>
    <row r="263" spans="1:8" ht="43.2">
      <c r="A263" s="163" t="s">
        <v>225</v>
      </c>
      <c r="B263" s="120" t="s">
        <v>610</v>
      </c>
      <c r="C263" s="19" t="s">
        <v>18</v>
      </c>
      <c r="D263" s="19">
        <v>3</v>
      </c>
      <c r="E263" s="73">
        <v>1386</v>
      </c>
      <c r="F263" s="232">
        <v>1549</v>
      </c>
      <c r="G263" s="68">
        <v>1649.9</v>
      </c>
      <c r="H263" s="9">
        <f t="shared" si="9"/>
        <v>4158</v>
      </c>
    </row>
    <row r="264" spans="1:8" ht="28.8">
      <c r="A264" s="163" t="s">
        <v>226</v>
      </c>
      <c r="B264" s="120" t="s">
        <v>462</v>
      </c>
      <c r="C264" s="19" t="s">
        <v>13</v>
      </c>
      <c r="D264" s="19">
        <v>5</v>
      </c>
      <c r="E264" s="68">
        <v>124.99</v>
      </c>
      <c r="F264" s="69">
        <v>142</v>
      </c>
      <c r="G264" s="68">
        <v>159.9</v>
      </c>
      <c r="H264" s="9">
        <f t="shared" si="9"/>
        <v>624.94999999999993</v>
      </c>
    </row>
    <row r="265" spans="1:8" ht="43.2">
      <c r="A265" s="163" t="s">
        <v>227</v>
      </c>
      <c r="B265" s="123" t="s">
        <v>701</v>
      </c>
      <c r="C265" s="7" t="s">
        <v>13</v>
      </c>
      <c r="D265" s="7">
        <v>5</v>
      </c>
      <c r="E265" s="68">
        <v>2850</v>
      </c>
      <c r="F265" s="69">
        <v>3768</v>
      </c>
      <c r="G265" s="69">
        <v>5367.02</v>
      </c>
      <c r="H265" s="9">
        <f t="shared" si="9"/>
        <v>14250</v>
      </c>
    </row>
    <row r="266" spans="1:8" ht="28.8">
      <c r="A266" s="163" t="s">
        <v>228</v>
      </c>
      <c r="B266" s="123" t="s">
        <v>702</v>
      </c>
      <c r="C266" s="7" t="s">
        <v>15</v>
      </c>
      <c r="D266" s="7">
        <v>3</v>
      </c>
      <c r="E266" s="70">
        <v>300</v>
      </c>
      <c r="F266" s="74">
        <v>600</v>
      </c>
      <c r="G266" s="70">
        <v>975</v>
      </c>
      <c r="H266" s="9">
        <f t="shared" si="9"/>
        <v>900</v>
      </c>
    </row>
    <row r="267" spans="1:8" ht="28.8">
      <c r="A267" s="163" t="s">
        <v>229</v>
      </c>
      <c r="B267" s="123" t="s">
        <v>703</v>
      </c>
      <c r="C267" s="7" t="s">
        <v>13</v>
      </c>
      <c r="D267" s="7">
        <v>5</v>
      </c>
      <c r="E267" s="68">
        <v>49.9</v>
      </c>
      <c r="F267" s="69">
        <v>60</v>
      </c>
      <c r="G267" s="68">
        <v>65.900000000000006</v>
      </c>
      <c r="H267" s="9">
        <f t="shared" si="9"/>
        <v>249.5</v>
      </c>
    </row>
    <row r="268" spans="1:8" ht="28.8">
      <c r="A268" s="163" t="s">
        <v>230</v>
      </c>
      <c r="B268" s="123" t="s">
        <v>704</v>
      </c>
      <c r="C268" s="7" t="s">
        <v>15</v>
      </c>
      <c r="D268" s="7">
        <v>3</v>
      </c>
      <c r="E268" s="68">
        <v>144.9</v>
      </c>
      <c r="F268" s="69">
        <v>0</v>
      </c>
      <c r="G268" s="68">
        <v>265</v>
      </c>
      <c r="H268" s="9">
        <f t="shared" si="9"/>
        <v>434.70000000000005</v>
      </c>
    </row>
    <row r="269" spans="1:8" ht="28.8">
      <c r="A269" s="163" t="s">
        <v>231</v>
      </c>
      <c r="B269" s="123" t="s">
        <v>615</v>
      </c>
      <c r="C269" s="7" t="s">
        <v>31</v>
      </c>
      <c r="D269" s="7">
        <f>55*4*5*3</f>
        <v>3300</v>
      </c>
      <c r="E269" s="256">
        <v>6.8</v>
      </c>
      <c r="F269" s="69">
        <v>6.9</v>
      </c>
      <c r="G269" s="68">
        <v>6.35</v>
      </c>
      <c r="H269" s="9">
        <f t="shared" si="9"/>
        <v>22440</v>
      </c>
    </row>
    <row r="270" spans="1:8" ht="28.8">
      <c r="A270" s="163" t="s">
        <v>232</v>
      </c>
      <c r="B270" s="123" t="s">
        <v>500</v>
      </c>
      <c r="C270" s="7" t="s">
        <v>18</v>
      </c>
      <c r="D270" s="179">
        <v>3</v>
      </c>
      <c r="E270" s="68">
        <v>99.86</v>
      </c>
      <c r="F270" s="69">
        <v>109.49</v>
      </c>
      <c r="G270" s="73">
        <v>211.19</v>
      </c>
      <c r="H270" s="9">
        <f t="shared" si="9"/>
        <v>299.58</v>
      </c>
    </row>
    <row r="271" spans="1:8" ht="28.8">
      <c r="A271" s="163" t="s">
        <v>233</v>
      </c>
      <c r="B271" s="132" t="s">
        <v>681</v>
      </c>
      <c r="C271" s="32" t="s">
        <v>18</v>
      </c>
      <c r="D271" s="179">
        <f>3*3</f>
        <v>9</v>
      </c>
      <c r="E271" s="178">
        <v>60</v>
      </c>
      <c r="F271" s="62">
        <v>65</v>
      </c>
      <c r="G271" s="35">
        <v>70</v>
      </c>
      <c r="H271" s="9">
        <f t="shared" si="9"/>
        <v>540</v>
      </c>
    </row>
    <row r="272" spans="1:8" ht="43.2">
      <c r="A272" s="163" t="s">
        <v>234</v>
      </c>
      <c r="B272" s="132" t="s">
        <v>705</v>
      </c>
      <c r="C272" s="32" t="s">
        <v>18</v>
      </c>
      <c r="D272" s="179">
        <f>3*3</f>
        <v>9</v>
      </c>
      <c r="E272" s="178">
        <v>75</v>
      </c>
      <c r="F272" s="62">
        <v>90</v>
      </c>
      <c r="G272" s="35">
        <v>98</v>
      </c>
      <c r="H272" s="9">
        <f t="shared" si="9"/>
        <v>675</v>
      </c>
    </row>
    <row r="273" spans="1:8" ht="43.2">
      <c r="A273" s="163" t="s">
        <v>235</v>
      </c>
      <c r="B273" s="132" t="s">
        <v>682</v>
      </c>
      <c r="C273" s="32" t="s">
        <v>18</v>
      </c>
      <c r="D273" s="179">
        <f>(3*3)</f>
        <v>9</v>
      </c>
      <c r="E273" s="178">
        <v>25</v>
      </c>
      <c r="F273" s="62">
        <v>40</v>
      </c>
      <c r="G273" s="35">
        <v>43</v>
      </c>
      <c r="H273" s="9">
        <f t="shared" si="9"/>
        <v>225</v>
      </c>
    </row>
    <row r="274" spans="1:8" ht="28.8">
      <c r="A274" s="163" t="s">
        <v>236</v>
      </c>
      <c r="B274" s="125" t="s">
        <v>617</v>
      </c>
      <c r="C274" s="32" t="s">
        <v>18</v>
      </c>
      <c r="D274" s="179">
        <v>3</v>
      </c>
      <c r="E274" s="68">
        <v>122</v>
      </c>
      <c r="F274" s="74">
        <v>170.91</v>
      </c>
      <c r="G274" s="68">
        <v>185</v>
      </c>
      <c r="H274" s="9">
        <f t="shared" si="9"/>
        <v>366</v>
      </c>
    </row>
    <row r="275" spans="1:8" ht="28.8">
      <c r="A275" s="163" t="s">
        <v>237</v>
      </c>
      <c r="B275" s="135" t="s">
        <v>527</v>
      </c>
      <c r="C275" s="32" t="s">
        <v>18</v>
      </c>
      <c r="D275" s="179">
        <v>3</v>
      </c>
      <c r="E275" s="68">
        <v>21.8</v>
      </c>
      <c r="F275" s="74">
        <v>36</v>
      </c>
      <c r="G275" s="68">
        <v>46.9</v>
      </c>
      <c r="H275" s="9">
        <f t="shared" si="9"/>
        <v>65.400000000000006</v>
      </c>
    </row>
    <row r="276" spans="1:8" ht="28.8">
      <c r="A276" s="163" t="s">
        <v>238</v>
      </c>
      <c r="B276" s="135" t="s">
        <v>618</v>
      </c>
      <c r="C276" s="32" t="s">
        <v>18</v>
      </c>
      <c r="D276" s="32">
        <v>3</v>
      </c>
      <c r="E276" s="73">
        <v>13.93</v>
      </c>
      <c r="F276" s="232">
        <v>15.71</v>
      </c>
      <c r="G276" s="73">
        <v>49.9</v>
      </c>
      <c r="H276" s="9">
        <f t="shared" si="9"/>
        <v>41.79</v>
      </c>
    </row>
    <row r="277" spans="1:8" ht="28.8">
      <c r="A277" s="163" t="s">
        <v>239</v>
      </c>
      <c r="B277" s="125" t="s">
        <v>529</v>
      </c>
      <c r="C277" s="32" t="s">
        <v>18</v>
      </c>
      <c r="D277" s="32">
        <v>10</v>
      </c>
      <c r="E277" s="73">
        <v>12.4</v>
      </c>
      <c r="F277" s="232">
        <v>13.5</v>
      </c>
      <c r="G277" s="73">
        <v>20.260000000000002</v>
      </c>
      <c r="H277" s="9">
        <f t="shared" si="9"/>
        <v>124</v>
      </c>
    </row>
    <row r="278" spans="1:8">
      <c r="A278" s="163" t="s">
        <v>240</v>
      </c>
      <c r="B278" s="134" t="s">
        <v>619</v>
      </c>
      <c r="C278" s="32" t="s">
        <v>18</v>
      </c>
      <c r="D278" s="32">
        <v>3</v>
      </c>
      <c r="E278" s="68">
        <v>160</v>
      </c>
      <c r="F278" s="232">
        <v>163</v>
      </c>
      <c r="G278" s="73">
        <v>193.63</v>
      </c>
      <c r="H278" s="9">
        <f t="shared" ref="H278:H290" si="10">E278*D278</f>
        <v>480</v>
      </c>
    </row>
    <row r="279" spans="1:8" ht="28.8">
      <c r="A279" s="163" t="s">
        <v>241</v>
      </c>
      <c r="B279" s="136" t="s">
        <v>474</v>
      </c>
      <c r="C279" s="32" t="s">
        <v>18</v>
      </c>
      <c r="D279" s="32">
        <v>3</v>
      </c>
      <c r="E279" s="70">
        <v>35</v>
      </c>
      <c r="F279" s="74">
        <v>41.4</v>
      </c>
      <c r="G279" s="68">
        <v>168.26</v>
      </c>
      <c r="H279" s="9">
        <f t="shared" si="10"/>
        <v>105</v>
      </c>
    </row>
    <row r="280" spans="1:8" ht="28.8">
      <c r="A280" s="163" t="s">
        <v>242</v>
      </c>
      <c r="B280" s="134" t="s">
        <v>475</v>
      </c>
      <c r="C280" s="32" t="s">
        <v>18</v>
      </c>
      <c r="D280" s="32">
        <v>3</v>
      </c>
      <c r="E280" s="73">
        <v>41.4</v>
      </c>
      <c r="F280" s="69">
        <v>42.23</v>
      </c>
      <c r="G280" s="70">
        <v>50</v>
      </c>
      <c r="H280" s="9">
        <f t="shared" si="10"/>
        <v>124.19999999999999</v>
      </c>
    </row>
    <row r="281" spans="1:8" ht="28.8">
      <c r="A281" s="163" t="s">
        <v>243</v>
      </c>
      <c r="B281" s="124" t="s">
        <v>620</v>
      </c>
      <c r="C281" s="32" t="s">
        <v>18</v>
      </c>
      <c r="D281" s="32">
        <v>3</v>
      </c>
      <c r="E281" s="68">
        <v>2.77</v>
      </c>
      <c r="F281" s="74">
        <v>3.75</v>
      </c>
      <c r="G281" s="73">
        <v>3.96</v>
      </c>
      <c r="H281" s="9">
        <f t="shared" si="10"/>
        <v>8.31</v>
      </c>
    </row>
    <row r="282" spans="1:8">
      <c r="A282" s="163" t="s">
        <v>244</v>
      </c>
      <c r="B282" s="125" t="s">
        <v>477</v>
      </c>
      <c r="C282" s="32" t="s">
        <v>18</v>
      </c>
      <c r="D282" s="32">
        <v>3</v>
      </c>
      <c r="E282" s="68">
        <v>32.979999999999997</v>
      </c>
      <c r="F282" s="69">
        <v>58.66</v>
      </c>
      <c r="G282" s="68">
        <v>60.82</v>
      </c>
      <c r="H282" s="9">
        <f t="shared" si="10"/>
        <v>98.94</v>
      </c>
    </row>
    <row r="283" spans="1:8" ht="28.8">
      <c r="A283" s="163" t="s">
        <v>245</v>
      </c>
      <c r="B283" s="125" t="s">
        <v>621</v>
      </c>
      <c r="C283" s="32" t="s">
        <v>18</v>
      </c>
      <c r="D283" s="32">
        <v>3</v>
      </c>
      <c r="E283" s="73">
        <v>26.5</v>
      </c>
      <c r="F283" s="69">
        <v>61.9</v>
      </c>
      <c r="G283" s="68">
        <v>83.6</v>
      </c>
      <c r="H283" s="9">
        <f t="shared" si="10"/>
        <v>79.5</v>
      </c>
    </row>
    <row r="284" spans="1:8" ht="28.8">
      <c r="A284" s="163" t="s">
        <v>246</v>
      </c>
      <c r="B284" s="138" t="s">
        <v>622</v>
      </c>
      <c r="C284" s="55" t="s">
        <v>68</v>
      </c>
      <c r="D284" s="55">
        <v>1</v>
      </c>
      <c r="E284" s="73">
        <v>204</v>
      </c>
      <c r="F284" s="232">
        <v>255</v>
      </c>
      <c r="G284" s="73">
        <v>280</v>
      </c>
      <c r="H284" s="9">
        <f t="shared" si="10"/>
        <v>204</v>
      </c>
    </row>
    <row r="285" spans="1:8" ht="28.8">
      <c r="A285" s="163" t="s">
        <v>247</v>
      </c>
      <c r="B285" s="138" t="s">
        <v>623</v>
      </c>
      <c r="C285" s="55" t="s">
        <v>18</v>
      </c>
      <c r="D285" s="55">
        <v>2</v>
      </c>
      <c r="E285" s="68">
        <v>49</v>
      </c>
      <c r="F285" s="69">
        <v>64</v>
      </c>
      <c r="G285" s="68">
        <v>80</v>
      </c>
      <c r="H285" s="9">
        <f t="shared" si="10"/>
        <v>98</v>
      </c>
    </row>
    <row r="286" spans="1:8" ht="28.8">
      <c r="A286" s="163" t="s">
        <v>248</v>
      </c>
      <c r="B286" s="147" t="s">
        <v>624</v>
      </c>
      <c r="C286" s="55" t="s">
        <v>18</v>
      </c>
      <c r="D286" s="55">
        <v>2</v>
      </c>
      <c r="E286" s="68">
        <v>103.2</v>
      </c>
      <c r="F286" s="74">
        <v>129</v>
      </c>
      <c r="G286" s="68">
        <v>167.81</v>
      </c>
      <c r="H286" s="9">
        <f t="shared" si="10"/>
        <v>206.4</v>
      </c>
    </row>
    <row r="287" spans="1:8" ht="28.8">
      <c r="A287" s="163" t="s">
        <v>249</v>
      </c>
      <c r="B287" s="147" t="s">
        <v>625</v>
      </c>
      <c r="C287" s="55" t="s">
        <v>18</v>
      </c>
      <c r="D287" s="55">
        <v>2</v>
      </c>
      <c r="E287" s="68">
        <v>37.6</v>
      </c>
      <c r="F287" s="69">
        <v>54</v>
      </c>
      <c r="G287" s="68">
        <v>59.6</v>
      </c>
      <c r="H287" s="9">
        <f t="shared" si="10"/>
        <v>75.2</v>
      </c>
    </row>
    <row r="288" spans="1:8" ht="28.8">
      <c r="A288" s="163" t="s">
        <v>250</v>
      </c>
      <c r="B288" s="147" t="s">
        <v>626</v>
      </c>
      <c r="C288" s="55" t="s">
        <v>18</v>
      </c>
      <c r="D288" s="55">
        <v>2</v>
      </c>
      <c r="E288" s="68">
        <v>29.6</v>
      </c>
      <c r="F288" s="74">
        <v>53.7</v>
      </c>
      <c r="G288" s="68">
        <v>61.28</v>
      </c>
      <c r="H288" s="9">
        <f t="shared" si="10"/>
        <v>59.2</v>
      </c>
    </row>
    <row r="289" spans="1:8" ht="28.8">
      <c r="A289" s="163" t="s">
        <v>251</v>
      </c>
      <c r="B289" s="147" t="s">
        <v>627</v>
      </c>
      <c r="C289" s="55" t="s">
        <v>18</v>
      </c>
      <c r="D289" s="55">
        <v>2</v>
      </c>
      <c r="E289" s="68">
        <v>36</v>
      </c>
      <c r="F289" s="69">
        <v>50.6</v>
      </c>
      <c r="G289" s="68">
        <v>54.6</v>
      </c>
      <c r="H289" s="9">
        <f t="shared" si="10"/>
        <v>72</v>
      </c>
    </row>
    <row r="290" spans="1:8" ht="28.8">
      <c r="A290" s="163" t="s">
        <v>252</v>
      </c>
      <c r="B290" s="147" t="s">
        <v>552</v>
      </c>
      <c r="C290" s="55" t="s">
        <v>18</v>
      </c>
      <c r="D290" s="55">
        <v>2</v>
      </c>
      <c r="E290" s="58">
        <v>140.54</v>
      </c>
      <c r="F290" s="54">
        <v>186.8</v>
      </c>
      <c r="G290" s="39">
        <v>341.8</v>
      </c>
      <c r="H290" s="9">
        <f t="shared" si="10"/>
        <v>281.08</v>
      </c>
    </row>
    <row r="291" spans="1:8">
      <c r="A291" s="571" t="s">
        <v>253</v>
      </c>
      <c r="B291" s="583"/>
      <c r="C291" s="356"/>
      <c r="D291" s="356"/>
      <c r="E291" s="374"/>
      <c r="F291" s="374"/>
      <c r="G291" s="374"/>
      <c r="H291" s="366">
        <f>SUM(H254:H290)</f>
        <v>547944.80999999982</v>
      </c>
    </row>
    <row r="292" spans="1:8" ht="28.8">
      <c r="A292" s="115" t="s">
        <v>257</v>
      </c>
      <c r="B292" s="116" t="s">
        <v>258</v>
      </c>
      <c r="C292" s="85" t="s">
        <v>7</v>
      </c>
      <c r="D292" s="85" t="s">
        <v>8</v>
      </c>
      <c r="E292" s="86" t="s">
        <v>410</v>
      </c>
      <c r="F292" s="86" t="s">
        <v>408</v>
      </c>
      <c r="G292" s="86" t="s">
        <v>409</v>
      </c>
      <c r="H292" s="87" t="s">
        <v>9</v>
      </c>
    </row>
    <row r="293" spans="1:8" ht="43.2">
      <c r="A293" s="117" t="s">
        <v>259</v>
      </c>
      <c r="B293" s="118" t="s">
        <v>260</v>
      </c>
      <c r="C293" s="11" t="s">
        <v>13</v>
      </c>
      <c r="D293" s="11">
        <v>12</v>
      </c>
      <c r="E293" s="12">
        <f>(3643*97%)+3643</f>
        <v>7176.71</v>
      </c>
      <c r="F293" s="13">
        <f>(4500*97%)+4500</f>
        <v>8865</v>
      </c>
      <c r="G293" s="14">
        <f>(5801*97%)+5801</f>
        <v>11427.970000000001</v>
      </c>
      <c r="H293" s="64">
        <f>E293*D293</f>
        <v>86120.52</v>
      </c>
    </row>
    <row r="294" spans="1:8" ht="28.8">
      <c r="A294" s="117" t="s">
        <v>261</v>
      </c>
      <c r="B294" s="118" t="s">
        <v>262</v>
      </c>
      <c r="C294" s="11" t="s">
        <v>13</v>
      </c>
      <c r="D294" s="11">
        <v>12</v>
      </c>
      <c r="E294" s="59">
        <f>(2825.54*97%)+2825.54</f>
        <v>5566.3137999999999</v>
      </c>
      <c r="F294" s="60">
        <f>(2942.99*97%)+2942.99</f>
        <v>5797.6902999999993</v>
      </c>
      <c r="G294" s="61">
        <v>3397</v>
      </c>
      <c r="H294" s="64">
        <f t="shared" ref="H294:H343" si="11">E294*D294</f>
        <v>66795.765599999999</v>
      </c>
    </row>
    <row r="295" spans="1:8" ht="28.8">
      <c r="A295" s="117" t="s">
        <v>263</v>
      </c>
      <c r="B295" s="118" t="s">
        <v>264</v>
      </c>
      <c r="C295" s="11" t="s">
        <v>13</v>
      </c>
      <c r="D295" s="11">
        <v>12</v>
      </c>
      <c r="E295" s="270">
        <v>1156</v>
      </c>
      <c r="F295" s="65">
        <f>(1411.23*97%)+1411.23</f>
        <v>2780.1230999999998</v>
      </c>
      <c r="G295" s="63">
        <v>2500</v>
      </c>
      <c r="H295" s="64">
        <f>E295*D295*2</f>
        <v>27744</v>
      </c>
    </row>
    <row r="296" spans="1:8" ht="28.8">
      <c r="A296" s="117" t="s">
        <v>265</v>
      </c>
      <c r="B296" s="119" t="s">
        <v>515</v>
      </c>
      <c r="C296" s="16" t="s">
        <v>15</v>
      </c>
      <c r="D296" s="16">
        <f>4*20*12</f>
        <v>960</v>
      </c>
      <c r="E296" s="25">
        <v>32</v>
      </c>
      <c r="F296" s="46">
        <v>37</v>
      </c>
      <c r="G296" s="25">
        <v>37</v>
      </c>
      <c r="H296" s="64">
        <f t="shared" si="11"/>
        <v>30720</v>
      </c>
    </row>
    <row r="297" spans="1:8" ht="28.8">
      <c r="A297" s="117" t="s">
        <v>266</v>
      </c>
      <c r="B297" s="119" t="s">
        <v>574</v>
      </c>
      <c r="C297" s="16" t="s">
        <v>15</v>
      </c>
      <c r="D297" s="16">
        <f>4*20*12</f>
        <v>960</v>
      </c>
      <c r="E297" s="25">
        <v>8</v>
      </c>
      <c r="F297" s="46">
        <v>8.6</v>
      </c>
      <c r="G297" s="25">
        <v>9</v>
      </c>
      <c r="H297" s="64">
        <f t="shared" si="11"/>
        <v>7680</v>
      </c>
    </row>
    <row r="298" spans="1:8" ht="28.8">
      <c r="A298" s="117" t="s">
        <v>268</v>
      </c>
      <c r="B298" s="121" t="s">
        <v>565</v>
      </c>
      <c r="C298" s="19" t="s">
        <v>18</v>
      </c>
      <c r="D298" s="19">
        <v>2</v>
      </c>
      <c r="E298" s="68">
        <v>1849</v>
      </c>
      <c r="F298" s="69">
        <v>2199</v>
      </c>
      <c r="G298" s="68">
        <v>2919</v>
      </c>
      <c r="H298" s="64">
        <f t="shared" si="11"/>
        <v>3698</v>
      </c>
    </row>
    <row r="299" spans="1:8" ht="57.6">
      <c r="A299" s="117" t="s">
        <v>269</v>
      </c>
      <c r="B299" s="120" t="s">
        <v>609</v>
      </c>
      <c r="C299" s="19" t="s">
        <v>18</v>
      </c>
      <c r="D299" s="19">
        <v>2</v>
      </c>
      <c r="E299" s="73">
        <v>1849.77</v>
      </c>
      <c r="F299" s="232">
        <v>2891</v>
      </c>
      <c r="G299" s="68">
        <v>3199</v>
      </c>
      <c r="H299" s="64">
        <f t="shared" si="11"/>
        <v>3699.54</v>
      </c>
    </row>
    <row r="300" spans="1:8" ht="28.8">
      <c r="A300" s="117" t="s">
        <v>270</v>
      </c>
      <c r="B300" s="120" t="s">
        <v>567</v>
      </c>
      <c r="C300" s="19" t="s">
        <v>18</v>
      </c>
      <c r="D300" s="19">
        <v>2</v>
      </c>
      <c r="E300" s="68">
        <v>169.9</v>
      </c>
      <c r="F300" s="69">
        <v>189.9</v>
      </c>
      <c r="G300" s="68">
        <v>197.59</v>
      </c>
      <c r="H300" s="64">
        <f t="shared" si="11"/>
        <v>339.8</v>
      </c>
    </row>
    <row r="301" spans="1:8" ht="43.2">
      <c r="A301" s="117" t="s">
        <v>271</v>
      </c>
      <c r="B301" s="120" t="s">
        <v>629</v>
      </c>
      <c r="C301" s="19" t="s">
        <v>18</v>
      </c>
      <c r="D301" s="19">
        <v>2</v>
      </c>
      <c r="E301" s="73">
        <v>1386</v>
      </c>
      <c r="F301" s="69">
        <v>1549</v>
      </c>
      <c r="G301" s="68">
        <v>1649.9</v>
      </c>
      <c r="H301" s="64">
        <f t="shared" si="11"/>
        <v>2772</v>
      </c>
    </row>
    <row r="302" spans="1:8" ht="28.8">
      <c r="A302" s="117" t="s">
        <v>272</v>
      </c>
      <c r="B302" s="120" t="s">
        <v>462</v>
      </c>
      <c r="C302" s="370" t="s">
        <v>13</v>
      </c>
      <c r="D302" s="370">
        <v>12</v>
      </c>
      <c r="E302" s="68">
        <v>124.99</v>
      </c>
      <c r="F302" s="69">
        <v>142</v>
      </c>
      <c r="G302" s="68">
        <v>159.99</v>
      </c>
      <c r="H302" s="373">
        <f t="shared" si="11"/>
        <v>1499.8799999999999</v>
      </c>
    </row>
    <row r="303" spans="1:8" ht="28.8">
      <c r="A303" s="117" t="s">
        <v>273</v>
      </c>
      <c r="B303" s="120" t="s">
        <v>628</v>
      </c>
      <c r="C303" s="370" t="s">
        <v>18</v>
      </c>
      <c r="D303" s="370">
        <v>1</v>
      </c>
      <c r="E303" s="73">
        <v>6459.11</v>
      </c>
      <c r="F303" s="68">
        <v>6686</v>
      </c>
      <c r="G303" s="69">
        <v>6892</v>
      </c>
      <c r="H303" s="373">
        <f t="shared" si="11"/>
        <v>6459.11</v>
      </c>
    </row>
    <row r="304" spans="1:8" ht="28.8">
      <c r="A304" s="117" t="s">
        <v>274</v>
      </c>
      <c r="B304" s="123" t="s">
        <v>706</v>
      </c>
      <c r="C304" s="370" t="s">
        <v>13</v>
      </c>
      <c r="D304" s="370">
        <v>12</v>
      </c>
      <c r="E304" s="68">
        <v>2850</v>
      </c>
      <c r="F304" s="69">
        <v>3768</v>
      </c>
      <c r="G304" s="69">
        <v>5367.02</v>
      </c>
      <c r="H304" s="373">
        <f>E304*D304*2</f>
        <v>68400</v>
      </c>
    </row>
    <row r="305" spans="1:8" ht="28.8">
      <c r="A305" s="117" t="s">
        <v>275</v>
      </c>
      <c r="B305" s="123" t="s">
        <v>707</v>
      </c>
      <c r="C305" s="370" t="s">
        <v>15</v>
      </c>
      <c r="D305" s="370">
        <v>2</v>
      </c>
      <c r="E305" s="70">
        <v>300</v>
      </c>
      <c r="F305" s="74">
        <v>600</v>
      </c>
      <c r="G305" s="70">
        <v>975</v>
      </c>
      <c r="H305" s="373">
        <f t="shared" si="11"/>
        <v>600</v>
      </c>
    </row>
    <row r="306" spans="1:8" ht="28.8">
      <c r="A306" s="117" t="s">
        <v>276</v>
      </c>
      <c r="B306" s="123" t="s">
        <v>579</v>
      </c>
      <c r="C306" s="370" t="s">
        <v>15</v>
      </c>
      <c r="D306" s="370">
        <v>2</v>
      </c>
      <c r="E306" s="68">
        <v>144.9</v>
      </c>
      <c r="F306" s="74">
        <v>0</v>
      </c>
      <c r="G306" s="68">
        <v>265</v>
      </c>
      <c r="H306" s="373">
        <f t="shared" si="11"/>
        <v>289.8</v>
      </c>
    </row>
    <row r="307" spans="1:8" ht="28.8">
      <c r="A307" s="117" t="s">
        <v>277</v>
      </c>
      <c r="B307" s="123" t="s">
        <v>632</v>
      </c>
      <c r="C307" s="370" t="s">
        <v>13</v>
      </c>
      <c r="D307" s="370">
        <v>12</v>
      </c>
      <c r="E307" s="68">
        <v>49.9</v>
      </c>
      <c r="F307" s="74">
        <v>60</v>
      </c>
      <c r="G307" s="68">
        <v>65.900000000000006</v>
      </c>
      <c r="H307" s="373">
        <f>E307*D307*2</f>
        <v>1197.5999999999999</v>
      </c>
    </row>
    <row r="308" spans="1:8" ht="28.8">
      <c r="A308" s="117" t="s">
        <v>278</v>
      </c>
      <c r="B308" s="123" t="s">
        <v>633</v>
      </c>
      <c r="C308" s="370" t="s">
        <v>108</v>
      </c>
      <c r="D308" s="370">
        <f>55*4*12*2</f>
        <v>5280</v>
      </c>
      <c r="E308" s="256">
        <v>6.08</v>
      </c>
      <c r="F308" s="69">
        <v>6.09</v>
      </c>
      <c r="G308" s="68">
        <v>6.35</v>
      </c>
      <c r="H308" s="373">
        <f t="shared" si="11"/>
        <v>32102.400000000001</v>
      </c>
    </row>
    <row r="309" spans="1:8" ht="28.8">
      <c r="A309" s="117" t="s">
        <v>279</v>
      </c>
      <c r="B309" s="123" t="s">
        <v>634</v>
      </c>
      <c r="C309" s="370" t="s">
        <v>18</v>
      </c>
      <c r="D309" s="370">
        <v>2</v>
      </c>
      <c r="E309" s="68">
        <v>99.86</v>
      </c>
      <c r="F309" s="69">
        <v>109.49</v>
      </c>
      <c r="G309" s="73">
        <v>211.19</v>
      </c>
      <c r="H309" s="373">
        <f t="shared" si="11"/>
        <v>199.72</v>
      </c>
    </row>
    <row r="310" spans="1:8" ht="28.8">
      <c r="A310" s="117" t="s">
        <v>280</v>
      </c>
      <c r="B310" s="132" t="s">
        <v>469</v>
      </c>
      <c r="C310" s="370" t="s">
        <v>18</v>
      </c>
      <c r="D310" s="370">
        <f>6*4*1</f>
        <v>24</v>
      </c>
      <c r="E310" s="68">
        <v>60</v>
      </c>
      <c r="F310" s="68">
        <v>65</v>
      </c>
      <c r="G310" s="69">
        <v>70</v>
      </c>
      <c r="H310" s="373">
        <f t="shared" si="11"/>
        <v>1440</v>
      </c>
    </row>
    <row r="311" spans="1:8" ht="43.2">
      <c r="A311" s="117" t="s">
        <v>281</v>
      </c>
      <c r="B311" s="132" t="s">
        <v>501</v>
      </c>
      <c r="C311" s="370" t="s">
        <v>18</v>
      </c>
      <c r="D311" s="370">
        <f>6*4*1</f>
        <v>24</v>
      </c>
      <c r="E311" s="68">
        <v>25</v>
      </c>
      <c r="F311" s="68">
        <v>40</v>
      </c>
      <c r="G311" s="69">
        <v>43</v>
      </c>
      <c r="H311" s="373">
        <f t="shared" si="11"/>
        <v>600</v>
      </c>
    </row>
    <row r="312" spans="1:8" ht="28.8">
      <c r="A312" s="117" t="s">
        <v>384</v>
      </c>
      <c r="B312" s="125" t="s">
        <v>617</v>
      </c>
      <c r="C312" s="370" t="s">
        <v>18</v>
      </c>
      <c r="D312" s="370">
        <f>4*2</f>
        <v>8</v>
      </c>
      <c r="E312" s="73">
        <v>122</v>
      </c>
      <c r="F312" s="232">
        <v>170.91</v>
      </c>
      <c r="G312" s="73">
        <v>185</v>
      </c>
      <c r="H312" s="373">
        <f t="shared" si="11"/>
        <v>976</v>
      </c>
    </row>
    <row r="313" spans="1:8" ht="28.8">
      <c r="A313" s="117" t="s">
        <v>385</v>
      </c>
      <c r="B313" s="125" t="s">
        <v>584</v>
      </c>
      <c r="C313" s="370" t="s">
        <v>18</v>
      </c>
      <c r="D313" s="370">
        <f>2*2</f>
        <v>4</v>
      </c>
      <c r="E313" s="73">
        <v>22.94</v>
      </c>
      <c r="F313" s="232">
        <v>23.46</v>
      </c>
      <c r="G313" s="73">
        <v>30</v>
      </c>
      <c r="H313" s="373">
        <f t="shared" si="11"/>
        <v>91.76</v>
      </c>
    </row>
    <row r="314" spans="1:8" ht="43.2">
      <c r="A314" s="117" t="s">
        <v>282</v>
      </c>
      <c r="B314" s="125" t="s">
        <v>668</v>
      </c>
      <c r="C314" s="370" t="s">
        <v>18</v>
      </c>
      <c r="D314" s="370">
        <f>2*2</f>
        <v>4</v>
      </c>
      <c r="E314" s="73">
        <v>21.8</v>
      </c>
      <c r="F314" s="232">
        <v>36</v>
      </c>
      <c r="G314" s="73">
        <v>46.9</v>
      </c>
      <c r="H314" s="373">
        <f t="shared" si="11"/>
        <v>87.2</v>
      </c>
    </row>
    <row r="315" spans="1:8" ht="28.8">
      <c r="A315" s="117" t="s">
        <v>283</v>
      </c>
      <c r="B315" s="135" t="s">
        <v>528</v>
      </c>
      <c r="C315" s="32" t="s">
        <v>18</v>
      </c>
      <c r="D315" s="32">
        <f>4*2</f>
        <v>8</v>
      </c>
      <c r="E315" s="73">
        <v>13.93</v>
      </c>
      <c r="F315" s="232">
        <v>15.71</v>
      </c>
      <c r="G315" s="73">
        <v>22.5</v>
      </c>
      <c r="H315" s="64">
        <f t="shared" si="11"/>
        <v>111.44</v>
      </c>
    </row>
    <row r="316" spans="1:8" ht="28.8">
      <c r="A316" s="117" t="s">
        <v>284</v>
      </c>
      <c r="B316" s="125" t="s">
        <v>529</v>
      </c>
      <c r="C316" s="32" t="s">
        <v>18</v>
      </c>
      <c r="D316" s="32">
        <f>3*4*12</f>
        <v>144</v>
      </c>
      <c r="E316" s="73">
        <v>12.4</v>
      </c>
      <c r="F316" s="232">
        <v>13.5</v>
      </c>
      <c r="G316" s="73">
        <v>20.260000000000002</v>
      </c>
      <c r="H316" s="64">
        <f t="shared" si="11"/>
        <v>1785.6000000000001</v>
      </c>
    </row>
    <row r="317" spans="1:8">
      <c r="A317" s="117" t="s">
        <v>285</v>
      </c>
      <c r="B317" s="134" t="s">
        <v>619</v>
      </c>
      <c r="C317" s="32" t="s">
        <v>18</v>
      </c>
      <c r="D317" s="32">
        <f>4*2</f>
        <v>8</v>
      </c>
      <c r="E317" s="73">
        <v>160</v>
      </c>
      <c r="F317" s="232">
        <v>163</v>
      </c>
      <c r="G317" s="73">
        <v>193.63</v>
      </c>
      <c r="H317" s="64">
        <f t="shared" si="11"/>
        <v>1280</v>
      </c>
    </row>
    <row r="318" spans="1:8" ht="28.8">
      <c r="A318" s="117" t="s">
        <v>286</v>
      </c>
      <c r="B318" s="136" t="s">
        <v>474</v>
      </c>
      <c r="C318" s="32" t="s">
        <v>18</v>
      </c>
      <c r="D318" s="32">
        <v>4</v>
      </c>
      <c r="E318" s="73">
        <v>35</v>
      </c>
      <c r="F318" s="232">
        <v>41.4</v>
      </c>
      <c r="G318" s="73">
        <v>168.26</v>
      </c>
      <c r="H318" s="64">
        <f t="shared" si="11"/>
        <v>140</v>
      </c>
    </row>
    <row r="319" spans="1:8" ht="28.8">
      <c r="A319" s="117" t="s">
        <v>287</v>
      </c>
      <c r="B319" s="134" t="s">
        <v>475</v>
      </c>
      <c r="C319" s="32" t="s">
        <v>18</v>
      </c>
      <c r="D319" s="32">
        <v>4</v>
      </c>
      <c r="E319" s="73">
        <v>41.4</v>
      </c>
      <c r="F319" s="232">
        <v>42.23</v>
      </c>
      <c r="G319" s="73">
        <v>50</v>
      </c>
      <c r="H319" s="64">
        <f t="shared" si="11"/>
        <v>165.6</v>
      </c>
    </row>
    <row r="320" spans="1:8" ht="28.8">
      <c r="A320" s="117" t="s">
        <v>288</v>
      </c>
      <c r="B320" s="125" t="s">
        <v>621</v>
      </c>
      <c r="C320" s="57" t="s">
        <v>18</v>
      </c>
      <c r="D320" s="57">
        <v>2</v>
      </c>
      <c r="E320" s="73">
        <v>26.5</v>
      </c>
      <c r="F320" s="232">
        <v>61.9</v>
      </c>
      <c r="G320" s="73">
        <v>83.6</v>
      </c>
      <c r="H320" s="64">
        <f t="shared" si="11"/>
        <v>53</v>
      </c>
    </row>
    <row r="321" spans="1:8" ht="28.8">
      <c r="A321" s="117" t="s">
        <v>289</v>
      </c>
      <c r="B321" s="125" t="s">
        <v>494</v>
      </c>
      <c r="C321" s="57" t="s">
        <v>18</v>
      </c>
      <c r="D321" s="57">
        <f>2*2</f>
        <v>4</v>
      </c>
      <c r="E321" s="73">
        <v>27.9</v>
      </c>
      <c r="F321" s="232">
        <v>30</v>
      </c>
      <c r="G321" s="73">
        <v>32.229999999999997</v>
      </c>
      <c r="H321" s="64">
        <f t="shared" si="11"/>
        <v>111.6</v>
      </c>
    </row>
    <row r="322" spans="1:8">
      <c r="A322" s="117" t="s">
        <v>290</v>
      </c>
      <c r="B322" s="125" t="s">
        <v>495</v>
      </c>
      <c r="C322" s="57" t="s">
        <v>18</v>
      </c>
      <c r="D322" s="57">
        <v>2</v>
      </c>
      <c r="E322" s="68">
        <v>157.44</v>
      </c>
      <c r="F322" s="69">
        <v>184.26</v>
      </c>
      <c r="G322" s="68">
        <v>208.95</v>
      </c>
      <c r="H322" s="64">
        <f t="shared" si="11"/>
        <v>314.88</v>
      </c>
    </row>
    <row r="323" spans="1:8">
      <c r="A323" s="117" t="s">
        <v>291</v>
      </c>
      <c r="B323" s="125" t="s">
        <v>496</v>
      </c>
      <c r="C323" s="57" t="s">
        <v>18</v>
      </c>
      <c r="D323" s="57">
        <f>2*2</f>
        <v>4</v>
      </c>
      <c r="E323" s="68">
        <v>33.729999999999997</v>
      </c>
      <c r="F323" s="69">
        <v>43.66</v>
      </c>
      <c r="G323" s="68">
        <v>72</v>
      </c>
      <c r="H323" s="64">
        <f t="shared" si="11"/>
        <v>134.91999999999999</v>
      </c>
    </row>
    <row r="324" spans="1:8" ht="28.8">
      <c r="A324" s="117" t="s">
        <v>293</v>
      </c>
      <c r="B324" s="143" t="s">
        <v>640</v>
      </c>
      <c r="C324" s="7" t="s">
        <v>18</v>
      </c>
      <c r="D324" s="370">
        <f>2*2</f>
        <v>4</v>
      </c>
      <c r="E324" s="68">
        <v>197.13</v>
      </c>
      <c r="F324" s="69">
        <v>389.9</v>
      </c>
      <c r="G324" s="68">
        <v>389.9</v>
      </c>
      <c r="H324" s="64">
        <f t="shared" si="11"/>
        <v>788.52</v>
      </c>
    </row>
    <row r="325" spans="1:8" ht="28.8">
      <c r="A325" s="117" t="s">
        <v>294</v>
      </c>
      <c r="B325" s="143" t="s">
        <v>639</v>
      </c>
      <c r="C325" s="7" t="s">
        <v>18</v>
      </c>
      <c r="D325" s="7">
        <v>4</v>
      </c>
      <c r="E325" s="68">
        <v>54.06</v>
      </c>
      <c r="F325" s="69">
        <v>114.99</v>
      </c>
      <c r="G325" s="68">
        <v>125</v>
      </c>
      <c r="H325" s="64">
        <f t="shared" si="11"/>
        <v>216.24</v>
      </c>
    </row>
    <row r="326" spans="1:8" ht="28.8">
      <c r="A326" s="117" t="s">
        <v>295</v>
      </c>
      <c r="B326" s="143" t="s">
        <v>638</v>
      </c>
      <c r="C326" s="10" t="s">
        <v>18</v>
      </c>
      <c r="D326" s="7">
        <v>2</v>
      </c>
      <c r="E326" s="68">
        <v>5842.47</v>
      </c>
      <c r="F326" s="69">
        <v>6594.73</v>
      </c>
      <c r="G326" s="68">
        <v>7022.18</v>
      </c>
      <c r="H326" s="64">
        <f t="shared" si="11"/>
        <v>11684.94</v>
      </c>
    </row>
    <row r="327" spans="1:8" ht="28.8">
      <c r="A327" s="117" t="s">
        <v>296</v>
      </c>
      <c r="B327" s="143" t="s">
        <v>637</v>
      </c>
      <c r="C327" s="10" t="s">
        <v>18</v>
      </c>
      <c r="D327" s="7">
        <v>4</v>
      </c>
      <c r="E327" s="68">
        <v>310</v>
      </c>
      <c r="F327" s="69">
        <v>345.99</v>
      </c>
      <c r="G327" s="68">
        <v>440</v>
      </c>
      <c r="H327" s="64">
        <f t="shared" si="11"/>
        <v>1240</v>
      </c>
    </row>
    <row r="328" spans="1:8" ht="28.8">
      <c r="A328" s="117" t="s">
        <v>297</v>
      </c>
      <c r="B328" s="138" t="s">
        <v>636</v>
      </c>
      <c r="C328" s="10" t="s">
        <v>18</v>
      </c>
      <c r="D328" s="7">
        <v>4</v>
      </c>
      <c r="E328" s="68">
        <v>69</v>
      </c>
      <c r="F328" s="69">
        <v>74.2</v>
      </c>
      <c r="G328" s="68">
        <v>75.14</v>
      </c>
      <c r="H328" s="64">
        <f t="shared" si="11"/>
        <v>276</v>
      </c>
    </row>
    <row r="329" spans="1:8" ht="28.8">
      <c r="A329" s="117" t="s">
        <v>298</v>
      </c>
      <c r="B329" s="138" t="s">
        <v>635</v>
      </c>
      <c r="C329" s="10" t="s">
        <v>18</v>
      </c>
      <c r="D329" s="7">
        <v>2</v>
      </c>
      <c r="E329" s="68">
        <v>14.8</v>
      </c>
      <c r="F329" s="69">
        <v>15.18</v>
      </c>
      <c r="G329" s="68">
        <v>16.899999999999999</v>
      </c>
      <c r="H329" s="64">
        <f t="shared" si="11"/>
        <v>29.6</v>
      </c>
    </row>
    <row r="330" spans="1:8" ht="28.8">
      <c r="A330" s="117" t="s">
        <v>299</v>
      </c>
      <c r="B330" s="147" t="s">
        <v>626</v>
      </c>
      <c r="C330" s="10" t="s">
        <v>18</v>
      </c>
      <c r="D330" s="7">
        <v>4</v>
      </c>
      <c r="E330" s="68">
        <v>29.6</v>
      </c>
      <c r="F330" s="74">
        <v>53.7</v>
      </c>
      <c r="G330" s="68">
        <v>61.28</v>
      </c>
      <c r="H330" s="64">
        <f t="shared" si="11"/>
        <v>118.4</v>
      </c>
    </row>
    <row r="331" spans="1:8">
      <c r="A331" s="117" t="s">
        <v>300</v>
      </c>
      <c r="B331" s="123" t="s">
        <v>719</v>
      </c>
      <c r="C331" s="49" t="s">
        <v>18</v>
      </c>
      <c r="D331" s="49">
        <v>4600</v>
      </c>
      <c r="E331" s="68">
        <v>14</v>
      </c>
      <c r="F331" s="69">
        <v>14</v>
      </c>
      <c r="G331" s="68">
        <v>18.2</v>
      </c>
      <c r="H331" s="64">
        <f t="shared" si="11"/>
        <v>64400</v>
      </c>
    </row>
    <row r="332" spans="1:8" ht="28.8">
      <c r="A332" s="117" t="s">
        <v>301</v>
      </c>
      <c r="B332" s="123" t="s">
        <v>302</v>
      </c>
      <c r="C332" s="49" t="s">
        <v>18</v>
      </c>
      <c r="D332" s="49">
        <v>1200</v>
      </c>
      <c r="E332" s="68">
        <v>29.92</v>
      </c>
      <c r="F332" s="69">
        <v>44</v>
      </c>
      <c r="G332" s="68">
        <v>73.44</v>
      </c>
      <c r="H332" s="64">
        <f t="shared" si="11"/>
        <v>35904</v>
      </c>
    </row>
    <row r="333" spans="1:8">
      <c r="A333" s="117" t="s">
        <v>303</v>
      </c>
      <c r="B333" s="144" t="s">
        <v>642</v>
      </c>
      <c r="C333" s="49" t="s">
        <v>18</v>
      </c>
      <c r="D333" s="49">
        <v>20</v>
      </c>
      <c r="E333" s="68">
        <v>20</v>
      </c>
      <c r="F333" s="69">
        <v>27.46</v>
      </c>
      <c r="G333" s="68">
        <v>35</v>
      </c>
      <c r="H333" s="64">
        <f t="shared" si="11"/>
        <v>400</v>
      </c>
    </row>
    <row r="334" spans="1:8">
      <c r="A334" s="117" t="s">
        <v>304</v>
      </c>
      <c r="B334" s="144" t="s">
        <v>643</v>
      </c>
      <c r="C334" s="49" t="s">
        <v>68</v>
      </c>
      <c r="D334" s="49">
        <v>20</v>
      </c>
      <c r="E334" s="68">
        <v>36.200000000000003</v>
      </c>
      <c r="F334" s="69">
        <v>45.25</v>
      </c>
      <c r="G334" s="68">
        <v>52.49</v>
      </c>
      <c r="H334" s="64">
        <f t="shared" si="11"/>
        <v>724</v>
      </c>
    </row>
    <row r="335" spans="1:8" ht="28.8">
      <c r="A335" s="117" t="s">
        <v>305</v>
      </c>
      <c r="B335" s="144" t="s">
        <v>644</v>
      </c>
      <c r="C335" s="49" t="s">
        <v>103</v>
      </c>
      <c r="D335" s="49">
        <v>8</v>
      </c>
      <c r="E335" s="68">
        <v>120</v>
      </c>
      <c r="F335" s="69">
        <v>150</v>
      </c>
      <c r="G335" s="68">
        <v>156</v>
      </c>
      <c r="H335" s="64">
        <f t="shared" si="11"/>
        <v>960</v>
      </c>
    </row>
    <row r="336" spans="1:8" ht="28.8">
      <c r="A336" s="117" t="s">
        <v>306</v>
      </c>
      <c r="B336" s="144" t="s">
        <v>645</v>
      </c>
      <c r="C336" s="49" t="s">
        <v>68</v>
      </c>
      <c r="D336" s="49">
        <v>8</v>
      </c>
      <c r="E336" s="68">
        <v>15.18</v>
      </c>
      <c r="F336" s="69">
        <v>18.899999999999999</v>
      </c>
      <c r="G336" s="68">
        <v>19.73</v>
      </c>
      <c r="H336" s="64">
        <f t="shared" si="11"/>
        <v>121.44</v>
      </c>
    </row>
    <row r="337" spans="1:8" ht="28.8">
      <c r="A337" s="117" t="s">
        <v>307</v>
      </c>
      <c r="B337" s="126" t="s">
        <v>497</v>
      </c>
      <c r="C337" s="49" t="s">
        <v>68</v>
      </c>
      <c r="D337" s="49">
        <v>2</v>
      </c>
      <c r="E337" s="276">
        <v>34.9</v>
      </c>
      <c r="F337" s="207">
        <v>45.9</v>
      </c>
      <c r="G337" s="70">
        <v>48.62</v>
      </c>
      <c r="H337" s="64">
        <f t="shared" si="11"/>
        <v>69.8</v>
      </c>
    </row>
    <row r="338" spans="1:8">
      <c r="A338" s="117" t="s">
        <v>308</v>
      </c>
      <c r="B338" s="126" t="s">
        <v>498</v>
      </c>
      <c r="C338" s="11" t="s">
        <v>18</v>
      </c>
      <c r="D338" s="11">
        <v>8</v>
      </c>
      <c r="E338" s="68">
        <v>14.18</v>
      </c>
      <c r="F338" s="69">
        <v>17.5</v>
      </c>
      <c r="G338" s="68">
        <v>55.9</v>
      </c>
      <c r="H338" s="64">
        <f t="shared" si="11"/>
        <v>113.44</v>
      </c>
    </row>
    <row r="339" spans="1:8" ht="28.8">
      <c r="A339" s="117" t="s">
        <v>309</v>
      </c>
      <c r="B339" s="126" t="s">
        <v>646</v>
      </c>
      <c r="C339" s="11" t="s">
        <v>18</v>
      </c>
      <c r="D339" s="11">
        <v>10</v>
      </c>
      <c r="E339" s="73">
        <v>15.5</v>
      </c>
      <c r="F339" s="232">
        <v>24.2</v>
      </c>
      <c r="G339" s="73">
        <v>29.9</v>
      </c>
      <c r="H339" s="64">
        <f t="shared" si="11"/>
        <v>155</v>
      </c>
    </row>
    <row r="340" spans="1:8" ht="28.8">
      <c r="A340" s="117" t="s">
        <v>426</v>
      </c>
      <c r="B340" s="164" t="s">
        <v>647</v>
      </c>
      <c r="C340" s="112" t="s">
        <v>68</v>
      </c>
      <c r="D340" s="112">
        <v>2</v>
      </c>
      <c r="E340" s="70">
        <v>7.2</v>
      </c>
      <c r="F340" s="74">
        <v>7.36</v>
      </c>
      <c r="G340" s="73">
        <v>17.8</v>
      </c>
      <c r="H340" s="64">
        <f t="shared" si="11"/>
        <v>14.4</v>
      </c>
    </row>
    <row r="341" spans="1:8" ht="28.8">
      <c r="A341" s="117" t="s">
        <v>427</v>
      </c>
      <c r="B341" s="166" t="s">
        <v>648</v>
      </c>
      <c r="C341" s="113" t="s">
        <v>103</v>
      </c>
      <c r="D341" s="111">
        <v>10</v>
      </c>
      <c r="E341" s="68">
        <v>14.75</v>
      </c>
      <c r="F341" s="69">
        <v>17.899999999999999</v>
      </c>
      <c r="G341" s="68">
        <v>21.99</v>
      </c>
      <c r="H341" s="64">
        <f t="shared" si="11"/>
        <v>147.5</v>
      </c>
    </row>
    <row r="342" spans="1:8" ht="28.8">
      <c r="A342" s="117" t="s">
        <v>428</v>
      </c>
      <c r="B342" s="166" t="s">
        <v>649</v>
      </c>
      <c r="C342" s="113" t="s">
        <v>68</v>
      </c>
      <c r="D342" s="111">
        <v>4</v>
      </c>
      <c r="E342" s="68">
        <v>5.82</v>
      </c>
      <c r="F342" s="69">
        <v>10.039999999999999</v>
      </c>
      <c r="G342" s="68">
        <v>12.68</v>
      </c>
      <c r="H342" s="64">
        <f t="shared" si="11"/>
        <v>23.28</v>
      </c>
    </row>
    <row r="343" spans="1:8" ht="28.8">
      <c r="A343" s="117" t="s">
        <v>429</v>
      </c>
      <c r="B343" s="166" t="s">
        <v>650</v>
      </c>
      <c r="C343" s="113" t="s">
        <v>68</v>
      </c>
      <c r="D343" s="111">
        <v>8</v>
      </c>
      <c r="E343" s="68">
        <v>42.67</v>
      </c>
      <c r="F343" s="68">
        <v>48.67</v>
      </c>
      <c r="G343" s="69">
        <v>68.63</v>
      </c>
      <c r="H343" s="64">
        <f t="shared" si="11"/>
        <v>341.36</v>
      </c>
    </row>
    <row r="344" spans="1:8">
      <c r="A344" s="571" t="s">
        <v>389</v>
      </c>
      <c r="B344" s="583"/>
      <c r="C344" s="598"/>
      <c r="D344" s="375"/>
      <c r="E344" s="374"/>
      <c r="F344" s="374"/>
      <c r="G344" s="374"/>
      <c r="H344" s="357">
        <f>SUM(H293:H343)</f>
        <v>465338.05559999996</v>
      </c>
    </row>
    <row r="345" spans="1:8">
      <c r="A345" s="568" t="s">
        <v>764</v>
      </c>
      <c r="B345" s="579"/>
      <c r="C345" s="295"/>
      <c r="D345" s="359"/>
      <c r="E345" s="376"/>
      <c r="F345" s="376"/>
      <c r="G345" s="376"/>
      <c r="H345" s="377">
        <f>H344+H291+H252+H161</f>
        <v>8604978.2295999974</v>
      </c>
    </row>
    <row r="346" spans="1:8" ht="28.8">
      <c r="A346" s="167">
        <v>5</v>
      </c>
      <c r="B346" s="116" t="s">
        <v>312</v>
      </c>
      <c r="C346" s="85" t="s">
        <v>7</v>
      </c>
      <c r="D346" s="85" t="s">
        <v>8</v>
      </c>
      <c r="E346" s="86" t="s">
        <v>410</v>
      </c>
      <c r="F346" s="86" t="s">
        <v>408</v>
      </c>
      <c r="G346" s="86" t="s">
        <v>409</v>
      </c>
      <c r="H346" s="93" t="s">
        <v>9</v>
      </c>
    </row>
    <row r="347" spans="1:8" ht="28.8">
      <c r="A347" s="168" t="s">
        <v>313</v>
      </c>
      <c r="B347" s="118" t="s">
        <v>714</v>
      </c>
      <c r="C347" s="11" t="s">
        <v>13</v>
      </c>
      <c r="D347" s="11">
        <v>17</v>
      </c>
      <c r="E347" s="251">
        <f>(2825.54*97%)+2825.54</f>
        <v>5566.3137999999999</v>
      </c>
      <c r="F347" s="249">
        <f>(2942.99*97%)+2942.99</f>
        <v>5797.6902999999993</v>
      </c>
      <c r="G347" s="68">
        <f>(1700*97%)+1700</f>
        <v>3349</v>
      </c>
      <c r="H347" s="94">
        <f>E347*D347*3</f>
        <v>283882.00380000001</v>
      </c>
    </row>
    <row r="348" spans="1:8" ht="28.8">
      <c r="A348" s="168" t="s">
        <v>315</v>
      </c>
      <c r="B348" s="118" t="s">
        <v>715</v>
      </c>
      <c r="C348" s="11" t="s">
        <v>13</v>
      </c>
      <c r="D348" s="11">
        <v>17</v>
      </c>
      <c r="E348" s="68">
        <f>(1412*97%)+1412</f>
        <v>2781.64</v>
      </c>
      <c r="F348" s="69">
        <f>(1454*97%)+1454</f>
        <v>2864.38</v>
      </c>
      <c r="G348" s="68">
        <f>(1700*97%)+1700</f>
        <v>3349</v>
      </c>
      <c r="H348" s="94">
        <f>E348*D348*12</f>
        <v>567454.55999999994</v>
      </c>
    </row>
    <row r="349" spans="1:8" ht="28.8">
      <c r="A349" s="168" t="s">
        <v>317</v>
      </c>
      <c r="B349" s="119" t="s">
        <v>515</v>
      </c>
      <c r="C349" s="16" t="s">
        <v>15</v>
      </c>
      <c r="D349" s="16">
        <f>20*15*17</f>
        <v>5100</v>
      </c>
      <c r="E349" s="68">
        <v>32</v>
      </c>
      <c r="F349" s="69">
        <v>32</v>
      </c>
      <c r="G349" s="68">
        <v>35</v>
      </c>
      <c r="H349" s="94">
        <f>E349*D349</f>
        <v>163200</v>
      </c>
    </row>
    <row r="350" spans="1:8" ht="28.8">
      <c r="A350" s="168" t="s">
        <v>318</v>
      </c>
      <c r="B350" s="119" t="s">
        <v>574</v>
      </c>
      <c r="C350" s="16" t="s">
        <v>15</v>
      </c>
      <c r="D350" s="16">
        <f>20*15*17</f>
        <v>5100</v>
      </c>
      <c r="E350" s="68">
        <v>8</v>
      </c>
      <c r="F350" s="69">
        <v>8.6</v>
      </c>
      <c r="G350" s="68">
        <v>9</v>
      </c>
      <c r="H350" s="94">
        <f t="shared" ref="H350:H354" si="12">E350*D350</f>
        <v>40800</v>
      </c>
    </row>
    <row r="351" spans="1:8" ht="57.6">
      <c r="A351" s="168" t="s">
        <v>319</v>
      </c>
      <c r="B351" s="120" t="s">
        <v>651</v>
      </c>
      <c r="C351" s="19" t="s">
        <v>18</v>
      </c>
      <c r="D351" s="19">
        <v>3</v>
      </c>
      <c r="E351" s="73">
        <v>1849.77</v>
      </c>
      <c r="F351" s="232">
        <v>2899</v>
      </c>
      <c r="G351" s="68">
        <v>3199</v>
      </c>
      <c r="H351" s="94">
        <f t="shared" si="12"/>
        <v>5549.3099999999995</v>
      </c>
    </row>
    <row r="352" spans="1:8" ht="28.8">
      <c r="A352" s="168" t="s">
        <v>320</v>
      </c>
      <c r="B352" s="120" t="s">
        <v>567</v>
      </c>
      <c r="C352" s="19" t="s">
        <v>18</v>
      </c>
      <c r="D352" s="19">
        <v>3</v>
      </c>
      <c r="E352" s="73">
        <v>169.9</v>
      </c>
      <c r="F352" s="232">
        <v>189</v>
      </c>
      <c r="G352" s="68">
        <v>197.59</v>
      </c>
      <c r="H352" s="378">
        <f t="shared" si="12"/>
        <v>509.70000000000005</v>
      </c>
    </row>
    <row r="353" spans="1:8" ht="43.2">
      <c r="A353" s="168" t="s">
        <v>321</v>
      </c>
      <c r="B353" s="120" t="s">
        <v>652</v>
      </c>
      <c r="C353" s="19" t="s">
        <v>18</v>
      </c>
      <c r="D353" s="19">
        <v>3</v>
      </c>
      <c r="E353" s="73">
        <v>1386</v>
      </c>
      <c r="F353" s="232">
        <v>1549</v>
      </c>
      <c r="G353" s="68">
        <v>1649.9</v>
      </c>
      <c r="H353" s="15">
        <f t="shared" si="12"/>
        <v>4158</v>
      </c>
    </row>
    <row r="354" spans="1:8" ht="28.8">
      <c r="A354" s="168" t="s">
        <v>322</v>
      </c>
      <c r="B354" s="120" t="s">
        <v>462</v>
      </c>
      <c r="C354" s="19" t="s">
        <v>13</v>
      </c>
      <c r="D354" s="19">
        <v>17</v>
      </c>
      <c r="E354" s="73">
        <v>124.99</v>
      </c>
      <c r="F354" s="232">
        <v>142</v>
      </c>
      <c r="G354" s="68">
        <v>159.99</v>
      </c>
      <c r="H354" s="15">
        <f t="shared" si="12"/>
        <v>2124.83</v>
      </c>
    </row>
    <row r="355" spans="1:8" ht="43.2">
      <c r="A355" s="168" t="s">
        <v>323</v>
      </c>
      <c r="B355" s="120" t="s">
        <v>653</v>
      </c>
      <c r="C355" s="16" t="s">
        <v>18</v>
      </c>
      <c r="D355" s="16">
        <v>12</v>
      </c>
      <c r="E355" s="68">
        <v>125.75</v>
      </c>
      <c r="F355" s="69">
        <v>150.72999999999999</v>
      </c>
      <c r="G355" s="68">
        <v>179.39</v>
      </c>
      <c r="H355" s="23">
        <f>E355+G355</f>
        <v>305.14</v>
      </c>
    </row>
    <row r="356" spans="1:8" ht="28.8">
      <c r="A356" s="168" t="s">
        <v>324</v>
      </c>
      <c r="B356" s="123" t="s">
        <v>720</v>
      </c>
      <c r="C356" s="7" t="s">
        <v>13</v>
      </c>
      <c r="D356" s="7">
        <v>17</v>
      </c>
      <c r="E356" s="73">
        <v>7950</v>
      </c>
      <c r="F356" s="73">
        <v>8763.6</v>
      </c>
      <c r="G356" s="232">
        <v>9350</v>
      </c>
      <c r="H356" s="9">
        <f>F356*D358*2</f>
        <v>17527.2</v>
      </c>
    </row>
    <row r="357" spans="1:8" ht="28.8">
      <c r="A357" s="168" t="s">
        <v>325</v>
      </c>
      <c r="B357" s="123" t="s">
        <v>707</v>
      </c>
      <c r="C357" s="7" t="s">
        <v>15</v>
      </c>
      <c r="D357" s="7">
        <v>3</v>
      </c>
      <c r="E357" s="73">
        <v>300</v>
      </c>
      <c r="F357" s="232">
        <v>600</v>
      </c>
      <c r="G357" s="73">
        <v>975</v>
      </c>
      <c r="H357" s="15">
        <f t="shared" ref="H357:H413" si="13">E357*D357</f>
        <v>900</v>
      </c>
    </row>
    <row r="358" spans="1:8" ht="28.8">
      <c r="A358" s="168" t="s">
        <v>326</v>
      </c>
      <c r="B358" s="123" t="s">
        <v>579</v>
      </c>
      <c r="C358" s="7" t="s">
        <v>15</v>
      </c>
      <c r="D358" s="7">
        <v>1</v>
      </c>
      <c r="E358" s="73">
        <v>144.9</v>
      </c>
      <c r="F358" s="232">
        <v>0</v>
      </c>
      <c r="G358" s="73">
        <v>265</v>
      </c>
      <c r="H358" s="15">
        <f>E358*D358*2</f>
        <v>289.8</v>
      </c>
    </row>
    <row r="359" spans="1:8" ht="28.8">
      <c r="A359" s="168" t="s">
        <v>327</v>
      </c>
      <c r="B359" s="123" t="s">
        <v>654</v>
      </c>
      <c r="C359" s="7" t="s">
        <v>13</v>
      </c>
      <c r="D359" s="7">
        <v>17</v>
      </c>
      <c r="E359" s="73">
        <v>49.9</v>
      </c>
      <c r="F359" s="232">
        <v>60</v>
      </c>
      <c r="G359" s="73">
        <v>65.900000000000006</v>
      </c>
      <c r="H359" s="15">
        <f>E359*D359*2</f>
        <v>1696.6</v>
      </c>
    </row>
    <row r="360" spans="1:8" ht="28.8">
      <c r="A360" s="168" t="s">
        <v>328</v>
      </c>
      <c r="B360" s="123" t="s">
        <v>655</v>
      </c>
      <c r="C360" s="7" t="s">
        <v>108</v>
      </c>
      <c r="D360" s="7">
        <f>88*4*17*2</f>
        <v>11968</v>
      </c>
      <c r="E360" s="73">
        <v>6.47</v>
      </c>
      <c r="F360" s="232">
        <v>6.48</v>
      </c>
      <c r="G360" s="73">
        <v>6.49</v>
      </c>
      <c r="H360" s="15">
        <f t="shared" si="13"/>
        <v>77432.959999999992</v>
      </c>
    </row>
    <row r="361" spans="1:8" ht="28.8">
      <c r="A361" s="168" t="s">
        <v>329</v>
      </c>
      <c r="B361" s="123" t="s">
        <v>634</v>
      </c>
      <c r="C361" s="7" t="s">
        <v>18</v>
      </c>
      <c r="D361" s="7">
        <v>6</v>
      </c>
      <c r="E361" s="73">
        <v>99.86</v>
      </c>
      <c r="F361" s="232">
        <v>109.49</v>
      </c>
      <c r="G361" s="73">
        <v>211.19</v>
      </c>
      <c r="H361" s="15">
        <f t="shared" si="13"/>
        <v>599.16</v>
      </c>
    </row>
    <row r="362" spans="1:8" ht="28.8">
      <c r="A362" s="169" t="s">
        <v>330</v>
      </c>
      <c r="B362" s="132" t="s">
        <v>469</v>
      </c>
      <c r="C362" s="32" t="s">
        <v>18</v>
      </c>
      <c r="D362" s="32">
        <f>6*15</f>
        <v>90</v>
      </c>
      <c r="E362" s="73">
        <v>60</v>
      </c>
      <c r="F362" s="73">
        <v>65</v>
      </c>
      <c r="G362" s="232">
        <v>70</v>
      </c>
      <c r="H362" s="15">
        <f t="shared" si="13"/>
        <v>5400</v>
      </c>
    </row>
    <row r="363" spans="1:8" ht="43.2">
      <c r="A363" s="169" t="s">
        <v>331</v>
      </c>
      <c r="B363" s="132" t="s">
        <v>501</v>
      </c>
      <c r="C363" s="32" t="s">
        <v>18</v>
      </c>
      <c r="D363" s="32">
        <f>6*15</f>
        <v>90</v>
      </c>
      <c r="E363" s="73">
        <v>25</v>
      </c>
      <c r="F363" s="73">
        <v>40</v>
      </c>
      <c r="G363" s="232">
        <v>43</v>
      </c>
      <c r="H363" s="15">
        <f t="shared" si="13"/>
        <v>2250</v>
      </c>
    </row>
    <row r="364" spans="1:8" ht="28.8">
      <c r="A364" s="168" t="s">
        <v>332</v>
      </c>
      <c r="B364" s="125" t="s">
        <v>526</v>
      </c>
      <c r="C364" s="32" t="s">
        <v>18</v>
      </c>
      <c r="D364" s="32">
        <f>2*15*2</f>
        <v>60</v>
      </c>
      <c r="E364" s="73">
        <v>77.34</v>
      </c>
      <c r="F364" s="232">
        <v>103.8</v>
      </c>
      <c r="G364" s="73">
        <v>117.95</v>
      </c>
      <c r="H364" s="15">
        <f t="shared" si="13"/>
        <v>4640.4000000000005</v>
      </c>
    </row>
    <row r="365" spans="1:8" ht="28.8">
      <c r="A365" s="168" t="s">
        <v>333</v>
      </c>
      <c r="B365" s="125" t="s">
        <v>584</v>
      </c>
      <c r="C365" s="32" t="s">
        <v>18</v>
      </c>
      <c r="D365" s="32">
        <f>2*2*3</f>
        <v>12</v>
      </c>
      <c r="E365" s="73">
        <v>22.94</v>
      </c>
      <c r="F365" s="232">
        <v>23.46</v>
      </c>
      <c r="G365" s="73">
        <v>30</v>
      </c>
      <c r="H365" s="15">
        <f t="shared" si="13"/>
        <v>275.28000000000003</v>
      </c>
    </row>
    <row r="366" spans="1:8" ht="28.8">
      <c r="A366" s="168" t="s">
        <v>334</v>
      </c>
      <c r="B366" s="125" t="s">
        <v>527</v>
      </c>
      <c r="C366" s="32" t="s">
        <v>18</v>
      </c>
      <c r="D366" s="32">
        <f>2*8*3</f>
        <v>48</v>
      </c>
      <c r="E366" s="73">
        <v>21.8</v>
      </c>
      <c r="F366" s="232">
        <v>36</v>
      </c>
      <c r="G366" s="73">
        <v>46.9</v>
      </c>
      <c r="H366" s="15">
        <f t="shared" si="13"/>
        <v>1046.4000000000001</v>
      </c>
    </row>
    <row r="367" spans="1:8" ht="28.8">
      <c r="A367" s="168" t="s">
        <v>335</v>
      </c>
      <c r="B367" s="135" t="s">
        <v>528</v>
      </c>
      <c r="C367" s="32" t="s">
        <v>18</v>
      </c>
      <c r="D367" s="32">
        <f>2*10*3</f>
        <v>60</v>
      </c>
      <c r="E367" s="73">
        <v>13.93</v>
      </c>
      <c r="F367" s="74">
        <v>15.71</v>
      </c>
      <c r="G367" s="68">
        <v>22.5</v>
      </c>
      <c r="H367" s="15">
        <f t="shared" si="13"/>
        <v>835.8</v>
      </c>
    </row>
    <row r="368" spans="1:8" ht="28.8">
      <c r="A368" s="168" t="s">
        <v>336</v>
      </c>
      <c r="B368" s="125" t="s">
        <v>656</v>
      </c>
      <c r="C368" s="32" t="s">
        <v>18</v>
      </c>
      <c r="D368" s="32">
        <f>3*17*15</f>
        <v>765</v>
      </c>
      <c r="E368" s="260">
        <v>12.4</v>
      </c>
      <c r="F368" s="261">
        <v>13.5</v>
      </c>
      <c r="G368" s="68">
        <v>20.260000000000002</v>
      </c>
      <c r="H368" s="15">
        <f t="shared" si="13"/>
        <v>9486</v>
      </c>
    </row>
    <row r="369" spans="1:8" ht="28.8">
      <c r="A369" s="168" t="s">
        <v>337</v>
      </c>
      <c r="B369" s="125" t="s">
        <v>502</v>
      </c>
      <c r="C369" s="32" t="s">
        <v>18</v>
      </c>
      <c r="D369" s="370">
        <f>2*17*15</f>
        <v>510</v>
      </c>
      <c r="E369" s="68">
        <v>2.7</v>
      </c>
      <c r="F369" s="261">
        <v>2.75</v>
      </c>
      <c r="G369" s="260">
        <v>2.94</v>
      </c>
      <c r="H369" s="15">
        <f t="shared" si="13"/>
        <v>1377</v>
      </c>
    </row>
    <row r="370" spans="1:8" ht="43.2">
      <c r="A370" s="168" t="s">
        <v>338</v>
      </c>
      <c r="B370" s="125" t="s">
        <v>585</v>
      </c>
      <c r="C370" s="32" t="s">
        <v>18</v>
      </c>
      <c r="D370" s="370">
        <f>2*2*17</f>
        <v>68</v>
      </c>
      <c r="E370" s="260">
        <v>49.99</v>
      </c>
      <c r="F370" s="261">
        <v>59.99</v>
      </c>
      <c r="G370" s="260">
        <v>96.97</v>
      </c>
      <c r="H370" s="15">
        <f t="shared" si="13"/>
        <v>3399.32</v>
      </c>
    </row>
    <row r="371" spans="1:8">
      <c r="A371" s="168" t="s">
        <v>339</v>
      </c>
      <c r="B371" s="125" t="s">
        <v>619</v>
      </c>
      <c r="C371" s="32" t="s">
        <v>18</v>
      </c>
      <c r="D371" s="370">
        <f>3*3*4</f>
        <v>36</v>
      </c>
      <c r="E371" s="68">
        <v>160</v>
      </c>
      <c r="F371" s="261">
        <v>163</v>
      </c>
      <c r="G371" s="260">
        <v>193.63</v>
      </c>
      <c r="H371" s="15">
        <f t="shared" si="13"/>
        <v>5760</v>
      </c>
    </row>
    <row r="372" spans="1:8" ht="28.8">
      <c r="A372" s="168" t="s">
        <v>340</v>
      </c>
      <c r="B372" s="125" t="s">
        <v>474</v>
      </c>
      <c r="C372" s="32" t="s">
        <v>18</v>
      </c>
      <c r="D372" s="370">
        <f>15*2</f>
        <v>30</v>
      </c>
      <c r="E372" s="70">
        <v>35</v>
      </c>
      <c r="F372" s="74">
        <v>41.4</v>
      </c>
      <c r="G372" s="68">
        <v>168.26</v>
      </c>
      <c r="H372" s="15">
        <f t="shared" si="13"/>
        <v>1050</v>
      </c>
    </row>
    <row r="373" spans="1:8" ht="28.8">
      <c r="A373" s="168" t="s">
        <v>341</v>
      </c>
      <c r="B373" s="125" t="s">
        <v>475</v>
      </c>
      <c r="C373" s="32" t="s">
        <v>18</v>
      </c>
      <c r="D373" s="370">
        <f>15*2</f>
        <v>30</v>
      </c>
      <c r="E373" s="260">
        <v>41.4</v>
      </c>
      <c r="F373" s="69">
        <v>42.23</v>
      </c>
      <c r="G373" s="70">
        <v>50</v>
      </c>
      <c r="H373" s="15">
        <f t="shared" si="13"/>
        <v>1242</v>
      </c>
    </row>
    <row r="374" spans="1:8" ht="28.8">
      <c r="A374" s="168" t="s">
        <v>342</v>
      </c>
      <c r="B374" s="125" t="s">
        <v>504</v>
      </c>
      <c r="C374" s="32" t="s">
        <v>18</v>
      </c>
      <c r="D374" s="370">
        <f>6*2</f>
        <v>12</v>
      </c>
      <c r="E374" s="260">
        <v>27.94</v>
      </c>
      <c r="F374" s="69">
        <v>35.5</v>
      </c>
      <c r="G374" s="260">
        <v>39.6</v>
      </c>
      <c r="H374" s="15">
        <f t="shared" si="13"/>
        <v>335.28000000000003</v>
      </c>
    </row>
    <row r="375" spans="1:8" ht="28.8">
      <c r="A375" s="168" t="s">
        <v>343</v>
      </c>
      <c r="B375" s="125" t="s">
        <v>505</v>
      </c>
      <c r="C375" s="32" t="s">
        <v>18</v>
      </c>
      <c r="D375" s="370">
        <f>6*2</f>
        <v>12</v>
      </c>
      <c r="E375" s="260">
        <v>28.55</v>
      </c>
      <c r="F375" s="69">
        <v>28.8</v>
      </c>
      <c r="G375" s="260">
        <v>103.4</v>
      </c>
      <c r="H375" s="15">
        <f t="shared" si="13"/>
        <v>342.6</v>
      </c>
    </row>
    <row r="376" spans="1:8">
      <c r="A376" s="168" t="s">
        <v>344</v>
      </c>
      <c r="B376" s="170" t="s">
        <v>587</v>
      </c>
      <c r="C376" s="32" t="s">
        <v>18</v>
      </c>
      <c r="D376" s="370">
        <v>30</v>
      </c>
      <c r="E376" s="70">
        <v>1.3</v>
      </c>
      <c r="F376" s="69">
        <v>1.48</v>
      </c>
      <c r="G376" s="68">
        <v>1.75</v>
      </c>
      <c r="H376" s="15">
        <f t="shared" si="13"/>
        <v>39</v>
      </c>
    </row>
    <row r="377" spans="1:8" ht="43.2">
      <c r="A377" s="168" t="s">
        <v>345</v>
      </c>
      <c r="B377" s="125" t="s">
        <v>657</v>
      </c>
      <c r="C377" s="32" t="s">
        <v>18</v>
      </c>
      <c r="D377" s="370">
        <f>4*6</f>
        <v>24</v>
      </c>
      <c r="E377" s="261">
        <v>286</v>
      </c>
      <c r="F377" s="69">
        <v>484</v>
      </c>
      <c r="G377" s="68">
        <v>572</v>
      </c>
      <c r="H377" s="15">
        <f t="shared" si="13"/>
        <v>6864</v>
      </c>
    </row>
    <row r="378" spans="1:8" ht="43.2">
      <c r="A378" s="169" t="s">
        <v>346</v>
      </c>
      <c r="B378" s="125" t="s">
        <v>658</v>
      </c>
      <c r="C378" s="32" t="s">
        <v>18</v>
      </c>
      <c r="D378" s="370">
        <f>4*6</f>
        <v>24</v>
      </c>
      <c r="E378" s="68">
        <v>38.700000000000003</v>
      </c>
      <c r="F378" s="69">
        <v>65.64</v>
      </c>
      <c r="G378" s="260">
        <v>156.94999999999999</v>
      </c>
      <c r="H378" s="15">
        <f t="shared" si="13"/>
        <v>928.80000000000007</v>
      </c>
    </row>
    <row r="379" spans="1:8" ht="28.8">
      <c r="A379" s="169" t="s">
        <v>347</v>
      </c>
      <c r="B379" s="125" t="s">
        <v>507</v>
      </c>
      <c r="C379" s="32" t="s">
        <v>18</v>
      </c>
      <c r="D379" s="32">
        <f>2*6</f>
        <v>12</v>
      </c>
      <c r="E379" s="70">
        <v>133.01</v>
      </c>
      <c r="F379" s="69">
        <v>157.19999999999999</v>
      </c>
      <c r="G379" s="70">
        <v>175.33</v>
      </c>
      <c r="H379" s="15">
        <f t="shared" si="13"/>
        <v>1596.12</v>
      </c>
    </row>
    <row r="380" spans="1:8" ht="28.8">
      <c r="A380" s="169" t="s">
        <v>348</v>
      </c>
      <c r="B380" s="125" t="s">
        <v>508</v>
      </c>
      <c r="C380" s="32" t="s">
        <v>18</v>
      </c>
      <c r="D380" s="32">
        <f>2*6</f>
        <v>12</v>
      </c>
      <c r="E380" s="68">
        <v>2.77</v>
      </c>
      <c r="F380" s="74">
        <v>3.75</v>
      </c>
      <c r="G380" s="260">
        <v>3.96</v>
      </c>
      <c r="H380" s="15">
        <f t="shared" si="13"/>
        <v>33.24</v>
      </c>
    </row>
    <row r="381" spans="1:8" ht="28.8">
      <c r="A381" s="169" t="s">
        <v>349</v>
      </c>
      <c r="B381" s="125" t="s">
        <v>659</v>
      </c>
      <c r="C381" s="32" t="s">
        <v>18</v>
      </c>
      <c r="D381" s="32">
        <v>3</v>
      </c>
      <c r="E381" s="260">
        <v>26.5</v>
      </c>
      <c r="F381" s="260">
        <v>61.9</v>
      </c>
      <c r="G381" s="69">
        <v>83.6</v>
      </c>
      <c r="H381" s="15">
        <f t="shared" si="13"/>
        <v>79.5</v>
      </c>
    </row>
    <row r="382" spans="1:8" ht="28.8">
      <c r="A382" s="169" t="s">
        <v>350</v>
      </c>
      <c r="B382" s="125" t="s">
        <v>494</v>
      </c>
      <c r="C382" s="32" t="s">
        <v>18</v>
      </c>
      <c r="D382" s="32">
        <v>6</v>
      </c>
      <c r="E382" s="70">
        <v>27.9</v>
      </c>
      <c r="F382" s="261">
        <v>30</v>
      </c>
      <c r="G382" s="70">
        <v>32.229999999999997</v>
      </c>
      <c r="H382" s="15">
        <f t="shared" si="13"/>
        <v>167.39999999999998</v>
      </c>
    </row>
    <row r="383" spans="1:8">
      <c r="A383" s="169" t="s">
        <v>351</v>
      </c>
      <c r="B383" s="125" t="s">
        <v>495</v>
      </c>
      <c r="C383" s="32" t="s">
        <v>18</v>
      </c>
      <c r="D383" s="32">
        <f>2*3</f>
        <v>6</v>
      </c>
      <c r="E383" s="68">
        <v>157.44</v>
      </c>
      <c r="F383" s="69">
        <v>184.26</v>
      </c>
      <c r="G383" s="68">
        <v>208.95</v>
      </c>
      <c r="H383" s="15">
        <f t="shared" si="13"/>
        <v>944.64</v>
      </c>
    </row>
    <row r="384" spans="1:8">
      <c r="A384" s="169" t="s">
        <v>352</v>
      </c>
      <c r="B384" s="125" t="s">
        <v>496</v>
      </c>
      <c r="C384" s="32" t="s">
        <v>18</v>
      </c>
      <c r="D384" s="32">
        <f>4*3</f>
        <v>12</v>
      </c>
      <c r="E384" s="68">
        <v>33.729999999999997</v>
      </c>
      <c r="F384" s="69">
        <v>43.66</v>
      </c>
      <c r="G384" s="68">
        <v>72</v>
      </c>
      <c r="H384" s="15">
        <f t="shared" si="13"/>
        <v>404.76</v>
      </c>
    </row>
    <row r="385" spans="1:8" ht="28.8">
      <c r="A385" s="169" t="s">
        <v>353</v>
      </c>
      <c r="B385" s="143" t="s">
        <v>107</v>
      </c>
      <c r="C385" s="57" t="s">
        <v>18</v>
      </c>
      <c r="D385" s="57">
        <v>6</v>
      </c>
      <c r="E385" s="68">
        <v>3200.55</v>
      </c>
      <c r="F385" s="69">
        <v>3309</v>
      </c>
      <c r="G385" s="68">
        <v>3369</v>
      </c>
      <c r="H385" s="15">
        <f t="shared" si="13"/>
        <v>19203.300000000003</v>
      </c>
    </row>
    <row r="386" spans="1:8" ht="28.8">
      <c r="A386" s="169" t="s">
        <v>354</v>
      </c>
      <c r="B386" s="143" t="s">
        <v>660</v>
      </c>
      <c r="C386" s="57" t="s">
        <v>108</v>
      </c>
      <c r="D386" s="57">
        <f>10*4*20*6</f>
        <v>4800</v>
      </c>
      <c r="E386" s="70">
        <v>6.08</v>
      </c>
      <c r="F386" s="74">
        <v>6.09</v>
      </c>
      <c r="G386" s="70">
        <v>6.35</v>
      </c>
      <c r="H386" s="15">
        <f t="shared" si="13"/>
        <v>29184</v>
      </c>
    </row>
    <row r="387" spans="1:8" ht="28.8">
      <c r="A387" s="169" t="s">
        <v>355</v>
      </c>
      <c r="B387" s="143" t="s">
        <v>510</v>
      </c>
      <c r="C387" s="57" t="s">
        <v>108</v>
      </c>
      <c r="D387" s="57">
        <f>20*6</f>
        <v>120</v>
      </c>
      <c r="E387" s="68">
        <v>43.98</v>
      </c>
      <c r="F387" s="69">
        <v>47.42</v>
      </c>
      <c r="G387" s="68">
        <v>47.9</v>
      </c>
      <c r="H387" s="15">
        <f t="shared" si="13"/>
        <v>5277.5999999999995</v>
      </c>
    </row>
    <row r="388" spans="1:8" ht="28.8">
      <c r="A388" s="169" t="s">
        <v>356</v>
      </c>
      <c r="B388" s="143" t="s">
        <v>511</v>
      </c>
      <c r="C388" s="57" t="s">
        <v>109</v>
      </c>
      <c r="D388" s="57">
        <f>10*6</f>
        <v>60</v>
      </c>
      <c r="E388" s="68">
        <v>26.24</v>
      </c>
      <c r="F388" s="69">
        <v>28.33</v>
      </c>
      <c r="G388" s="68">
        <v>31.98</v>
      </c>
      <c r="H388" s="15">
        <f t="shared" si="13"/>
        <v>1574.3999999999999</v>
      </c>
    </row>
    <row r="389" spans="1:8" ht="28.8">
      <c r="A389" s="169" t="s">
        <v>357</v>
      </c>
      <c r="B389" s="143" t="s">
        <v>537</v>
      </c>
      <c r="C389" s="57" t="s">
        <v>68</v>
      </c>
      <c r="D389" s="57">
        <f>(3*13*6)/20</f>
        <v>11.7</v>
      </c>
      <c r="E389" s="68">
        <v>94.2</v>
      </c>
      <c r="F389" s="69">
        <v>108.6</v>
      </c>
      <c r="G389" s="68">
        <v>114.93</v>
      </c>
      <c r="H389" s="15">
        <f t="shared" si="13"/>
        <v>1102.1399999999999</v>
      </c>
    </row>
    <row r="390" spans="1:8" ht="28.8">
      <c r="A390" s="169" t="s">
        <v>358</v>
      </c>
      <c r="B390" s="143" t="s">
        <v>512</v>
      </c>
      <c r="C390" s="57" t="s">
        <v>18</v>
      </c>
      <c r="D390" s="57">
        <v>18</v>
      </c>
      <c r="E390" s="232">
        <v>37.47</v>
      </c>
      <c r="F390" s="73">
        <v>43.66</v>
      </c>
      <c r="G390" s="73">
        <v>48</v>
      </c>
      <c r="H390" s="15">
        <f t="shared" si="13"/>
        <v>674.46</v>
      </c>
    </row>
    <row r="391" spans="1:8" ht="28.8">
      <c r="A391" s="169" t="s">
        <v>359</v>
      </c>
      <c r="B391" s="143" t="s">
        <v>588</v>
      </c>
      <c r="C391" s="57" t="s">
        <v>18</v>
      </c>
      <c r="D391" s="57">
        <f>3*6*17/3</f>
        <v>102</v>
      </c>
      <c r="E391" s="256">
        <v>23.1</v>
      </c>
      <c r="F391" s="69">
        <v>25.52</v>
      </c>
      <c r="G391" s="68">
        <v>29.6</v>
      </c>
      <c r="H391" s="15">
        <f t="shared" si="13"/>
        <v>2356.2000000000003</v>
      </c>
    </row>
    <row r="392" spans="1:8" ht="28.8">
      <c r="A392" s="169" t="s">
        <v>360</v>
      </c>
      <c r="B392" s="143" t="s">
        <v>589</v>
      </c>
      <c r="C392" s="57" t="s">
        <v>18</v>
      </c>
      <c r="D392" s="57">
        <v>40</v>
      </c>
      <c r="E392" s="256">
        <v>54.78</v>
      </c>
      <c r="F392" s="69">
        <f>35.03+39.8</f>
        <v>74.83</v>
      </c>
      <c r="G392" s="260">
        <v>82.7</v>
      </c>
      <c r="H392" s="15">
        <f t="shared" si="13"/>
        <v>2191.1999999999998</v>
      </c>
    </row>
    <row r="393" spans="1:8">
      <c r="A393" s="169" t="s">
        <v>361</v>
      </c>
      <c r="B393" s="143" t="s">
        <v>590</v>
      </c>
      <c r="C393" s="57" t="s">
        <v>18</v>
      </c>
      <c r="D393" s="57">
        <v>40</v>
      </c>
      <c r="E393" s="68">
        <v>32.369999999999997</v>
      </c>
      <c r="F393" s="69">
        <v>33.74</v>
      </c>
      <c r="G393" s="68">
        <v>33.74</v>
      </c>
      <c r="H393" s="15">
        <f t="shared" si="13"/>
        <v>1294.8</v>
      </c>
    </row>
    <row r="394" spans="1:8" ht="28.8">
      <c r="A394" s="169" t="s">
        <v>362</v>
      </c>
      <c r="B394" s="138" t="s">
        <v>622</v>
      </c>
      <c r="C394" s="55" t="s">
        <v>68</v>
      </c>
      <c r="D394" s="55">
        <v>32</v>
      </c>
      <c r="E394" s="73">
        <v>204</v>
      </c>
      <c r="F394" s="232">
        <v>255</v>
      </c>
      <c r="G394" s="73">
        <v>280</v>
      </c>
      <c r="H394" s="15">
        <f t="shared" si="13"/>
        <v>6528</v>
      </c>
    </row>
    <row r="395" spans="1:8" ht="28.8">
      <c r="A395" s="169" t="s">
        <v>363</v>
      </c>
      <c r="B395" s="138" t="s">
        <v>545</v>
      </c>
      <c r="C395" s="55" t="s">
        <v>18</v>
      </c>
      <c r="D395" s="55">
        <v>14</v>
      </c>
      <c r="E395" s="68">
        <v>49</v>
      </c>
      <c r="F395" s="69">
        <v>64</v>
      </c>
      <c r="G395" s="68">
        <v>80</v>
      </c>
      <c r="H395" s="15">
        <f t="shared" si="13"/>
        <v>686</v>
      </c>
    </row>
    <row r="396" spans="1:8" ht="28.8">
      <c r="A396" s="169" t="s">
        <v>364</v>
      </c>
      <c r="B396" s="147" t="s">
        <v>546</v>
      </c>
      <c r="C396" s="55" t="s">
        <v>18</v>
      </c>
      <c r="D396" s="55">
        <v>7</v>
      </c>
      <c r="E396" s="68">
        <v>49.6</v>
      </c>
      <c r="F396" s="69">
        <v>62</v>
      </c>
      <c r="G396" s="68">
        <v>95.25</v>
      </c>
      <c r="H396" s="15">
        <f t="shared" si="13"/>
        <v>347.2</v>
      </c>
    </row>
    <row r="397" spans="1:8" ht="28.8">
      <c r="A397" s="169" t="s">
        <v>365</v>
      </c>
      <c r="B397" s="147" t="s">
        <v>591</v>
      </c>
      <c r="C397" s="55" t="s">
        <v>18</v>
      </c>
      <c r="D397" s="55">
        <v>38</v>
      </c>
      <c r="E397" s="68">
        <v>103.2</v>
      </c>
      <c r="F397" s="74">
        <v>129</v>
      </c>
      <c r="G397" s="68">
        <v>167.81</v>
      </c>
      <c r="H397" s="15">
        <f t="shared" si="13"/>
        <v>3921.6</v>
      </c>
    </row>
    <row r="398" spans="1:8" ht="28.8">
      <c r="A398" s="169" t="s">
        <v>366</v>
      </c>
      <c r="B398" s="147" t="s">
        <v>661</v>
      </c>
      <c r="C398" s="55" t="s">
        <v>18</v>
      </c>
      <c r="D398" s="55">
        <v>8</v>
      </c>
      <c r="E398" s="68">
        <v>37.6</v>
      </c>
      <c r="F398" s="69">
        <v>54</v>
      </c>
      <c r="G398" s="68">
        <v>59.6</v>
      </c>
      <c r="H398" s="15">
        <f t="shared" si="13"/>
        <v>300.8</v>
      </c>
    </row>
    <row r="399" spans="1:8" ht="28.8">
      <c r="A399" s="169" t="s">
        <v>367</v>
      </c>
      <c r="B399" s="147" t="s">
        <v>662</v>
      </c>
      <c r="C399" s="55" t="s">
        <v>18</v>
      </c>
      <c r="D399" s="55">
        <v>8</v>
      </c>
      <c r="E399" s="68">
        <v>29.6</v>
      </c>
      <c r="F399" s="74">
        <v>53.7</v>
      </c>
      <c r="G399" s="68">
        <v>61.28</v>
      </c>
      <c r="H399" s="15">
        <f t="shared" si="13"/>
        <v>236.8</v>
      </c>
    </row>
    <row r="400" spans="1:8" ht="28.8">
      <c r="A400" s="169" t="s">
        <v>368</v>
      </c>
      <c r="B400" s="147" t="s">
        <v>663</v>
      </c>
      <c r="C400" s="55" t="s">
        <v>18</v>
      </c>
      <c r="D400" s="55">
        <v>6</v>
      </c>
      <c r="E400" s="68">
        <v>36</v>
      </c>
      <c r="F400" s="69">
        <v>50.6</v>
      </c>
      <c r="G400" s="103">
        <v>54.6</v>
      </c>
      <c r="H400" s="15">
        <f t="shared" si="13"/>
        <v>216</v>
      </c>
    </row>
    <row r="401" spans="1:8" ht="28.8">
      <c r="A401" s="169" t="s">
        <v>369</v>
      </c>
      <c r="B401" s="147" t="s">
        <v>664</v>
      </c>
      <c r="C401" s="55" t="s">
        <v>18</v>
      </c>
      <c r="D401" s="55">
        <v>6</v>
      </c>
      <c r="E401" s="68">
        <v>45.39</v>
      </c>
      <c r="F401" s="232">
        <v>49.8</v>
      </c>
      <c r="G401" s="73">
        <v>84.64</v>
      </c>
      <c r="H401" s="15">
        <f t="shared" si="13"/>
        <v>272.34000000000003</v>
      </c>
    </row>
    <row r="402" spans="1:8" ht="28.8">
      <c r="A402" s="169" t="s">
        <v>370</v>
      </c>
      <c r="B402" s="147" t="s">
        <v>552</v>
      </c>
      <c r="C402" s="55" t="s">
        <v>18</v>
      </c>
      <c r="D402" s="55">
        <v>6</v>
      </c>
      <c r="E402" s="68">
        <v>140.54</v>
      </c>
      <c r="F402" s="232">
        <v>186.8</v>
      </c>
      <c r="G402" s="73">
        <v>341.8</v>
      </c>
      <c r="H402" s="15">
        <f t="shared" si="13"/>
        <v>843.24</v>
      </c>
    </row>
    <row r="403" spans="1:8" ht="28.8">
      <c r="A403" s="169" t="s">
        <v>371</v>
      </c>
      <c r="B403" s="147" t="s">
        <v>665</v>
      </c>
      <c r="C403" s="55" t="s">
        <v>18</v>
      </c>
      <c r="D403" s="55">
        <v>10</v>
      </c>
      <c r="E403" s="256">
        <v>5.38</v>
      </c>
      <c r="F403" s="232">
        <v>5.65</v>
      </c>
      <c r="G403" s="73">
        <v>12.6</v>
      </c>
      <c r="H403" s="15">
        <f t="shared" si="13"/>
        <v>53.8</v>
      </c>
    </row>
    <row r="404" spans="1:8" ht="28.8">
      <c r="A404" s="169" t="s">
        <v>372</v>
      </c>
      <c r="B404" s="144" t="s">
        <v>554</v>
      </c>
      <c r="C404" s="10" t="s">
        <v>18</v>
      </c>
      <c r="D404" s="7">
        <v>15</v>
      </c>
      <c r="E404" s="68">
        <v>120</v>
      </c>
      <c r="F404" s="232">
        <v>150</v>
      </c>
      <c r="G404" s="73">
        <v>156</v>
      </c>
      <c r="H404" s="15">
        <f t="shared" si="13"/>
        <v>1800</v>
      </c>
    </row>
    <row r="405" spans="1:8" ht="28.8">
      <c r="A405" s="169" t="s">
        <v>373</v>
      </c>
      <c r="B405" s="148" t="s">
        <v>555</v>
      </c>
      <c r="C405" s="10" t="s">
        <v>18</v>
      </c>
      <c r="D405" s="7">
        <v>15</v>
      </c>
      <c r="E405" s="68">
        <v>118</v>
      </c>
      <c r="F405" s="232">
        <v>147.5</v>
      </c>
      <c r="G405" s="73">
        <v>171.1</v>
      </c>
      <c r="H405" s="15">
        <f t="shared" si="13"/>
        <v>1770</v>
      </c>
    </row>
    <row r="406" spans="1:8">
      <c r="A406" s="169" t="s">
        <v>374</v>
      </c>
      <c r="B406" s="149" t="s">
        <v>597</v>
      </c>
      <c r="C406" s="10" t="s">
        <v>18</v>
      </c>
      <c r="D406" s="7">
        <v>3</v>
      </c>
      <c r="E406" s="68">
        <v>300</v>
      </c>
      <c r="F406" s="69">
        <v>375</v>
      </c>
      <c r="G406" s="68">
        <v>435</v>
      </c>
      <c r="H406" s="15">
        <f t="shared" si="13"/>
        <v>900</v>
      </c>
    </row>
    <row r="407" spans="1:8" ht="28.8">
      <c r="A407" s="169" t="s">
        <v>375</v>
      </c>
      <c r="B407" s="144" t="s">
        <v>557</v>
      </c>
      <c r="C407" s="10" t="s">
        <v>18</v>
      </c>
      <c r="D407" s="7">
        <v>3</v>
      </c>
      <c r="E407" s="68">
        <v>1000</v>
      </c>
      <c r="F407" s="69">
        <v>1250</v>
      </c>
      <c r="G407" s="68">
        <v>1300</v>
      </c>
      <c r="H407" s="15">
        <f t="shared" si="13"/>
        <v>3000</v>
      </c>
    </row>
    <row r="408" spans="1:8" ht="28.8">
      <c r="A408" s="169" t="s">
        <v>376</v>
      </c>
      <c r="B408" s="161" t="s">
        <v>598</v>
      </c>
      <c r="C408" s="10" t="s">
        <v>18</v>
      </c>
      <c r="D408" s="7">
        <v>3</v>
      </c>
      <c r="E408" s="68">
        <v>116</v>
      </c>
      <c r="F408" s="69">
        <v>145</v>
      </c>
      <c r="G408" s="68">
        <v>150</v>
      </c>
      <c r="H408" s="15">
        <f t="shared" si="13"/>
        <v>348</v>
      </c>
    </row>
    <row r="409" spans="1:8" ht="28.8">
      <c r="A409" s="169" t="s">
        <v>377</v>
      </c>
      <c r="B409" s="161" t="s">
        <v>599</v>
      </c>
      <c r="C409" s="10" t="s">
        <v>18</v>
      </c>
      <c r="D409" s="7">
        <v>3</v>
      </c>
      <c r="E409" s="68">
        <v>300</v>
      </c>
      <c r="F409" s="69">
        <v>375</v>
      </c>
      <c r="G409" s="68">
        <v>390</v>
      </c>
      <c r="H409" s="15">
        <f t="shared" si="13"/>
        <v>900</v>
      </c>
    </row>
    <row r="410" spans="1:8" ht="28.8">
      <c r="A410" s="169" t="s">
        <v>378</v>
      </c>
      <c r="B410" s="161" t="s">
        <v>600</v>
      </c>
      <c r="C410" s="10" t="s">
        <v>18</v>
      </c>
      <c r="D410" s="7">
        <v>3</v>
      </c>
      <c r="E410" s="68">
        <v>519.79999999999995</v>
      </c>
      <c r="F410" s="69">
        <v>519</v>
      </c>
      <c r="G410" s="68">
        <v>675</v>
      </c>
      <c r="H410" s="15">
        <f t="shared" si="13"/>
        <v>1559.3999999999999</v>
      </c>
    </row>
    <row r="411" spans="1:8" ht="28.8">
      <c r="A411" s="169" t="s">
        <v>379</v>
      </c>
      <c r="B411" s="161" t="s">
        <v>666</v>
      </c>
      <c r="C411" s="10" t="s">
        <v>18</v>
      </c>
      <c r="D411" s="7">
        <v>15</v>
      </c>
      <c r="E411" s="68">
        <v>29.46</v>
      </c>
      <c r="F411" s="69">
        <v>36.83</v>
      </c>
      <c r="G411" s="68">
        <v>38.299999999999997</v>
      </c>
      <c r="H411" s="15">
        <f t="shared" si="13"/>
        <v>441.90000000000003</v>
      </c>
    </row>
    <row r="412" spans="1:8" ht="28.8">
      <c r="A412" s="169" t="s">
        <v>380</v>
      </c>
      <c r="B412" s="151" t="s">
        <v>514</v>
      </c>
      <c r="C412" s="7" t="s">
        <v>18</v>
      </c>
      <c r="D412" s="7">
        <v>15</v>
      </c>
      <c r="E412" s="68">
        <v>15.18</v>
      </c>
      <c r="F412" s="69">
        <v>18.899999999999999</v>
      </c>
      <c r="G412" s="68">
        <v>19.73</v>
      </c>
      <c r="H412" s="15">
        <f t="shared" si="13"/>
        <v>227.7</v>
      </c>
    </row>
    <row r="413" spans="1:8" ht="28.8">
      <c r="A413" s="169" t="s">
        <v>381</v>
      </c>
      <c r="B413" s="151" t="s">
        <v>582</v>
      </c>
      <c r="C413" s="7" t="s">
        <v>15</v>
      </c>
      <c r="D413" s="7">
        <v>2</v>
      </c>
      <c r="E413" s="256">
        <v>800</v>
      </c>
      <c r="F413" s="69"/>
      <c r="G413" s="68"/>
      <c r="H413" s="15">
        <f t="shared" si="13"/>
        <v>1600</v>
      </c>
    </row>
    <row r="414" spans="1:8">
      <c r="A414" s="589" t="s">
        <v>255</v>
      </c>
      <c r="B414" s="599"/>
      <c r="C414" s="356"/>
      <c r="D414" s="356"/>
      <c r="E414" s="374"/>
      <c r="F414" s="374"/>
      <c r="G414" s="374"/>
      <c r="H414" s="357">
        <f>SUM(H347:H413)</f>
        <v>1303737.6837999998</v>
      </c>
    </row>
    <row r="415" spans="1:8">
      <c r="A415" s="294" t="s">
        <v>739</v>
      </c>
      <c r="B415" s="295"/>
      <c r="C415" s="295"/>
      <c r="D415" s="295"/>
      <c r="E415" s="297"/>
      <c r="F415" s="297"/>
      <c r="G415" s="297"/>
      <c r="H415" s="379">
        <f>H414</f>
        <v>1303737.6837999998</v>
      </c>
    </row>
    <row r="416" spans="1:8">
      <c r="A416" s="580" t="s">
        <v>391</v>
      </c>
      <c r="B416" s="581"/>
      <c r="C416" s="581"/>
      <c r="D416" s="581"/>
      <c r="E416" s="582"/>
      <c r="F416" s="88"/>
      <c r="G416" s="88"/>
      <c r="H416" s="88"/>
    </row>
    <row r="417" spans="1:8" ht="28.8">
      <c r="A417" s="171">
        <v>6</v>
      </c>
      <c r="B417" s="116" t="s">
        <v>383</v>
      </c>
      <c r="C417" s="85" t="s">
        <v>7</v>
      </c>
      <c r="D417" s="85" t="s">
        <v>8</v>
      </c>
      <c r="E417" s="86" t="s">
        <v>410</v>
      </c>
      <c r="F417" s="86" t="s">
        <v>408</v>
      </c>
      <c r="G417" s="86" t="s">
        <v>409</v>
      </c>
      <c r="H417" s="87" t="s">
        <v>9</v>
      </c>
    </row>
    <row r="418" spans="1:8">
      <c r="A418" s="172" t="s">
        <v>431</v>
      </c>
      <c r="B418" s="118" t="s">
        <v>436</v>
      </c>
      <c r="C418" s="77" t="s">
        <v>13</v>
      </c>
      <c r="D418" s="78">
        <v>36</v>
      </c>
      <c r="E418" s="68">
        <f>(3643*97%)+3643</f>
        <v>7176.71</v>
      </c>
      <c r="F418" s="69">
        <f>(5000*97%)+5000</f>
        <v>9850</v>
      </c>
      <c r="G418" s="68">
        <f>(5801*97%)+5801</f>
        <v>11427.970000000001</v>
      </c>
      <c r="H418" s="79">
        <f>E418*D418*2</f>
        <v>516723.12</v>
      </c>
    </row>
    <row r="419" spans="1:8" ht="72">
      <c r="A419" s="172" t="s">
        <v>432</v>
      </c>
      <c r="B419" s="173" t="s">
        <v>402</v>
      </c>
      <c r="C419" s="76" t="s">
        <v>15</v>
      </c>
      <c r="D419" s="76">
        <v>3</v>
      </c>
      <c r="E419" s="233">
        <v>10000</v>
      </c>
      <c r="F419" s="233">
        <v>10750</v>
      </c>
      <c r="G419" s="214">
        <v>11500</v>
      </c>
      <c r="H419" s="79">
        <f t="shared" ref="H419:H422" si="14">E419*D419</f>
        <v>30000</v>
      </c>
    </row>
    <row r="420" spans="1:8" ht="28.8">
      <c r="A420" s="172" t="s">
        <v>433</v>
      </c>
      <c r="B420" s="173" t="s">
        <v>403</v>
      </c>
      <c r="C420" s="76" t="s">
        <v>15</v>
      </c>
      <c r="D420" s="76">
        <v>3</v>
      </c>
      <c r="E420" s="233">
        <v>3500</v>
      </c>
      <c r="F420" s="233">
        <v>4000</v>
      </c>
      <c r="G420" s="214">
        <v>4200</v>
      </c>
      <c r="H420" s="79">
        <f t="shared" si="14"/>
        <v>10500</v>
      </c>
    </row>
    <row r="421" spans="1:8" ht="43.2">
      <c r="A421" s="172" t="s">
        <v>434</v>
      </c>
      <c r="B421" s="174" t="s">
        <v>406</v>
      </c>
      <c r="C421" s="80" t="s">
        <v>18</v>
      </c>
      <c r="D421" s="80">
        <v>30</v>
      </c>
      <c r="E421" s="69">
        <v>2810</v>
      </c>
      <c r="F421" s="69">
        <v>2810</v>
      </c>
      <c r="G421" s="68">
        <v>2920</v>
      </c>
      <c r="H421" s="79">
        <f t="shared" si="14"/>
        <v>84300</v>
      </c>
    </row>
    <row r="422" spans="1:8" ht="28.8">
      <c r="A422" s="172" t="s">
        <v>435</v>
      </c>
      <c r="B422" s="175" t="s">
        <v>404</v>
      </c>
      <c r="C422" s="81" t="s">
        <v>15</v>
      </c>
      <c r="D422" s="81">
        <v>1</v>
      </c>
      <c r="E422" s="69">
        <v>7000</v>
      </c>
      <c r="F422" s="69">
        <v>8300</v>
      </c>
      <c r="G422" s="68">
        <v>9500</v>
      </c>
      <c r="H422" s="79">
        <f t="shared" si="14"/>
        <v>7000</v>
      </c>
    </row>
    <row r="423" spans="1:8">
      <c r="A423" s="571" t="s">
        <v>766</v>
      </c>
      <c r="B423" s="583"/>
      <c r="C423" s="583"/>
      <c r="D423" s="583"/>
      <c r="E423" s="583"/>
      <c r="F423" s="583"/>
      <c r="G423" s="584"/>
      <c r="H423" s="379">
        <f>SUM(H418:H422)</f>
        <v>648523.12</v>
      </c>
    </row>
    <row r="424" spans="1:8">
      <c r="A424" s="591" t="s">
        <v>391</v>
      </c>
      <c r="B424" s="600"/>
      <c r="C424" s="89"/>
      <c r="D424" s="89"/>
      <c r="E424" s="90"/>
      <c r="F424" s="90"/>
      <c r="G424" s="90"/>
      <c r="H424" s="90"/>
    </row>
    <row r="425" spans="1:8" ht="43.2" hidden="1">
      <c r="A425" s="115" t="s">
        <v>5</v>
      </c>
      <c r="B425" s="116" t="s">
        <v>729</v>
      </c>
      <c r="C425" s="85" t="s">
        <v>7</v>
      </c>
      <c r="D425" s="85" t="s">
        <v>8</v>
      </c>
      <c r="E425" s="86" t="s">
        <v>410</v>
      </c>
      <c r="F425" s="86" t="s">
        <v>408</v>
      </c>
      <c r="G425" s="86" t="s">
        <v>409</v>
      </c>
      <c r="H425" s="87" t="s">
        <v>9</v>
      </c>
    </row>
    <row r="426" spans="1:8" ht="57.6" hidden="1">
      <c r="A426" s="176">
        <v>2</v>
      </c>
      <c r="B426" s="116" t="s">
        <v>730</v>
      </c>
      <c r="C426" s="85" t="s">
        <v>7</v>
      </c>
      <c r="D426" s="85" t="s">
        <v>8</v>
      </c>
      <c r="E426" s="86" t="s">
        <v>410</v>
      </c>
      <c r="F426" s="86" t="s">
        <v>408</v>
      </c>
      <c r="G426" s="86" t="s">
        <v>409</v>
      </c>
      <c r="H426" s="87" t="s">
        <v>9</v>
      </c>
    </row>
    <row r="427" spans="1:8">
      <c r="A427" s="1"/>
      <c r="B427" s="1"/>
      <c r="C427" s="3"/>
      <c r="D427" s="4"/>
      <c r="E427" s="5"/>
      <c r="F427" s="5"/>
      <c r="G427" s="5"/>
      <c r="H427" s="5"/>
    </row>
    <row r="428" spans="1:8">
      <c r="A428" s="1"/>
      <c r="B428" s="601" t="s">
        <v>738</v>
      </c>
      <c r="C428" s="601"/>
      <c r="D428" s="601"/>
      <c r="E428" s="601"/>
      <c r="F428" s="601"/>
      <c r="G428" s="601"/>
      <c r="H428" s="95">
        <f>H423+H415+H345+H91+H81</f>
        <v>14511966.933399998</v>
      </c>
    </row>
    <row r="429" spans="1:8">
      <c r="A429" s="1"/>
      <c r="B429" s="597" t="s">
        <v>735</v>
      </c>
      <c r="C429" s="597"/>
      <c r="D429" s="597"/>
      <c r="E429" s="597"/>
      <c r="F429" s="597"/>
      <c r="G429" s="597"/>
      <c r="H429" s="183">
        <f>H428/200</f>
        <v>72559.834666999988</v>
      </c>
    </row>
    <row r="430" spans="1:8">
      <c r="A430" s="1"/>
      <c r="B430" s="184"/>
      <c r="C430" s="185"/>
      <c r="D430" s="185"/>
      <c r="E430" s="186"/>
      <c r="F430" s="187" t="s">
        <v>736</v>
      </c>
      <c r="G430" s="188">
        <v>0.3</v>
      </c>
      <c r="H430" s="186">
        <f>H429*G430</f>
        <v>21767.950400099995</v>
      </c>
    </row>
    <row r="431" spans="1:8">
      <c r="A431" s="1"/>
      <c r="B431" s="180"/>
      <c r="C431" s="181"/>
      <c r="D431" s="181"/>
      <c r="E431" s="101"/>
      <c r="F431" s="101"/>
      <c r="G431" s="182" t="s">
        <v>737</v>
      </c>
      <c r="H431" s="101">
        <f>H429+H430</f>
        <v>94327.785067099991</v>
      </c>
    </row>
    <row r="432" spans="1:8">
      <c r="A432" s="1"/>
      <c r="B432" s="1"/>
      <c r="C432" s="3"/>
      <c r="D432" s="4"/>
      <c r="E432" s="1"/>
      <c r="F432" s="1"/>
      <c r="G432" s="1"/>
      <c r="H432" s="1"/>
    </row>
    <row r="433" spans="1:8">
      <c r="A433" s="1"/>
      <c r="B433" s="1"/>
      <c r="C433" s="3"/>
      <c r="D433" s="4"/>
      <c r="E433" s="1"/>
      <c r="F433" s="2"/>
      <c r="G433" s="1"/>
      <c r="H433" s="1"/>
    </row>
    <row r="434" spans="1:8">
      <c r="A434" s="1"/>
      <c r="B434" s="1"/>
      <c r="C434" s="3"/>
      <c r="D434" s="4"/>
      <c r="E434" s="1"/>
      <c r="F434" s="1"/>
      <c r="G434" s="1"/>
      <c r="H434" s="109"/>
    </row>
    <row r="435" spans="1:8">
      <c r="A435" s="1"/>
      <c r="B435" s="1"/>
      <c r="C435" s="3"/>
      <c r="D435" s="4"/>
      <c r="E435" s="1"/>
      <c r="F435" s="189"/>
      <c r="G435" s="1"/>
      <c r="H435" s="1"/>
    </row>
    <row r="436" spans="1:8">
      <c r="A436" s="1"/>
      <c r="B436" s="1"/>
      <c r="C436" s="3"/>
      <c r="D436" s="4"/>
      <c r="E436" s="1"/>
      <c r="F436" s="1"/>
      <c r="G436" s="1"/>
      <c r="H436" s="1"/>
    </row>
    <row r="437" spans="1:8">
      <c r="A437" s="1"/>
      <c r="B437" s="1"/>
      <c r="C437" s="3"/>
      <c r="D437" s="4"/>
      <c r="E437" s="1"/>
      <c r="F437" s="1"/>
      <c r="G437" s="1"/>
      <c r="H437" s="110"/>
    </row>
    <row r="438" spans="1:8">
      <c r="A438" s="1"/>
      <c r="B438" s="1"/>
      <c r="C438" s="3"/>
      <c r="D438" s="4"/>
      <c r="E438" s="1"/>
      <c r="F438" s="1"/>
      <c r="G438" s="1"/>
      <c r="H438" s="1"/>
    </row>
    <row r="439" spans="1:8">
      <c r="A439" s="1"/>
      <c r="B439" s="1"/>
      <c r="C439" s="3"/>
      <c r="D439" s="4"/>
      <c r="E439" s="1"/>
      <c r="F439" s="1"/>
      <c r="G439" s="1"/>
      <c r="H439" s="110"/>
    </row>
    <row r="440" spans="1:8">
      <c r="A440" s="1"/>
      <c r="B440" s="1"/>
      <c r="C440" s="3"/>
      <c r="D440" s="4"/>
      <c r="E440" s="1"/>
      <c r="F440" s="1"/>
      <c r="G440" s="1"/>
      <c r="H440" s="1"/>
    </row>
    <row r="441" spans="1:8">
      <c r="A441" s="1"/>
      <c r="B441" s="1"/>
      <c r="C441" s="3"/>
      <c r="D441" s="4"/>
      <c r="E441" s="1"/>
      <c r="F441" s="1"/>
      <c r="G441" s="1"/>
      <c r="H441" s="1"/>
    </row>
    <row r="442" spans="1:8">
      <c r="A442" s="1"/>
      <c r="B442" s="1"/>
      <c r="C442" s="3"/>
      <c r="D442" s="4"/>
      <c r="E442" s="1"/>
      <c r="F442" s="1"/>
      <c r="G442" s="1"/>
      <c r="H442" s="1"/>
    </row>
    <row r="443" spans="1:8">
      <c r="A443" s="1"/>
      <c r="B443" s="1"/>
      <c r="C443" s="3"/>
      <c r="D443" s="4"/>
      <c r="E443" s="1"/>
      <c r="F443" s="1"/>
      <c r="G443" s="1"/>
      <c r="H443" s="1"/>
    </row>
    <row r="444" spans="1:8">
      <c r="A444" s="1"/>
      <c r="B444" s="1"/>
      <c r="C444" s="3"/>
      <c r="D444" s="4"/>
      <c r="E444" s="1"/>
      <c r="F444" s="1"/>
      <c r="G444" s="1"/>
      <c r="H444" s="1"/>
    </row>
    <row r="445" spans="1:8">
      <c r="A445" s="1"/>
      <c r="B445" s="1"/>
      <c r="C445" s="3"/>
      <c r="D445" s="4"/>
      <c r="E445" s="1"/>
      <c r="F445" s="1"/>
      <c r="G445" s="1"/>
      <c r="H445" s="1"/>
    </row>
    <row r="446" spans="1:8">
      <c r="A446" s="1"/>
      <c r="B446" s="1"/>
      <c r="C446" s="3"/>
      <c r="D446" s="4"/>
      <c r="E446" s="1"/>
      <c r="F446" s="1"/>
      <c r="G446" s="1"/>
      <c r="H446" s="1"/>
    </row>
    <row r="447" spans="1:8">
      <c r="A447" s="1"/>
      <c r="B447" s="1"/>
      <c r="C447" s="3"/>
      <c r="D447" s="4"/>
      <c r="E447" s="1"/>
      <c r="F447" s="1"/>
      <c r="G447" s="1"/>
      <c r="H447" s="1"/>
    </row>
    <row r="448" spans="1:8">
      <c r="A448" s="1"/>
      <c r="B448" s="1"/>
      <c r="C448" s="3"/>
      <c r="D448" s="4"/>
      <c r="E448" s="1"/>
      <c r="F448" s="1"/>
      <c r="G448" s="1"/>
      <c r="H448" s="1"/>
    </row>
    <row r="449" spans="1:8">
      <c r="A449" s="1"/>
      <c r="B449" s="1"/>
      <c r="C449" s="3"/>
      <c r="D449" s="4"/>
      <c r="E449" s="1"/>
      <c r="F449" s="1"/>
      <c r="G449" s="1"/>
      <c r="H449" s="1"/>
    </row>
    <row r="450" spans="1:8">
      <c r="A450" s="1"/>
      <c r="B450" s="1"/>
      <c r="C450" s="3"/>
      <c r="D450" s="4"/>
      <c r="E450" s="1"/>
      <c r="F450" s="1"/>
      <c r="G450" s="1"/>
      <c r="H450" s="1"/>
    </row>
    <row r="451" spans="1:8">
      <c r="A451" s="1"/>
      <c r="B451" s="1"/>
      <c r="C451" s="3"/>
      <c r="D451" s="4"/>
      <c r="E451" s="1"/>
      <c r="F451" s="1"/>
      <c r="G451" s="1"/>
      <c r="H451" s="1"/>
    </row>
    <row r="452" spans="1:8">
      <c r="A452" s="1"/>
      <c r="C452" s="3"/>
      <c r="D452" s="4"/>
    </row>
    <row r="453" spans="1:8">
      <c r="A453" s="1"/>
      <c r="C453" s="3"/>
      <c r="D453" s="4"/>
    </row>
    <row r="535" ht="15" customHeight="1"/>
  </sheetData>
  <mergeCells count="17">
    <mergeCell ref="B429:G429"/>
    <mergeCell ref="A291:B291"/>
    <mergeCell ref="A344:C344"/>
    <mergeCell ref="A414:B414"/>
    <mergeCell ref="A424:B424"/>
    <mergeCell ref="B428:G428"/>
    <mergeCell ref="A345:B345"/>
    <mergeCell ref="A416:E416"/>
    <mergeCell ref="A423:G423"/>
    <mergeCell ref="A82:B82"/>
    <mergeCell ref="A92:B92"/>
    <mergeCell ref="A252:B252"/>
    <mergeCell ref="A10:B10"/>
    <mergeCell ref="A12:B12"/>
    <mergeCell ref="A62:B62"/>
    <mergeCell ref="A80:B80"/>
    <mergeCell ref="A81:B81"/>
  </mergeCells>
  <phoneticPr fontId="13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D31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58226-EECF-4F6E-AA96-39A7C16243EA}">
  <dimension ref="A1:H892"/>
  <sheetViews>
    <sheetView workbookViewId="0">
      <selection activeCell="E15" sqref="E15"/>
    </sheetView>
  </sheetViews>
  <sheetFormatPr defaultRowHeight="14.4"/>
  <cols>
    <col min="1" max="1" width="8.44140625" customWidth="1"/>
    <col min="2" max="2" width="57.109375" customWidth="1"/>
    <col min="3" max="3" width="8.33203125" customWidth="1"/>
    <col min="4" max="4" width="6.5546875" customWidth="1"/>
    <col min="5" max="5" width="14" customWidth="1"/>
    <col min="6" max="6" width="15.44140625" customWidth="1"/>
    <col min="7" max="7" width="14.88671875" customWidth="1"/>
    <col min="8" max="8" width="18.109375" customWidth="1"/>
  </cols>
  <sheetData>
    <row r="1" spans="1:8">
      <c r="A1" s="383" t="s">
        <v>0</v>
      </c>
      <c r="B1" s="384" t="s">
        <v>1</v>
      </c>
      <c r="C1" s="385"/>
      <c r="D1" s="385"/>
      <c r="E1" s="386"/>
      <c r="F1" s="386"/>
      <c r="G1" s="386"/>
      <c r="H1" s="386"/>
    </row>
    <row r="2" spans="1:8">
      <c r="A2" s="383"/>
      <c r="B2" s="387" t="s">
        <v>2</v>
      </c>
      <c r="C2" s="385"/>
      <c r="D2" s="385"/>
      <c r="E2" s="386"/>
      <c r="F2" s="386"/>
      <c r="G2" s="386"/>
      <c r="H2" s="386"/>
    </row>
    <row r="3" spans="1:8">
      <c r="A3" s="383"/>
      <c r="B3" s="388" t="s">
        <v>3</v>
      </c>
      <c r="C3" s="385"/>
      <c r="D3" s="385"/>
      <c r="E3" s="386"/>
      <c r="F3" s="386"/>
      <c r="G3" s="386"/>
      <c r="H3" s="386"/>
    </row>
    <row r="4" spans="1:8">
      <c r="A4" s="383"/>
      <c r="B4" s="387" t="s">
        <v>440</v>
      </c>
      <c r="C4" s="385"/>
      <c r="D4" s="385"/>
      <c r="E4" s="386"/>
      <c r="F4" s="386"/>
      <c r="G4" s="386"/>
      <c r="H4" s="386"/>
    </row>
    <row r="5" spans="1:8">
      <c r="A5" s="383"/>
      <c r="B5" s="387" t="s">
        <v>441</v>
      </c>
      <c r="C5" s="385"/>
      <c r="D5" s="385"/>
      <c r="E5" s="386"/>
      <c r="F5" s="386"/>
      <c r="G5" s="386"/>
      <c r="H5" s="386"/>
    </row>
    <row r="6" spans="1:8">
      <c r="A6" s="383"/>
      <c r="B6" s="387" t="s">
        <v>454</v>
      </c>
      <c r="C6" s="385"/>
      <c r="D6" s="385"/>
      <c r="E6" s="389"/>
      <c r="F6" s="389"/>
      <c r="G6" s="389"/>
      <c r="H6" s="383"/>
    </row>
    <row r="7" spans="1:8">
      <c r="A7" s="383"/>
      <c r="B7" s="387" t="s">
        <v>442</v>
      </c>
      <c r="C7" s="385"/>
      <c r="D7" s="385"/>
      <c r="E7" s="386"/>
      <c r="F7" s="386"/>
      <c r="G7" s="386"/>
      <c r="H7" s="386"/>
    </row>
    <row r="8" spans="1:8">
      <c r="A8" s="383"/>
      <c r="B8" s="387" t="s">
        <v>499</v>
      </c>
      <c r="C8" s="385"/>
      <c r="D8" s="385"/>
      <c r="E8" s="386"/>
      <c r="F8" s="386"/>
      <c r="G8" s="386"/>
      <c r="H8" s="386"/>
    </row>
    <row r="9" spans="1:8">
      <c r="A9" s="383"/>
      <c r="B9" s="390" t="s">
        <v>458</v>
      </c>
      <c r="C9" s="385"/>
      <c r="D9" s="385"/>
      <c r="E9" s="391"/>
      <c r="F9" s="391"/>
      <c r="G9" s="391"/>
      <c r="H9" s="386"/>
    </row>
    <row r="10" spans="1:8">
      <c r="A10" s="609" t="s">
        <v>4</v>
      </c>
      <c r="B10" s="604"/>
      <c r="C10" s="392"/>
      <c r="D10" s="392"/>
      <c r="E10" s="393"/>
      <c r="F10" s="393"/>
      <c r="G10" s="393"/>
      <c r="H10" s="394"/>
    </row>
    <row r="11" spans="1:8">
      <c r="A11" s="395" t="s">
        <v>5</v>
      </c>
      <c r="B11" s="396" t="s">
        <v>6</v>
      </c>
      <c r="C11" s="397" t="s">
        <v>7</v>
      </c>
      <c r="D11" s="397" t="s">
        <v>8</v>
      </c>
      <c r="E11" s="398" t="s">
        <v>410</v>
      </c>
      <c r="F11" s="398" t="s">
        <v>408</v>
      </c>
      <c r="G11" s="398" t="s">
        <v>409</v>
      </c>
      <c r="H11" s="399" t="s">
        <v>9</v>
      </c>
    </row>
    <row r="12" spans="1:8">
      <c r="A12" s="609" t="s">
        <v>10</v>
      </c>
      <c r="B12" s="604"/>
      <c r="C12" s="392"/>
      <c r="D12" s="392"/>
      <c r="E12" s="393"/>
      <c r="F12" s="393"/>
      <c r="G12" s="393"/>
      <c r="H12" s="394"/>
    </row>
    <row r="13" spans="1:8" ht="28.8">
      <c r="A13" s="395" t="s">
        <v>5</v>
      </c>
      <c r="B13" s="396" t="s">
        <v>11</v>
      </c>
      <c r="C13" s="397" t="s">
        <v>7</v>
      </c>
      <c r="D13" s="397" t="s">
        <v>8</v>
      </c>
      <c r="E13" s="398" t="s">
        <v>410</v>
      </c>
      <c r="F13" s="398" t="s">
        <v>408</v>
      </c>
      <c r="G13" s="398" t="s">
        <v>409</v>
      </c>
      <c r="H13" s="399" t="s">
        <v>9</v>
      </c>
    </row>
    <row r="14" spans="1:8" ht="28.8">
      <c r="A14" s="400" t="s">
        <v>12</v>
      </c>
      <c r="B14" s="401" t="s">
        <v>460</v>
      </c>
      <c r="C14" s="402" t="s">
        <v>13</v>
      </c>
      <c r="D14" s="402">
        <v>36</v>
      </c>
      <c r="E14" s="403">
        <f t="shared" ref="E14:E15" si="0">(3643*97%)+3643</f>
        <v>7176.71</v>
      </c>
      <c r="F14" s="69">
        <f>(5000*97%)+5000</f>
        <v>9850</v>
      </c>
      <c r="G14" s="403">
        <f t="shared" ref="G14:G15" si="1">(5801*97%)+5801</f>
        <v>11427.970000000001</v>
      </c>
      <c r="H14" s="404">
        <f t="shared" ref="H14:H66" si="2">E14*D14</f>
        <v>258361.56</v>
      </c>
    </row>
    <row r="15" spans="1:8" ht="28.8">
      <c r="A15" s="400" t="s">
        <v>14</v>
      </c>
      <c r="B15" s="401" t="s">
        <v>457</v>
      </c>
      <c r="C15" s="402" t="s">
        <v>13</v>
      </c>
      <c r="D15" s="402">
        <v>9</v>
      </c>
      <c r="E15" s="403">
        <f t="shared" si="0"/>
        <v>7176.71</v>
      </c>
      <c r="F15" s="69">
        <f>(5000*97%)+5000</f>
        <v>9850</v>
      </c>
      <c r="G15" s="403">
        <f t="shared" si="1"/>
        <v>11427.970000000001</v>
      </c>
      <c r="H15" s="404">
        <f t="shared" si="2"/>
        <v>64590.39</v>
      </c>
    </row>
    <row r="16" spans="1:8" ht="28.8">
      <c r="A16" s="206" t="s">
        <v>16</v>
      </c>
      <c r="B16" s="401" t="s">
        <v>487</v>
      </c>
      <c r="C16" s="402" t="s">
        <v>15</v>
      </c>
      <c r="D16" s="402">
        <f>3*4*36</f>
        <v>432</v>
      </c>
      <c r="E16" s="405">
        <v>250</v>
      </c>
      <c r="F16" s="404">
        <v>450</v>
      </c>
      <c r="G16" s="403">
        <v>581</v>
      </c>
      <c r="H16" s="404">
        <f t="shared" si="2"/>
        <v>108000</v>
      </c>
    </row>
    <row r="17" spans="1:8" ht="28.8">
      <c r="A17" s="400" t="s">
        <v>19</v>
      </c>
      <c r="B17" s="401" t="s">
        <v>488</v>
      </c>
      <c r="C17" s="402" t="s">
        <v>15</v>
      </c>
      <c r="D17" s="402">
        <f>4*4*9</f>
        <v>144</v>
      </c>
      <c r="E17" s="405">
        <v>250</v>
      </c>
      <c r="F17" s="404">
        <v>450</v>
      </c>
      <c r="G17" s="403">
        <v>581</v>
      </c>
      <c r="H17" s="404">
        <f t="shared" si="2"/>
        <v>36000</v>
      </c>
    </row>
    <row r="18" spans="1:8" ht="43.2">
      <c r="A18" s="400" t="s">
        <v>20</v>
      </c>
      <c r="B18" s="401" t="s">
        <v>569</v>
      </c>
      <c r="C18" s="402" t="s">
        <v>18</v>
      </c>
      <c r="D18" s="402">
        <v>2</v>
      </c>
      <c r="E18" s="68">
        <v>4149</v>
      </c>
      <c r="F18" s="69">
        <v>5299</v>
      </c>
      <c r="G18" s="70">
        <v>5919</v>
      </c>
      <c r="H18" s="404">
        <f t="shared" si="2"/>
        <v>8298</v>
      </c>
    </row>
    <row r="19" spans="1:8" ht="28.8">
      <c r="A19" s="400" t="s">
        <v>21</v>
      </c>
      <c r="B19" s="407" t="s">
        <v>570</v>
      </c>
      <c r="C19" s="402" t="s">
        <v>18</v>
      </c>
      <c r="D19" s="402">
        <v>2</v>
      </c>
      <c r="E19" s="68">
        <v>1849</v>
      </c>
      <c r="F19" s="69">
        <v>2199</v>
      </c>
      <c r="G19" s="68">
        <v>2919</v>
      </c>
      <c r="H19" s="404">
        <f t="shared" si="2"/>
        <v>3698</v>
      </c>
    </row>
    <row r="20" spans="1:8" ht="43.2">
      <c r="A20" s="400" t="s">
        <v>22</v>
      </c>
      <c r="B20" s="401" t="s">
        <v>571</v>
      </c>
      <c r="C20" s="402" t="s">
        <v>18</v>
      </c>
      <c r="D20" s="402">
        <v>2</v>
      </c>
      <c r="E20" s="73">
        <v>1849.77</v>
      </c>
      <c r="F20" s="232">
        <v>2899</v>
      </c>
      <c r="G20" s="68">
        <v>3199</v>
      </c>
      <c r="H20" s="404">
        <f t="shared" si="2"/>
        <v>3699.54</v>
      </c>
    </row>
    <row r="21" spans="1:8" ht="28.8">
      <c r="A21" s="400" t="s">
        <v>23</v>
      </c>
      <c r="B21" s="401" t="s">
        <v>572</v>
      </c>
      <c r="C21" s="402" t="s">
        <v>18</v>
      </c>
      <c r="D21" s="402">
        <v>2</v>
      </c>
      <c r="E21" s="70">
        <v>169.9</v>
      </c>
      <c r="F21" s="69">
        <v>189.9</v>
      </c>
      <c r="G21" s="68">
        <v>197.59</v>
      </c>
      <c r="H21" s="404">
        <f t="shared" si="2"/>
        <v>339.8</v>
      </c>
    </row>
    <row r="22" spans="1:8" ht="28.8">
      <c r="A22" s="400" t="s">
        <v>24</v>
      </c>
      <c r="B22" s="401" t="s">
        <v>461</v>
      </c>
      <c r="C22" s="402" t="s">
        <v>18</v>
      </c>
      <c r="D22" s="402">
        <v>1</v>
      </c>
      <c r="E22" s="73">
        <v>6459.11</v>
      </c>
      <c r="F22" s="68">
        <v>6686</v>
      </c>
      <c r="G22" s="69">
        <v>6892.17</v>
      </c>
      <c r="H22" s="404">
        <f t="shared" si="2"/>
        <v>6459.11</v>
      </c>
    </row>
    <row r="23" spans="1:8" ht="28.8">
      <c r="A23" s="400" t="s">
        <v>25</v>
      </c>
      <c r="B23" s="401" t="s">
        <v>489</v>
      </c>
      <c r="C23" s="402" t="s">
        <v>18</v>
      </c>
      <c r="D23" s="402">
        <v>1</v>
      </c>
      <c r="E23" s="70">
        <v>3598</v>
      </c>
      <c r="F23" s="68">
        <v>3790</v>
      </c>
      <c r="G23" s="68">
        <v>5049</v>
      </c>
      <c r="H23" s="404">
        <f t="shared" si="2"/>
        <v>3598</v>
      </c>
    </row>
    <row r="24" spans="1:8" ht="28.8">
      <c r="A24" s="400" t="s">
        <v>27</v>
      </c>
      <c r="B24" s="401" t="s">
        <v>573</v>
      </c>
      <c r="C24" s="402" t="s">
        <v>18</v>
      </c>
      <c r="D24" s="402">
        <v>2</v>
      </c>
      <c r="E24" s="73">
        <v>1386</v>
      </c>
      <c r="F24" s="68">
        <v>1549</v>
      </c>
      <c r="G24" s="68">
        <v>1649.9</v>
      </c>
      <c r="H24" s="404">
        <f t="shared" si="2"/>
        <v>2772</v>
      </c>
    </row>
    <row r="25" spans="1:8">
      <c r="A25" s="400" t="s">
        <v>28</v>
      </c>
      <c r="B25" s="401" t="s">
        <v>462</v>
      </c>
      <c r="C25" s="402" t="s">
        <v>13</v>
      </c>
      <c r="D25" s="402">
        <v>36</v>
      </c>
      <c r="E25" s="68">
        <v>124.99</v>
      </c>
      <c r="F25" s="69">
        <v>142</v>
      </c>
      <c r="G25" s="68">
        <v>159.9</v>
      </c>
      <c r="H25" s="404">
        <f t="shared" si="2"/>
        <v>4499.6399999999994</v>
      </c>
    </row>
    <row r="26" spans="1:8" ht="28.8">
      <c r="A26" s="400" t="s">
        <v>29</v>
      </c>
      <c r="B26" s="401" t="s">
        <v>517</v>
      </c>
      <c r="C26" s="402" t="s">
        <v>13</v>
      </c>
      <c r="D26" s="402">
        <v>36</v>
      </c>
      <c r="E26" s="68">
        <v>3168.69</v>
      </c>
      <c r="F26" s="74">
        <v>3297.51</v>
      </c>
      <c r="G26" s="68">
        <v>3622.3</v>
      </c>
      <c r="H26" s="404">
        <f t="shared" si="2"/>
        <v>114072.84</v>
      </c>
    </row>
    <row r="27" spans="1:8" ht="28.8">
      <c r="A27" s="400" t="s">
        <v>30</v>
      </c>
      <c r="B27" s="401" t="s">
        <v>518</v>
      </c>
      <c r="C27" s="402" t="s">
        <v>13</v>
      </c>
      <c r="D27" s="402">
        <v>9</v>
      </c>
      <c r="E27" s="68">
        <v>3168.69</v>
      </c>
      <c r="F27" s="74">
        <v>3297.51</v>
      </c>
      <c r="G27" s="68">
        <v>3622.3</v>
      </c>
      <c r="H27" s="404">
        <f t="shared" si="2"/>
        <v>28518.21</v>
      </c>
    </row>
    <row r="28" spans="1:8">
      <c r="A28" s="400" t="s">
        <v>32</v>
      </c>
      <c r="B28" s="401" t="s">
        <v>463</v>
      </c>
      <c r="C28" s="402" t="s">
        <v>15</v>
      </c>
      <c r="D28" s="402">
        <v>2</v>
      </c>
      <c r="E28" s="68">
        <v>300</v>
      </c>
      <c r="F28" s="69">
        <v>600</v>
      </c>
      <c r="G28" s="68">
        <v>975</v>
      </c>
      <c r="H28" s="404">
        <f t="shared" si="2"/>
        <v>600</v>
      </c>
    </row>
    <row r="29" spans="1:8">
      <c r="A29" s="400" t="s">
        <v>33</v>
      </c>
      <c r="B29" s="401" t="s">
        <v>769</v>
      </c>
      <c r="C29" s="402" t="s">
        <v>13</v>
      </c>
      <c r="D29" s="402">
        <v>36</v>
      </c>
      <c r="E29" s="68">
        <v>49.9</v>
      </c>
      <c r="F29" s="69">
        <v>60</v>
      </c>
      <c r="G29" s="70">
        <v>65.900000000000006</v>
      </c>
      <c r="H29" s="404">
        <f t="shared" si="2"/>
        <v>1796.3999999999999</v>
      </c>
    </row>
    <row r="30" spans="1:8" ht="28.8">
      <c r="A30" s="400" t="s">
        <v>34</v>
      </c>
      <c r="B30" s="401" t="s">
        <v>464</v>
      </c>
      <c r="C30" s="402" t="s">
        <v>13</v>
      </c>
      <c r="D30" s="402">
        <v>9</v>
      </c>
      <c r="E30" s="68">
        <v>49.9</v>
      </c>
      <c r="F30" s="69">
        <v>60</v>
      </c>
      <c r="G30" s="70">
        <v>65.900000000000006</v>
      </c>
      <c r="H30" s="404">
        <f t="shared" si="2"/>
        <v>449.09999999999997</v>
      </c>
    </row>
    <row r="31" spans="1:8" ht="28.8">
      <c r="A31" s="400" t="s">
        <v>37</v>
      </c>
      <c r="B31" s="401" t="s">
        <v>465</v>
      </c>
      <c r="C31" s="402" t="s">
        <v>15</v>
      </c>
      <c r="D31" s="402">
        <v>2</v>
      </c>
      <c r="E31" s="68">
        <v>144.9</v>
      </c>
      <c r="F31" s="69">
        <v>0</v>
      </c>
      <c r="G31" s="68">
        <v>265</v>
      </c>
      <c r="H31" s="404">
        <f t="shared" si="2"/>
        <v>289.8</v>
      </c>
    </row>
    <row r="32" spans="1:8" ht="28.8">
      <c r="A32" s="400" t="s">
        <v>39</v>
      </c>
      <c r="B32" s="401" t="s">
        <v>466</v>
      </c>
      <c r="C32" s="402" t="s">
        <v>31</v>
      </c>
      <c r="D32" s="402">
        <f>55*4*36*1</f>
        <v>7920</v>
      </c>
      <c r="E32" s="68">
        <v>6.08</v>
      </c>
      <c r="F32" s="69">
        <v>6.09</v>
      </c>
      <c r="G32" s="70">
        <v>6.35</v>
      </c>
      <c r="H32" s="404">
        <f t="shared" si="2"/>
        <v>48153.599999999999</v>
      </c>
    </row>
    <row r="33" spans="1:8" ht="28.8">
      <c r="A33" s="400" t="s">
        <v>40</v>
      </c>
      <c r="B33" s="401" t="s">
        <v>467</v>
      </c>
      <c r="C33" s="402" t="s">
        <v>31</v>
      </c>
      <c r="D33" s="402">
        <f>55*4*9*1</f>
        <v>1980</v>
      </c>
      <c r="E33" s="68">
        <v>6.08</v>
      </c>
      <c r="F33" s="69">
        <v>6.09</v>
      </c>
      <c r="G33" s="70">
        <v>6.35</v>
      </c>
      <c r="H33" s="404">
        <f t="shared" si="2"/>
        <v>12038.4</v>
      </c>
    </row>
    <row r="34" spans="1:8" ht="28.8">
      <c r="A34" s="400" t="s">
        <v>42</v>
      </c>
      <c r="B34" s="411" t="s">
        <v>469</v>
      </c>
      <c r="C34" s="402" t="s">
        <v>18</v>
      </c>
      <c r="D34" s="402">
        <f t="shared" ref="D34:D35" si="3">6*3</f>
        <v>18</v>
      </c>
      <c r="E34" s="68">
        <v>60</v>
      </c>
      <c r="F34" s="68">
        <v>65</v>
      </c>
      <c r="G34" s="69">
        <v>70</v>
      </c>
      <c r="H34" s="404">
        <f t="shared" si="2"/>
        <v>1080</v>
      </c>
    </row>
    <row r="35" spans="1:8" ht="28.8">
      <c r="A35" s="400" t="s">
        <v>44</v>
      </c>
      <c r="B35" s="411" t="s">
        <v>470</v>
      </c>
      <c r="C35" s="402" t="s">
        <v>18</v>
      </c>
      <c r="D35" s="402">
        <f t="shared" si="3"/>
        <v>18</v>
      </c>
      <c r="E35" s="68">
        <v>75</v>
      </c>
      <c r="F35" s="68">
        <v>90</v>
      </c>
      <c r="G35" s="69">
        <v>98</v>
      </c>
      <c r="H35" s="404">
        <f t="shared" si="2"/>
        <v>1350</v>
      </c>
    </row>
    <row r="36" spans="1:8" ht="28.8">
      <c r="A36" s="400" t="s">
        <v>46</v>
      </c>
      <c r="B36" s="411" t="s">
        <v>38</v>
      </c>
      <c r="C36" s="402" t="s">
        <v>18</v>
      </c>
      <c r="D36" s="402">
        <f>4*3</f>
        <v>12</v>
      </c>
      <c r="E36" s="68">
        <v>25</v>
      </c>
      <c r="F36" s="68">
        <v>40</v>
      </c>
      <c r="G36" s="69">
        <v>43</v>
      </c>
      <c r="H36" s="404">
        <f t="shared" si="2"/>
        <v>300</v>
      </c>
    </row>
    <row r="37" spans="1:8" ht="28.8">
      <c r="A37" s="400" t="s">
        <v>48</v>
      </c>
      <c r="B37" s="411" t="s">
        <v>771</v>
      </c>
      <c r="C37" s="402" t="s">
        <v>18</v>
      </c>
      <c r="D37" s="402">
        <f>9*2</f>
        <v>18</v>
      </c>
      <c r="E37" s="68">
        <v>2.77</v>
      </c>
      <c r="F37" s="74">
        <v>3.75</v>
      </c>
      <c r="G37" s="73">
        <v>3.96</v>
      </c>
      <c r="H37" s="404">
        <f t="shared" si="2"/>
        <v>49.86</v>
      </c>
    </row>
    <row r="38" spans="1:8" ht="28.8">
      <c r="A38" s="400" t="s">
        <v>49</v>
      </c>
      <c r="B38" s="401" t="s">
        <v>471</v>
      </c>
      <c r="C38" s="402" t="s">
        <v>18</v>
      </c>
      <c r="D38" s="402">
        <f t="shared" ref="D38:D39" si="4">6*2</f>
        <v>12</v>
      </c>
      <c r="E38" s="68">
        <v>122</v>
      </c>
      <c r="F38" s="74">
        <v>170.91</v>
      </c>
      <c r="G38" s="68">
        <v>185</v>
      </c>
      <c r="H38" s="404">
        <f t="shared" si="2"/>
        <v>1464</v>
      </c>
    </row>
    <row r="39" spans="1:8">
      <c r="A39" s="400" t="s">
        <v>51</v>
      </c>
      <c r="B39" s="401" t="s">
        <v>472</v>
      </c>
      <c r="C39" s="402" t="s">
        <v>18</v>
      </c>
      <c r="D39" s="402">
        <f t="shared" si="4"/>
        <v>12</v>
      </c>
      <c r="E39" s="68">
        <v>21.8</v>
      </c>
      <c r="F39" s="74">
        <v>36</v>
      </c>
      <c r="G39" s="68">
        <v>46.9</v>
      </c>
      <c r="H39" s="404">
        <f t="shared" si="2"/>
        <v>261.60000000000002</v>
      </c>
    </row>
    <row r="40" spans="1:8">
      <c r="A40" s="400" t="s">
        <v>53</v>
      </c>
      <c r="B40" s="401" t="s">
        <v>485</v>
      </c>
      <c r="C40" s="402" t="s">
        <v>18</v>
      </c>
      <c r="D40" s="402">
        <f>3*2</f>
        <v>6</v>
      </c>
      <c r="E40" s="73">
        <v>13.93</v>
      </c>
      <c r="F40" s="74">
        <v>15.71</v>
      </c>
      <c r="G40" s="68">
        <v>22.5</v>
      </c>
      <c r="H40" s="404">
        <f t="shared" si="2"/>
        <v>83.58</v>
      </c>
    </row>
    <row r="41" spans="1:8" ht="28.8">
      <c r="A41" s="400" t="s">
        <v>55</v>
      </c>
      <c r="B41" s="401" t="s">
        <v>473</v>
      </c>
      <c r="C41" s="402" t="s">
        <v>18</v>
      </c>
      <c r="D41" s="402">
        <f>10*2</f>
        <v>20</v>
      </c>
      <c r="E41" s="70">
        <v>12.4</v>
      </c>
      <c r="F41" s="74">
        <v>13.5</v>
      </c>
      <c r="G41" s="68">
        <v>20.260000000000002</v>
      </c>
      <c r="H41" s="404">
        <f t="shared" si="2"/>
        <v>248</v>
      </c>
    </row>
    <row r="42" spans="1:8">
      <c r="A42" s="400" t="s">
        <v>56</v>
      </c>
      <c r="B42" s="401" t="s">
        <v>476</v>
      </c>
      <c r="C42" s="402" t="s">
        <v>18</v>
      </c>
      <c r="D42" s="402">
        <f>6*2</f>
        <v>12</v>
      </c>
      <c r="E42" s="68">
        <v>160</v>
      </c>
      <c r="F42" s="74">
        <v>163</v>
      </c>
      <c r="G42" s="73">
        <v>193.63</v>
      </c>
      <c r="H42" s="404">
        <f t="shared" si="2"/>
        <v>1920</v>
      </c>
    </row>
    <row r="43" spans="1:8" ht="28.8">
      <c r="A43" s="400" t="s">
        <v>57</v>
      </c>
      <c r="B43" s="401" t="s">
        <v>474</v>
      </c>
      <c r="C43" s="402" t="s">
        <v>18</v>
      </c>
      <c r="D43" s="402">
        <f t="shared" ref="D43:D45" si="5">3*2</f>
        <v>6</v>
      </c>
      <c r="E43" s="70">
        <v>35</v>
      </c>
      <c r="F43" s="74">
        <v>41.4</v>
      </c>
      <c r="G43" s="68">
        <v>168.26</v>
      </c>
      <c r="H43" s="404">
        <f t="shared" si="2"/>
        <v>210</v>
      </c>
    </row>
    <row r="44" spans="1:8">
      <c r="A44" s="400" t="s">
        <v>58</v>
      </c>
      <c r="B44" s="401" t="s">
        <v>475</v>
      </c>
      <c r="C44" s="402" t="s">
        <v>18</v>
      </c>
      <c r="D44" s="402">
        <f t="shared" si="5"/>
        <v>6</v>
      </c>
      <c r="E44" s="73">
        <v>41.4</v>
      </c>
      <c r="F44" s="73">
        <v>42.23</v>
      </c>
      <c r="G44" s="73">
        <v>50</v>
      </c>
      <c r="H44" s="404">
        <f t="shared" si="2"/>
        <v>248.39999999999998</v>
      </c>
    </row>
    <row r="45" spans="1:8">
      <c r="A45" s="400" t="s">
        <v>59</v>
      </c>
      <c r="B45" s="401" t="s">
        <v>477</v>
      </c>
      <c r="C45" s="402" t="s">
        <v>18</v>
      </c>
      <c r="D45" s="402">
        <f t="shared" si="5"/>
        <v>6</v>
      </c>
      <c r="E45" s="68">
        <v>32.979999999999997</v>
      </c>
      <c r="F45" s="69">
        <v>58.66</v>
      </c>
      <c r="G45" s="68">
        <v>60.82</v>
      </c>
      <c r="H45" s="404">
        <f t="shared" si="2"/>
        <v>197.88</v>
      </c>
    </row>
    <row r="46" spans="1:8" ht="28.8">
      <c r="A46" s="624" t="s">
        <v>60</v>
      </c>
      <c r="B46" s="625" t="s">
        <v>478</v>
      </c>
      <c r="C46" s="646" t="s">
        <v>18</v>
      </c>
      <c r="D46" s="495">
        <v>2</v>
      </c>
      <c r="E46" s="73">
        <v>26.5</v>
      </c>
      <c r="F46" s="73">
        <v>61.9</v>
      </c>
      <c r="G46" s="69">
        <v>83.6</v>
      </c>
      <c r="H46" s="404">
        <f t="shared" si="2"/>
        <v>53</v>
      </c>
    </row>
    <row r="47" spans="1:8">
      <c r="A47" s="624" t="s">
        <v>62</v>
      </c>
      <c r="B47" s="627" t="s">
        <v>770</v>
      </c>
      <c r="C47" s="646" t="s">
        <v>18</v>
      </c>
      <c r="D47" s="402">
        <v>4</v>
      </c>
      <c r="E47" s="403">
        <v>930</v>
      </c>
      <c r="F47" s="404">
        <v>990</v>
      </c>
      <c r="G47" s="408">
        <v>1000</v>
      </c>
      <c r="H47" s="404">
        <f t="shared" ref="H47" si="6">E47*D47</f>
        <v>3720</v>
      </c>
    </row>
    <row r="48" spans="1:8">
      <c r="A48" s="624" t="s">
        <v>64</v>
      </c>
      <c r="B48" s="627" t="s">
        <v>772</v>
      </c>
      <c r="C48" s="646" t="s">
        <v>18</v>
      </c>
      <c r="D48" s="413">
        <f>1*2*3</f>
        <v>6</v>
      </c>
      <c r="E48" s="412">
        <v>286</v>
      </c>
      <c r="F48" s="404">
        <v>338</v>
      </c>
      <c r="G48" s="403">
        <v>377</v>
      </c>
      <c r="H48" s="404">
        <f t="shared" si="2"/>
        <v>1716</v>
      </c>
    </row>
    <row r="49" spans="1:8">
      <c r="A49" s="624" t="s">
        <v>66</v>
      </c>
      <c r="B49" s="627" t="s">
        <v>773</v>
      </c>
      <c r="C49" s="646" t="s">
        <v>18</v>
      </c>
      <c r="D49" s="413">
        <f>4*2*3</f>
        <v>24</v>
      </c>
      <c r="E49" s="412">
        <v>98</v>
      </c>
      <c r="F49" s="404">
        <v>270</v>
      </c>
      <c r="G49" s="403">
        <v>279</v>
      </c>
      <c r="H49" s="404">
        <f t="shared" si="2"/>
        <v>2352</v>
      </c>
    </row>
    <row r="50" spans="1:8">
      <c r="A50" s="624" t="s">
        <v>69</v>
      </c>
      <c r="B50" s="627" t="s">
        <v>774</v>
      </c>
      <c r="C50" s="646" t="s">
        <v>18</v>
      </c>
      <c r="D50" s="413">
        <f>2*2*36</f>
        <v>144</v>
      </c>
      <c r="E50" s="412">
        <v>35.99</v>
      </c>
      <c r="F50" s="404">
        <v>37.93</v>
      </c>
      <c r="G50" s="403">
        <v>67.900000000000006</v>
      </c>
      <c r="H50" s="404">
        <f t="shared" si="2"/>
        <v>5182.5600000000004</v>
      </c>
    </row>
    <row r="51" spans="1:8">
      <c r="A51" s="624" t="s">
        <v>71</v>
      </c>
      <c r="B51" s="627" t="s">
        <v>775</v>
      </c>
      <c r="C51" s="646" t="s">
        <v>18</v>
      </c>
      <c r="D51" s="413">
        <v>2</v>
      </c>
      <c r="E51" s="412">
        <v>930</v>
      </c>
      <c r="F51" s="404">
        <v>1000</v>
      </c>
      <c r="G51" s="403">
        <v>1980</v>
      </c>
      <c r="H51" s="404">
        <f t="shared" si="2"/>
        <v>1860</v>
      </c>
    </row>
    <row r="52" spans="1:8">
      <c r="A52" s="624" t="s">
        <v>73</v>
      </c>
      <c r="B52" s="627" t="s">
        <v>776</v>
      </c>
      <c r="C52" s="646" t="s">
        <v>18</v>
      </c>
      <c r="D52" s="413">
        <f>1*2*3</f>
        <v>6</v>
      </c>
      <c r="E52" s="412">
        <v>37.9</v>
      </c>
      <c r="F52" s="404">
        <v>41.31</v>
      </c>
      <c r="G52" s="403">
        <v>45</v>
      </c>
      <c r="H52" s="404">
        <f t="shared" si="2"/>
        <v>227.39999999999998</v>
      </c>
    </row>
    <row r="53" spans="1:8">
      <c r="A53" s="624" t="s">
        <v>75</v>
      </c>
      <c r="B53" s="627" t="s">
        <v>777</v>
      </c>
      <c r="C53" s="646" t="s">
        <v>18</v>
      </c>
      <c r="D53" s="413">
        <f>1*2*3</f>
        <v>6</v>
      </c>
      <c r="E53" s="412">
        <v>73.489999999999995</v>
      </c>
      <c r="F53" s="404">
        <v>96.7</v>
      </c>
      <c r="G53" s="403">
        <v>106.76</v>
      </c>
      <c r="H53" s="404">
        <f t="shared" si="2"/>
        <v>440.93999999999994</v>
      </c>
    </row>
    <row r="54" spans="1:8">
      <c r="A54" s="626" t="s">
        <v>77</v>
      </c>
      <c r="B54" s="647" t="s">
        <v>778</v>
      </c>
      <c r="C54" s="648" t="s">
        <v>18</v>
      </c>
      <c r="D54" s="415">
        <v>500</v>
      </c>
      <c r="E54" s="260">
        <v>16.47</v>
      </c>
      <c r="F54" s="260">
        <v>16.899999999999999</v>
      </c>
      <c r="G54" s="260">
        <v>31</v>
      </c>
      <c r="H54" s="404">
        <f t="shared" si="2"/>
        <v>8235</v>
      </c>
    </row>
    <row r="55" spans="1:8">
      <c r="A55" s="626" t="s">
        <v>78</v>
      </c>
      <c r="B55" s="647" t="s">
        <v>779</v>
      </c>
      <c r="C55" s="649" t="s">
        <v>18</v>
      </c>
      <c r="D55" s="415">
        <v>250</v>
      </c>
      <c r="E55" s="260">
        <v>1.64</v>
      </c>
      <c r="F55" s="261">
        <v>17.5</v>
      </c>
      <c r="G55" s="261">
        <v>25.9</v>
      </c>
      <c r="H55" s="404">
        <f t="shared" si="2"/>
        <v>410</v>
      </c>
    </row>
    <row r="56" spans="1:8">
      <c r="A56" s="626" t="s">
        <v>79</v>
      </c>
      <c r="B56" s="647" t="s">
        <v>61</v>
      </c>
      <c r="C56" s="649" t="s">
        <v>18</v>
      </c>
      <c r="D56" s="415">
        <v>150</v>
      </c>
      <c r="E56" s="260">
        <v>1.5</v>
      </c>
      <c r="F56" s="260">
        <v>2.5</v>
      </c>
      <c r="G56" s="260">
        <v>3.74</v>
      </c>
      <c r="H56" s="404">
        <f t="shared" si="2"/>
        <v>225</v>
      </c>
    </row>
    <row r="57" spans="1:8">
      <c r="A57" s="163" t="s">
        <v>116</v>
      </c>
      <c r="B57" s="414" t="s">
        <v>63</v>
      </c>
      <c r="C57" s="415" t="s">
        <v>18</v>
      </c>
      <c r="D57" s="415">
        <v>1500</v>
      </c>
      <c r="E57" s="260">
        <v>0.17</v>
      </c>
      <c r="F57" s="261">
        <v>1</v>
      </c>
      <c r="G57" s="260">
        <v>1.89</v>
      </c>
      <c r="H57" s="404">
        <f t="shared" si="2"/>
        <v>255.00000000000003</v>
      </c>
    </row>
    <row r="58" spans="1:8">
      <c r="A58" s="163" t="s">
        <v>118</v>
      </c>
      <c r="B58" s="414" t="s">
        <v>65</v>
      </c>
      <c r="C58" s="415" t="s">
        <v>18</v>
      </c>
      <c r="D58" s="415">
        <v>6</v>
      </c>
      <c r="E58" s="68">
        <v>320</v>
      </c>
      <c r="F58" s="73">
        <v>480</v>
      </c>
      <c r="G58" s="68">
        <v>614.4</v>
      </c>
      <c r="H58" s="404">
        <f t="shared" si="2"/>
        <v>1920</v>
      </c>
    </row>
    <row r="59" spans="1:8">
      <c r="A59" s="163" t="s">
        <v>119</v>
      </c>
      <c r="B59" s="401" t="s">
        <v>67</v>
      </c>
      <c r="C59" s="402" t="s">
        <v>68</v>
      </c>
      <c r="D59" s="402">
        <v>2</v>
      </c>
      <c r="E59" s="276">
        <v>34.9</v>
      </c>
      <c r="F59" s="207">
        <v>45.9</v>
      </c>
      <c r="G59" s="70">
        <v>48.62</v>
      </c>
      <c r="H59" s="404">
        <f t="shared" si="2"/>
        <v>69.8</v>
      </c>
    </row>
    <row r="60" spans="1:8">
      <c r="A60" s="163" t="s">
        <v>120</v>
      </c>
      <c r="B60" s="401" t="s">
        <v>70</v>
      </c>
      <c r="C60" s="402" t="s">
        <v>18</v>
      </c>
      <c r="D60" s="402">
        <v>15</v>
      </c>
      <c r="E60" s="68">
        <v>14.18</v>
      </c>
      <c r="F60" s="69">
        <v>17.5</v>
      </c>
      <c r="G60" s="68">
        <v>55.99</v>
      </c>
      <c r="H60" s="404">
        <f t="shared" si="2"/>
        <v>212.7</v>
      </c>
    </row>
    <row r="61" spans="1:8">
      <c r="A61" s="163" t="s">
        <v>121</v>
      </c>
      <c r="B61" s="401" t="s">
        <v>72</v>
      </c>
      <c r="C61" s="402" t="s">
        <v>68</v>
      </c>
      <c r="D61" s="402">
        <v>2</v>
      </c>
      <c r="E61" s="68">
        <v>19.989999999999998</v>
      </c>
      <c r="F61" s="69">
        <v>22.2</v>
      </c>
      <c r="G61" s="70">
        <v>24.9</v>
      </c>
      <c r="H61" s="404">
        <f t="shared" si="2"/>
        <v>39.979999999999997</v>
      </c>
    </row>
    <row r="62" spans="1:8">
      <c r="A62" s="163" t="s">
        <v>122</v>
      </c>
      <c r="B62" s="401" t="s">
        <v>74</v>
      </c>
      <c r="C62" s="402" t="s">
        <v>18</v>
      </c>
      <c r="D62" s="402">
        <v>40</v>
      </c>
      <c r="E62" s="68">
        <v>14.9</v>
      </c>
      <c r="F62" s="69">
        <v>15.2</v>
      </c>
      <c r="G62" s="68">
        <v>24.99</v>
      </c>
      <c r="H62" s="404">
        <f t="shared" si="2"/>
        <v>596</v>
      </c>
    </row>
    <row r="63" spans="1:8">
      <c r="A63" s="163" t="s">
        <v>123</v>
      </c>
      <c r="B63" s="416" t="s">
        <v>76</v>
      </c>
      <c r="C63" s="402" t="s">
        <v>68</v>
      </c>
      <c r="D63" s="402">
        <v>10</v>
      </c>
      <c r="E63" s="70">
        <v>7.2</v>
      </c>
      <c r="F63" s="74">
        <v>7.36</v>
      </c>
      <c r="G63" s="73">
        <v>17.8</v>
      </c>
      <c r="H63" s="404">
        <f t="shared" si="2"/>
        <v>72</v>
      </c>
    </row>
    <row r="64" spans="1:8">
      <c r="A64" s="163" t="s">
        <v>124</v>
      </c>
      <c r="B64" s="416" t="s">
        <v>680</v>
      </c>
      <c r="C64" s="402" t="s">
        <v>15</v>
      </c>
      <c r="D64" s="402">
        <v>3</v>
      </c>
      <c r="E64" s="68">
        <v>600</v>
      </c>
      <c r="F64" s="69"/>
      <c r="G64" s="68"/>
      <c r="H64" s="404">
        <f t="shared" si="2"/>
        <v>1800</v>
      </c>
    </row>
    <row r="65" spans="1:8" ht="28.8">
      <c r="A65" s="163" t="s">
        <v>125</v>
      </c>
      <c r="B65" s="417" t="s">
        <v>678</v>
      </c>
      <c r="C65" s="402" t="s">
        <v>18</v>
      </c>
      <c r="D65" s="402">
        <v>6</v>
      </c>
      <c r="E65" s="68">
        <v>500</v>
      </c>
      <c r="F65" s="69"/>
      <c r="G65" s="68"/>
      <c r="H65" s="404">
        <f t="shared" si="2"/>
        <v>3000</v>
      </c>
    </row>
    <row r="66" spans="1:8">
      <c r="A66" s="163" t="s">
        <v>126</v>
      </c>
      <c r="B66" s="417" t="s">
        <v>780</v>
      </c>
      <c r="C66" s="402" t="s">
        <v>18</v>
      </c>
      <c r="D66" s="402">
        <v>6</v>
      </c>
      <c r="E66" s="68">
        <v>980</v>
      </c>
      <c r="F66" s="69"/>
      <c r="G66" s="68"/>
      <c r="H66" s="404">
        <f t="shared" si="2"/>
        <v>5880</v>
      </c>
    </row>
    <row r="67" spans="1:8">
      <c r="A67" s="610" t="s">
        <v>845</v>
      </c>
      <c r="B67" s="606"/>
      <c r="C67" s="606"/>
      <c r="D67" s="606"/>
      <c r="E67" s="606"/>
      <c r="F67" s="606"/>
      <c r="G67" s="606"/>
      <c r="H67" s="496">
        <f>SUM(H14:H66)</f>
        <v>751915.09</v>
      </c>
    </row>
    <row r="68" spans="1:8" ht="28.8">
      <c r="A68" s="395" t="s">
        <v>80</v>
      </c>
      <c r="B68" s="418" t="s">
        <v>394</v>
      </c>
      <c r="C68" s="397" t="s">
        <v>7</v>
      </c>
      <c r="D68" s="397" t="s">
        <v>8</v>
      </c>
      <c r="E68" s="398" t="s">
        <v>410</v>
      </c>
      <c r="F68" s="398" t="s">
        <v>408</v>
      </c>
      <c r="G68" s="398" t="s">
        <v>409</v>
      </c>
      <c r="H68" s="399" t="s">
        <v>9</v>
      </c>
    </row>
    <row r="69" spans="1:8" ht="28.8">
      <c r="A69" s="400" t="s">
        <v>81</v>
      </c>
      <c r="B69" s="401" t="s">
        <v>82</v>
      </c>
      <c r="C69" s="402" t="s">
        <v>13</v>
      </c>
      <c r="D69" s="402">
        <v>9</v>
      </c>
      <c r="E69" s="68">
        <f>(3643*97%)+3643</f>
        <v>7176.71</v>
      </c>
      <c r="F69" s="69">
        <f>(5000*97%)+5000</f>
        <v>9850</v>
      </c>
      <c r="G69" s="68">
        <f>(5801*97%)+5801</f>
        <v>11427.970000000001</v>
      </c>
      <c r="H69" s="404">
        <f>E69*D69*2</f>
        <v>129180.78</v>
      </c>
    </row>
    <row r="70" spans="1:8" ht="28.8">
      <c r="A70" s="400" t="s">
        <v>83</v>
      </c>
      <c r="B70" s="401" t="s">
        <v>479</v>
      </c>
      <c r="C70" s="402" t="s">
        <v>15</v>
      </c>
      <c r="D70" s="402">
        <v>8</v>
      </c>
      <c r="E70" s="229">
        <v>250</v>
      </c>
      <c r="F70" s="69">
        <v>450</v>
      </c>
      <c r="G70" s="68">
        <v>581</v>
      </c>
      <c r="H70" s="404">
        <f t="shared" ref="H70:H88" si="7">E70*D70</f>
        <v>2000</v>
      </c>
    </row>
    <row r="71" spans="1:8" ht="43.2">
      <c r="A71" s="400" t="s">
        <v>84</v>
      </c>
      <c r="B71" s="401" t="s">
        <v>480</v>
      </c>
      <c r="C71" s="402" t="s">
        <v>18</v>
      </c>
      <c r="D71" s="402">
        <v>2</v>
      </c>
      <c r="E71" s="68">
        <v>4149</v>
      </c>
      <c r="F71" s="69">
        <v>5299</v>
      </c>
      <c r="G71" s="70">
        <v>5919</v>
      </c>
      <c r="H71" s="404">
        <f t="shared" si="7"/>
        <v>8298</v>
      </c>
    </row>
    <row r="72" spans="1:8" ht="28.8">
      <c r="A72" s="400" t="s">
        <v>85</v>
      </c>
      <c r="B72" s="401" t="s">
        <v>481</v>
      </c>
      <c r="C72" s="402" t="s">
        <v>18</v>
      </c>
      <c r="D72" s="402">
        <v>2</v>
      </c>
      <c r="E72" s="73">
        <v>1386</v>
      </c>
      <c r="F72" s="69">
        <v>1549</v>
      </c>
      <c r="G72" s="68">
        <v>1649.9</v>
      </c>
      <c r="H72" s="404">
        <f t="shared" si="7"/>
        <v>2772</v>
      </c>
    </row>
    <row r="73" spans="1:8">
      <c r="A73" s="400" t="s">
        <v>86</v>
      </c>
      <c r="B73" s="401" t="s">
        <v>462</v>
      </c>
      <c r="C73" s="402" t="s">
        <v>13</v>
      </c>
      <c r="D73" s="402">
        <v>9</v>
      </c>
      <c r="E73" s="68">
        <v>124.99</v>
      </c>
      <c r="F73" s="69">
        <v>142</v>
      </c>
      <c r="G73" s="68">
        <v>159.9</v>
      </c>
      <c r="H73" s="404">
        <f t="shared" si="7"/>
        <v>1124.9099999999999</v>
      </c>
    </row>
    <row r="74" spans="1:8" ht="28.8">
      <c r="A74" s="400" t="s">
        <v>87</v>
      </c>
      <c r="B74" s="411" t="s">
        <v>482</v>
      </c>
      <c r="C74" s="402" t="s">
        <v>18</v>
      </c>
      <c r="D74" s="402">
        <v>8</v>
      </c>
      <c r="E74" s="68">
        <v>60</v>
      </c>
      <c r="F74" s="68">
        <v>65</v>
      </c>
      <c r="G74" s="69">
        <v>70</v>
      </c>
      <c r="H74" s="404">
        <f t="shared" si="7"/>
        <v>480</v>
      </c>
    </row>
    <row r="75" spans="1:8" ht="28.8">
      <c r="A75" s="400" t="s">
        <v>88</v>
      </c>
      <c r="B75" s="411" t="s">
        <v>483</v>
      </c>
      <c r="C75" s="402" t="s">
        <v>18</v>
      </c>
      <c r="D75" s="402">
        <v>8</v>
      </c>
      <c r="E75" s="68">
        <v>75</v>
      </c>
      <c r="F75" s="68">
        <v>90</v>
      </c>
      <c r="G75" s="69">
        <v>98</v>
      </c>
      <c r="H75" s="404">
        <f t="shared" si="7"/>
        <v>600</v>
      </c>
    </row>
    <row r="76" spans="1:8" ht="28.8">
      <c r="A76" s="400" t="s">
        <v>89</v>
      </c>
      <c r="B76" s="411" t="s">
        <v>484</v>
      </c>
      <c r="C76" s="402" t="s">
        <v>18</v>
      </c>
      <c r="D76" s="402">
        <f t="shared" ref="D76:D79" si="8">2*2</f>
        <v>4</v>
      </c>
      <c r="E76" s="68">
        <v>25</v>
      </c>
      <c r="F76" s="68">
        <v>40</v>
      </c>
      <c r="G76" s="69">
        <v>43</v>
      </c>
      <c r="H76" s="404">
        <f t="shared" si="7"/>
        <v>100</v>
      </c>
    </row>
    <row r="77" spans="1:8" ht="28.8">
      <c r="A77" s="400" t="s">
        <v>91</v>
      </c>
      <c r="B77" s="401" t="s">
        <v>471</v>
      </c>
      <c r="C77" s="402" t="s">
        <v>18</v>
      </c>
      <c r="D77" s="402">
        <f t="shared" si="8"/>
        <v>4</v>
      </c>
      <c r="E77" s="68">
        <v>122</v>
      </c>
      <c r="F77" s="232">
        <v>170.91</v>
      </c>
      <c r="G77" s="68">
        <v>185</v>
      </c>
      <c r="H77" s="404">
        <f t="shared" si="7"/>
        <v>488</v>
      </c>
    </row>
    <row r="78" spans="1:8">
      <c r="A78" s="400" t="s">
        <v>92</v>
      </c>
      <c r="B78" s="401" t="s">
        <v>472</v>
      </c>
      <c r="C78" s="402" t="s">
        <v>18</v>
      </c>
      <c r="D78" s="402">
        <f t="shared" si="8"/>
        <v>4</v>
      </c>
      <c r="E78" s="68">
        <v>21.8</v>
      </c>
      <c r="F78" s="74">
        <v>36</v>
      </c>
      <c r="G78" s="68">
        <v>46.9</v>
      </c>
      <c r="H78" s="404">
        <f t="shared" si="7"/>
        <v>87.2</v>
      </c>
    </row>
    <row r="79" spans="1:8">
      <c r="A79" s="400" t="s">
        <v>93</v>
      </c>
      <c r="B79" s="401" t="s">
        <v>485</v>
      </c>
      <c r="C79" s="402" t="s">
        <v>18</v>
      </c>
      <c r="D79" s="402">
        <f t="shared" si="8"/>
        <v>4</v>
      </c>
      <c r="E79" s="73">
        <v>13.93</v>
      </c>
      <c r="F79" s="74">
        <v>15.71</v>
      </c>
      <c r="G79" s="68">
        <v>22.5</v>
      </c>
      <c r="H79" s="404">
        <f t="shared" si="7"/>
        <v>55.72</v>
      </c>
    </row>
    <row r="80" spans="1:8" ht="28.8">
      <c r="A80" s="400" t="s">
        <v>94</v>
      </c>
      <c r="B80" s="401" t="s">
        <v>486</v>
      </c>
      <c r="C80" s="402" t="s">
        <v>18</v>
      </c>
      <c r="D80" s="402">
        <v>4</v>
      </c>
      <c r="E80" s="68">
        <v>12.4</v>
      </c>
      <c r="F80" s="69">
        <v>13.5</v>
      </c>
      <c r="G80" s="68">
        <v>20.260000000000002</v>
      </c>
      <c r="H80" s="404">
        <f t="shared" si="7"/>
        <v>49.6</v>
      </c>
    </row>
    <row r="81" spans="1:8">
      <c r="A81" s="624" t="s">
        <v>95</v>
      </c>
      <c r="B81" s="625" t="s">
        <v>491</v>
      </c>
      <c r="C81" s="402" t="s">
        <v>18</v>
      </c>
      <c r="D81" s="402">
        <f>2*2</f>
        <v>4</v>
      </c>
      <c r="E81" s="73">
        <v>160</v>
      </c>
      <c r="F81" s="232">
        <v>163</v>
      </c>
      <c r="G81" s="73">
        <v>193.63</v>
      </c>
      <c r="H81" s="419">
        <f t="shared" si="7"/>
        <v>640</v>
      </c>
    </row>
    <row r="82" spans="1:8" ht="28.8">
      <c r="A82" s="624" t="s">
        <v>97</v>
      </c>
      <c r="B82" s="625" t="s">
        <v>474</v>
      </c>
      <c r="C82" s="402" t="s">
        <v>18</v>
      </c>
      <c r="D82" s="402">
        <f t="shared" ref="D82:D84" si="9">1*2</f>
        <v>2</v>
      </c>
      <c r="E82" s="73">
        <v>35</v>
      </c>
      <c r="F82" s="69">
        <v>41.4</v>
      </c>
      <c r="G82" s="68">
        <v>168.26</v>
      </c>
      <c r="H82" s="404">
        <f t="shared" si="7"/>
        <v>70</v>
      </c>
    </row>
    <row r="83" spans="1:8">
      <c r="A83" s="624" t="s">
        <v>98</v>
      </c>
      <c r="B83" s="625" t="s">
        <v>475</v>
      </c>
      <c r="C83" s="402" t="s">
        <v>18</v>
      </c>
      <c r="D83" s="402">
        <f t="shared" si="9"/>
        <v>2</v>
      </c>
      <c r="E83" s="73">
        <v>41.4</v>
      </c>
      <c r="F83" s="69">
        <v>42.23</v>
      </c>
      <c r="G83" s="70">
        <v>50</v>
      </c>
      <c r="H83" s="404">
        <f t="shared" si="7"/>
        <v>82.8</v>
      </c>
    </row>
    <row r="84" spans="1:8">
      <c r="A84" s="624" t="s">
        <v>99</v>
      </c>
      <c r="B84" s="625" t="s">
        <v>477</v>
      </c>
      <c r="C84" s="402" t="s">
        <v>18</v>
      </c>
      <c r="D84" s="402">
        <f t="shared" si="9"/>
        <v>2</v>
      </c>
      <c r="E84" s="68">
        <v>32.979999999999997</v>
      </c>
      <c r="F84" s="69">
        <v>58.66</v>
      </c>
      <c r="G84" s="68">
        <v>60.82</v>
      </c>
      <c r="H84" s="404">
        <f t="shared" si="7"/>
        <v>65.959999999999994</v>
      </c>
    </row>
    <row r="85" spans="1:8">
      <c r="A85" s="626" t="s">
        <v>140</v>
      </c>
      <c r="B85" s="627" t="s">
        <v>772</v>
      </c>
      <c r="C85" s="402" t="s">
        <v>18</v>
      </c>
      <c r="D85" s="413">
        <v>2</v>
      </c>
      <c r="E85" s="412">
        <v>286</v>
      </c>
      <c r="F85" s="404">
        <v>338</v>
      </c>
      <c r="G85" s="403">
        <v>377</v>
      </c>
      <c r="H85" s="404">
        <f t="shared" si="7"/>
        <v>572</v>
      </c>
    </row>
    <row r="86" spans="1:8">
      <c r="A86" s="626" t="s">
        <v>141</v>
      </c>
      <c r="B86" s="627" t="s">
        <v>774</v>
      </c>
      <c r="C86" s="402" t="s">
        <v>18</v>
      </c>
      <c r="D86" s="413">
        <v>4</v>
      </c>
      <c r="E86" s="412">
        <v>35.99</v>
      </c>
      <c r="F86" s="404">
        <v>37.93</v>
      </c>
      <c r="G86" s="403">
        <v>67.900000000000006</v>
      </c>
      <c r="H86" s="404">
        <f t="shared" si="7"/>
        <v>143.96</v>
      </c>
    </row>
    <row r="87" spans="1:8">
      <c r="A87" s="626" t="s">
        <v>142</v>
      </c>
      <c r="B87" s="627" t="s">
        <v>776</v>
      </c>
      <c r="C87" s="402" t="s">
        <v>18</v>
      </c>
      <c r="D87" s="413">
        <v>2</v>
      </c>
      <c r="E87" s="412">
        <v>37.9</v>
      </c>
      <c r="F87" s="404">
        <v>41.31</v>
      </c>
      <c r="G87" s="403">
        <v>45</v>
      </c>
      <c r="H87" s="404">
        <f t="shared" si="7"/>
        <v>75.8</v>
      </c>
    </row>
    <row r="88" spans="1:8">
      <c r="A88" s="626" t="s">
        <v>143</v>
      </c>
      <c r="B88" s="627" t="s">
        <v>777</v>
      </c>
      <c r="C88" s="402" t="s">
        <v>18</v>
      </c>
      <c r="D88" s="413">
        <f>D86</f>
        <v>4</v>
      </c>
      <c r="E88" s="412">
        <v>73.489999999999995</v>
      </c>
      <c r="F88" s="404">
        <v>96.7</v>
      </c>
      <c r="G88" s="403">
        <v>106.76</v>
      </c>
      <c r="H88" s="404">
        <f t="shared" si="7"/>
        <v>293.95999999999998</v>
      </c>
    </row>
    <row r="89" spans="1:8">
      <c r="A89" s="611" t="s">
        <v>392</v>
      </c>
      <c r="B89" s="612"/>
      <c r="C89" s="612"/>
      <c r="D89" s="612"/>
      <c r="E89" s="612"/>
      <c r="F89" s="612"/>
      <c r="G89" s="613"/>
      <c r="H89" s="498">
        <f>SUM(H69:H88)</f>
        <v>147180.68999999997</v>
      </c>
    </row>
    <row r="90" spans="1:8">
      <c r="A90" s="607" t="s">
        <v>393</v>
      </c>
      <c r="B90" s="608"/>
      <c r="C90" s="500"/>
      <c r="D90" s="501"/>
      <c r="E90" s="501"/>
      <c r="F90" s="501"/>
      <c r="G90" s="502"/>
      <c r="H90" s="503">
        <f>H89+H67</f>
        <v>899095.77999999991</v>
      </c>
    </row>
    <row r="91" spans="1:8">
      <c r="A91" s="609" t="s">
        <v>100</v>
      </c>
      <c r="B91" s="603"/>
      <c r="C91" s="392"/>
      <c r="D91" s="392"/>
      <c r="E91" s="421"/>
      <c r="F91" s="421"/>
      <c r="G91" s="421"/>
      <c r="H91" s="421"/>
    </row>
    <row r="92" spans="1:8">
      <c r="A92" s="395" t="s">
        <v>5</v>
      </c>
      <c r="B92" s="396" t="s">
        <v>101</v>
      </c>
      <c r="C92" s="397" t="s">
        <v>7</v>
      </c>
      <c r="D92" s="397" t="s">
        <v>8</v>
      </c>
      <c r="E92" s="398" t="s">
        <v>410</v>
      </c>
      <c r="F92" s="398" t="s">
        <v>408</v>
      </c>
      <c r="G92" s="398" t="s">
        <v>409</v>
      </c>
      <c r="H92" s="399" t="s">
        <v>9</v>
      </c>
    </row>
    <row r="93" spans="1:8" ht="28.8" hidden="1">
      <c r="A93" s="422" t="s">
        <v>12</v>
      </c>
      <c r="B93" s="423" t="s">
        <v>781</v>
      </c>
      <c r="C93" s="424"/>
      <c r="D93" s="424"/>
      <c r="E93" s="425"/>
      <c r="F93" s="425"/>
      <c r="G93" s="425"/>
      <c r="H93" s="425"/>
    </row>
    <row r="94" spans="1:8" ht="28.8" hidden="1">
      <c r="A94" s="422" t="s">
        <v>14</v>
      </c>
      <c r="B94" s="423" t="s">
        <v>782</v>
      </c>
      <c r="C94" s="424"/>
      <c r="D94" s="424"/>
      <c r="E94" s="425"/>
      <c r="F94" s="425"/>
      <c r="G94" s="425"/>
      <c r="H94" s="425"/>
    </row>
    <row r="95" spans="1:8">
      <c r="A95" s="422" t="s">
        <v>16</v>
      </c>
      <c r="B95" s="423" t="s">
        <v>104</v>
      </c>
      <c r="C95" s="424"/>
      <c r="D95" s="424"/>
      <c r="E95" s="425"/>
      <c r="F95" s="425"/>
      <c r="G95" s="425"/>
      <c r="H95" s="425"/>
    </row>
    <row r="96" spans="1:8" ht="28.8">
      <c r="A96" s="434" t="s">
        <v>105</v>
      </c>
      <c r="B96" s="123" t="s">
        <v>752</v>
      </c>
      <c r="C96" s="435" t="s">
        <v>18</v>
      </c>
      <c r="D96" s="435">
        <f>1200*35*1.2</f>
        <v>50400</v>
      </c>
      <c r="E96" s="436"/>
      <c r="F96" s="437">
        <v>10</v>
      </c>
      <c r="G96" s="436"/>
      <c r="H96" s="404">
        <f t="shared" ref="H96:H97" si="10">F96*D96</f>
        <v>504000</v>
      </c>
    </row>
    <row r="97" spans="1:8">
      <c r="A97" s="400" t="s">
        <v>419</v>
      </c>
      <c r="B97" s="438" t="s">
        <v>407</v>
      </c>
      <c r="C97" s="439" t="s">
        <v>15</v>
      </c>
      <c r="D97" s="439">
        <v>6</v>
      </c>
      <c r="E97" s="426"/>
      <c r="F97" s="440">
        <v>6000</v>
      </c>
      <c r="G97" s="426"/>
      <c r="H97" s="441">
        <f t="shared" si="10"/>
        <v>36000</v>
      </c>
    </row>
    <row r="98" spans="1:8">
      <c r="A98" s="605" t="s">
        <v>102</v>
      </c>
      <c r="B98" s="606"/>
      <c r="C98" s="606"/>
      <c r="D98" s="606"/>
      <c r="E98" s="606"/>
      <c r="F98" s="606"/>
      <c r="G98" s="606"/>
      <c r="H98" s="504">
        <f>H96+H97</f>
        <v>540000</v>
      </c>
    </row>
    <row r="99" spans="1:8">
      <c r="A99" s="422" t="s">
        <v>19</v>
      </c>
      <c r="B99" s="423" t="s">
        <v>785</v>
      </c>
      <c r="C99" s="424"/>
      <c r="D99" s="442"/>
      <c r="E99" s="425"/>
      <c r="F99" s="425"/>
      <c r="G99" s="425"/>
      <c r="H99" s="425"/>
    </row>
    <row r="100" spans="1:8">
      <c r="A100" s="607" t="s">
        <v>386</v>
      </c>
      <c r="B100" s="608"/>
      <c r="C100" s="608"/>
      <c r="D100" s="608"/>
      <c r="E100" s="608"/>
      <c r="F100" s="608"/>
      <c r="G100" s="608"/>
      <c r="H100" s="505">
        <f>H98</f>
        <v>540000</v>
      </c>
    </row>
    <row r="101" spans="1:8">
      <c r="A101" s="609" t="s">
        <v>112</v>
      </c>
      <c r="B101" s="603"/>
      <c r="C101" s="392"/>
      <c r="D101" s="392"/>
      <c r="E101" s="421"/>
      <c r="F101" s="421"/>
      <c r="G101" s="421"/>
      <c r="H101" s="421"/>
    </row>
    <row r="102" spans="1:8">
      <c r="A102" s="395" t="s">
        <v>5</v>
      </c>
      <c r="B102" s="396" t="s">
        <v>113</v>
      </c>
      <c r="C102" s="397" t="s">
        <v>7</v>
      </c>
      <c r="D102" s="397" t="s">
        <v>8</v>
      </c>
      <c r="E102" s="398" t="s">
        <v>410</v>
      </c>
      <c r="F102" s="398" t="s">
        <v>408</v>
      </c>
      <c r="G102" s="398" t="s">
        <v>409</v>
      </c>
      <c r="H102" s="399" t="s">
        <v>9</v>
      </c>
    </row>
    <row r="103" spans="1:8" ht="28.8">
      <c r="A103" s="400" t="s">
        <v>12</v>
      </c>
      <c r="B103" s="401" t="s">
        <v>114</v>
      </c>
      <c r="C103" s="402" t="s">
        <v>13</v>
      </c>
      <c r="D103" s="402">
        <v>10</v>
      </c>
      <c r="E103" s="251">
        <f>(2825.54*97%)+2825.54</f>
        <v>5566.3137999999999</v>
      </c>
      <c r="F103" s="249">
        <f>(2942.99*97%)+2942.99</f>
        <v>5797.6902999999993</v>
      </c>
      <c r="G103" s="250">
        <f>(3397*97%)+3397</f>
        <v>6692.09</v>
      </c>
      <c r="H103" s="404">
        <f>F103*D103</f>
        <v>57976.902999999991</v>
      </c>
    </row>
    <row r="104" spans="1:8" ht="28.8">
      <c r="A104" s="400" t="s">
        <v>14</v>
      </c>
      <c r="B104" s="401" t="s">
        <v>115</v>
      </c>
      <c r="C104" s="402" t="s">
        <v>13</v>
      </c>
      <c r="D104" s="402">
        <v>10</v>
      </c>
      <c r="E104" s="68">
        <f>(1412*97%)+1412</f>
        <v>2781.64</v>
      </c>
      <c r="F104" s="69">
        <f>(1454*97%)+1454</f>
        <v>2864.38</v>
      </c>
      <c r="G104" s="68">
        <f>(1700*97%)+1700</f>
        <v>3349</v>
      </c>
      <c r="H104" s="404">
        <f>E104*D104*4</f>
        <v>111265.59999999999</v>
      </c>
    </row>
    <row r="105" spans="1:8" ht="28.8">
      <c r="A105" s="400" t="s">
        <v>16</v>
      </c>
      <c r="B105" s="401" t="s">
        <v>521</v>
      </c>
      <c r="C105" s="402" t="s">
        <v>18</v>
      </c>
      <c r="D105" s="402">
        <v>1</v>
      </c>
      <c r="E105" s="68">
        <v>1386</v>
      </c>
      <c r="F105" s="69">
        <v>1549</v>
      </c>
      <c r="G105" s="68">
        <v>1649.9</v>
      </c>
      <c r="H105" s="404">
        <f t="shared" ref="H105:H180" si="11">E105*D105</f>
        <v>1386</v>
      </c>
    </row>
    <row r="106" spans="1:8">
      <c r="A106" s="400" t="s">
        <v>19</v>
      </c>
      <c r="B106" s="401" t="s">
        <v>462</v>
      </c>
      <c r="C106" s="402" t="s">
        <v>13</v>
      </c>
      <c r="D106" s="402">
        <v>10</v>
      </c>
      <c r="E106" s="68">
        <v>124.99</v>
      </c>
      <c r="F106" s="69">
        <v>142</v>
      </c>
      <c r="G106" s="68">
        <v>159.9</v>
      </c>
      <c r="H106" s="404">
        <f t="shared" si="11"/>
        <v>1249.8999999999999</v>
      </c>
    </row>
    <row r="107" spans="1:8" ht="28.8">
      <c r="A107" s="400" t="s">
        <v>20</v>
      </c>
      <c r="B107" s="401" t="s">
        <v>515</v>
      </c>
      <c r="C107" s="402" t="s">
        <v>15</v>
      </c>
      <c r="D107" s="402">
        <f t="shared" ref="D107:D108" si="12">20*5*10</f>
        <v>1000</v>
      </c>
      <c r="E107" s="68">
        <v>32</v>
      </c>
      <c r="F107" s="69">
        <v>32</v>
      </c>
      <c r="G107" s="68">
        <v>35</v>
      </c>
      <c r="H107" s="404">
        <f t="shared" si="11"/>
        <v>32000</v>
      </c>
    </row>
    <row r="108" spans="1:8">
      <c r="A108" s="400" t="s">
        <v>21</v>
      </c>
      <c r="B108" s="401" t="s">
        <v>516</v>
      </c>
      <c r="C108" s="402" t="s">
        <v>15</v>
      </c>
      <c r="D108" s="402">
        <f t="shared" si="12"/>
        <v>1000</v>
      </c>
      <c r="E108" s="68">
        <v>8</v>
      </c>
      <c r="F108" s="197">
        <v>8.6</v>
      </c>
      <c r="G108" s="196">
        <v>9</v>
      </c>
      <c r="H108" s="446">
        <f t="shared" si="11"/>
        <v>8000</v>
      </c>
    </row>
    <row r="109" spans="1:8">
      <c r="A109" s="400" t="s">
        <v>22</v>
      </c>
      <c r="B109" s="401" t="s">
        <v>522</v>
      </c>
      <c r="C109" s="402" t="s">
        <v>13</v>
      </c>
      <c r="D109" s="402">
        <v>10</v>
      </c>
      <c r="E109" s="68">
        <v>7950</v>
      </c>
      <c r="F109" s="68">
        <v>8763.6</v>
      </c>
      <c r="G109" s="102">
        <v>9350</v>
      </c>
      <c r="H109" s="404">
        <f t="shared" si="11"/>
        <v>79500</v>
      </c>
    </row>
    <row r="110" spans="1:8" ht="28.8">
      <c r="A110" s="400" t="s">
        <v>23</v>
      </c>
      <c r="B110" s="401" t="s">
        <v>523</v>
      </c>
      <c r="C110" s="402" t="s">
        <v>108</v>
      </c>
      <c r="D110" s="402">
        <f>88*4*10</f>
        <v>3520</v>
      </c>
      <c r="E110" s="68">
        <v>6.47</v>
      </c>
      <c r="F110" s="69">
        <v>6.48</v>
      </c>
      <c r="G110" s="68">
        <v>6.49</v>
      </c>
      <c r="H110" s="448">
        <f t="shared" si="11"/>
        <v>22774.399999999998</v>
      </c>
    </row>
    <row r="111" spans="1:8">
      <c r="A111" s="206" t="s">
        <v>24</v>
      </c>
      <c r="B111" s="151" t="s">
        <v>762</v>
      </c>
      <c r="C111" s="67" t="s">
        <v>15</v>
      </c>
      <c r="D111" s="67">
        <v>1</v>
      </c>
      <c r="E111" s="68">
        <v>300</v>
      </c>
      <c r="F111" s="69">
        <v>600</v>
      </c>
      <c r="G111" s="68">
        <v>975</v>
      </c>
      <c r="H111" s="69">
        <f>E111*D111</f>
        <v>300</v>
      </c>
    </row>
    <row r="112" spans="1:8">
      <c r="A112" s="206" t="s">
        <v>25</v>
      </c>
      <c r="B112" s="151" t="s">
        <v>763</v>
      </c>
      <c r="C112" s="67" t="s">
        <v>13</v>
      </c>
      <c r="D112" s="67">
        <v>10</v>
      </c>
      <c r="E112" s="68">
        <v>49.9</v>
      </c>
      <c r="F112" s="69">
        <v>60</v>
      </c>
      <c r="G112" s="68">
        <v>65</v>
      </c>
      <c r="H112" s="69">
        <f>E112*D112*2</f>
        <v>998</v>
      </c>
    </row>
    <row r="113" spans="1:8">
      <c r="A113" s="206" t="s">
        <v>27</v>
      </c>
      <c r="B113" s="151" t="s">
        <v>673</v>
      </c>
      <c r="C113" s="67" t="s">
        <v>15</v>
      </c>
      <c r="D113" s="213">
        <v>1</v>
      </c>
      <c r="E113" s="68">
        <v>114</v>
      </c>
      <c r="F113" s="69">
        <v>180</v>
      </c>
      <c r="G113" s="68">
        <v>265</v>
      </c>
      <c r="H113" s="69">
        <f t="shared" ref="H113:H114" si="13">E113*D113</f>
        <v>114</v>
      </c>
    </row>
    <row r="114" spans="1:8">
      <c r="A114" s="206" t="s">
        <v>28</v>
      </c>
      <c r="B114" s="123" t="s">
        <v>770</v>
      </c>
      <c r="C114" s="402" t="s">
        <v>18</v>
      </c>
      <c r="D114" s="402">
        <v>4</v>
      </c>
      <c r="E114" s="403">
        <v>930</v>
      </c>
      <c r="F114" s="404">
        <v>990</v>
      </c>
      <c r="G114" s="408">
        <v>1000</v>
      </c>
      <c r="H114" s="69">
        <f t="shared" si="13"/>
        <v>3720</v>
      </c>
    </row>
    <row r="115" spans="1:8" ht="28.8">
      <c r="A115" s="400" t="s">
        <v>24</v>
      </c>
      <c r="B115" s="427" t="s">
        <v>681</v>
      </c>
      <c r="C115" s="402" t="s">
        <v>18</v>
      </c>
      <c r="D115" s="402">
        <f t="shared" ref="D115:D116" si="14">5*5</f>
        <v>25</v>
      </c>
      <c r="E115" s="68">
        <v>60</v>
      </c>
      <c r="F115" s="68">
        <v>65</v>
      </c>
      <c r="G115" s="69">
        <v>70</v>
      </c>
      <c r="H115" s="404">
        <f t="shared" si="11"/>
        <v>1500</v>
      </c>
    </row>
    <row r="116" spans="1:8" ht="28.8">
      <c r="A116" s="400" t="s">
        <v>25</v>
      </c>
      <c r="B116" s="428" t="s">
        <v>682</v>
      </c>
      <c r="C116" s="402" t="s">
        <v>18</v>
      </c>
      <c r="D116" s="402">
        <f t="shared" si="14"/>
        <v>25</v>
      </c>
      <c r="E116" s="68">
        <v>25</v>
      </c>
      <c r="F116" s="68">
        <v>40</v>
      </c>
      <c r="G116" s="69">
        <v>43</v>
      </c>
      <c r="H116" s="404">
        <f t="shared" si="11"/>
        <v>625</v>
      </c>
    </row>
    <row r="117" spans="1:8" ht="28.8">
      <c r="A117" s="400" t="s">
        <v>27</v>
      </c>
      <c r="B117" s="401" t="s">
        <v>686</v>
      </c>
      <c r="C117" s="429" t="s">
        <v>18</v>
      </c>
      <c r="D117" s="402">
        <v>1</v>
      </c>
      <c r="E117" s="68">
        <v>122</v>
      </c>
      <c r="F117" s="74">
        <v>170.91</v>
      </c>
      <c r="G117" s="68">
        <v>296.93</v>
      </c>
      <c r="H117" s="404">
        <f t="shared" si="11"/>
        <v>122</v>
      </c>
    </row>
    <row r="118" spans="1:8" ht="28.8">
      <c r="A118" s="400" t="s">
        <v>28</v>
      </c>
      <c r="B118" s="430" t="s">
        <v>683</v>
      </c>
      <c r="C118" s="402" t="s">
        <v>18</v>
      </c>
      <c r="D118" s="402">
        <v>4</v>
      </c>
      <c r="E118" s="68">
        <v>77.34</v>
      </c>
      <c r="F118" s="74">
        <v>103.8</v>
      </c>
      <c r="G118" s="70">
        <v>117.95</v>
      </c>
      <c r="H118" s="404">
        <f t="shared" si="11"/>
        <v>309.36</v>
      </c>
    </row>
    <row r="119" spans="1:8" ht="28.8">
      <c r="A119" s="400" t="s">
        <v>29</v>
      </c>
      <c r="B119" s="431" t="s">
        <v>687</v>
      </c>
      <c r="C119" s="402" t="s">
        <v>18</v>
      </c>
      <c r="D119" s="402">
        <f>2*1</f>
        <v>2</v>
      </c>
      <c r="E119" s="68">
        <v>21.8</v>
      </c>
      <c r="F119" s="74">
        <v>36</v>
      </c>
      <c r="G119" s="68">
        <v>46.9</v>
      </c>
      <c r="H119" s="404">
        <f t="shared" si="11"/>
        <v>43.6</v>
      </c>
    </row>
    <row r="120" spans="1:8" ht="28.8">
      <c r="A120" s="400" t="s">
        <v>30</v>
      </c>
      <c r="B120" s="431" t="s">
        <v>684</v>
      </c>
      <c r="C120" s="402" t="s">
        <v>18</v>
      </c>
      <c r="D120" s="402">
        <f>2*4</f>
        <v>8</v>
      </c>
      <c r="E120" s="73">
        <v>22.94</v>
      </c>
      <c r="F120" s="232">
        <v>23.46</v>
      </c>
      <c r="G120" s="73">
        <v>30</v>
      </c>
      <c r="H120" s="404">
        <f t="shared" si="11"/>
        <v>183.52</v>
      </c>
    </row>
    <row r="121" spans="1:8" ht="28.8">
      <c r="A121" s="400" t="s">
        <v>32</v>
      </c>
      <c r="B121" s="431" t="s">
        <v>688</v>
      </c>
      <c r="C121" s="402" t="s">
        <v>18</v>
      </c>
      <c r="D121" s="402">
        <f>2*5</f>
        <v>10</v>
      </c>
      <c r="E121" s="73">
        <v>13.93</v>
      </c>
      <c r="F121" s="74">
        <v>15.71</v>
      </c>
      <c r="G121" s="68">
        <v>49.9</v>
      </c>
      <c r="H121" s="404">
        <f t="shared" si="11"/>
        <v>139.30000000000001</v>
      </c>
    </row>
    <row r="122" spans="1:8" ht="28.8">
      <c r="A122" s="400" t="s">
        <v>33</v>
      </c>
      <c r="B122" s="401" t="s">
        <v>529</v>
      </c>
      <c r="C122" s="402" t="s">
        <v>18</v>
      </c>
      <c r="D122" s="495">
        <f>3*5*10</f>
        <v>150</v>
      </c>
      <c r="E122" s="73">
        <v>12.4</v>
      </c>
      <c r="F122" s="232">
        <v>13.5</v>
      </c>
      <c r="G122" s="68">
        <v>20.260000000000002</v>
      </c>
      <c r="H122" s="404">
        <f t="shared" si="11"/>
        <v>1860</v>
      </c>
    </row>
    <row r="123" spans="1:8">
      <c r="A123" s="400" t="s">
        <v>34</v>
      </c>
      <c r="B123" s="401" t="s">
        <v>502</v>
      </c>
      <c r="C123" s="402" t="s">
        <v>18</v>
      </c>
      <c r="D123" s="495">
        <f>2*5*10</f>
        <v>100</v>
      </c>
      <c r="E123" s="68">
        <v>2.7</v>
      </c>
      <c r="F123" s="68">
        <v>2.75</v>
      </c>
      <c r="G123" s="232">
        <v>2.94</v>
      </c>
      <c r="H123" s="404">
        <f t="shared" si="11"/>
        <v>270</v>
      </c>
    </row>
    <row r="124" spans="1:8" ht="28.8">
      <c r="A124" s="400" t="s">
        <v>37</v>
      </c>
      <c r="B124" s="401" t="s">
        <v>531</v>
      </c>
      <c r="C124" s="402" t="s">
        <v>18</v>
      </c>
      <c r="D124" s="495">
        <f>4*1</f>
        <v>4</v>
      </c>
      <c r="E124" s="68">
        <v>38.700000000000003</v>
      </c>
      <c r="F124" s="69">
        <v>65.64</v>
      </c>
      <c r="G124" s="73">
        <v>176</v>
      </c>
      <c r="H124" s="404">
        <f t="shared" si="11"/>
        <v>154.80000000000001</v>
      </c>
    </row>
    <row r="125" spans="1:8">
      <c r="A125" s="400" t="s">
        <v>39</v>
      </c>
      <c r="B125" s="430" t="s">
        <v>503</v>
      </c>
      <c r="C125" s="402" t="s">
        <v>18</v>
      </c>
      <c r="D125" s="402">
        <v>10</v>
      </c>
      <c r="E125" s="68">
        <v>160</v>
      </c>
      <c r="F125" s="232">
        <v>163</v>
      </c>
      <c r="G125" s="73">
        <v>193.63</v>
      </c>
      <c r="H125" s="404">
        <f t="shared" si="11"/>
        <v>1600</v>
      </c>
    </row>
    <row r="126" spans="1:8" ht="28.8">
      <c r="A126" s="633" t="s">
        <v>40</v>
      </c>
      <c r="B126" s="634" t="s">
        <v>474</v>
      </c>
      <c r="C126" s="635" t="s">
        <v>18</v>
      </c>
      <c r="D126" s="635">
        <f t="shared" ref="D126:D127" si="15">1*5</f>
        <v>5</v>
      </c>
      <c r="E126" s="636">
        <v>35</v>
      </c>
      <c r="F126" s="637">
        <v>41.4</v>
      </c>
      <c r="G126" s="636">
        <v>168.26</v>
      </c>
      <c r="H126" s="637">
        <f t="shared" si="11"/>
        <v>175</v>
      </c>
    </row>
    <row r="127" spans="1:8">
      <c r="A127" s="633" t="s">
        <v>42</v>
      </c>
      <c r="B127" s="638" t="s">
        <v>492</v>
      </c>
      <c r="C127" s="635" t="s">
        <v>18</v>
      </c>
      <c r="D127" s="635">
        <f t="shared" si="15"/>
        <v>5</v>
      </c>
      <c r="E127" s="636">
        <v>41.4</v>
      </c>
      <c r="F127" s="637">
        <v>42.23</v>
      </c>
      <c r="G127" s="636">
        <v>50</v>
      </c>
      <c r="H127" s="637">
        <f t="shared" si="11"/>
        <v>207</v>
      </c>
    </row>
    <row r="128" spans="1:8" ht="28.8">
      <c r="A128" s="633" t="s">
        <v>44</v>
      </c>
      <c r="B128" s="639" t="s">
        <v>532</v>
      </c>
      <c r="C128" s="635" t="s">
        <v>18</v>
      </c>
      <c r="D128" s="635">
        <f>2*5</f>
        <v>10</v>
      </c>
      <c r="E128" s="636">
        <v>2.77</v>
      </c>
      <c r="F128" s="637">
        <v>3.75</v>
      </c>
      <c r="G128" s="636">
        <v>3.96</v>
      </c>
      <c r="H128" s="637">
        <f t="shared" si="11"/>
        <v>27.7</v>
      </c>
    </row>
    <row r="129" spans="1:8" ht="28.8">
      <c r="A129" s="633" t="s">
        <v>46</v>
      </c>
      <c r="B129" s="639" t="s">
        <v>533</v>
      </c>
      <c r="C129" s="640" t="s">
        <v>18</v>
      </c>
      <c r="D129" s="635">
        <f>2*1</f>
        <v>2</v>
      </c>
      <c r="E129" s="636">
        <v>27.94</v>
      </c>
      <c r="F129" s="637">
        <v>35.5</v>
      </c>
      <c r="G129" s="636">
        <v>36.9</v>
      </c>
      <c r="H129" s="637">
        <f t="shared" si="11"/>
        <v>55.88</v>
      </c>
    </row>
    <row r="130" spans="1:8" ht="28.8">
      <c r="A130" s="633" t="s">
        <v>48</v>
      </c>
      <c r="B130" s="641" t="s">
        <v>534</v>
      </c>
      <c r="C130" s="635" t="s">
        <v>18</v>
      </c>
      <c r="D130" s="642">
        <v>8</v>
      </c>
      <c r="E130" s="636">
        <v>28.55</v>
      </c>
      <c r="F130" s="637">
        <v>28.8</v>
      </c>
      <c r="G130" s="636">
        <v>103.4</v>
      </c>
      <c r="H130" s="637">
        <f t="shared" si="11"/>
        <v>228.4</v>
      </c>
    </row>
    <row r="131" spans="1:8" ht="28.8">
      <c r="A131" s="633" t="s">
        <v>49</v>
      </c>
      <c r="B131" s="638" t="s">
        <v>535</v>
      </c>
      <c r="C131" s="635" t="s">
        <v>18</v>
      </c>
      <c r="D131" s="642">
        <v>4</v>
      </c>
      <c r="E131" s="637">
        <v>286</v>
      </c>
      <c r="F131" s="637">
        <v>484</v>
      </c>
      <c r="G131" s="636">
        <v>572</v>
      </c>
      <c r="H131" s="637">
        <f t="shared" si="11"/>
        <v>1144</v>
      </c>
    </row>
    <row r="132" spans="1:8">
      <c r="A132" s="633" t="s">
        <v>51</v>
      </c>
      <c r="B132" s="641" t="s">
        <v>507</v>
      </c>
      <c r="C132" s="635" t="s">
        <v>18</v>
      </c>
      <c r="D132" s="642">
        <v>2</v>
      </c>
      <c r="E132" s="636">
        <v>133.01</v>
      </c>
      <c r="F132" s="637">
        <v>157.19999999999999</v>
      </c>
      <c r="G132" s="636">
        <v>175.33</v>
      </c>
      <c r="H132" s="637">
        <f t="shared" si="11"/>
        <v>266.02</v>
      </c>
    </row>
    <row r="133" spans="1:8">
      <c r="A133" s="633" t="s">
        <v>53</v>
      </c>
      <c r="B133" s="638" t="s">
        <v>536</v>
      </c>
      <c r="C133" s="635" t="s">
        <v>103</v>
      </c>
      <c r="D133" s="642">
        <v>2</v>
      </c>
      <c r="E133" s="636">
        <v>73.900000000000006</v>
      </c>
      <c r="F133" s="637">
        <v>76.5</v>
      </c>
      <c r="G133" s="636">
        <v>78.849999999999994</v>
      </c>
      <c r="H133" s="637">
        <f t="shared" si="11"/>
        <v>147.80000000000001</v>
      </c>
    </row>
    <row r="134" spans="1:8">
      <c r="A134" s="633" t="s">
        <v>55</v>
      </c>
      <c r="B134" s="641" t="s">
        <v>493</v>
      </c>
      <c r="C134" s="635" t="s">
        <v>18</v>
      </c>
      <c r="D134" s="642">
        <v>1</v>
      </c>
      <c r="E134" s="636">
        <v>26.5</v>
      </c>
      <c r="F134" s="637">
        <v>61.9</v>
      </c>
      <c r="G134" s="636">
        <v>83.6</v>
      </c>
      <c r="H134" s="637">
        <f t="shared" si="11"/>
        <v>26.5</v>
      </c>
    </row>
    <row r="135" spans="1:8" ht="28.8">
      <c r="A135" s="633" t="s">
        <v>56</v>
      </c>
      <c r="B135" s="641" t="s">
        <v>494</v>
      </c>
      <c r="C135" s="635" t="s">
        <v>18</v>
      </c>
      <c r="D135" s="642">
        <v>2</v>
      </c>
      <c r="E135" s="636">
        <v>27.9</v>
      </c>
      <c r="F135" s="637">
        <v>30</v>
      </c>
      <c r="G135" s="636">
        <v>32.229999999999997</v>
      </c>
      <c r="H135" s="637">
        <f t="shared" si="11"/>
        <v>55.8</v>
      </c>
    </row>
    <row r="136" spans="1:8">
      <c r="A136" s="633" t="s">
        <v>57</v>
      </c>
      <c r="B136" s="643" t="s">
        <v>495</v>
      </c>
      <c r="C136" s="635" t="s">
        <v>18</v>
      </c>
      <c r="D136" s="642">
        <v>2</v>
      </c>
      <c r="E136" s="636">
        <v>157.44</v>
      </c>
      <c r="F136" s="637">
        <v>184.26</v>
      </c>
      <c r="G136" s="636">
        <v>208.95</v>
      </c>
      <c r="H136" s="637">
        <f t="shared" si="11"/>
        <v>314.88</v>
      </c>
    </row>
    <row r="137" spans="1:8">
      <c r="A137" s="633" t="s">
        <v>58</v>
      </c>
      <c r="B137" s="639" t="s">
        <v>496</v>
      </c>
      <c r="C137" s="644" t="s">
        <v>18</v>
      </c>
      <c r="D137" s="635">
        <v>4</v>
      </c>
      <c r="E137" s="636">
        <v>33.729999999999997</v>
      </c>
      <c r="F137" s="637">
        <v>43.66</v>
      </c>
      <c r="G137" s="636">
        <v>72</v>
      </c>
      <c r="H137" s="637">
        <f t="shared" si="11"/>
        <v>134.91999999999999</v>
      </c>
    </row>
    <row r="138" spans="1:8">
      <c r="A138" s="633" t="s">
        <v>59</v>
      </c>
      <c r="B138" s="639" t="s">
        <v>772</v>
      </c>
      <c r="C138" s="635" t="s">
        <v>18</v>
      </c>
      <c r="D138" s="635">
        <f>5*1</f>
        <v>5</v>
      </c>
      <c r="E138" s="636">
        <v>286</v>
      </c>
      <c r="F138" s="637">
        <v>338</v>
      </c>
      <c r="G138" s="636">
        <v>377</v>
      </c>
      <c r="H138" s="637">
        <f t="shared" si="11"/>
        <v>1430</v>
      </c>
    </row>
    <row r="139" spans="1:8">
      <c r="A139" s="633" t="s">
        <v>60</v>
      </c>
      <c r="B139" s="639" t="s">
        <v>773</v>
      </c>
      <c r="C139" s="635" t="s">
        <v>18</v>
      </c>
      <c r="D139" s="635">
        <f>4*1</f>
        <v>4</v>
      </c>
      <c r="E139" s="636">
        <v>98</v>
      </c>
      <c r="F139" s="637">
        <v>270</v>
      </c>
      <c r="G139" s="636">
        <v>279</v>
      </c>
      <c r="H139" s="637">
        <f t="shared" si="11"/>
        <v>392</v>
      </c>
    </row>
    <row r="140" spans="1:8">
      <c r="A140" s="633" t="s">
        <v>62</v>
      </c>
      <c r="B140" s="639" t="s">
        <v>774</v>
      </c>
      <c r="C140" s="635" t="s">
        <v>18</v>
      </c>
      <c r="D140" s="635">
        <f>2*5*10</f>
        <v>100</v>
      </c>
      <c r="E140" s="636">
        <v>35.99</v>
      </c>
      <c r="F140" s="637">
        <v>37.93</v>
      </c>
      <c r="G140" s="636">
        <v>67.900000000000006</v>
      </c>
      <c r="H140" s="637">
        <f t="shared" si="11"/>
        <v>3599</v>
      </c>
    </row>
    <row r="141" spans="1:8">
      <c r="A141" s="633" t="s">
        <v>64</v>
      </c>
      <c r="B141" s="639" t="s">
        <v>786</v>
      </c>
      <c r="C141" s="635" t="s">
        <v>18</v>
      </c>
      <c r="D141" s="635">
        <v>1</v>
      </c>
      <c r="E141" s="636">
        <v>817.89</v>
      </c>
      <c r="F141" s="637">
        <v>897.86</v>
      </c>
      <c r="G141" s="636">
        <v>1089.9000000000001</v>
      </c>
      <c r="H141" s="637">
        <f t="shared" si="11"/>
        <v>817.89</v>
      </c>
    </row>
    <row r="142" spans="1:8">
      <c r="A142" s="633" t="s">
        <v>66</v>
      </c>
      <c r="B142" s="639" t="s">
        <v>787</v>
      </c>
      <c r="C142" s="635" t="s">
        <v>18</v>
      </c>
      <c r="D142" s="635">
        <v>1</v>
      </c>
      <c r="E142" s="636">
        <v>479.52</v>
      </c>
      <c r="F142" s="637">
        <v>559.9</v>
      </c>
      <c r="G142" s="636">
        <v>616</v>
      </c>
      <c r="H142" s="637">
        <f t="shared" si="11"/>
        <v>479.52</v>
      </c>
    </row>
    <row r="143" spans="1:8">
      <c r="A143" s="633" t="s">
        <v>69</v>
      </c>
      <c r="B143" s="639" t="s">
        <v>783</v>
      </c>
      <c r="C143" s="635" t="s">
        <v>18</v>
      </c>
      <c r="D143" s="635">
        <f>2*5*1</f>
        <v>10</v>
      </c>
      <c r="E143" s="636">
        <v>125</v>
      </c>
      <c r="F143" s="637">
        <v>144.41</v>
      </c>
      <c r="G143" s="636">
        <v>155.5</v>
      </c>
      <c r="H143" s="637">
        <f t="shared" si="11"/>
        <v>1250</v>
      </c>
    </row>
    <row r="144" spans="1:8">
      <c r="A144" s="633" t="s">
        <v>71</v>
      </c>
      <c r="B144" s="639" t="s">
        <v>775</v>
      </c>
      <c r="C144" s="635" t="s">
        <v>18</v>
      </c>
      <c r="D144" s="635">
        <v>1</v>
      </c>
      <c r="E144" s="636">
        <v>930</v>
      </c>
      <c r="F144" s="637">
        <v>1000</v>
      </c>
      <c r="G144" s="636">
        <v>1980</v>
      </c>
      <c r="H144" s="637">
        <f t="shared" si="11"/>
        <v>930</v>
      </c>
    </row>
    <row r="145" spans="1:8">
      <c r="A145" s="633" t="s">
        <v>73</v>
      </c>
      <c r="B145" s="639" t="s">
        <v>776</v>
      </c>
      <c r="C145" s="635" t="s">
        <v>18</v>
      </c>
      <c r="D145" s="635">
        <f>1*5*1</f>
        <v>5</v>
      </c>
      <c r="E145" s="636">
        <v>37.9</v>
      </c>
      <c r="F145" s="637">
        <v>41.31</v>
      </c>
      <c r="G145" s="636">
        <v>45</v>
      </c>
      <c r="H145" s="637">
        <f t="shared" si="11"/>
        <v>189.5</v>
      </c>
    </row>
    <row r="146" spans="1:8">
      <c r="A146" s="633" t="s">
        <v>75</v>
      </c>
      <c r="B146" s="639" t="s">
        <v>777</v>
      </c>
      <c r="C146" s="635" t="s">
        <v>18</v>
      </c>
      <c r="D146" s="635">
        <f>1*5*1</f>
        <v>5</v>
      </c>
      <c r="E146" s="636">
        <v>73.489999999999995</v>
      </c>
      <c r="F146" s="637">
        <v>96.7</v>
      </c>
      <c r="G146" s="636">
        <v>106.76</v>
      </c>
      <c r="H146" s="637">
        <f t="shared" si="11"/>
        <v>367.45</v>
      </c>
    </row>
    <row r="147" spans="1:8">
      <c r="A147" s="633" t="s">
        <v>77</v>
      </c>
      <c r="B147" s="639" t="s">
        <v>784</v>
      </c>
      <c r="C147" s="635" t="s">
        <v>18</v>
      </c>
      <c r="D147" s="635">
        <v>1</v>
      </c>
      <c r="E147" s="636">
        <v>139.9</v>
      </c>
      <c r="F147" s="637">
        <v>155</v>
      </c>
      <c r="G147" s="636">
        <v>169.92</v>
      </c>
      <c r="H147" s="637">
        <f t="shared" si="11"/>
        <v>139.9</v>
      </c>
    </row>
    <row r="148" spans="1:8">
      <c r="A148" s="633" t="s">
        <v>78</v>
      </c>
      <c r="B148" s="639" t="s">
        <v>788</v>
      </c>
      <c r="C148" s="642" t="s">
        <v>18</v>
      </c>
      <c r="D148" s="635">
        <v>2</v>
      </c>
      <c r="E148" s="636">
        <v>743.68</v>
      </c>
      <c r="F148" s="637">
        <v>895</v>
      </c>
      <c r="G148" s="636">
        <v>2099.9</v>
      </c>
      <c r="H148" s="637">
        <f t="shared" si="11"/>
        <v>1487.36</v>
      </c>
    </row>
    <row r="149" spans="1:8" ht="28.8">
      <c r="A149" s="633" t="s">
        <v>79</v>
      </c>
      <c r="B149" s="639" t="s">
        <v>541</v>
      </c>
      <c r="C149" s="635" t="s">
        <v>18</v>
      </c>
      <c r="D149" s="635">
        <v>1</v>
      </c>
      <c r="E149" s="645">
        <v>3200.55</v>
      </c>
      <c r="F149" s="637">
        <v>3309</v>
      </c>
      <c r="G149" s="636">
        <v>3369</v>
      </c>
      <c r="H149" s="637">
        <f t="shared" si="11"/>
        <v>3200.55</v>
      </c>
    </row>
    <row r="150" spans="1:8" ht="28.8">
      <c r="A150" s="633" t="s">
        <v>116</v>
      </c>
      <c r="B150" s="639" t="s">
        <v>509</v>
      </c>
      <c r="C150" s="635" t="s">
        <v>108</v>
      </c>
      <c r="D150" s="635">
        <f>40*8</f>
        <v>320</v>
      </c>
      <c r="E150" s="645">
        <v>6.8</v>
      </c>
      <c r="F150" s="637">
        <v>6.9</v>
      </c>
      <c r="G150" s="636">
        <v>6.35</v>
      </c>
      <c r="H150" s="637">
        <f t="shared" si="11"/>
        <v>2176</v>
      </c>
    </row>
    <row r="151" spans="1:8">
      <c r="A151" s="633" t="s">
        <v>118</v>
      </c>
      <c r="B151" s="639" t="s">
        <v>510</v>
      </c>
      <c r="C151" s="635" t="s">
        <v>108</v>
      </c>
      <c r="D151" s="635">
        <v>10</v>
      </c>
      <c r="E151" s="645">
        <v>43.98</v>
      </c>
      <c r="F151" s="637">
        <v>47.42</v>
      </c>
      <c r="G151" s="636">
        <v>47.9</v>
      </c>
      <c r="H151" s="637">
        <f t="shared" si="11"/>
        <v>439.79999999999995</v>
      </c>
    </row>
    <row r="152" spans="1:8">
      <c r="A152" s="633" t="s">
        <v>119</v>
      </c>
      <c r="B152" s="639" t="s">
        <v>511</v>
      </c>
      <c r="C152" s="635" t="s">
        <v>109</v>
      </c>
      <c r="D152" s="635">
        <v>10</v>
      </c>
      <c r="E152" s="645">
        <v>26.24</v>
      </c>
      <c r="F152" s="637">
        <v>28.33</v>
      </c>
      <c r="G152" s="636">
        <v>31.98</v>
      </c>
      <c r="H152" s="637">
        <f t="shared" si="11"/>
        <v>262.39999999999998</v>
      </c>
    </row>
    <row r="153" spans="1:8">
      <c r="A153" s="633" t="s">
        <v>120</v>
      </c>
      <c r="B153" s="639" t="s">
        <v>537</v>
      </c>
      <c r="C153" s="635" t="s">
        <v>18</v>
      </c>
      <c r="D153" s="635">
        <v>20</v>
      </c>
      <c r="E153" s="645">
        <v>94.2</v>
      </c>
      <c r="F153" s="637">
        <v>108.06</v>
      </c>
      <c r="G153" s="636">
        <v>114.93</v>
      </c>
      <c r="H153" s="637">
        <f t="shared" si="11"/>
        <v>1884</v>
      </c>
    </row>
    <row r="154" spans="1:8">
      <c r="A154" s="633" t="s">
        <v>121</v>
      </c>
      <c r="B154" s="639" t="s">
        <v>512</v>
      </c>
      <c r="C154" s="635" t="s">
        <v>18</v>
      </c>
      <c r="D154" s="635">
        <v>4</v>
      </c>
      <c r="E154" s="636">
        <v>37.47</v>
      </c>
      <c r="F154" s="637">
        <v>43.66</v>
      </c>
      <c r="G154" s="636">
        <v>48</v>
      </c>
      <c r="H154" s="637">
        <f t="shared" si="11"/>
        <v>149.88</v>
      </c>
    </row>
    <row r="155" spans="1:8">
      <c r="A155" s="633" t="s">
        <v>122</v>
      </c>
      <c r="B155" s="639" t="s">
        <v>538</v>
      </c>
      <c r="C155" s="635" t="s">
        <v>18</v>
      </c>
      <c r="D155" s="635">
        <v>24</v>
      </c>
      <c r="E155" s="636">
        <v>23.1</v>
      </c>
      <c r="F155" s="637">
        <v>25.52</v>
      </c>
      <c r="G155" s="636">
        <v>29.6</v>
      </c>
      <c r="H155" s="637">
        <f t="shared" si="11"/>
        <v>554.40000000000009</v>
      </c>
    </row>
    <row r="156" spans="1:8">
      <c r="A156" s="633" t="s">
        <v>123</v>
      </c>
      <c r="B156" s="639" t="s">
        <v>540</v>
      </c>
      <c r="C156" s="635" t="s">
        <v>18</v>
      </c>
      <c r="D156" s="635">
        <v>8</v>
      </c>
      <c r="E156" s="645">
        <v>54.78</v>
      </c>
      <c r="F156" s="637">
        <v>74.83</v>
      </c>
      <c r="G156" s="636">
        <v>82.7</v>
      </c>
      <c r="H156" s="637">
        <f t="shared" si="11"/>
        <v>438.24</v>
      </c>
    </row>
    <row r="157" spans="1:8">
      <c r="A157" s="633" t="s">
        <v>124</v>
      </c>
      <c r="B157" s="639" t="s">
        <v>539</v>
      </c>
      <c r="C157" s="635" t="s">
        <v>18</v>
      </c>
      <c r="D157" s="635">
        <v>8</v>
      </c>
      <c r="E157" s="636">
        <v>27.82</v>
      </c>
      <c r="F157" s="637">
        <v>32.369999999999997</v>
      </c>
      <c r="G157" s="636">
        <v>33.74</v>
      </c>
      <c r="H157" s="637">
        <f t="shared" si="11"/>
        <v>222.56</v>
      </c>
    </row>
    <row r="158" spans="1:8">
      <c r="A158" s="633" t="s">
        <v>125</v>
      </c>
      <c r="B158" s="639" t="s">
        <v>117</v>
      </c>
      <c r="C158" s="635" t="s">
        <v>18</v>
      </c>
      <c r="D158" s="635">
        <v>1</v>
      </c>
      <c r="E158" s="636">
        <v>3647.05</v>
      </c>
      <c r="F158" s="637">
        <v>4061.93</v>
      </c>
      <c r="G158" s="636">
        <v>4274.5</v>
      </c>
      <c r="H158" s="637">
        <f t="shared" si="11"/>
        <v>3647.05</v>
      </c>
    </row>
    <row r="159" spans="1:8">
      <c r="A159" s="633" t="s">
        <v>126</v>
      </c>
      <c r="B159" s="639" t="s">
        <v>542</v>
      </c>
      <c r="C159" s="635" t="s">
        <v>18</v>
      </c>
      <c r="D159" s="635">
        <v>2</v>
      </c>
      <c r="E159" s="636">
        <v>1123.6400000000001</v>
      </c>
      <c r="F159" s="637">
        <v>1285.6300000000001</v>
      </c>
      <c r="G159" s="636">
        <v>1502.31</v>
      </c>
      <c r="H159" s="637">
        <f t="shared" si="11"/>
        <v>2247.2800000000002</v>
      </c>
    </row>
    <row r="160" spans="1:8" ht="28.8">
      <c r="A160" s="633" t="s">
        <v>127</v>
      </c>
      <c r="B160" s="639" t="s">
        <v>543</v>
      </c>
      <c r="C160" s="635" t="s">
        <v>18</v>
      </c>
      <c r="D160" s="635">
        <f>1*2*10</f>
        <v>20</v>
      </c>
      <c r="E160" s="645">
        <v>456.51</v>
      </c>
      <c r="F160" s="637">
        <v>465</v>
      </c>
      <c r="G160" s="636">
        <v>480.54</v>
      </c>
      <c r="H160" s="637">
        <f t="shared" si="11"/>
        <v>9130.2000000000007</v>
      </c>
    </row>
    <row r="161" spans="1:8" ht="28.8">
      <c r="A161" s="633" t="s">
        <v>128</v>
      </c>
      <c r="B161" s="639" t="s">
        <v>544</v>
      </c>
      <c r="C161" s="635" t="s">
        <v>18</v>
      </c>
      <c r="D161" s="635">
        <v>1</v>
      </c>
      <c r="E161" s="636">
        <v>822.41</v>
      </c>
      <c r="F161" s="637">
        <v>835.91</v>
      </c>
      <c r="G161" s="636">
        <v>852.9</v>
      </c>
      <c r="H161" s="637">
        <f t="shared" si="11"/>
        <v>822.41</v>
      </c>
    </row>
    <row r="162" spans="1:8">
      <c r="A162" s="633" t="s">
        <v>129</v>
      </c>
      <c r="B162" s="639" t="s">
        <v>513</v>
      </c>
      <c r="C162" s="635" t="s">
        <v>68</v>
      </c>
      <c r="D162" s="635">
        <v>10</v>
      </c>
      <c r="E162" s="636">
        <v>204</v>
      </c>
      <c r="F162" s="637">
        <v>255</v>
      </c>
      <c r="G162" s="636">
        <v>280</v>
      </c>
      <c r="H162" s="637">
        <f t="shared" si="11"/>
        <v>2040</v>
      </c>
    </row>
    <row r="163" spans="1:8" ht="28.8">
      <c r="A163" s="633" t="s">
        <v>130</v>
      </c>
      <c r="B163" s="639" t="s">
        <v>545</v>
      </c>
      <c r="C163" s="635" t="s">
        <v>18</v>
      </c>
      <c r="D163" s="635">
        <f>2*4</f>
        <v>8</v>
      </c>
      <c r="E163" s="636">
        <v>49</v>
      </c>
      <c r="F163" s="637">
        <v>64</v>
      </c>
      <c r="G163" s="636">
        <v>80</v>
      </c>
      <c r="H163" s="637">
        <f t="shared" si="11"/>
        <v>392</v>
      </c>
    </row>
    <row r="164" spans="1:8">
      <c r="A164" s="633" t="s">
        <v>131</v>
      </c>
      <c r="B164" s="634" t="s">
        <v>546</v>
      </c>
      <c r="C164" s="635" t="s">
        <v>18</v>
      </c>
      <c r="D164" s="635">
        <f>1*4</f>
        <v>4</v>
      </c>
      <c r="E164" s="636">
        <v>46.6</v>
      </c>
      <c r="F164" s="637">
        <v>62</v>
      </c>
      <c r="G164" s="636">
        <v>95.25</v>
      </c>
      <c r="H164" s="637">
        <f t="shared" si="11"/>
        <v>186.4</v>
      </c>
    </row>
    <row r="165" spans="1:8" ht="28.8">
      <c r="A165" s="633" t="s">
        <v>132</v>
      </c>
      <c r="B165" s="634" t="s">
        <v>547</v>
      </c>
      <c r="C165" s="635" t="s">
        <v>18</v>
      </c>
      <c r="D165" s="635">
        <f t="shared" ref="D165:D166" si="16">2*4</f>
        <v>8</v>
      </c>
      <c r="E165" s="636">
        <v>103.2</v>
      </c>
      <c r="F165" s="637">
        <v>129</v>
      </c>
      <c r="G165" s="636">
        <v>167.81</v>
      </c>
      <c r="H165" s="637">
        <f t="shared" si="11"/>
        <v>825.6</v>
      </c>
    </row>
    <row r="166" spans="1:8" ht="28.8">
      <c r="A166" s="633" t="s">
        <v>133</v>
      </c>
      <c r="B166" s="634" t="s">
        <v>548</v>
      </c>
      <c r="C166" s="635" t="s">
        <v>18</v>
      </c>
      <c r="D166" s="635">
        <f t="shared" si="16"/>
        <v>8</v>
      </c>
      <c r="E166" s="636">
        <v>37.6</v>
      </c>
      <c r="F166" s="637">
        <v>54</v>
      </c>
      <c r="G166" s="636">
        <v>59.6</v>
      </c>
      <c r="H166" s="637">
        <f t="shared" si="11"/>
        <v>300.8</v>
      </c>
    </row>
    <row r="167" spans="1:8" ht="28.8">
      <c r="A167" s="633" t="s">
        <v>134</v>
      </c>
      <c r="B167" s="634" t="s">
        <v>549</v>
      </c>
      <c r="C167" s="635" t="s">
        <v>18</v>
      </c>
      <c r="D167" s="635">
        <f t="shared" ref="D167:D168" si="17">2*4</f>
        <v>8</v>
      </c>
      <c r="E167" s="636">
        <v>29.6</v>
      </c>
      <c r="F167" s="637">
        <v>53.7</v>
      </c>
      <c r="G167" s="636">
        <v>61.28</v>
      </c>
      <c r="H167" s="637">
        <f t="shared" si="11"/>
        <v>236.8</v>
      </c>
    </row>
    <row r="168" spans="1:8">
      <c r="A168" s="633" t="s">
        <v>135</v>
      </c>
      <c r="B168" s="634" t="s">
        <v>550</v>
      </c>
      <c r="C168" s="635" t="s">
        <v>18</v>
      </c>
      <c r="D168" s="635">
        <f t="shared" si="17"/>
        <v>8</v>
      </c>
      <c r="E168" s="636">
        <v>36</v>
      </c>
      <c r="F168" s="637">
        <v>50.6</v>
      </c>
      <c r="G168" s="636">
        <v>54.6</v>
      </c>
      <c r="H168" s="637">
        <f t="shared" si="11"/>
        <v>288</v>
      </c>
    </row>
    <row r="169" spans="1:8">
      <c r="A169" s="633" t="s">
        <v>136</v>
      </c>
      <c r="B169" s="634" t="s">
        <v>551</v>
      </c>
      <c r="C169" s="635" t="s">
        <v>18</v>
      </c>
      <c r="D169" s="635">
        <f>2*1</f>
        <v>2</v>
      </c>
      <c r="E169" s="636">
        <v>45.39</v>
      </c>
      <c r="F169" s="637">
        <v>49.8</v>
      </c>
      <c r="G169" s="636">
        <v>84.64</v>
      </c>
      <c r="H169" s="637">
        <f t="shared" si="11"/>
        <v>90.78</v>
      </c>
    </row>
    <row r="170" spans="1:8" ht="28.8">
      <c r="A170" s="633" t="s">
        <v>137</v>
      </c>
      <c r="B170" s="634" t="s">
        <v>552</v>
      </c>
      <c r="C170" s="635" t="s">
        <v>18</v>
      </c>
      <c r="D170" s="635">
        <f>4*1</f>
        <v>4</v>
      </c>
      <c r="E170" s="636">
        <v>140.54</v>
      </c>
      <c r="F170" s="637">
        <v>186.8</v>
      </c>
      <c r="G170" s="636">
        <v>341.8</v>
      </c>
      <c r="H170" s="637">
        <f t="shared" si="11"/>
        <v>562.16</v>
      </c>
    </row>
    <row r="171" spans="1:8">
      <c r="A171" s="163" t="s">
        <v>732</v>
      </c>
      <c r="B171" s="432" t="s">
        <v>553</v>
      </c>
      <c r="C171" s="402" t="s">
        <v>18</v>
      </c>
      <c r="D171" s="402">
        <f>2*1</f>
        <v>2</v>
      </c>
      <c r="E171" s="256">
        <v>5.38</v>
      </c>
      <c r="F171" s="232">
        <v>5.65</v>
      </c>
      <c r="G171" s="73">
        <v>12.6</v>
      </c>
      <c r="H171" s="404">
        <f t="shared" si="11"/>
        <v>10.76</v>
      </c>
    </row>
    <row r="172" spans="1:8" ht="28.8">
      <c r="A172" s="163" t="s">
        <v>733</v>
      </c>
      <c r="B172" s="432" t="s">
        <v>562</v>
      </c>
      <c r="C172" s="429" t="s">
        <v>15</v>
      </c>
      <c r="D172" s="402">
        <v>2</v>
      </c>
      <c r="E172" s="68">
        <v>800</v>
      </c>
      <c r="F172" s="69"/>
      <c r="G172" s="68"/>
      <c r="H172" s="404">
        <f t="shared" si="11"/>
        <v>1600</v>
      </c>
    </row>
    <row r="173" spans="1:8">
      <c r="A173" s="163" t="s">
        <v>734</v>
      </c>
      <c r="B173" s="432" t="s">
        <v>554</v>
      </c>
      <c r="C173" s="429" t="s">
        <v>18</v>
      </c>
      <c r="D173" s="402">
        <v>5</v>
      </c>
      <c r="E173" s="68">
        <v>120</v>
      </c>
      <c r="F173" s="69">
        <v>150</v>
      </c>
      <c r="G173" s="68">
        <v>156</v>
      </c>
      <c r="H173" s="404">
        <f t="shared" si="11"/>
        <v>600</v>
      </c>
    </row>
    <row r="174" spans="1:8">
      <c r="A174" s="163" t="s">
        <v>789</v>
      </c>
      <c r="B174" s="450" t="s">
        <v>555</v>
      </c>
      <c r="C174" s="429" t="s">
        <v>18</v>
      </c>
      <c r="D174" s="402">
        <v>6</v>
      </c>
      <c r="E174" s="68">
        <v>118</v>
      </c>
      <c r="F174" s="69">
        <v>147.5</v>
      </c>
      <c r="G174" s="68">
        <v>171.1</v>
      </c>
      <c r="H174" s="404">
        <f t="shared" si="11"/>
        <v>708</v>
      </c>
    </row>
    <row r="175" spans="1:8">
      <c r="A175" s="163" t="s">
        <v>790</v>
      </c>
      <c r="B175" s="451" t="s">
        <v>556</v>
      </c>
      <c r="C175" s="429" t="s">
        <v>18</v>
      </c>
      <c r="D175" s="402">
        <v>1</v>
      </c>
      <c r="E175" s="68">
        <v>300</v>
      </c>
      <c r="F175" s="69">
        <v>375</v>
      </c>
      <c r="G175" s="68">
        <v>435</v>
      </c>
      <c r="H175" s="404">
        <f t="shared" si="11"/>
        <v>300</v>
      </c>
    </row>
    <row r="176" spans="1:8" ht="28.8">
      <c r="A176" s="163" t="s">
        <v>791</v>
      </c>
      <c r="B176" s="432" t="s">
        <v>557</v>
      </c>
      <c r="C176" s="429" t="s">
        <v>18</v>
      </c>
      <c r="D176" s="402">
        <v>2</v>
      </c>
      <c r="E176" s="68">
        <v>1000</v>
      </c>
      <c r="F176" s="69">
        <v>1250</v>
      </c>
      <c r="G176" s="68">
        <v>1300</v>
      </c>
      <c r="H176" s="404">
        <f t="shared" si="11"/>
        <v>2000</v>
      </c>
    </row>
    <row r="177" spans="1:8" ht="28.8">
      <c r="A177" s="163" t="s">
        <v>792</v>
      </c>
      <c r="B177" s="401" t="s">
        <v>558</v>
      </c>
      <c r="C177" s="402" t="s">
        <v>18</v>
      </c>
      <c r="D177" s="402">
        <f>340*10</f>
        <v>3400</v>
      </c>
      <c r="E177" s="68">
        <v>28</v>
      </c>
      <c r="F177" s="69">
        <v>44</v>
      </c>
      <c r="G177" s="68">
        <v>44</v>
      </c>
      <c r="H177" s="404">
        <f t="shared" si="11"/>
        <v>95200</v>
      </c>
    </row>
    <row r="178" spans="1:8">
      <c r="A178" s="163" t="s">
        <v>793</v>
      </c>
      <c r="B178" s="401" t="s">
        <v>559</v>
      </c>
      <c r="C178" s="402" t="s">
        <v>103</v>
      </c>
      <c r="D178" s="402">
        <f>18*10</f>
        <v>180</v>
      </c>
      <c r="E178" s="68">
        <v>400</v>
      </c>
      <c r="F178" s="69">
        <v>553.34</v>
      </c>
      <c r="G178" s="68">
        <v>553.34</v>
      </c>
      <c r="H178" s="404">
        <f t="shared" si="11"/>
        <v>72000</v>
      </c>
    </row>
    <row r="179" spans="1:8" ht="28.8">
      <c r="A179" s="163" t="s">
        <v>794</v>
      </c>
      <c r="B179" s="401" t="s">
        <v>560</v>
      </c>
      <c r="C179" s="402" t="s">
        <v>138</v>
      </c>
      <c r="D179" s="402">
        <f>17*10</f>
        <v>170</v>
      </c>
      <c r="E179" s="68">
        <v>20</v>
      </c>
      <c r="F179" s="69">
        <v>42.9</v>
      </c>
      <c r="G179" s="68">
        <v>42.92</v>
      </c>
      <c r="H179" s="404">
        <f t="shared" si="11"/>
        <v>3400</v>
      </c>
    </row>
    <row r="180" spans="1:8" ht="28.8">
      <c r="A180" s="163" t="s">
        <v>795</v>
      </c>
      <c r="B180" s="401" t="s">
        <v>561</v>
      </c>
      <c r="C180" s="402" t="s">
        <v>18</v>
      </c>
      <c r="D180" s="402">
        <v>20</v>
      </c>
      <c r="E180" s="403">
        <v>251.5</v>
      </c>
      <c r="F180" s="404">
        <v>251.5</v>
      </c>
      <c r="G180" s="403">
        <v>326.95</v>
      </c>
      <c r="H180" s="404">
        <f t="shared" si="11"/>
        <v>5030</v>
      </c>
    </row>
    <row r="181" spans="1:8">
      <c r="A181" s="611" t="s">
        <v>139</v>
      </c>
      <c r="B181" s="612"/>
      <c r="C181" s="612"/>
      <c r="D181" s="612"/>
      <c r="E181" s="612"/>
      <c r="F181" s="612"/>
      <c r="G181" s="612"/>
      <c r="H181" s="506">
        <f>SUM(H103:H180)</f>
        <v>550904.973</v>
      </c>
    </row>
    <row r="182" spans="1:8">
      <c r="A182" s="395" t="s">
        <v>80</v>
      </c>
      <c r="B182" s="396" t="s">
        <v>395</v>
      </c>
      <c r="C182" s="397" t="s">
        <v>7</v>
      </c>
      <c r="D182" s="397" t="s">
        <v>8</v>
      </c>
      <c r="E182" s="398" t="s">
        <v>410</v>
      </c>
      <c r="F182" s="398" t="s">
        <v>408</v>
      </c>
      <c r="G182" s="398" t="s">
        <v>409</v>
      </c>
      <c r="H182" s="399" t="s">
        <v>9</v>
      </c>
    </row>
    <row r="183" spans="1:8" ht="28.8">
      <c r="A183" s="400" t="s">
        <v>81</v>
      </c>
      <c r="B183" s="401" t="s">
        <v>396</v>
      </c>
      <c r="C183" s="402" t="s">
        <v>13</v>
      </c>
      <c r="D183" s="402">
        <v>16</v>
      </c>
      <c r="E183" s="68">
        <f>(3643*97%)+3643</f>
        <v>7176.71</v>
      </c>
      <c r="F183" s="69">
        <f>(5000*97%)+5000</f>
        <v>9850</v>
      </c>
      <c r="G183" s="68">
        <f>(5801*97%)+5801</f>
        <v>11427.970000000001</v>
      </c>
      <c r="H183" s="404">
        <f t="shared" ref="H183:H184" si="18">E183*D183</f>
        <v>114827.36</v>
      </c>
    </row>
    <row r="184" spans="1:8" ht="28.8">
      <c r="A184" s="400" t="s">
        <v>83</v>
      </c>
      <c r="B184" s="401" t="s">
        <v>400</v>
      </c>
      <c r="C184" s="402" t="s">
        <v>13</v>
      </c>
      <c r="D184" s="402">
        <v>15</v>
      </c>
      <c r="E184" s="251">
        <f>(2825.54*97%)+2825.54</f>
        <v>5566.3137999999999</v>
      </c>
      <c r="F184" s="249">
        <f>(2942.99*97%)+2942.99</f>
        <v>5797.6902999999993</v>
      </c>
      <c r="G184" s="250">
        <f>(3397*97%)+3397</f>
        <v>6692.09</v>
      </c>
      <c r="H184" s="404">
        <f t="shared" si="18"/>
        <v>83494.706999999995</v>
      </c>
    </row>
    <row r="185" spans="1:8" ht="28.8">
      <c r="A185" s="400" t="s">
        <v>84</v>
      </c>
      <c r="B185" s="401" t="s">
        <v>397</v>
      </c>
      <c r="C185" s="402" t="s">
        <v>13</v>
      </c>
      <c r="D185" s="402">
        <v>15</v>
      </c>
      <c r="E185" s="68">
        <f>(1412*97%)+1412</f>
        <v>2781.64</v>
      </c>
      <c r="F185" s="69">
        <f>(1454*97%)+1454</f>
        <v>2864.38</v>
      </c>
      <c r="G185" s="68">
        <f>(1700*97%)+1700</f>
        <v>3349</v>
      </c>
      <c r="H185" s="404">
        <f>E185*D185*12</f>
        <v>500695.19999999995</v>
      </c>
    </row>
    <row r="186" spans="1:8" ht="28.8">
      <c r="A186" s="400" t="s">
        <v>85</v>
      </c>
      <c r="B186" s="401" t="s">
        <v>563</v>
      </c>
      <c r="C186" s="402" t="s">
        <v>15</v>
      </c>
      <c r="D186" s="402">
        <f>20*16</f>
        <v>320</v>
      </c>
      <c r="E186" s="229">
        <v>250</v>
      </c>
      <c r="F186" s="69">
        <v>450</v>
      </c>
      <c r="G186" s="68">
        <v>581</v>
      </c>
      <c r="H186" s="404">
        <f t="shared" ref="H186:H200" si="19">E186*D186</f>
        <v>80000</v>
      </c>
    </row>
    <row r="187" spans="1:8" ht="28.8">
      <c r="A187" s="400" t="s">
        <v>86</v>
      </c>
      <c r="B187" s="401" t="s">
        <v>515</v>
      </c>
      <c r="C187" s="402" t="s">
        <v>15</v>
      </c>
      <c r="D187" s="402">
        <f t="shared" ref="D187:D188" si="20">20*14*15</f>
        <v>4200</v>
      </c>
      <c r="E187" s="311">
        <v>32</v>
      </c>
      <c r="F187" s="312">
        <v>32</v>
      </c>
      <c r="G187" s="311">
        <v>35</v>
      </c>
      <c r="H187" s="404">
        <f t="shared" si="19"/>
        <v>134400</v>
      </c>
    </row>
    <row r="188" spans="1:8">
      <c r="A188" s="400" t="s">
        <v>87</v>
      </c>
      <c r="B188" s="401" t="s">
        <v>574</v>
      </c>
      <c r="C188" s="402" t="s">
        <v>15</v>
      </c>
      <c r="D188" s="402">
        <f t="shared" si="20"/>
        <v>4200</v>
      </c>
      <c r="E188" s="196">
        <v>8</v>
      </c>
      <c r="F188" s="197">
        <v>8.6</v>
      </c>
      <c r="G188" s="196">
        <v>9</v>
      </c>
      <c r="H188" s="404">
        <f t="shared" si="19"/>
        <v>33600</v>
      </c>
    </row>
    <row r="189" spans="1:8" ht="43.2">
      <c r="A189" s="400" t="s">
        <v>88</v>
      </c>
      <c r="B189" s="401" t="s">
        <v>564</v>
      </c>
      <c r="C189" s="402" t="s">
        <v>18</v>
      </c>
      <c r="D189" s="402">
        <v>1</v>
      </c>
      <c r="E189" s="68">
        <v>4149</v>
      </c>
      <c r="F189" s="69">
        <v>5299</v>
      </c>
      <c r="G189" s="70">
        <v>5919</v>
      </c>
      <c r="H189" s="404">
        <f t="shared" si="19"/>
        <v>4149</v>
      </c>
    </row>
    <row r="190" spans="1:8">
      <c r="A190" s="400" t="s">
        <v>89</v>
      </c>
      <c r="B190" s="407" t="s">
        <v>565</v>
      </c>
      <c r="C190" s="402" t="s">
        <v>18</v>
      </c>
      <c r="D190" s="402">
        <v>1</v>
      </c>
      <c r="E190" s="68">
        <v>1849</v>
      </c>
      <c r="F190" s="69">
        <v>2199</v>
      </c>
      <c r="G190" s="68">
        <v>2919</v>
      </c>
      <c r="H190" s="404">
        <f t="shared" si="19"/>
        <v>1849</v>
      </c>
    </row>
    <row r="191" spans="1:8" ht="43.2">
      <c r="A191" s="400" t="s">
        <v>91</v>
      </c>
      <c r="B191" s="401" t="s">
        <v>566</v>
      </c>
      <c r="C191" s="402" t="s">
        <v>18</v>
      </c>
      <c r="D191" s="402">
        <v>2</v>
      </c>
      <c r="E191" s="73">
        <v>1849.77</v>
      </c>
      <c r="F191" s="232">
        <v>2891</v>
      </c>
      <c r="G191" s="68">
        <v>3199</v>
      </c>
      <c r="H191" s="404">
        <f t="shared" si="19"/>
        <v>3699.54</v>
      </c>
    </row>
    <row r="192" spans="1:8" ht="28.8">
      <c r="A192" s="400" t="s">
        <v>92</v>
      </c>
      <c r="B192" s="401" t="s">
        <v>567</v>
      </c>
      <c r="C192" s="402" t="s">
        <v>18</v>
      </c>
      <c r="D192" s="402">
        <v>2</v>
      </c>
      <c r="E192" s="70">
        <v>169.9</v>
      </c>
      <c r="F192" s="69">
        <v>189</v>
      </c>
      <c r="G192" s="68">
        <v>197.59</v>
      </c>
      <c r="H192" s="404">
        <f t="shared" si="19"/>
        <v>339.8</v>
      </c>
    </row>
    <row r="193" spans="1:8" ht="28.8">
      <c r="A193" s="400" t="s">
        <v>93</v>
      </c>
      <c r="B193" s="401" t="s">
        <v>568</v>
      </c>
      <c r="C193" s="402" t="s">
        <v>18</v>
      </c>
      <c r="D193" s="402">
        <v>2</v>
      </c>
      <c r="E193" s="73">
        <v>1386</v>
      </c>
      <c r="F193" s="69">
        <v>1549</v>
      </c>
      <c r="G193" s="68">
        <v>1649.9</v>
      </c>
      <c r="H193" s="446">
        <f t="shared" si="19"/>
        <v>2772</v>
      </c>
    </row>
    <row r="194" spans="1:8">
      <c r="A194" s="400" t="s">
        <v>94</v>
      </c>
      <c r="B194" s="401" t="s">
        <v>462</v>
      </c>
      <c r="C194" s="402" t="s">
        <v>13</v>
      </c>
      <c r="D194" s="402">
        <v>15</v>
      </c>
      <c r="E194" s="68">
        <v>124.99</v>
      </c>
      <c r="F194" s="69">
        <v>142</v>
      </c>
      <c r="G194" s="103">
        <v>159.99</v>
      </c>
      <c r="H194" s="404">
        <f t="shared" si="19"/>
        <v>1874.85</v>
      </c>
    </row>
    <row r="195" spans="1:8" ht="28.8">
      <c r="A195" s="400" t="s">
        <v>95</v>
      </c>
      <c r="B195" s="401" t="s">
        <v>575</v>
      </c>
      <c r="C195" s="402" t="s">
        <v>18</v>
      </c>
      <c r="D195" s="402">
        <v>12</v>
      </c>
      <c r="E195" s="68">
        <v>125.75</v>
      </c>
      <c r="F195" s="69">
        <v>150.72999999999999</v>
      </c>
      <c r="G195" s="103">
        <v>179.39</v>
      </c>
      <c r="H195" s="404">
        <f t="shared" si="19"/>
        <v>1509</v>
      </c>
    </row>
    <row r="196" spans="1:8">
      <c r="A196" s="400" t="s">
        <v>97</v>
      </c>
      <c r="B196" s="401" t="s">
        <v>576</v>
      </c>
      <c r="C196" s="402" t="s">
        <v>13</v>
      </c>
      <c r="D196" s="402">
        <v>15</v>
      </c>
      <c r="E196" s="68">
        <v>7950</v>
      </c>
      <c r="F196" s="68">
        <v>8763.6</v>
      </c>
      <c r="G196" s="102">
        <v>9350</v>
      </c>
      <c r="H196" s="404">
        <f t="shared" si="19"/>
        <v>119250</v>
      </c>
    </row>
    <row r="197" spans="1:8" ht="28.8">
      <c r="A197" s="400" t="s">
        <v>98</v>
      </c>
      <c r="B197" s="401" t="s">
        <v>577</v>
      </c>
      <c r="C197" s="402" t="s">
        <v>13</v>
      </c>
      <c r="D197" s="402">
        <v>16</v>
      </c>
      <c r="E197" s="68">
        <v>2850</v>
      </c>
      <c r="F197" s="69">
        <v>3768</v>
      </c>
      <c r="G197" s="69">
        <v>5367.02</v>
      </c>
      <c r="H197" s="404">
        <f t="shared" si="19"/>
        <v>45600</v>
      </c>
    </row>
    <row r="198" spans="1:8">
      <c r="A198" s="400" t="s">
        <v>99</v>
      </c>
      <c r="B198" s="401" t="s">
        <v>578</v>
      </c>
      <c r="C198" s="402" t="s">
        <v>15</v>
      </c>
      <c r="D198" s="402">
        <v>3</v>
      </c>
      <c r="E198" s="70">
        <v>300</v>
      </c>
      <c r="F198" s="74">
        <v>600</v>
      </c>
      <c r="G198" s="70">
        <v>975</v>
      </c>
      <c r="H198" s="404">
        <f t="shared" si="19"/>
        <v>900</v>
      </c>
    </row>
    <row r="199" spans="1:8" ht="28.8">
      <c r="A199" s="400" t="s">
        <v>140</v>
      </c>
      <c r="B199" s="401" t="s">
        <v>579</v>
      </c>
      <c r="C199" s="402" t="s">
        <v>13</v>
      </c>
      <c r="D199" s="402">
        <v>2</v>
      </c>
      <c r="E199" s="68">
        <v>144.9</v>
      </c>
      <c r="F199" s="69">
        <v>0</v>
      </c>
      <c r="G199" s="68">
        <v>265</v>
      </c>
      <c r="H199" s="404">
        <f t="shared" si="19"/>
        <v>289.8</v>
      </c>
    </row>
    <row r="200" spans="1:8" ht="28.8">
      <c r="A200" s="400" t="s">
        <v>141</v>
      </c>
      <c r="B200" s="401" t="s">
        <v>464</v>
      </c>
      <c r="C200" s="402" t="s">
        <v>13</v>
      </c>
      <c r="D200" s="402">
        <v>16</v>
      </c>
      <c r="E200" s="68">
        <v>49.9</v>
      </c>
      <c r="F200" s="74">
        <v>60</v>
      </c>
      <c r="G200" s="68">
        <v>65.900000000000006</v>
      </c>
      <c r="H200" s="404">
        <f t="shared" si="19"/>
        <v>798.4</v>
      </c>
    </row>
    <row r="201" spans="1:8" ht="28.8">
      <c r="A201" s="400" t="s">
        <v>142</v>
      </c>
      <c r="B201" s="401" t="s">
        <v>464</v>
      </c>
      <c r="C201" s="402" t="s">
        <v>13</v>
      </c>
      <c r="D201" s="402">
        <v>15</v>
      </c>
      <c r="E201" s="68">
        <v>49.9</v>
      </c>
      <c r="F201" s="74">
        <v>60</v>
      </c>
      <c r="G201" s="103">
        <v>65.900000000000006</v>
      </c>
      <c r="H201" s="404">
        <f>E201*D201*2</f>
        <v>1497</v>
      </c>
    </row>
    <row r="202" spans="1:8" ht="28.8">
      <c r="A202" s="400" t="s">
        <v>143</v>
      </c>
      <c r="B202" s="401" t="s">
        <v>580</v>
      </c>
      <c r="C202" s="402" t="s">
        <v>108</v>
      </c>
      <c r="D202" s="402">
        <f>55*4*16</f>
        <v>3520</v>
      </c>
      <c r="E202" s="256">
        <v>6.08</v>
      </c>
      <c r="F202" s="69">
        <v>6.09</v>
      </c>
      <c r="G202" s="68">
        <v>6.35</v>
      </c>
      <c r="H202" s="404">
        <f t="shared" ref="H202:H281" si="21">E202*D202</f>
        <v>21401.599999999999</v>
      </c>
    </row>
    <row r="203" spans="1:8" ht="28.8">
      <c r="A203" s="400" t="s">
        <v>144</v>
      </c>
      <c r="B203" s="401" t="s">
        <v>581</v>
      </c>
      <c r="C203" s="402" t="s">
        <v>108</v>
      </c>
      <c r="D203" s="402">
        <f>(88*4*15)*2</f>
        <v>10560</v>
      </c>
      <c r="E203" s="403">
        <v>6.47</v>
      </c>
      <c r="F203" s="404">
        <v>6.48</v>
      </c>
      <c r="G203" s="403">
        <v>6.49</v>
      </c>
      <c r="H203" s="404">
        <f t="shared" si="21"/>
        <v>68323.199999999997</v>
      </c>
    </row>
    <row r="204" spans="1:8">
      <c r="A204" s="420" t="s">
        <v>145</v>
      </c>
      <c r="B204" s="123" t="s">
        <v>770</v>
      </c>
      <c r="C204" s="402" t="s">
        <v>18</v>
      </c>
      <c r="D204" s="402">
        <v>4</v>
      </c>
      <c r="E204" s="403">
        <v>930</v>
      </c>
      <c r="F204" s="404">
        <v>990</v>
      </c>
      <c r="G204" s="408">
        <v>1000</v>
      </c>
      <c r="H204" s="404">
        <f t="shared" si="21"/>
        <v>3720</v>
      </c>
    </row>
    <row r="205" spans="1:8">
      <c r="A205" s="163" t="s">
        <v>146</v>
      </c>
      <c r="B205" s="401" t="s">
        <v>398</v>
      </c>
      <c r="C205" s="402" t="s">
        <v>13</v>
      </c>
      <c r="D205" s="402">
        <v>24</v>
      </c>
      <c r="E205" s="403">
        <v>14000</v>
      </c>
      <c r="F205" s="404"/>
      <c r="G205" s="452"/>
      <c r="H205" s="404">
        <f t="shared" si="21"/>
        <v>336000</v>
      </c>
    </row>
    <row r="206" spans="1:8" ht="28.8">
      <c r="A206" s="163" t="s">
        <v>146</v>
      </c>
      <c r="B206" s="427" t="s">
        <v>469</v>
      </c>
      <c r="C206" s="402" t="s">
        <v>18</v>
      </c>
      <c r="D206" s="402">
        <f>6*15*2</f>
        <v>180</v>
      </c>
      <c r="E206" s="403">
        <v>60</v>
      </c>
      <c r="F206" s="403">
        <v>65</v>
      </c>
      <c r="G206" s="447">
        <v>70</v>
      </c>
      <c r="H206" s="404">
        <f t="shared" si="21"/>
        <v>10800</v>
      </c>
    </row>
    <row r="207" spans="1:8" ht="28.8">
      <c r="A207" s="163" t="s">
        <v>147</v>
      </c>
      <c r="B207" s="427" t="s">
        <v>519</v>
      </c>
      <c r="C207" s="402" t="s">
        <v>18</v>
      </c>
      <c r="D207" s="402">
        <f>6*1</f>
        <v>6</v>
      </c>
      <c r="E207" s="403">
        <v>75</v>
      </c>
      <c r="F207" s="403">
        <v>90</v>
      </c>
      <c r="G207" s="404">
        <v>98</v>
      </c>
      <c r="H207" s="404">
        <f t="shared" si="21"/>
        <v>450</v>
      </c>
    </row>
    <row r="208" spans="1:8" ht="28.8">
      <c r="A208" s="163" t="s">
        <v>148</v>
      </c>
      <c r="B208" s="428" t="s">
        <v>501</v>
      </c>
      <c r="C208" s="402" t="s">
        <v>18</v>
      </c>
      <c r="D208" s="402">
        <f>6*15*2</f>
        <v>180</v>
      </c>
      <c r="E208" s="403">
        <v>25</v>
      </c>
      <c r="F208" s="403">
        <v>40</v>
      </c>
      <c r="G208" s="404">
        <v>43</v>
      </c>
      <c r="H208" s="404">
        <f t="shared" si="21"/>
        <v>4500</v>
      </c>
    </row>
    <row r="209" spans="1:8" ht="28.8">
      <c r="A209" s="163" t="s">
        <v>149</v>
      </c>
      <c r="B209" s="401" t="s">
        <v>520</v>
      </c>
      <c r="C209" s="429" t="s">
        <v>18</v>
      </c>
      <c r="D209" s="213">
        <v>4</v>
      </c>
      <c r="E209" s="68">
        <v>122</v>
      </c>
      <c r="F209" s="74">
        <v>170.91</v>
      </c>
      <c r="G209" s="68">
        <v>185</v>
      </c>
      <c r="H209" s="404">
        <f t="shared" si="21"/>
        <v>488</v>
      </c>
    </row>
    <row r="210" spans="1:8" ht="28.8">
      <c r="A210" s="163" t="s">
        <v>150</v>
      </c>
      <c r="B210" s="430" t="s">
        <v>526</v>
      </c>
      <c r="C210" s="402" t="s">
        <v>18</v>
      </c>
      <c r="D210" s="213">
        <f>2*13</f>
        <v>26</v>
      </c>
      <c r="E210" s="68">
        <v>77.34</v>
      </c>
      <c r="F210" s="74">
        <v>103.8</v>
      </c>
      <c r="G210" s="70">
        <v>117.95</v>
      </c>
      <c r="H210" s="404">
        <f t="shared" si="21"/>
        <v>2010.8400000000001</v>
      </c>
    </row>
    <row r="211" spans="1:8" ht="28.8">
      <c r="A211" s="163" t="s">
        <v>151</v>
      </c>
      <c r="B211" s="431" t="s">
        <v>583</v>
      </c>
      <c r="C211" s="402" t="s">
        <v>18</v>
      </c>
      <c r="D211" s="67">
        <f>4*2</f>
        <v>8</v>
      </c>
      <c r="E211" s="68">
        <v>21.8</v>
      </c>
      <c r="F211" s="74">
        <v>36</v>
      </c>
      <c r="G211" s="68">
        <v>46.9</v>
      </c>
      <c r="H211" s="404">
        <f t="shared" si="21"/>
        <v>174.4</v>
      </c>
    </row>
    <row r="212" spans="1:8" ht="28.8">
      <c r="A212" s="163" t="s">
        <v>152</v>
      </c>
      <c r="B212" s="431" t="s">
        <v>584</v>
      </c>
      <c r="C212" s="402" t="s">
        <v>18</v>
      </c>
      <c r="D212" s="213">
        <f>4*12</f>
        <v>48</v>
      </c>
      <c r="E212" s="73">
        <v>22.94</v>
      </c>
      <c r="F212" s="232">
        <v>23.46</v>
      </c>
      <c r="G212" s="73">
        <v>30</v>
      </c>
      <c r="H212" s="404">
        <f t="shared" si="21"/>
        <v>1101.1200000000001</v>
      </c>
    </row>
    <row r="213" spans="1:8" ht="28.8">
      <c r="A213" s="163" t="s">
        <v>153</v>
      </c>
      <c r="B213" s="431" t="s">
        <v>528</v>
      </c>
      <c r="C213" s="402" t="s">
        <v>18</v>
      </c>
      <c r="D213" s="213">
        <f>4*14</f>
        <v>56</v>
      </c>
      <c r="E213" s="73">
        <v>13.93</v>
      </c>
      <c r="F213" s="232">
        <v>15.71</v>
      </c>
      <c r="G213" s="73">
        <v>22.5</v>
      </c>
      <c r="H213" s="404">
        <f t="shared" si="21"/>
        <v>780.07999999999993</v>
      </c>
    </row>
    <row r="214" spans="1:8" ht="28.8">
      <c r="A214" s="163" t="s">
        <v>154</v>
      </c>
      <c r="B214" s="401" t="s">
        <v>529</v>
      </c>
      <c r="C214" s="402" t="s">
        <v>18</v>
      </c>
      <c r="D214" s="213">
        <f t="shared" ref="D214:D215" si="22">3*15*15</f>
        <v>675</v>
      </c>
      <c r="E214" s="73">
        <v>12.4</v>
      </c>
      <c r="F214" s="232">
        <v>13.5</v>
      </c>
      <c r="G214" s="73">
        <v>20.260000000000002</v>
      </c>
      <c r="H214" s="404">
        <f t="shared" si="21"/>
        <v>8370</v>
      </c>
    </row>
    <row r="215" spans="1:8">
      <c r="A215" s="163" t="s">
        <v>155</v>
      </c>
      <c r="B215" s="401" t="s">
        <v>530</v>
      </c>
      <c r="C215" s="402" t="s">
        <v>18</v>
      </c>
      <c r="D215" s="213">
        <f t="shared" si="22"/>
        <v>675</v>
      </c>
      <c r="E215" s="68">
        <v>2.7</v>
      </c>
      <c r="F215" s="232">
        <v>2.75</v>
      </c>
      <c r="G215" s="73">
        <v>2.94</v>
      </c>
      <c r="H215" s="404">
        <f t="shared" si="21"/>
        <v>1822.5000000000002</v>
      </c>
    </row>
    <row r="216" spans="1:8" ht="28.8">
      <c r="A216" s="163" t="s">
        <v>156</v>
      </c>
      <c r="B216" s="401" t="s">
        <v>585</v>
      </c>
      <c r="C216" s="402" t="s">
        <v>18</v>
      </c>
      <c r="D216" s="213">
        <f>2*2*15</f>
        <v>60</v>
      </c>
      <c r="E216" s="73">
        <v>49.99</v>
      </c>
      <c r="F216" s="232">
        <v>59.99</v>
      </c>
      <c r="G216" s="73">
        <v>96.97</v>
      </c>
      <c r="H216" s="404">
        <f t="shared" si="21"/>
        <v>2999.4</v>
      </c>
    </row>
    <row r="217" spans="1:8">
      <c r="A217" s="163" t="s">
        <v>157</v>
      </c>
      <c r="B217" s="430" t="s">
        <v>586</v>
      </c>
      <c r="C217" s="402" t="s">
        <v>18</v>
      </c>
      <c r="D217" s="213">
        <f>3*15</f>
        <v>45</v>
      </c>
      <c r="E217" s="73">
        <v>160</v>
      </c>
      <c r="F217" s="232">
        <v>163</v>
      </c>
      <c r="G217" s="73">
        <v>193.63</v>
      </c>
      <c r="H217" s="404">
        <f t="shared" si="21"/>
        <v>7200</v>
      </c>
    </row>
    <row r="218" spans="1:8" ht="28.8">
      <c r="A218" s="163" t="s">
        <v>158</v>
      </c>
      <c r="B218" s="432" t="s">
        <v>474</v>
      </c>
      <c r="C218" s="402" t="s">
        <v>18</v>
      </c>
      <c r="D218" s="67">
        <f>15*2</f>
        <v>30</v>
      </c>
      <c r="E218" s="73">
        <v>35</v>
      </c>
      <c r="F218" s="232">
        <v>41.4</v>
      </c>
      <c r="G218" s="73">
        <v>168.26</v>
      </c>
      <c r="H218" s="404">
        <f t="shared" si="21"/>
        <v>1050</v>
      </c>
    </row>
    <row r="219" spans="1:8">
      <c r="A219" s="163" t="s">
        <v>159</v>
      </c>
      <c r="B219" s="430" t="s">
        <v>475</v>
      </c>
      <c r="C219" s="402" t="s">
        <v>18</v>
      </c>
      <c r="D219" s="67">
        <f>15*1</f>
        <v>15</v>
      </c>
      <c r="E219" s="73">
        <v>41.4</v>
      </c>
      <c r="F219" s="232">
        <v>42.23</v>
      </c>
      <c r="G219" s="73">
        <v>50</v>
      </c>
      <c r="H219" s="404">
        <f t="shared" si="21"/>
        <v>621</v>
      </c>
    </row>
    <row r="220" spans="1:8">
      <c r="A220" s="163" t="s">
        <v>160</v>
      </c>
      <c r="B220" s="401" t="s">
        <v>504</v>
      </c>
      <c r="C220" s="402" t="s">
        <v>18</v>
      </c>
      <c r="D220" s="213">
        <f t="shared" ref="D220:D221" si="23">3*2</f>
        <v>6</v>
      </c>
      <c r="E220" s="73">
        <v>27.64</v>
      </c>
      <c r="F220" s="232">
        <v>35.5</v>
      </c>
      <c r="G220" s="73">
        <v>36.9</v>
      </c>
      <c r="H220" s="404">
        <f t="shared" si="21"/>
        <v>165.84</v>
      </c>
    </row>
    <row r="221" spans="1:8" ht="28.8">
      <c r="A221" s="163" t="s">
        <v>161</v>
      </c>
      <c r="B221" s="416" t="s">
        <v>534</v>
      </c>
      <c r="C221" s="402" t="s">
        <v>18</v>
      </c>
      <c r="D221" s="213">
        <f t="shared" si="23"/>
        <v>6</v>
      </c>
      <c r="E221" s="73">
        <v>28.55</v>
      </c>
      <c r="F221" s="232">
        <v>28.8</v>
      </c>
      <c r="G221" s="73">
        <v>103.4</v>
      </c>
      <c r="H221" s="404">
        <f t="shared" si="21"/>
        <v>171.3</v>
      </c>
    </row>
    <row r="222" spans="1:8">
      <c r="A222" s="163" t="s">
        <v>162</v>
      </c>
      <c r="B222" s="416" t="s">
        <v>587</v>
      </c>
      <c r="C222" s="402" t="s">
        <v>18</v>
      </c>
      <c r="D222" s="67">
        <f>2*15*15</f>
        <v>450</v>
      </c>
      <c r="E222" s="73">
        <v>1.29</v>
      </c>
      <c r="F222" s="232">
        <v>1.48</v>
      </c>
      <c r="G222" s="73">
        <v>1.75</v>
      </c>
      <c r="H222" s="404">
        <f t="shared" si="21"/>
        <v>580.5</v>
      </c>
    </row>
    <row r="223" spans="1:8" ht="28.8">
      <c r="A223" s="163" t="s">
        <v>163</v>
      </c>
      <c r="B223" s="430" t="s">
        <v>535</v>
      </c>
      <c r="C223" s="402" t="s">
        <v>18</v>
      </c>
      <c r="D223" s="213">
        <f t="shared" ref="D223:D224" si="24">4*3</f>
        <v>12</v>
      </c>
      <c r="E223" s="232">
        <v>286</v>
      </c>
      <c r="F223" s="232">
        <v>484</v>
      </c>
      <c r="G223" s="73">
        <v>572</v>
      </c>
      <c r="H223" s="404">
        <f t="shared" si="21"/>
        <v>3432</v>
      </c>
    </row>
    <row r="224" spans="1:8">
      <c r="A224" s="163" t="s">
        <v>164</v>
      </c>
      <c r="B224" s="432" t="s">
        <v>506</v>
      </c>
      <c r="C224" s="443" t="s">
        <v>18</v>
      </c>
      <c r="D224" s="67">
        <f t="shared" si="24"/>
        <v>12</v>
      </c>
      <c r="E224" s="73">
        <v>38.700000000000003</v>
      </c>
      <c r="F224" s="232">
        <v>65.64</v>
      </c>
      <c r="G224" s="73">
        <v>156.94999999999999</v>
      </c>
      <c r="H224" s="404">
        <f t="shared" si="21"/>
        <v>464.40000000000003</v>
      </c>
    </row>
    <row r="225" spans="1:8">
      <c r="A225" s="163" t="s">
        <v>165</v>
      </c>
      <c r="B225" s="416" t="s">
        <v>507</v>
      </c>
      <c r="C225" s="402" t="s">
        <v>18</v>
      </c>
      <c r="D225" s="266">
        <f t="shared" ref="D225:D226" si="25">2*3</f>
        <v>6</v>
      </c>
      <c r="E225" s="73">
        <v>133.01</v>
      </c>
      <c r="F225" s="232">
        <v>157.19999999999999</v>
      </c>
      <c r="G225" s="73">
        <v>175.33</v>
      </c>
      <c r="H225" s="404">
        <f t="shared" si="21"/>
        <v>798.06</v>
      </c>
    </row>
    <row r="226" spans="1:8" ht="28.8">
      <c r="A226" s="163" t="s">
        <v>166</v>
      </c>
      <c r="B226" s="416" t="s">
        <v>508</v>
      </c>
      <c r="C226" s="402" t="s">
        <v>18</v>
      </c>
      <c r="D226" s="266">
        <f t="shared" si="25"/>
        <v>6</v>
      </c>
      <c r="E226" s="68">
        <v>2.77</v>
      </c>
      <c r="F226" s="74">
        <v>3.75</v>
      </c>
      <c r="G226" s="73">
        <v>3.96</v>
      </c>
      <c r="H226" s="404">
        <f t="shared" si="21"/>
        <v>16.62</v>
      </c>
    </row>
    <row r="227" spans="1:8">
      <c r="A227" s="163" t="s">
        <v>167</v>
      </c>
      <c r="B227" s="430" t="s">
        <v>536</v>
      </c>
      <c r="C227" s="402" t="s">
        <v>103</v>
      </c>
      <c r="D227" s="266">
        <f t="shared" ref="D227:D228" si="26">2*2</f>
        <v>4</v>
      </c>
      <c r="E227" s="73">
        <v>73.900000000000006</v>
      </c>
      <c r="F227" s="232">
        <v>76.5</v>
      </c>
      <c r="G227" s="73">
        <v>78.849999999999994</v>
      </c>
      <c r="H227" s="404">
        <f t="shared" si="21"/>
        <v>295.60000000000002</v>
      </c>
    </row>
    <row r="228" spans="1:8">
      <c r="A228" s="163" t="s">
        <v>168</v>
      </c>
      <c r="B228" s="416" t="s">
        <v>493</v>
      </c>
      <c r="C228" s="402" t="s">
        <v>18</v>
      </c>
      <c r="D228" s="266">
        <f t="shared" si="26"/>
        <v>4</v>
      </c>
      <c r="E228" s="73">
        <v>26.5</v>
      </c>
      <c r="F228" s="232">
        <v>61.9</v>
      </c>
      <c r="G228" s="73">
        <v>83.6</v>
      </c>
      <c r="H228" s="404">
        <f t="shared" si="21"/>
        <v>106</v>
      </c>
    </row>
    <row r="229" spans="1:8" ht="28.8">
      <c r="A229" s="626" t="s">
        <v>169</v>
      </c>
      <c r="B229" s="631" t="s">
        <v>494</v>
      </c>
      <c r="C229" s="402" t="s">
        <v>18</v>
      </c>
      <c r="D229" s="266">
        <f>2*2*2</f>
        <v>8</v>
      </c>
      <c r="E229" s="70">
        <v>27.9</v>
      </c>
      <c r="F229" s="232">
        <v>30</v>
      </c>
      <c r="G229" s="70">
        <v>32.229999999999997</v>
      </c>
      <c r="H229" s="404">
        <f t="shared" si="21"/>
        <v>223.2</v>
      </c>
    </row>
    <row r="230" spans="1:8">
      <c r="A230" s="626" t="s">
        <v>170</v>
      </c>
      <c r="B230" s="632" t="s">
        <v>495</v>
      </c>
      <c r="C230" s="444" t="s">
        <v>18</v>
      </c>
      <c r="D230" s="67">
        <f>2*2</f>
        <v>4</v>
      </c>
      <c r="E230" s="68">
        <v>157.44</v>
      </c>
      <c r="F230" s="69">
        <v>184.26</v>
      </c>
      <c r="G230" s="68">
        <v>208.95</v>
      </c>
      <c r="H230" s="404">
        <f t="shared" si="21"/>
        <v>629.76</v>
      </c>
    </row>
    <row r="231" spans="1:8">
      <c r="A231" s="626" t="s">
        <v>172</v>
      </c>
      <c r="B231" s="625" t="s">
        <v>496</v>
      </c>
      <c r="C231" s="402" t="s">
        <v>18</v>
      </c>
      <c r="D231" s="67">
        <f>4*2</f>
        <v>8</v>
      </c>
      <c r="E231" s="68">
        <v>33.729999999999997</v>
      </c>
      <c r="F231" s="69">
        <v>43.66</v>
      </c>
      <c r="G231" s="68">
        <v>72</v>
      </c>
      <c r="H231" s="404">
        <f t="shared" si="21"/>
        <v>269.83999999999997</v>
      </c>
    </row>
    <row r="232" spans="1:8">
      <c r="A232" s="626" t="s">
        <v>171</v>
      </c>
      <c r="B232" s="627" t="s">
        <v>772</v>
      </c>
      <c r="C232" s="402" t="s">
        <v>18</v>
      </c>
      <c r="D232" s="413">
        <f>14*1</f>
        <v>14</v>
      </c>
      <c r="E232" s="412">
        <v>286</v>
      </c>
      <c r="F232" s="404">
        <v>338</v>
      </c>
      <c r="G232" s="403">
        <v>377</v>
      </c>
      <c r="H232" s="404">
        <f t="shared" si="21"/>
        <v>4004</v>
      </c>
    </row>
    <row r="233" spans="1:8">
      <c r="A233" s="626" t="s">
        <v>173</v>
      </c>
      <c r="B233" s="627" t="s">
        <v>773</v>
      </c>
      <c r="C233" s="402" t="s">
        <v>18</v>
      </c>
      <c r="D233" s="413">
        <f>4*1</f>
        <v>4</v>
      </c>
      <c r="E233" s="412">
        <v>98</v>
      </c>
      <c r="F233" s="404">
        <v>270</v>
      </c>
      <c r="G233" s="403">
        <v>279</v>
      </c>
      <c r="H233" s="404">
        <f t="shared" si="21"/>
        <v>392</v>
      </c>
    </row>
    <row r="234" spans="1:8">
      <c r="A234" s="626" t="s">
        <v>174</v>
      </c>
      <c r="B234" s="627" t="s">
        <v>774</v>
      </c>
      <c r="C234" s="402" t="s">
        <v>18</v>
      </c>
      <c r="D234" s="413">
        <f>2*14*10</f>
        <v>280</v>
      </c>
      <c r="E234" s="412">
        <v>35.99</v>
      </c>
      <c r="F234" s="404">
        <v>37.93</v>
      </c>
      <c r="G234" s="403">
        <v>67.900000000000006</v>
      </c>
      <c r="H234" s="404">
        <f t="shared" si="21"/>
        <v>10077.200000000001</v>
      </c>
    </row>
    <row r="235" spans="1:8">
      <c r="A235" s="626" t="s">
        <v>175</v>
      </c>
      <c r="B235" s="627" t="s">
        <v>786</v>
      </c>
      <c r="C235" s="402" t="s">
        <v>18</v>
      </c>
      <c r="D235" s="413">
        <v>1</v>
      </c>
      <c r="E235" s="412">
        <v>817.89</v>
      </c>
      <c r="F235" s="404">
        <v>897.86</v>
      </c>
      <c r="G235" s="403">
        <v>1089.9000000000001</v>
      </c>
      <c r="H235" s="404">
        <f t="shared" si="21"/>
        <v>817.89</v>
      </c>
    </row>
    <row r="236" spans="1:8">
      <c r="A236" s="626" t="s">
        <v>176</v>
      </c>
      <c r="B236" s="627" t="s">
        <v>787</v>
      </c>
      <c r="C236" s="402" t="s">
        <v>18</v>
      </c>
      <c r="D236" s="413">
        <v>1</v>
      </c>
      <c r="E236" s="412">
        <v>479.52</v>
      </c>
      <c r="F236" s="404">
        <v>559.9</v>
      </c>
      <c r="G236" s="403">
        <v>616</v>
      </c>
      <c r="H236" s="404">
        <f t="shared" si="21"/>
        <v>479.52</v>
      </c>
    </row>
    <row r="237" spans="1:8">
      <c r="A237" s="626" t="s">
        <v>177</v>
      </c>
      <c r="B237" s="627" t="s">
        <v>783</v>
      </c>
      <c r="C237" s="402" t="s">
        <v>18</v>
      </c>
      <c r="D237" s="413">
        <f>2*14*1</f>
        <v>28</v>
      </c>
      <c r="E237" s="412">
        <v>125</v>
      </c>
      <c r="F237" s="404">
        <v>144.41</v>
      </c>
      <c r="G237" s="403">
        <v>155.5</v>
      </c>
      <c r="H237" s="404">
        <f t="shared" si="21"/>
        <v>3500</v>
      </c>
    </row>
    <row r="238" spans="1:8">
      <c r="A238" s="626" t="s">
        <v>178</v>
      </c>
      <c r="B238" s="627" t="s">
        <v>775</v>
      </c>
      <c r="C238" s="402" t="s">
        <v>18</v>
      </c>
      <c r="D238" s="413">
        <v>3</v>
      </c>
      <c r="E238" s="412">
        <v>930</v>
      </c>
      <c r="F238" s="404">
        <v>1000</v>
      </c>
      <c r="G238" s="403">
        <v>1980</v>
      </c>
      <c r="H238" s="404">
        <f t="shared" si="21"/>
        <v>2790</v>
      </c>
    </row>
    <row r="239" spans="1:8">
      <c r="A239" s="626" t="s">
        <v>179</v>
      </c>
      <c r="B239" s="627" t="s">
        <v>776</v>
      </c>
      <c r="C239" s="402" t="s">
        <v>18</v>
      </c>
      <c r="D239" s="413">
        <f>1*14*1</f>
        <v>14</v>
      </c>
      <c r="E239" s="412">
        <v>37.9</v>
      </c>
      <c r="F239" s="404">
        <v>41.31</v>
      </c>
      <c r="G239" s="403">
        <v>45</v>
      </c>
      <c r="H239" s="404">
        <f t="shared" si="21"/>
        <v>530.6</v>
      </c>
    </row>
    <row r="240" spans="1:8">
      <c r="A240" s="626" t="s">
        <v>180</v>
      </c>
      <c r="B240" s="627" t="s">
        <v>777</v>
      </c>
      <c r="C240" s="402" t="s">
        <v>18</v>
      </c>
      <c r="D240" s="413">
        <f>1*14*1</f>
        <v>14</v>
      </c>
      <c r="E240" s="412">
        <v>73.489999999999995</v>
      </c>
      <c r="F240" s="404">
        <v>96.7</v>
      </c>
      <c r="G240" s="403">
        <v>106.76</v>
      </c>
      <c r="H240" s="404">
        <f t="shared" si="21"/>
        <v>1028.8599999999999</v>
      </c>
    </row>
    <row r="241" spans="1:8">
      <c r="A241" s="626" t="s">
        <v>181</v>
      </c>
      <c r="B241" s="627" t="s">
        <v>784</v>
      </c>
      <c r="C241" s="402" t="s">
        <v>18</v>
      </c>
      <c r="D241" s="413">
        <v>1</v>
      </c>
      <c r="E241" s="412">
        <v>139.9</v>
      </c>
      <c r="F241" s="404">
        <v>155</v>
      </c>
      <c r="G241" s="403">
        <v>169.92</v>
      </c>
      <c r="H241" s="404">
        <f t="shared" si="21"/>
        <v>139.9</v>
      </c>
    </row>
    <row r="242" spans="1:8">
      <c r="A242" s="626" t="s">
        <v>182</v>
      </c>
      <c r="B242" s="627" t="s">
        <v>788</v>
      </c>
      <c r="C242" s="10" t="s">
        <v>18</v>
      </c>
      <c r="D242" s="413">
        <v>2</v>
      </c>
      <c r="E242" s="412">
        <v>743.68</v>
      </c>
      <c r="F242" s="404">
        <v>895</v>
      </c>
      <c r="G242" s="403">
        <v>2099.9</v>
      </c>
      <c r="H242" s="404">
        <f t="shared" si="21"/>
        <v>1487.36</v>
      </c>
    </row>
    <row r="243" spans="1:8">
      <c r="A243" s="626" t="s">
        <v>183</v>
      </c>
      <c r="B243" s="625" t="s">
        <v>107</v>
      </c>
      <c r="C243" s="402" t="s">
        <v>18</v>
      </c>
      <c r="D243" s="67">
        <v>3</v>
      </c>
      <c r="E243" s="256">
        <v>3200.55</v>
      </c>
      <c r="F243" s="69">
        <v>3309</v>
      </c>
      <c r="G243" s="103">
        <v>3369</v>
      </c>
      <c r="H243" s="404">
        <f t="shared" si="21"/>
        <v>9601.6500000000015</v>
      </c>
    </row>
    <row r="244" spans="1:8" ht="28.8">
      <c r="A244" s="626" t="s">
        <v>184</v>
      </c>
      <c r="B244" s="625" t="s">
        <v>509</v>
      </c>
      <c r="C244" s="402" t="s">
        <v>108</v>
      </c>
      <c r="D244" s="67">
        <f>40*3*12</f>
        <v>1440</v>
      </c>
      <c r="E244" s="256">
        <v>6.08</v>
      </c>
      <c r="F244" s="69">
        <v>6.09</v>
      </c>
      <c r="G244" s="68">
        <v>6.35</v>
      </c>
      <c r="H244" s="404">
        <f t="shared" si="21"/>
        <v>8755.2000000000007</v>
      </c>
    </row>
    <row r="245" spans="1:8">
      <c r="A245" s="163" t="s">
        <v>185</v>
      </c>
      <c r="B245" s="401" t="s">
        <v>510</v>
      </c>
      <c r="C245" s="402" t="s">
        <v>108</v>
      </c>
      <c r="D245" s="213">
        <f>10*3</f>
        <v>30</v>
      </c>
      <c r="E245" s="256">
        <v>43.98</v>
      </c>
      <c r="F245" s="69">
        <v>47.42</v>
      </c>
      <c r="G245" s="68">
        <v>47.9</v>
      </c>
      <c r="H245" s="404">
        <f t="shared" si="21"/>
        <v>1319.3999999999999</v>
      </c>
    </row>
    <row r="246" spans="1:8">
      <c r="A246" s="163" t="s">
        <v>186</v>
      </c>
      <c r="B246" s="401" t="s">
        <v>511</v>
      </c>
      <c r="C246" s="402" t="s">
        <v>109</v>
      </c>
      <c r="D246" s="67">
        <v>30</v>
      </c>
      <c r="E246" s="275">
        <v>26.24</v>
      </c>
      <c r="F246" s="232">
        <v>28.33</v>
      </c>
      <c r="G246" s="73">
        <v>31.98</v>
      </c>
      <c r="H246" s="404">
        <f t="shared" si="21"/>
        <v>787.19999999999993</v>
      </c>
    </row>
    <row r="247" spans="1:8">
      <c r="A247" s="163" t="s">
        <v>187</v>
      </c>
      <c r="B247" s="401" t="s">
        <v>537</v>
      </c>
      <c r="C247" s="402" t="s">
        <v>18</v>
      </c>
      <c r="D247" s="213">
        <f>3*15</f>
        <v>45</v>
      </c>
      <c r="E247" s="275">
        <v>94.2</v>
      </c>
      <c r="F247" s="232">
        <v>108.06</v>
      </c>
      <c r="G247" s="73">
        <v>114.93</v>
      </c>
      <c r="H247" s="404">
        <f t="shared" si="21"/>
        <v>4239</v>
      </c>
    </row>
    <row r="248" spans="1:8">
      <c r="A248" s="163" t="s">
        <v>188</v>
      </c>
      <c r="B248" s="401" t="s">
        <v>512</v>
      </c>
      <c r="C248" s="402" t="s">
        <v>18</v>
      </c>
      <c r="D248" s="213">
        <f>4*3</f>
        <v>12</v>
      </c>
      <c r="E248" s="232">
        <v>37.47</v>
      </c>
      <c r="F248" s="73">
        <v>43.66</v>
      </c>
      <c r="G248" s="73">
        <v>48</v>
      </c>
      <c r="H248" s="404">
        <f t="shared" si="21"/>
        <v>449.64</v>
      </c>
    </row>
    <row r="249" spans="1:8" ht="28.8">
      <c r="A249" s="163" t="s">
        <v>189</v>
      </c>
      <c r="B249" s="401" t="s">
        <v>588</v>
      </c>
      <c r="C249" s="402" t="s">
        <v>18</v>
      </c>
      <c r="D249" s="213">
        <f>3*3*15</f>
        <v>135</v>
      </c>
      <c r="E249" s="275">
        <v>23.1</v>
      </c>
      <c r="F249" s="232">
        <v>25.52</v>
      </c>
      <c r="G249" s="104">
        <v>29.6</v>
      </c>
      <c r="H249" s="404">
        <f t="shared" si="21"/>
        <v>3118.5</v>
      </c>
    </row>
    <row r="250" spans="1:8">
      <c r="A250" s="163" t="s">
        <v>190</v>
      </c>
      <c r="B250" s="401" t="s">
        <v>589</v>
      </c>
      <c r="C250" s="402" t="s">
        <v>18</v>
      </c>
      <c r="D250" s="213">
        <f t="shared" ref="D250:D251" si="27">1*3*15</f>
        <v>45</v>
      </c>
      <c r="E250" s="275">
        <v>54.78</v>
      </c>
      <c r="F250" s="232">
        <f>35.03+39.8</f>
        <v>74.83</v>
      </c>
      <c r="G250" s="73">
        <v>82.7</v>
      </c>
      <c r="H250" s="404">
        <f t="shared" si="21"/>
        <v>2465.1</v>
      </c>
    </row>
    <row r="251" spans="1:8">
      <c r="A251" s="163" t="s">
        <v>191</v>
      </c>
      <c r="B251" s="401" t="s">
        <v>590</v>
      </c>
      <c r="C251" s="402" t="s">
        <v>18</v>
      </c>
      <c r="D251" s="213">
        <f t="shared" si="27"/>
        <v>45</v>
      </c>
      <c r="E251" s="275">
        <v>27.82</v>
      </c>
      <c r="F251" s="232">
        <v>32.369999999999997</v>
      </c>
      <c r="G251" s="104">
        <v>33.74</v>
      </c>
      <c r="H251" s="404">
        <f t="shared" si="21"/>
        <v>1251.9000000000001</v>
      </c>
    </row>
    <row r="252" spans="1:8">
      <c r="A252" s="163" t="s">
        <v>192</v>
      </c>
      <c r="B252" s="401" t="s">
        <v>117</v>
      </c>
      <c r="C252" s="402" t="s">
        <v>18</v>
      </c>
      <c r="D252" s="67">
        <v>3</v>
      </c>
      <c r="E252" s="256">
        <v>3647.05</v>
      </c>
      <c r="F252" s="69">
        <v>4061.63</v>
      </c>
      <c r="G252" s="103">
        <v>4274.5</v>
      </c>
      <c r="H252" s="404">
        <f t="shared" si="21"/>
        <v>10941.150000000001</v>
      </c>
    </row>
    <row r="253" spans="1:8">
      <c r="A253" s="163" t="s">
        <v>193</v>
      </c>
      <c r="B253" s="401" t="s">
        <v>542</v>
      </c>
      <c r="C253" s="402" t="s">
        <v>108</v>
      </c>
      <c r="D253" s="213">
        <f>3*2</f>
        <v>6</v>
      </c>
      <c r="E253" s="256">
        <v>1123.6400000000001</v>
      </c>
      <c r="F253" s="69">
        <v>1285.6300000000001</v>
      </c>
      <c r="G253" s="103">
        <v>1502.31</v>
      </c>
      <c r="H253" s="404">
        <f t="shared" si="21"/>
        <v>6741.84</v>
      </c>
    </row>
    <row r="254" spans="1:8" ht="28.8">
      <c r="A254" s="163" t="s">
        <v>194</v>
      </c>
      <c r="B254" s="401" t="s">
        <v>543</v>
      </c>
      <c r="C254" s="402" t="s">
        <v>108</v>
      </c>
      <c r="D254" s="213">
        <f>1*6*15</f>
        <v>90</v>
      </c>
      <c r="E254" s="256">
        <v>456.51</v>
      </c>
      <c r="F254" s="69">
        <v>465</v>
      </c>
      <c r="G254" s="103">
        <v>480.54</v>
      </c>
      <c r="H254" s="404">
        <f t="shared" si="21"/>
        <v>41085.9</v>
      </c>
    </row>
    <row r="255" spans="1:8">
      <c r="A255" s="163" t="s">
        <v>195</v>
      </c>
      <c r="B255" s="401" t="s">
        <v>513</v>
      </c>
      <c r="C255" s="402" t="s">
        <v>68</v>
      </c>
      <c r="D255" s="67">
        <v>30</v>
      </c>
      <c r="E255" s="73">
        <v>204</v>
      </c>
      <c r="F255" s="232">
        <v>25</v>
      </c>
      <c r="G255" s="73">
        <v>280</v>
      </c>
      <c r="H255" s="404">
        <f t="shared" si="21"/>
        <v>6120</v>
      </c>
    </row>
    <row r="256" spans="1:8" ht="28.8">
      <c r="A256" s="163" t="s">
        <v>196</v>
      </c>
      <c r="B256" s="401" t="s">
        <v>545</v>
      </c>
      <c r="C256" s="402" t="s">
        <v>18</v>
      </c>
      <c r="D256" s="67">
        <f>2*15*2</f>
        <v>60</v>
      </c>
      <c r="E256" s="68">
        <v>49</v>
      </c>
      <c r="F256" s="69">
        <v>64</v>
      </c>
      <c r="G256" s="103">
        <v>80</v>
      </c>
      <c r="H256" s="404">
        <f t="shared" si="21"/>
        <v>2940</v>
      </c>
    </row>
    <row r="257" spans="1:8" ht="28.8">
      <c r="A257" s="163" t="s">
        <v>197</v>
      </c>
      <c r="B257" s="432" t="s">
        <v>591</v>
      </c>
      <c r="C257" s="402" t="s">
        <v>18</v>
      </c>
      <c r="D257" s="67">
        <f>3*15</f>
        <v>45</v>
      </c>
      <c r="E257" s="68">
        <v>103.2</v>
      </c>
      <c r="F257" s="74">
        <v>129</v>
      </c>
      <c r="G257" s="68">
        <v>167.81</v>
      </c>
      <c r="H257" s="404">
        <f t="shared" si="21"/>
        <v>4644</v>
      </c>
    </row>
    <row r="258" spans="1:8" ht="28.8">
      <c r="A258" s="163" t="s">
        <v>198</v>
      </c>
      <c r="B258" s="432" t="s">
        <v>592</v>
      </c>
      <c r="C258" s="402" t="s">
        <v>18</v>
      </c>
      <c r="D258" s="67">
        <v>8</v>
      </c>
      <c r="E258" s="68">
        <v>37.6</v>
      </c>
      <c r="F258" s="69">
        <v>54</v>
      </c>
      <c r="G258" s="103">
        <v>59.6</v>
      </c>
      <c r="H258" s="404">
        <f t="shared" si="21"/>
        <v>300.8</v>
      </c>
    </row>
    <row r="259" spans="1:8" ht="28.8">
      <c r="A259" s="163" t="s">
        <v>199</v>
      </c>
      <c r="B259" s="432" t="s">
        <v>594</v>
      </c>
      <c r="C259" s="402" t="s">
        <v>18</v>
      </c>
      <c r="D259" s="67">
        <v>8</v>
      </c>
      <c r="E259" s="68">
        <v>29.6</v>
      </c>
      <c r="F259" s="74">
        <v>53.7</v>
      </c>
      <c r="G259" s="68">
        <v>61.28</v>
      </c>
      <c r="H259" s="404">
        <f t="shared" si="21"/>
        <v>236.8</v>
      </c>
    </row>
    <row r="260" spans="1:8" ht="28.8">
      <c r="A260" s="163" t="s">
        <v>200</v>
      </c>
      <c r="B260" s="432" t="s">
        <v>593</v>
      </c>
      <c r="C260" s="402" t="s">
        <v>18</v>
      </c>
      <c r="D260" s="67">
        <v>8</v>
      </c>
      <c r="E260" s="68">
        <v>36</v>
      </c>
      <c r="F260" s="69">
        <v>50.6</v>
      </c>
      <c r="G260" s="103">
        <v>54.6</v>
      </c>
      <c r="H260" s="404">
        <f t="shared" si="21"/>
        <v>288</v>
      </c>
    </row>
    <row r="261" spans="1:8" ht="28.8">
      <c r="A261" s="163" t="s">
        <v>201</v>
      </c>
      <c r="B261" s="432" t="s">
        <v>595</v>
      </c>
      <c r="C261" s="402" t="s">
        <v>18</v>
      </c>
      <c r="D261" s="67">
        <v>8</v>
      </c>
      <c r="E261" s="68">
        <v>45.39</v>
      </c>
      <c r="F261" s="232">
        <v>49.8</v>
      </c>
      <c r="G261" s="73">
        <v>84.64</v>
      </c>
      <c r="H261" s="404">
        <f t="shared" si="21"/>
        <v>363.12</v>
      </c>
    </row>
    <row r="262" spans="1:8" ht="28.8">
      <c r="A262" s="163" t="s">
        <v>202</v>
      </c>
      <c r="B262" s="432" t="s">
        <v>552</v>
      </c>
      <c r="C262" s="402" t="s">
        <v>18</v>
      </c>
      <c r="D262" s="67">
        <v>8</v>
      </c>
      <c r="E262" s="68">
        <v>140.54</v>
      </c>
      <c r="F262" s="232">
        <v>186.8</v>
      </c>
      <c r="G262" s="73">
        <v>341.8</v>
      </c>
      <c r="H262" s="404">
        <f t="shared" si="21"/>
        <v>1124.32</v>
      </c>
    </row>
    <row r="263" spans="1:8" ht="28.8">
      <c r="A263" s="163" t="s">
        <v>203</v>
      </c>
      <c r="B263" s="432" t="s">
        <v>596</v>
      </c>
      <c r="C263" s="402" t="s">
        <v>18</v>
      </c>
      <c r="D263" s="67">
        <f>2*4</f>
        <v>8</v>
      </c>
      <c r="E263" s="256">
        <v>5.38</v>
      </c>
      <c r="F263" s="232">
        <v>5.65</v>
      </c>
      <c r="G263" s="73">
        <v>12.6</v>
      </c>
      <c r="H263" s="404">
        <f t="shared" si="21"/>
        <v>43.04</v>
      </c>
    </row>
    <row r="264" spans="1:8">
      <c r="A264" s="163" t="s">
        <v>204</v>
      </c>
      <c r="B264" s="432" t="s">
        <v>554</v>
      </c>
      <c r="C264" s="429" t="s">
        <v>18</v>
      </c>
      <c r="D264" s="67">
        <v>15</v>
      </c>
      <c r="E264" s="68">
        <v>120</v>
      </c>
      <c r="F264" s="232">
        <v>150</v>
      </c>
      <c r="G264" s="73">
        <v>156</v>
      </c>
      <c r="H264" s="404">
        <f t="shared" si="21"/>
        <v>1800</v>
      </c>
    </row>
    <row r="265" spans="1:8">
      <c r="A265" s="163" t="s">
        <v>205</v>
      </c>
      <c r="B265" s="450" t="s">
        <v>555</v>
      </c>
      <c r="C265" s="429" t="s">
        <v>18</v>
      </c>
      <c r="D265" s="67">
        <v>15</v>
      </c>
      <c r="E265" s="68">
        <v>118</v>
      </c>
      <c r="F265" s="69">
        <v>147.5</v>
      </c>
      <c r="G265" s="68">
        <v>171.1</v>
      </c>
      <c r="H265" s="404">
        <f t="shared" si="21"/>
        <v>1770</v>
      </c>
    </row>
    <row r="266" spans="1:8">
      <c r="A266" s="163" t="s">
        <v>206</v>
      </c>
      <c r="B266" s="451" t="s">
        <v>597</v>
      </c>
      <c r="C266" s="429" t="s">
        <v>18</v>
      </c>
      <c r="D266" s="67">
        <v>4</v>
      </c>
      <c r="E266" s="68">
        <v>300</v>
      </c>
      <c r="F266" s="69">
        <v>375</v>
      </c>
      <c r="G266" s="68">
        <v>435</v>
      </c>
      <c r="H266" s="404">
        <f t="shared" si="21"/>
        <v>1200</v>
      </c>
    </row>
    <row r="267" spans="1:8" ht="28.8">
      <c r="A267" s="163" t="s">
        <v>207</v>
      </c>
      <c r="B267" s="432" t="s">
        <v>557</v>
      </c>
      <c r="C267" s="429" t="s">
        <v>18</v>
      </c>
      <c r="D267" s="67">
        <v>4</v>
      </c>
      <c r="E267" s="68">
        <v>1000</v>
      </c>
      <c r="F267" s="69">
        <v>1250</v>
      </c>
      <c r="G267" s="68">
        <v>1300</v>
      </c>
      <c r="H267" s="404">
        <f t="shared" si="21"/>
        <v>4000</v>
      </c>
    </row>
    <row r="268" spans="1:8">
      <c r="A268" s="163" t="s">
        <v>208</v>
      </c>
      <c r="B268" s="432" t="s">
        <v>598</v>
      </c>
      <c r="C268" s="429" t="s">
        <v>18</v>
      </c>
      <c r="D268" s="67">
        <v>4</v>
      </c>
      <c r="E268" s="68">
        <v>116</v>
      </c>
      <c r="F268" s="69">
        <v>145</v>
      </c>
      <c r="G268" s="103">
        <v>150.80000000000001</v>
      </c>
      <c r="H268" s="404">
        <f t="shared" si="21"/>
        <v>464</v>
      </c>
    </row>
    <row r="269" spans="1:8">
      <c r="A269" s="163" t="s">
        <v>209</v>
      </c>
      <c r="B269" s="432" t="s">
        <v>599</v>
      </c>
      <c r="C269" s="429" t="s">
        <v>18</v>
      </c>
      <c r="D269" s="67">
        <v>4</v>
      </c>
      <c r="E269" s="68">
        <v>300</v>
      </c>
      <c r="F269" s="69">
        <v>375</v>
      </c>
      <c r="G269" s="103">
        <v>390</v>
      </c>
      <c r="H269" s="404">
        <f t="shared" si="21"/>
        <v>1200</v>
      </c>
    </row>
    <row r="270" spans="1:8">
      <c r="A270" s="163" t="s">
        <v>387</v>
      </c>
      <c r="B270" s="432" t="s">
        <v>600</v>
      </c>
      <c r="C270" s="429" t="s">
        <v>18</v>
      </c>
      <c r="D270" s="67">
        <v>4</v>
      </c>
      <c r="E270" s="68">
        <v>519.79999999999995</v>
      </c>
      <c r="F270" s="69">
        <v>519</v>
      </c>
      <c r="G270" s="103">
        <v>675.74</v>
      </c>
      <c r="H270" s="404">
        <f t="shared" si="21"/>
        <v>2079.1999999999998</v>
      </c>
    </row>
    <row r="271" spans="1:8">
      <c r="A271" s="163" t="s">
        <v>388</v>
      </c>
      <c r="B271" s="432" t="s">
        <v>601</v>
      </c>
      <c r="C271" s="429" t="s">
        <v>18</v>
      </c>
      <c r="D271" s="213">
        <f t="shared" ref="D271:D272" si="28">14*2</f>
        <v>28</v>
      </c>
      <c r="E271" s="68">
        <v>29.46</v>
      </c>
      <c r="F271" s="69">
        <v>36.83</v>
      </c>
      <c r="G271" s="103">
        <v>38.299999999999997</v>
      </c>
      <c r="H271" s="404">
        <f t="shared" si="21"/>
        <v>824.88</v>
      </c>
    </row>
    <row r="272" spans="1:8">
      <c r="A272" s="163" t="s">
        <v>796</v>
      </c>
      <c r="B272" s="401" t="s">
        <v>514</v>
      </c>
      <c r="C272" s="402" t="s">
        <v>15</v>
      </c>
      <c r="D272" s="213">
        <f t="shared" si="28"/>
        <v>28</v>
      </c>
      <c r="E272" s="68">
        <v>15.18</v>
      </c>
      <c r="F272" s="69">
        <v>18.899999999999999</v>
      </c>
      <c r="G272" s="103">
        <v>19.73</v>
      </c>
      <c r="H272" s="404">
        <f t="shared" si="21"/>
        <v>425.03999999999996</v>
      </c>
    </row>
    <row r="273" spans="1:8" ht="28.8">
      <c r="A273" s="163" t="s">
        <v>797</v>
      </c>
      <c r="B273" s="401" t="s">
        <v>582</v>
      </c>
      <c r="C273" s="402" t="s">
        <v>15</v>
      </c>
      <c r="D273" s="67">
        <v>4</v>
      </c>
      <c r="E273" s="68">
        <v>800</v>
      </c>
      <c r="F273" s="69"/>
      <c r="G273" s="68"/>
      <c r="H273" s="448">
        <f t="shared" si="21"/>
        <v>3200</v>
      </c>
    </row>
    <row r="274" spans="1:8">
      <c r="A274" s="163" t="s">
        <v>798</v>
      </c>
      <c r="B274" s="401" t="s">
        <v>605</v>
      </c>
      <c r="C274" s="402" t="s">
        <v>417</v>
      </c>
      <c r="D274" s="67">
        <v>16</v>
      </c>
      <c r="E274" s="68">
        <v>780</v>
      </c>
      <c r="F274" s="69">
        <v>975</v>
      </c>
      <c r="G274" s="68">
        <v>1170</v>
      </c>
      <c r="H274" s="404">
        <f t="shared" si="21"/>
        <v>12480</v>
      </c>
    </row>
    <row r="275" spans="1:8">
      <c r="A275" s="163" t="s">
        <v>799</v>
      </c>
      <c r="B275" s="401" t="s">
        <v>603</v>
      </c>
      <c r="C275" s="402" t="s">
        <v>110</v>
      </c>
      <c r="D275" s="67">
        <v>109</v>
      </c>
      <c r="E275" s="68">
        <v>174</v>
      </c>
      <c r="F275" s="69">
        <v>217.5</v>
      </c>
      <c r="G275" s="68">
        <v>261</v>
      </c>
      <c r="H275" s="404">
        <f t="shared" si="21"/>
        <v>18966</v>
      </c>
    </row>
    <row r="276" spans="1:8">
      <c r="A276" s="163" t="s">
        <v>800</v>
      </c>
      <c r="B276" s="401" t="s">
        <v>604</v>
      </c>
      <c r="C276" s="402" t="s">
        <v>110</v>
      </c>
      <c r="D276" s="67">
        <v>87</v>
      </c>
      <c r="E276" s="68">
        <v>25.8</v>
      </c>
      <c r="F276" s="69">
        <v>32.25</v>
      </c>
      <c r="G276" s="68">
        <v>38.700000000000003</v>
      </c>
      <c r="H276" s="404">
        <f t="shared" si="21"/>
        <v>2244.6</v>
      </c>
    </row>
    <row r="277" spans="1:8" ht="28.8">
      <c r="A277" s="163" t="s">
        <v>801</v>
      </c>
      <c r="B277" s="401" t="s">
        <v>602</v>
      </c>
      <c r="C277" s="402" t="s">
        <v>110</v>
      </c>
      <c r="D277" s="67">
        <v>109</v>
      </c>
      <c r="E277" s="68">
        <v>130.6</v>
      </c>
      <c r="F277" s="68">
        <v>163.25</v>
      </c>
      <c r="G277" s="68">
        <v>195.9</v>
      </c>
      <c r="H277" s="404">
        <f t="shared" si="21"/>
        <v>14235.4</v>
      </c>
    </row>
    <row r="278" spans="1:8">
      <c r="A278" s="163" t="s">
        <v>802</v>
      </c>
      <c r="B278" s="401" t="s">
        <v>606</v>
      </c>
      <c r="C278" s="402" t="s">
        <v>110</v>
      </c>
      <c r="D278" s="67">
        <v>164</v>
      </c>
      <c r="E278" s="68">
        <v>131.6</v>
      </c>
      <c r="F278" s="69">
        <v>164.5</v>
      </c>
      <c r="G278" s="68">
        <v>197.4</v>
      </c>
      <c r="H278" s="404">
        <f t="shared" si="21"/>
        <v>21582.399999999998</v>
      </c>
    </row>
    <row r="279" spans="1:8">
      <c r="A279" s="163" t="s">
        <v>803</v>
      </c>
      <c r="B279" s="401" t="s">
        <v>699</v>
      </c>
      <c r="C279" s="402" t="s">
        <v>68</v>
      </c>
      <c r="D279" s="213">
        <v>100</v>
      </c>
      <c r="E279" s="68">
        <v>100</v>
      </c>
      <c r="F279" s="69">
        <v>125</v>
      </c>
      <c r="G279" s="68">
        <v>150</v>
      </c>
      <c r="H279" s="404">
        <f t="shared" si="21"/>
        <v>10000</v>
      </c>
    </row>
    <row r="280" spans="1:8">
      <c r="A280" s="163" t="s">
        <v>804</v>
      </c>
      <c r="B280" s="401" t="s">
        <v>700</v>
      </c>
      <c r="C280" s="402" t="s">
        <v>68</v>
      </c>
      <c r="D280" s="213">
        <v>1310</v>
      </c>
      <c r="E280" s="68">
        <v>11.4</v>
      </c>
      <c r="F280" s="69">
        <v>14.25</v>
      </c>
      <c r="G280" s="68">
        <v>17.100000000000001</v>
      </c>
      <c r="H280" s="404">
        <f t="shared" si="21"/>
        <v>14934</v>
      </c>
    </row>
    <row r="281" spans="1:8">
      <c r="A281" s="163" t="s">
        <v>805</v>
      </c>
      <c r="B281" s="401" t="s">
        <v>607</v>
      </c>
      <c r="C281" s="402" t="s">
        <v>110</v>
      </c>
      <c r="D281" s="67">
        <v>109</v>
      </c>
      <c r="E281" s="68">
        <v>24</v>
      </c>
      <c r="F281" s="69">
        <v>30</v>
      </c>
      <c r="G281" s="68">
        <v>36</v>
      </c>
      <c r="H281" s="404">
        <f t="shared" si="21"/>
        <v>2616</v>
      </c>
    </row>
    <row r="282" spans="1:8">
      <c r="A282" s="611" t="s">
        <v>210</v>
      </c>
      <c r="B282" s="612"/>
      <c r="C282" s="612"/>
      <c r="D282" s="612"/>
      <c r="E282" s="612"/>
      <c r="F282" s="612"/>
      <c r="G282" s="612"/>
      <c r="H282" s="507">
        <f>SUM(H183:H281)</f>
        <v>1856596.327</v>
      </c>
    </row>
    <row r="283" spans="1:8" ht="28.8">
      <c r="A283" s="395" t="s">
        <v>211</v>
      </c>
      <c r="B283" s="396" t="s">
        <v>439</v>
      </c>
      <c r="C283" s="397" t="s">
        <v>7</v>
      </c>
      <c r="D283" s="397" t="s">
        <v>8</v>
      </c>
      <c r="E283" s="398" t="s">
        <v>410</v>
      </c>
      <c r="F283" s="398" t="s">
        <v>408</v>
      </c>
      <c r="G283" s="398" t="s">
        <v>409</v>
      </c>
      <c r="H283" s="399" t="s">
        <v>9</v>
      </c>
    </row>
    <row r="284" spans="1:8" ht="28.8">
      <c r="A284" s="400" t="s">
        <v>212</v>
      </c>
      <c r="B284" s="401" t="s">
        <v>456</v>
      </c>
      <c r="C284" s="402" t="s">
        <v>214</v>
      </c>
      <c r="D284" s="402">
        <v>260</v>
      </c>
      <c r="E284" s="403">
        <v>240</v>
      </c>
      <c r="F284" s="404">
        <v>240</v>
      </c>
      <c r="G284" s="403"/>
      <c r="H284" s="404">
        <f t="shared" ref="H284:H287" si="29">E284*D284</f>
        <v>62400</v>
      </c>
    </row>
    <row r="285" spans="1:8">
      <c r="A285" s="400" t="s">
        <v>215</v>
      </c>
      <c r="B285" s="401" t="s">
        <v>216</v>
      </c>
      <c r="C285" s="402" t="s">
        <v>214</v>
      </c>
      <c r="D285" s="402">
        <v>310</v>
      </c>
      <c r="E285" s="403">
        <v>240</v>
      </c>
      <c r="F285" s="404">
        <v>240</v>
      </c>
      <c r="G285" s="403"/>
      <c r="H285" s="404">
        <f t="shared" si="29"/>
        <v>74400</v>
      </c>
    </row>
    <row r="286" spans="1:8" ht="28.8">
      <c r="A286" s="400" t="s">
        <v>217</v>
      </c>
      <c r="B286" s="401" t="s">
        <v>218</v>
      </c>
      <c r="C286" s="402" t="s">
        <v>13</v>
      </c>
      <c r="D286" s="402">
        <v>5</v>
      </c>
      <c r="E286" s="68">
        <f>(3643*97%)+3643</f>
        <v>7176.71</v>
      </c>
      <c r="F286" s="69">
        <f>(5000*97%)+5000</f>
        <v>9850</v>
      </c>
      <c r="G286" s="68">
        <f>(5801*97%)+5801</f>
        <v>11427.970000000001</v>
      </c>
      <c r="H286" s="404">
        <f t="shared" si="29"/>
        <v>35883.550000000003</v>
      </c>
    </row>
    <row r="287" spans="1:8" ht="28.8">
      <c r="A287" s="400" t="s">
        <v>219</v>
      </c>
      <c r="B287" s="401" t="s">
        <v>399</v>
      </c>
      <c r="C287" s="402" t="s">
        <v>13</v>
      </c>
      <c r="D287" s="402">
        <v>5</v>
      </c>
      <c r="E287" s="68">
        <f>(1992.99+97%)+1992.99</f>
        <v>3986.95</v>
      </c>
      <c r="F287" s="69">
        <f>(2143*97%)+2143</f>
        <v>4221.71</v>
      </c>
      <c r="G287" s="72">
        <f>(3071*97%)+3071</f>
        <v>6049.87</v>
      </c>
      <c r="H287" s="404">
        <f t="shared" si="29"/>
        <v>19934.75</v>
      </c>
    </row>
    <row r="288" spans="1:8" ht="28.8">
      <c r="A288" s="400" t="s">
        <v>256</v>
      </c>
      <c r="B288" s="401" t="s">
        <v>608</v>
      </c>
      <c r="C288" s="402" t="s">
        <v>15</v>
      </c>
      <c r="D288" s="402">
        <f>20*5</f>
        <v>100</v>
      </c>
      <c r="E288" s="229">
        <v>250</v>
      </c>
      <c r="F288" s="69">
        <v>450</v>
      </c>
      <c r="G288" s="68">
        <v>581</v>
      </c>
      <c r="H288" s="404">
        <f>E288*D288*2</f>
        <v>50000</v>
      </c>
    </row>
    <row r="289" spans="1:8" ht="43.2">
      <c r="A289" s="400" t="s">
        <v>221</v>
      </c>
      <c r="B289" s="401" t="s">
        <v>564</v>
      </c>
      <c r="C289" s="402" t="s">
        <v>18</v>
      </c>
      <c r="D289" s="402">
        <v>1</v>
      </c>
      <c r="E289" s="68">
        <v>4149</v>
      </c>
      <c r="F289" s="69">
        <v>5299</v>
      </c>
      <c r="G289" s="70">
        <v>5919</v>
      </c>
      <c r="H289" s="404">
        <f t="shared" ref="H289:H294" si="30">E289*D289</f>
        <v>4149</v>
      </c>
    </row>
    <row r="290" spans="1:8">
      <c r="A290" s="400" t="s">
        <v>222</v>
      </c>
      <c r="B290" s="407" t="s">
        <v>565</v>
      </c>
      <c r="C290" s="402" t="s">
        <v>18</v>
      </c>
      <c r="D290" s="402">
        <v>1</v>
      </c>
      <c r="E290" s="68">
        <v>1849</v>
      </c>
      <c r="F290" s="69">
        <v>2199</v>
      </c>
      <c r="G290" s="68">
        <v>2919</v>
      </c>
      <c r="H290" s="404">
        <f t="shared" si="30"/>
        <v>1849</v>
      </c>
    </row>
    <row r="291" spans="1:8" ht="43.2">
      <c r="A291" s="400" t="s">
        <v>223</v>
      </c>
      <c r="B291" s="401" t="s">
        <v>609</v>
      </c>
      <c r="C291" s="402" t="s">
        <v>18</v>
      </c>
      <c r="D291" s="402">
        <v>1</v>
      </c>
      <c r="E291" s="73">
        <v>1849.77</v>
      </c>
      <c r="F291" s="232">
        <v>2891</v>
      </c>
      <c r="G291" s="68">
        <v>3199</v>
      </c>
      <c r="H291" s="404">
        <f t="shared" si="30"/>
        <v>1849.77</v>
      </c>
    </row>
    <row r="292" spans="1:8" ht="28.8">
      <c r="A292" s="400" t="s">
        <v>224</v>
      </c>
      <c r="B292" s="401" t="s">
        <v>611</v>
      </c>
      <c r="C292" s="402" t="s">
        <v>18</v>
      </c>
      <c r="D292" s="402">
        <v>1</v>
      </c>
      <c r="E292" s="73">
        <v>169.9</v>
      </c>
      <c r="F292" s="232">
        <v>189</v>
      </c>
      <c r="G292" s="68">
        <v>197</v>
      </c>
      <c r="H292" s="404">
        <f t="shared" si="30"/>
        <v>169.9</v>
      </c>
    </row>
    <row r="293" spans="1:8" ht="28.8">
      <c r="A293" s="400" t="s">
        <v>225</v>
      </c>
      <c r="B293" s="401" t="s">
        <v>610</v>
      </c>
      <c r="C293" s="402" t="s">
        <v>18</v>
      </c>
      <c r="D293" s="402">
        <v>2</v>
      </c>
      <c r="E293" s="73">
        <v>1386</v>
      </c>
      <c r="F293" s="232">
        <v>1549</v>
      </c>
      <c r="G293" s="68">
        <v>1649.9</v>
      </c>
      <c r="H293" s="404">
        <f t="shared" si="30"/>
        <v>2772</v>
      </c>
    </row>
    <row r="294" spans="1:8">
      <c r="A294" s="400" t="s">
        <v>226</v>
      </c>
      <c r="B294" s="401" t="s">
        <v>462</v>
      </c>
      <c r="C294" s="402" t="s">
        <v>13</v>
      </c>
      <c r="D294" s="402">
        <v>5</v>
      </c>
      <c r="E294" s="68">
        <v>124.99</v>
      </c>
      <c r="F294" s="69">
        <v>142</v>
      </c>
      <c r="G294" s="68">
        <v>159.9</v>
      </c>
      <c r="H294" s="404">
        <f t="shared" si="30"/>
        <v>624.94999999999993</v>
      </c>
    </row>
    <row r="295" spans="1:8" ht="28.8">
      <c r="A295" s="400" t="s">
        <v>227</v>
      </c>
      <c r="B295" s="401" t="s">
        <v>612</v>
      </c>
      <c r="C295" s="402" t="s">
        <v>13</v>
      </c>
      <c r="D295" s="402">
        <v>5</v>
      </c>
      <c r="E295" s="68">
        <v>2850</v>
      </c>
      <c r="F295" s="69">
        <v>3768</v>
      </c>
      <c r="G295" s="69">
        <v>5367.02</v>
      </c>
      <c r="H295" s="404">
        <f>E295*D295*2</f>
        <v>28500</v>
      </c>
    </row>
    <row r="296" spans="1:8">
      <c r="A296" s="400" t="s">
        <v>228</v>
      </c>
      <c r="B296" s="401" t="s">
        <v>463</v>
      </c>
      <c r="C296" s="402" t="s">
        <v>15</v>
      </c>
      <c r="D296" s="402">
        <v>1</v>
      </c>
      <c r="E296" s="70">
        <v>300</v>
      </c>
      <c r="F296" s="74">
        <v>600</v>
      </c>
      <c r="G296" s="70">
        <v>975</v>
      </c>
      <c r="H296" s="404">
        <f t="shared" ref="H296:H326" si="31">E296*D296</f>
        <v>300</v>
      </c>
    </row>
    <row r="297" spans="1:8" ht="28.8">
      <c r="A297" s="400" t="s">
        <v>229</v>
      </c>
      <c r="B297" s="401" t="s">
        <v>613</v>
      </c>
      <c r="C297" s="402" t="s">
        <v>13</v>
      </c>
      <c r="D297" s="402">
        <v>5</v>
      </c>
      <c r="E297" s="68">
        <v>49.9</v>
      </c>
      <c r="F297" s="69">
        <v>60</v>
      </c>
      <c r="G297" s="68">
        <v>65.900000000000006</v>
      </c>
      <c r="H297" s="404">
        <f t="shared" si="31"/>
        <v>249.5</v>
      </c>
    </row>
    <row r="298" spans="1:8" ht="28.8">
      <c r="A298" s="400" t="s">
        <v>230</v>
      </c>
      <c r="B298" s="401" t="s">
        <v>614</v>
      </c>
      <c r="C298" s="402" t="s">
        <v>15</v>
      </c>
      <c r="D298" s="402">
        <v>2</v>
      </c>
      <c r="E298" s="68">
        <v>144.9</v>
      </c>
      <c r="F298" s="69">
        <v>0</v>
      </c>
      <c r="G298" s="68">
        <v>265</v>
      </c>
      <c r="H298" s="404">
        <f t="shared" si="31"/>
        <v>289.8</v>
      </c>
    </row>
    <row r="299" spans="1:8" ht="28.8">
      <c r="A299" s="400" t="s">
        <v>231</v>
      </c>
      <c r="B299" s="401" t="s">
        <v>615</v>
      </c>
      <c r="C299" s="402" t="s">
        <v>31</v>
      </c>
      <c r="D299" s="402">
        <f>55*4*5*2</f>
        <v>2200</v>
      </c>
      <c r="E299" s="256">
        <v>6.8</v>
      </c>
      <c r="F299" s="69">
        <v>6.9</v>
      </c>
      <c r="G299" s="68">
        <v>6.35</v>
      </c>
      <c r="H299" s="404">
        <f t="shared" si="31"/>
        <v>14960</v>
      </c>
    </row>
    <row r="300" spans="1:8" ht="28.8">
      <c r="A300" s="400" t="s">
        <v>232</v>
      </c>
      <c r="B300" s="427" t="s">
        <v>524</v>
      </c>
      <c r="C300" s="402" t="s">
        <v>18</v>
      </c>
      <c r="D300" s="67">
        <f>5*2</f>
        <v>10</v>
      </c>
      <c r="E300" s="68">
        <v>60</v>
      </c>
      <c r="F300" s="68">
        <v>65</v>
      </c>
      <c r="G300" s="69">
        <v>70</v>
      </c>
      <c r="H300" s="404">
        <f t="shared" si="31"/>
        <v>600</v>
      </c>
    </row>
    <row r="301" spans="1:8" ht="28.8">
      <c r="A301" s="400" t="s">
        <v>233</v>
      </c>
      <c r="B301" s="427" t="s">
        <v>616</v>
      </c>
      <c r="C301" s="402" t="s">
        <v>18</v>
      </c>
      <c r="D301" s="67">
        <v>5</v>
      </c>
      <c r="E301" s="68">
        <v>75</v>
      </c>
      <c r="F301" s="68">
        <v>90</v>
      </c>
      <c r="G301" s="69">
        <v>98</v>
      </c>
      <c r="H301" s="404">
        <f t="shared" si="31"/>
        <v>375</v>
      </c>
    </row>
    <row r="302" spans="1:8" ht="28.8">
      <c r="A302" s="400" t="s">
        <v>234</v>
      </c>
      <c r="B302" s="427" t="s">
        <v>525</v>
      </c>
      <c r="C302" s="402" t="s">
        <v>18</v>
      </c>
      <c r="D302" s="67">
        <f>5*1</f>
        <v>5</v>
      </c>
      <c r="E302" s="68">
        <v>25</v>
      </c>
      <c r="F302" s="68">
        <v>40</v>
      </c>
      <c r="G302" s="69">
        <v>43</v>
      </c>
      <c r="H302" s="404">
        <f t="shared" si="31"/>
        <v>125</v>
      </c>
    </row>
    <row r="303" spans="1:8" ht="28.8">
      <c r="A303" s="400" t="s">
        <v>235</v>
      </c>
      <c r="B303" s="401" t="s">
        <v>617</v>
      </c>
      <c r="C303" s="402" t="s">
        <v>18</v>
      </c>
      <c r="D303" s="67">
        <f t="shared" ref="D303:D305" si="32">2*2</f>
        <v>4</v>
      </c>
      <c r="E303" s="68">
        <v>122</v>
      </c>
      <c r="F303" s="74">
        <v>170.91</v>
      </c>
      <c r="G303" s="68">
        <v>185</v>
      </c>
      <c r="H303" s="404">
        <f t="shared" si="31"/>
        <v>488</v>
      </c>
    </row>
    <row r="304" spans="1:8" ht="28.8">
      <c r="A304" s="400" t="s">
        <v>236</v>
      </c>
      <c r="B304" s="431" t="s">
        <v>527</v>
      </c>
      <c r="C304" s="402" t="s">
        <v>18</v>
      </c>
      <c r="D304" s="67">
        <f t="shared" si="32"/>
        <v>4</v>
      </c>
      <c r="E304" s="68">
        <v>21.8</v>
      </c>
      <c r="F304" s="74">
        <v>36</v>
      </c>
      <c r="G304" s="68">
        <v>46.9</v>
      </c>
      <c r="H304" s="404">
        <f t="shared" si="31"/>
        <v>87.2</v>
      </c>
    </row>
    <row r="305" spans="1:8">
      <c r="A305" s="400" t="s">
        <v>237</v>
      </c>
      <c r="B305" s="431" t="s">
        <v>618</v>
      </c>
      <c r="C305" s="402" t="s">
        <v>18</v>
      </c>
      <c r="D305" s="67">
        <f t="shared" si="32"/>
        <v>4</v>
      </c>
      <c r="E305" s="73">
        <v>13.93</v>
      </c>
      <c r="F305" s="232">
        <v>15.71</v>
      </c>
      <c r="G305" s="73">
        <v>49.9</v>
      </c>
      <c r="H305" s="404">
        <f t="shared" si="31"/>
        <v>55.72</v>
      </c>
    </row>
    <row r="306" spans="1:8" ht="28.8">
      <c r="A306" s="400" t="s">
        <v>238</v>
      </c>
      <c r="B306" s="401" t="s">
        <v>529</v>
      </c>
      <c r="C306" s="402" t="s">
        <v>18</v>
      </c>
      <c r="D306" s="67">
        <f>3*2*5</f>
        <v>30</v>
      </c>
      <c r="E306" s="73">
        <v>12.4</v>
      </c>
      <c r="F306" s="232">
        <v>13.5</v>
      </c>
      <c r="G306" s="73">
        <v>20.260000000000002</v>
      </c>
      <c r="H306" s="404">
        <f t="shared" si="31"/>
        <v>372</v>
      </c>
    </row>
    <row r="307" spans="1:8">
      <c r="A307" s="624" t="s">
        <v>239</v>
      </c>
      <c r="B307" s="628" t="s">
        <v>619</v>
      </c>
      <c r="C307" s="402" t="s">
        <v>18</v>
      </c>
      <c r="D307" s="67">
        <f>2*5</f>
        <v>10</v>
      </c>
      <c r="E307" s="68">
        <v>160</v>
      </c>
      <c r="F307" s="232">
        <v>163</v>
      </c>
      <c r="G307" s="73">
        <v>193.63</v>
      </c>
      <c r="H307" s="404">
        <f t="shared" si="31"/>
        <v>1600</v>
      </c>
    </row>
    <row r="308" spans="1:8" ht="28.8">
      <c r="A308" s="624" t="s">
        <v>240</v>
      </c>
      <c r="B308" s="629" t="s">
        <v>474</v>
      </c>
      <c r="C308" s="402" t="s">
        <v>18</v>
      </c>
      <c r="D308" s="67">
        <v>2</v>
      </c>
      <c r="E308" s="70">
        <v>35</v>
      </c>
      <c r="F308" s="74">
        <v>41.4</v>
      </c>
      <c r="G308" s="68">
        <v>168.26</v>
      </c>
      <c r="H308" s="404">
        <f t="shared" si="31"/>
        <v>70</v>
      </c>
    </row>
    <row r="309" spans="1:8">
      <c r="A309" s="624" t="s">
        <v>241</v>
      </c>
      <c r="B309" s="628" t="s">
        <v>475</v>
      </c>
      <c r="C309" s="402" t="s">
        <v>18</v>
      </c>
      <c r="D309" s="67">
        <v>2</v>
      </c>
      <c r="E309" s="73">
        <v>41.4</v>
      </c>
      <c r="F309" s="69">
        <v>42.23</v>
      </c>
      <c r="G309" s="70">
        <v>50</v>
      </c>
      <c r="H309" s="404">
        <f t="shared" si="31"/>
        <v>82.8</v>
      </c>
    </row>
    <row r="310" spans="1:8" ht="28.8">
      <c r="A310" s="624" t="s">
        <v>242</v>
      </c>
      <c r="B310" s="630" t="s">
        <v>620</v>
      </c>
      <c r="C310" s="402" t="s">
        <v>18</v>
      </c>
      <c r="D310" s="213">
        <f>2*2</f>
        <v>4</v>
      </c>
      <c r="E310" s="68">
        <v>2.77</v>
      </c>
      <c r="F310" s="74">
        <v>3.75</v>
      </c>
      <c r="G310" s="73">
        <v>3.96</v>
      </c>
      <c r="H310" s="404">
        <f t="shared" si="31"/>
        <v>11.08</v>
      </c>
    </row>
    <row r="311" spans="1:8">
      <c r="A311" s="624" t="s">
        <v>243</v>
      </c>
      <c r="B311" s="625" t="s">
        <v>477</v>
      </c>
      <c r="C311" s="402" t="s">
        <v>18</v>
      </c>
      <c r="D311" s="67">
        <f t="shared" ref="D311:D312" si="33">1*2</f>
        <v>2</v>
      </c>
      <c r="E311" s="68">
        <v>32.979999999999997</v>
      </c>
      <c r="F311" s="69">
        <v>58.66</v>
      </c>
      <c r="G311" s="68">
        <v>60.82</v>
      </c>
      <c r="H311" s="404">
        <f t="shared" si="31"/>
        <v>65.959999999999994</v>
      </c>
    </row>
    <row r="312" spans="1:8">
      <c r="A312" s="624" t="s">
        <v>244</v>
      </c>
      <c r="B312" s="625" t="s">
        <v>621</v>
      </c>
      <c r="C312" s="402" t="s">
        <v>18</v>
      </c>
      <c r="D312" s="67">
        <f t="shared" si="33"/>
        <v>2</v>
      </c>
      <c r="E312" s="73">
        <v>26.5</v>
      </c>
      <c r="F312" s="69">
        <v>61.9</v>
      </c>
      <c r="G312" s="68">
        <v>83.6</v>
      </c>
      <c r="H312" s="404">
        <f t="shared" si="31"/>
        <v>53</v>
      </c>
    </row>
    <row r="313" spans="1:8">
      <c r="A313" s="626" t="s">
        <v>245</v>
      </c>
      <c r="B313" s="627" t="s">
        <v>772</v>
      </c>
      <c r="C313" s="402" t="s">
        <v>18</v>
      </c>
      <c r="D313" s="413">
        <f>12*1</f>
        <v>12</v>
      </c>
      <c r="E313" s="412">
        <v>286</v>
      </c>
      <c r="F313" s="404">
        <v>338</v>
      </c>
      <c r="G313" s="403">
        <v>377</v>
      </c>
      <c r="H313" s="404">
        <f t="shared" si="31"/>
        <v>3432</v>
      </c>
    </row>
    <row r="314" spans="1:8">
      <c r="A314" s="626" t="s">
        <v>246</v>
      </c>
      <c r="B314" s="627" t="s">
        <v>773</v>
      </c>
      <c r="C314" s="402" t="s">
        <v>18</v>
      </c>
      <c r="D314" s="413">
        <f>4*1</f>
        <v>4</v>
      </c>
      <c r="E314" s="412">
        <v>98</v>
      </c>
      <c r="F314" s="404">
        <v>270</v>
      </c>
      <c r="G314" s="403">
        <v>279</v>
      </c>
      <c r="H314" s="404">
        <f t="shared" si="31"/>
        <v>392</v>
      </c>
    </row>
    <row r="315" spans="1:8">
      <c r="A315" s="626" t="s">
        <v>247</v>
      </c>
      <c r="B315" s="627" t="s">
        <v>774</v>
      </c>
      <c r="C315" s="402" t="s">
        <v>18</v>
      </c>
      <c r="D315" s="413">
        <f>2*2*5</f>
        <v>20</v>
      </c>
      <c r="E315" s="412">
        <v>35.99</v>
      </c>
      <c r="F315" s="404">
        <v>37.93</v>
      </c>
      <c r="G315" s="403">
        <v>67.900000000000006</v>
      </c>
      <c r="H315" s="404">
        <f t="shared" si="31"/>
        <v>719.80000000000007</v>
      </c>
    </row>
    <row r="316" spans="1:8">
      <c r="A316" s="626" t="s">
        <v>248</v>
      </c>
      <c r="B316" s="627" t="s">
        <v>783</v>
      </c>
      <c r="C316" s="402" t="s">
        <v>18</v>
      </c>
      <c r="D316" s="413">
        <f>2*2*1</f>
        <v>4</v>
      </c>
      <c r="E316" s="412">
        <v>125</v>
      </c>
      <c r="F316" s="404">
        <v>144.41</v>
      </c>
      <c r="G316" s="403">
        <v>155.5</v>
      </c>
      <c r="H316" s="404">
        <f t="shared" si="31"/>
        <v>500</v>
      </c>
    </row>
    <row r="317" spans="1:8">
      <c r="A317" s="626" t="s">
        <v>249</v>
      </c>
      <c r="B317" s="627" t="s">
        <v>775</v>
      </c>
      <c r="C317" s="402" t="s">
        <v>18</v>
      </c>
      <c r="D317" s="413">
        <v>2</v>
      </c>
      <c r="E317" s="412">
        <v>930</v>
      </c>
      <c r="F317" s="404">
        <v>1000</v>
      </c>
      <c r="G317" s="403">
        <v>1980</v>
      </c>
      <c r="H317" s="404">
        <f t="shared" si="31"/>
        <v>1860</v>
      </c>
    </row>
    <row r="318" spans="1:8">
      <c r="A318" s="626" t="s">
        <v>250</v>
      </c>
      <c r="B318" s="627" t="s">
        <v>776</v>
      </c>
      <c r="C318" s="402" t="s">
        <v>18</v>
      </c>
      <c r="D318" s="413">
        <f>1*2*1</f>
        <v>2</v>
      </c>
      <c r="E318" s="412">
        <v>37.9</v>
      </c>
      <c r="F318" s="404">
        <v>41.31</v>
      </c>
      <c r="G318" s="403">
        <v>45</v>
      </c>
      <c r="H318" s="404">
        <f t="shared" si="31"/>
        <v>75.8</v>
      </c>
    </row>
    <row r="319" spans="1:8">
      <c r="A319" s="626" t="s">
        <v>251</v>
      </c>
      <c r="B319" s="627" t="s">
        <v>777</v>
      </c>
      <c r="C319" s="402" t="s">
        <v>18</v>
      </c>
      <c r="D319" s="413">
        <f>1*2*1</f>
        <v>2</v>
      </c>
      <c r="E319" s="412">
        <v>73.489999999999995</v>
      </c>
      <c r="F319" s="404">
        <v>96.7</v>
      </c>
      <c r="G319" s="403">
        <v>106.76</v>
      </c>
      <c r="H319" s="404">
        <f t="shared" si="31"/>
        <v>146.97999999999999</v>
      </c>
    </row>
    <row r="320" spans="1:8">
      <c r="A320" s="626" t="s">
        <v>252</v>
      </c>
      <c r="B320" s="625" t="s">
        <v>622</v>
      </c>
      <c r="C320" s="402" t="s">
        <v>68</v>
      </c>
      <c r="D320" s="67">
        <v>5</v>
      </c>
      <c r="E320" s="73">
        <v>204</v>
      </c>
      <c r="F320" s="232">
        <v>255</v>
      </c>
      <c r="G320" s="73">
        <v>280</v>
      </c>
      <c r="H320" s="404">
        <f t="shared" si="31"/>
        <v>1020</v>
      </c>
    </row>
    <row r="321" spans="1:8" ht="28.8">
      <c r="A321" s="626" t="s">
        <v>806</v>
      </c>
      <c r="B321" s="625" t="s">
        <v>623</v>
      </c>
      <c r="C321" s="402" t="s">
        <v>18</v>
      </c>
      <c r="D321" s="67">
        <f t="shared" ref="D321:D326" si="34">1*2</f>
        <v>2</v>
      </c>
      <c r="E321" s="68">
        <v>49</v>
      </c>
      <c r="F321" s="69">
        <v>64</v>
      </c>
      <c r="G321" s="68">
        <v>80</v>
      </c>
      <c r="H321" s="404">
        <f t="shared" si="31"/>
        <v>98</v>
      </c>
    </row>
    <row r="322" spans="1:8" ht="28.8">
      <c r="A322" s="626" t="s">
        <v>807</v>
      </c>
      <c r="B322" s="629" t="s">
        <v>624</v>
      </c>
      <c r="C322" s="402" t="s">
        <v>18</v>
      </c>
      <c r="D322" s="67">
        <f t="shared" si="34"/>
        <v>2</v>
      </c>
      <c r="E322" s="68">
        <v>103.2</v>
      </c>
      <c r="F322" s="74">
        <v>129</v>
      </c>
      <c r="G322" s="68">
        <v>167.81</v>
      </c>
      <c r="H322" s="404">
        <f t="shared" si="31"/>
        <v>206.4</v>
      </c>
    </row>
    <row r="323" spans="1:8" ht="28.8">
      <c r="A323" s="626" t="s">
        <v>808</v>
      </c>
      <c r="B323" s="629" t="s">
        <v>625</v>
      </c>
      <c r="C323" s="402" t="s">
        <v>18</v>
      </c>
      <c r="D323" s="67">
        <f t="shared" si="34"/>
        <v>2</v>
      </c>
      <c r="E323" s="68">
        <v>37.6</v>
      </c>
      <c r="F323" s="69">
        <v>54</v>
      </c>
      <c r="G323" s="68">
        <v>59.6</v>
      </c>
      <c r="H323" s="404">
        <f t="shared" si="31"/>
        <v>75.2</v>
      </c>
    </row>
    <row r="324" spans="1:8">
      <c r="A324" s="163" t="s">
        <v>809</v>
      </c>
      <c r="B324" s="432" t="s">
        <v>626</v>
      </c>
      <c r="C324" s="402" t="s">
        <v>18</v>
      </c>
      <c r="D324" s="67">
        <f t="shared" si="34"/>
        <v>2</v>
      </c>
      <c r="E324" s="68">
        <v>29.6</v>
      </c>
      <c r="F324" s="74">
        <v>53.7</v>
      </c>
      <c r="G324" s="68">
        <v>61.28</v>
      </c>
      <c r="H324" s="404">
        <f t="shared" si="31"/>
        <v>59.2</v>
      </c>
    </row>
    <row r="325" spans="1:8" ht="28.8">
      <c r="A325" s="163" t="s">
        <v>810</v>
      </c>
      <c r="B325" s="432" t="s">
        <v>627</v>
      </c>
      <c r="C325" s="402" t="s">
        <v>18</v>
      </c>
      <c r="D325" s="67">
        <f t="shared" si="34"/>
        <v>2</v>
      </c>
      <c r="E325" s="68">
        <v>36</v>
      </c>
      <c r="F325" s="69">
        <v>50.6</v>
      </c>
      <c r="G325" s="68">
        <v>54.6</v>
      </c>
      <c r="H325" s="404">
        <f t="shared" si="31"/>
        <v>72</v>
      </c>
    </row>
    <row r="326" spans="1:8" ht="28.8">
      <c r="A326" s="163" t="s">
        <v>811</v>
      </c>
      <c r="B326" s="432" t="s">
        <v>552</v>
      </c>
      <c r="C326" s="402" t="s">
        <v>18</v>
      </c>
      <c r="D326" s="67">
        <f t="shared" si="34"/>
        <v>2</v>
      </c>
      <c r="E326" s="68">
        <v>140.54</v>
      </c>
      <c r="F326" s="69">
        <v>186.8</v>
      </c>
      <c r="G326" s="68">
        <v>341.8</v>
      </c>
      <c r="H326" s="404">
        <f t="shared" si="31"/>
        <v>281.08</v>
      </c>
    </row>
    <row r="327" spans="1:8">
      <c r="A327" s="497" t="s">
        <v>253</v>
      </c>
      <c r="B327" s="508"/>
      <c r="C327" s="509"/>
      <c r="D327" s="508"/>
      <c r="E327" s="510"/>
      <c r="F327" s="510"/>
      <c r="G327" s="510"/>
      <c r="H327" s="496">
        <f>SUM(H284:H326)</f>
        <v>311256.44</v>
      </c>
    </row>
    <row r="328" spans="1:8" ht="28.8">
      <c r="A328" s="395" t="s">
        <v>257</v>
      </c>
      <c r="B328" s="396" t="s">
        <v>258</v>
      </c>
      <c r="C328" s="397" t="s">
        <v>7</v>
      </c>
      <c r="D328" s="397" t="s">
        <v>8</v>
      </c>
      <c r="E328" s="398" t="s">
        <v>410</v>
      </c>
      <c r="F328" s="398" t="s">
        <v>408</v>
      </c>
      <c r="G328" s="398" t="s">
        <v>409</v>
      </c>
      <c r="H328" s="399" t="s">
        <v>9</v>
      </c>
    </row>
    <row r="329" spans="1:8" ht="28.8">
      <c r="A329" s="400" t="s">
        <v>259</v>
      </c>
      <c r="B329" s="401" t="s">
        <v>262</v>
      </c>
      <c r="C329" s="402" t="s">
        <v>13</v>
      </c>
      <c r="D329" s="402">
        <v>12</v>
      </c>
      <c r="E329" s="251">
        <f>(2825.54*97%)+2825.54</f>
        <v>5566.3137999999999</v>
      </c>
      <c r="F329" s="249">
        <f>(2942.99*97%)+2942.99</f>
        <v>5797.6902999999993</v>
      </c>
      <c r="G329" s="250">
        <f>(3397*97%)+3397</f>
        <v>6692.09</v>
      </c>
      <c r="H329" s="404">
        <f>E329*D329</f>
        <v>66795.765599999999</v>
      </c>
    </row>
    <row r="330" spans="1:8" ht="28.8">
      <c r="A330" s="400" t="s">
        <v>261</v>
      </c>
      <c r="B330" s="401" t="s">
        <v>401</v>
      </c>
      <c r="C330" s="402" t="s">
        <v>13</v>
      </c>
      <c r="D330" s="402">
        <v>12</v>
      </c>
      <c r="E330" s="68">
        <f>(1412*97%)+1412</f>
        <v>2781.64</v>
      </c>
      <c r="F330" s="69">
        <f>(1454*97%)+1454</f>
        <v>2864.38</v>
      </c>
      <c r="G330" s="68">
        <f>(1700*97%)+1700</f>
        <v>3349</v>
      </c>
      <c r="H330" s="404">
        <f>E330*D330</f>
        <v>33379.68</v>
      </c>
    </row>
    <row r="331" spans="1:8" ht="28.8">
      <c r="A331" s="400" t="s">
        <v>263</v>
      </c>
      <c r="B331" s="401" t="s">
        <v>515</v>
      </c>
      <c r="C331" s="402" t="s">
        <v>15</v>
      </c>
      <c r="D331" s="402">
        <f t="shared" ref="D331:D332" si="35">20*2*12</f>
        <v>480</v>
      </c>
      <c r="E331" s="68">
        <v>32</v>
      </c>
      <c r="F331" s="69">
        <v>32</v>
      </c>
      <c r="G331" s="68">
        <v>35</v>
      </c>
      <c r="H331" s="404">
        <f t="shared" ref="H331:H381" si="36">E331*D331</f>
        <v>15360</v>
      </c>
    </row>
    <row r="332" spans="1:8">
      <c r="A332" s="400" t="s">
        <v>265</v>
      </c>
      <c r="B332" s="401" t="s">
        <v>574</v>
      </c>
      <c r="C332" s="402" t="s">
        <v>15</v>
      </c>
      <c r="D332" s="402">
        <f t="shared" si="35"/>
        <v>480</v>
      </c>
      <c r="E332" s="196">
        <v>8</v>
      </c>
      <c r="F332" s="197">
        <v>8.6</v>
      </c>
      <c r="G332" s="196">
        <v>9</v>
      </c>
      <c r="H332" s="404">
        <f t="shared" si="36"/>
        <v>3840</v>
      </c>
    </row>
    <row r="333" spans="1:8" ht="28.8">
      <c r="A333" s="400" t="s">
        <v>266</v>
      </c>
      <c r="B333" s="401" t="s">
        <v>629</v>
      </c>
      <c r="C333" s="402" t="s">
        <v>18</v>
      </c>
      <c r="D333" s="402">
        <v>1</v>
      </c>
      <c r="E333" s="73">
        <v>1386</v>
      </c>
      <c r="F333" s="69">
        <v>1549</v>
      </c>
      <c r="G333" s="68">
        <v>1649.9</v>
      </c>
      <c r="H333" s="404">
        <f t="shared" si="36"/>
        <v>1386</v>
      </c>
    </row>
    <row r="334" spans="1:8">
      <c r="A334" s="400" t="s">
        <v>267</v>
      </c>
      <c r="B334" s="401" t="s">
        <v>462</v>
      </c>
      <c r="C334" s="402" t="s">
        <v>13</v>
      </c>
      <c r="D334" s="402">
        <v>12</v>
      </c>
      <c r="E334" s="68">
        <v>124.99</v>
      </c>
      <c r="F334" s="69">
        <v>142</v>
      </c>
      <c r="G334" s="68">
        <v>159.99</v>
      </c>
      <c r="H334" s="404">
        <f t="shared" si="36"/>
        <v>1499.8799999999999</v>
      </c>
    </row>
    <row r="335" spans="1:8" ht="28.8">
      <c r="A335" s="400" t="s">
        <v>268</v>
      </c>
      <c r="B335" s="401" t="s">
        <v>628</v>
      </c>
      <c r="C335" s="402" t="s">
        <v>18</v>
      </c>
      <c r="D335" s="402">
        <v>1</v>
      </c>
      <c r="E335" s="73">
        <v>6459.11</v>
      </c>
      <c r="F335" s="68">
        <v>6686</v>
      </c>
      <c r="G335" s="69">
        <v>6892</v>
      </c>
      <c r="H335" s="404">
        <f t="shared" si="36"/>
        <v>6459.11</v>
      </c>
    </row>
    <row r="336" spans="1:8">
      <c r="A336" s="400" t="s">
        <v>269</v>
      </c>
      <c r="B336" s="401" t="s">
        <v>630</v>
      </c>
      <c r="C336" s="402" t="s">
        <v>13</v>
      </c>
      <c r="D336" s="402">
        <v>12</v>
      </c>
      <c r="E336" s="68">
        <v>2850</v>
      </c>
      <c r="F336" s="69">
        <v>3768</v>
      </c>
      <c r="G336" s="69">
        <v>5367.02</v>
      </c>
      <c r="H336" s="404">
        <f t="shared" si="36"/>
        <v>34200</v>
      </c>
    </row>
    <row r="337" spans="1:8">
      <c r="A337" s="400" t="s">
        <v>270</v>
      </c>
      <c r="B337" s="401" t="s">
        <v>490</v>
      </c>
      <c r="C337" s="402" t="s">
        <v>15</v>
      </c>
      <c r="D337" s="402">
        <v>3</v>
      </c>
      <c r="E337" s="70">
        <v>300</v>
      </c>
      <c r="F337" s="74">
        <v>600</v>
      </c>
      <c r="G337" s="70">
        <v>975</v>
      </c>
      <c r="H337" s="404">
        <f t="shared" si="36"/>
        <v>900</v>
      </c>
    </row>
    <row r="338" spans="1:8" ht="28.8">
      <c r="A338" s="400" t="s">
        <v>271</v>
      </c>
      <c r="B338" s="401" t="s">
        <v>631</v>
      </c>
      <c r="C338" s="402" t="s">
        <v>15</v>
      </c>
      <c r="D338" s="402">
        <v>1</v>
      </c>
      <c r="E338" s="68">
        <v>144.9</v>
      </c>
      <c r="F338" s="74">
        <v>0</v>
      </c>
      <c r="G338" s="68">
        <v>265</v>
      </c>
      <c r="H338" s="404">
        <f t="shared" si="36"/>
        <v>144.9</v>
      </c>
    </row>
    <row r="339" spans="1:8" ht="28.8">
      <c r="A339" s="400" t="s">
        <v>272</v>
      </c>
      <c r="B339" s="401" t="s">
        <v>632</v>
      </c>
      <c r="C339" s="402" t="s">
        <v>13</v>
      </c>
      <c r="D339" s="402">
        <v>12</v>
      </c>
      <c r="E339" s="68">
        <v>49.9</v>
      </c>
      <c r="F339" s="74">
        <v>60</v>
      </c>
      <c r="G339" s="68">
        <v>65.900000000000006</v>
      </c>
      <c r="H339" s="404">
        <f t="shared" si="36"/>
        <v>598.79999999999995</v>
      </c>
    </row>
    <row r="340" spans="1:8" ht="28.8">
      <c r="A340" s="400" t="s">
        <v>273</v>
      </c>
      <c r="B340" s="401" t="s">
        <v>633</v>
      </c>
      <c r="C340" s="402" t="s">
        <v>108</v>
      </c>
      <c r="D340" s="402">
        <f>55*4*12</f>
        <v>2640</v>
      </c>
      <c r="E340" s="256">
        <v>6.08</v>
      </c>
      <c r="F340" s="69">
        <v>6.09</v>
      </c>
      <c r="G340" s="68">
        <v>6.35</v>
      </c>
      <c r="H340" s="404">
        <f t="shared" si="36"/>
        <v>16051.2</v>
      </c>
    </row>
    <row r="341" spans="1:8">
      <c r="A341" s="400" t="s">
        <v>274</v>
      </c>
      <c r="B341" s="401" t="s">
        <v>634</v>
      </c>
      <c r="C341" s="402" t="s">
        <v>18</v>
      </c>
      <c r="D341" s="402">
        <v>2</v>
      </c>
      <c r="E341" s="68">
        <v>99.86</v>
      </c>
      <c r="F341" s="69">
        <v>109.49</v>
      </c>
      <c r="G341" s="73">
        <v>211.19</v>
      </c>
      <c r="H341" s="404">
        <f t="shared" si="36"/>
        <v>199.72</v>
      </c>
    </row>
    <row r="342" spans="1:8" ht="28.8">
      <c r="A342" s="400" t="s">
        <v>275</v>
      </c>
      <c r="B342" s="427" t="s">
        <v>469</v>
      </c>
      <c r="C342" s="402" t="s">
        <v>18</v>
      </c>
      <c r="D342" s="402">
        <f>6*2</f>
        <v>12</v>
      </c>
      <c r="E342" s="68">
        <v>60</v>
      </c>
      <c r="F342" s="68">
        <v>65</v>
      </c>
      <c r="G342" s="69">
        <v>70</v>
      </c>
      <c r="H342" s="404">
        <f t="shared" si="36"/>
        <v>720</v>
      </c>
    </row>
    <row r="343" spans="1:8" ht="28.8">
      <c r="A343" s="400" t="s">
        <v>276</v>
      </c>
      <c r="B343" s="427" t="s">
        <v>501</v>
      </c>
      <c r="C343" s="402" t="s">
        <v>18</v>
      </c>
      <c r="D343" s="402">
        <v>12</v>
      </c>
      <c r="E343" s="68">
        <v>25</v>
      </c>
      <c r="F343" s="68">
        <v>40</v>
      </c>
      <c r="G343" s="69">
        <v>43</v>
      </c>
      <c r="H343" s="404">
        <f t="shared" si="36"/>
        <v>300</v>
      </c>
    </row>
    <row r="344" spans="1:8" ht="28.8">
      <c r="A344" s="400" t="s">
        <v>277</v>
      </c>
      <c r="B344" s="401" t="s">
        <v>617</v>
      </c>
      <c r="C344" s="402" t="s">
        <v>18</v>
      </c>
      <c r="D344" s="213">
        <f t="shared" ref="D344:D346" si="37">2*2</f>
        <v>4</v>
      </c>
      <c r="E344" s="73">
        <v>122</v>
      </c>
      <c r="F344" s="232">
        <v>170.91</v>
      </c>
      <c r="G344" s="73">
        <v>185</v>
      </c>
      <c r="H344" s="404">
        <f t="shared" si="36"/>
        <v>488</v>
      </c>
    </row>
    <row r="345" spans="1:8" ht="28.8">
      <c r="A345" s="400" t="s">
        <v>278</v>
      </c>
      <c r="B345" s="401" t="s">
        <v>527</v>
      </c>
      <c r="C345" s="402" t="s">
        <v>18</v>
      </c>
      <c r="D345" s="67">
        <f t="shared" si="37"/>
        <v>4</v>
      </c>
      <c r="E345" s="73">
        <v>21.8</v>
      </c>
      <c r="F345" s="232">
        <v>36</v>
      </c>
      <c r="G345" s="73">
        <v>46.9</v>
      </c>
      <c r="H345" s="404">
        <f t="shared" si="36"/>
        <v>87.2</v>
      </c>
    </row>
    <row r="346" spans="1:8" ht="28.8">
      <c r="A346" s="400" t="s">
        <v>279</v>
      </c>
      <c r="B346" s="431" t="s">
        <v>528</v>
      </c>
      <c r="C346" s="402" t="s">
        <v>18</v>
      </c>
      <c r="D346" s="67">
        <f t="shared" si="37"/>
        <v>4</v>
      </c>
      <c r="E346" s="73">
        <v>13.93</v>
      </c>
      <c r="F346" s="232">
        <v>15.71</v>
      </c>
      <c r="G346" s="73">
        <v>22.5</v>
      </c>
      <c r="H346" s="404">
        <f t="shared" si="36"/>
        <v>55.72</v>
      </c>
    </row>
    <row r="347" spans="1:8" ht="28.8">
      <c r="A347" s="400" t="s">
        <v>280</v>
      </c>
      <c r="B347" s="401" t="s">
        <v>529</v>
      </c>
      <c r="C347" s="402" t="s">
        <v>18</v>
      </c>
      <c r="D347" s="213">
        <f>2*2*12</f>
        <v>48</v>
      </c>
      <c r="E347" s="73">
        <v>12.4</v>
      </c>
      <c r="F347" s="232">
        <v>13.5</v>
      </c>
      <c r="G347" s="73">
        <v>20.260000000000002</v>
      </c>
      <c r="H347" s="404">
        <f t="shared" si="36"/>
        <v>595.20000000000005</v>
      </c>
    </row>
    <row r="348" spans="1:8">
      <c r="A348" s="400" t="s">
        <v>281</v>
      </c>
      <c r="B348" s="430" t="s">
        <v>619</v>
      </c>
      <c r="C348" s="402" t="s">
        <v>18</v>
      </c>
      <c r="D348" s="213">
        <f>2*12</f>
        <v>24</v>
      </c>
      <c r="E348" s="73">
        <v>160</v>
      </c>
      <c r="F348" s="232">
        <v>163</v>
      </c>
      <c r="G348" s="73">
        <v>193.63</v>
      </c>
      <c r="H348" s="404">
        <f t="shared" si="36"/>
        <v>3840</v>
      </c>
    </row>
    <row r="349" spans="1:8" ht="28.8">
      <c r="A349" s="400" t="s">
        <v>384</v>
      </c>
      <c r="B349" s="432" t="s">
        <v>474</v>
      </c>
      <c r="C349" s="402" t="s">
        <v>18</v>
      </c>
      <c r="D349" s="67">
        <v>2</v>
      </c>
      <c r="E349" s="73">
        <v>35</v>
      </c>
      <c r="F349" s="232">
        <v>41.4</v>
      </c>
      <c r="G349" s="73">
        <v>168.26</v>
      </c>
      <c r="H349" s="404">
        <f t="shared" si="36"/>
        <v>70</v>
      </c>
    </row>
    <row r="350" spans="1:8">
      <c r="A350" s="400" t="s">
        <v>385</v>
      </c>
      <c r="B350" s="430" t="s">
        <v>475</v>
      </c>
      <c r="C350" s="402" t="s">
        <v>18</v>
      </c>
      <c r="D350" s="67">
        <v>2</v>
      </c>
      <c r="E350" s="73">
        <v>41.4</v>
      </c>
      <c r="F350" s="232">
        <v>42.23</v>
      </c>
      <c r="G350" s="73">
        <v>50</v>
      </c>
      <c r="H350" s="404">
        <f t="shared" si="36"/>
        <v>82.8</v>
      </c>
    </row>
    <row r="351" spans="1:8">
      <c r="A351" s="400" t="s">
        <v>282</v>
      </c>
      <c r="B351" s="401" t="s">
        <v>621</v>
      </c>
      <c r="C351" s="402" t="s">
        <v>18</v>
      </c>
      <c r="D351" s="67">
        <v>2</v>
      </c>
      <c r="E351" s="73">
        <v>26.5</v>
      </c>
      <c r="F351" s="232">
        <v>61.9</v>
      </c>
      <c r="G351" s="73">
        <v>83.6</v>
      </c>
      <c r="H351" s="404">
        <f t="shared" si="36"/>
        <v>53</v>
      </c>
    </row>
    <row r="352" spans="1:8" ht="28.8">
      <c r="A352" s="400" t="s">
        <v>283</v>
      </c>
      <c r="B352" s="401" t="s">
        <v>494</v>
      </c>
      <c r="C352" s="402" t="s">
        <v>18</v>
      </c>
      <c r="D352" s="67">
        <f t="shared" ref="D352:D353" si="38">2*2</f>
        <v>4</v>
      </c>
      <c r="E352" s="73">
        <v>27.9</v>
      </c>
      <c r="F352" s="232">
        <v>30</v>
      </c>
      <c r="G352" s="73">
        <v>32.229999999999997</v>
      </c>
      <c r="H352" s="404">
        <f t="shared" si="36"/>
        <v>111.6</v>
      </c>
    </row>
    <row r="353" spans="1:8">
      <c r="A353" s="624" t="s">
        <v>284</v>
      </c>
      <c r="B353" s="625" t="s">
        <v>495</v>
      </c>
      <c r="C353" s="402" t="s">
        <v>18</v>
      </c>
      <c r="D353" s="213">
        <f t="shared" si="38"/>
        <v>4</v>
      </c>
      <c r="E353" s="68">
        <v>157.44</v>
      </c>
      <c r="F353" s="69">
        <v>184.26</v>
      </c>
      <c r="G353" s="68">
        <v>208.95</v>
      </c>
      <c r="H353" s="404">
        <f t="shared" si="36"/>
        <v>629.76</v>
      </c>
    </row>
    <row r="354" spans="1:8">
      <c r="A354" s="624" t="s">
        <v>285</v>
      </c>
      <c r="B354" s="625" t="s">
        <v>496</v>
      </c>
      <c r="C354" s="402" t="s">
        <v>18</v>
      </c>
      <c r="D354" s="213">
        <f>4*2</f>
        <v>8</v>
      </c>
      <c r="E354" s="68">
        <v>33.729999999999997</v>
      </c>
      <c r="F354" s="69">
        <v>43.66</v>
      </c>
      <c r="G354" s="68">
        <v>72</v>
      </c>
      <c r="H354" s="404">
        <f t="shared" si="36"/>
        <v>269.83999999999997</v>
      </c>
    </row>
    <row r="355" spans="1:8">
      <c r="A355" s="626" t="s">
        <v>286</v>
      </c>
      <c r="B355" s="627" t="s">
        <v>772</v>
      </c>
      <c r="C355" s="402" t="s">
        <v>18</v>
      </c>
      <c r="D355" s="413">
        <f>2*1</f>
        <v>2</v>
      </c>
      <c r="E355" s="412">
        <v>286</v>
      </c>
      <c r="F355" s="404">
        <v>338</v>
      </c>
      <c r="G355" s="403">
        <v>377</v>
      </c>
      <c r="H355" s="404">
        <f t="shared" si="36"/>
        <v>572</v>
      </c>
    </row>
    <row r="356" spans="1:8">
      <c r="A356" s="626" t="s">
        <v>287</v>
      </c>
      <c r="B356" s="627" t="s">
        <v>773</v>
      </c>
      <c r="C356" s="402" t="s">
        <v>18</v>
      </c>
      <c r="D356" s="413">
        <f>4*1</f>
        <v>4</v>
      </c>
      <c r="E356" s="412">
        <v>98</v>
      </c>
      <c r="F356" s="404">
        <v>270</v>
      </c>
      <c r="G356" s="403">
        <v>279</v>
      </c>
      <c r="H356" s="404">
        <f t="shared" si="36"/>
        <v>392</v>
      </c>
    </row>
    <row r="357" spans="1:8">
      <c r="A357" s="626" t="s">
        <v>288</v>
      </c>
      <c r="B357" s="627" t="s">
        <v>774</v>
      </c>
      <c r="C357" s="402" t="s">
        <v>18</v>
      </c>
      <c r="D357" s="413">
        <f>2*2*12</f>
        <v>48</v>
      </c>
      <c r="E357" s="412">
        <v>35.99</v>
      </c>
      <c r="F357" s="404">
        <v>37.93</v>
      </c>
      <c r="G357" s="403">
        <v>67.900000000000006</v>
      </c>
      <c r="H357" s="404">
        <f t="shared" si="36"/>
        <v>1727.52</v>
      </c>
    </row>
    <row r="358" spans="1:8">
      <c r="A358" s="626" t="s">
        <v>289</v>
      </c>
      <c r="B358" s="627" t="s">
        <v>783</v>
      </c>
      <c r="C358" s="402" t="s">
        <v>18</v>
      </c>
      <c r="D358" s="413">
        <f>2*2*1</f>
        <v>4</v>
      </c>
      <c r="E358" s="412">
        <v>125</v>
      </c>
      <c r="F358" s="404">
        <v>144.41</v>
      </c>
      <c r="G358" s="403">
        <v>155.5</v>
      </c>
      <c r="H358" s="404">
        <f t="shared" si="36"/>
        <v>500</v>
      </c>
    </row>
    <row r="359" spans="1:8">
      <c r="A359" s="626" t="s">
        <v>290</v>
      </c>
      <c r="B359" s="627" t="s">
        <v>775</v>
      </c>
      <c r="C359" s="402" t="s">
        <v>18</v>
      </c>
      <c r="D359" s="413">
        <v>1</v>
      </c>
      <c r="E359" s="412">
        <v>930</v>
      </c>
      <c r="F359" s="404">
        <v>1000</v>
      </c>
      <c r="G359" s="403">
        <v>1980</v>
      </c>
      <c r="H359" s="404">
        <f t="shared" si="36"/>
        <v>930</v>
      </c>
    </row>
    <row r="360" spans="1:8">
      <c r="A360" s="626" t="s">
        <v>291</v>
      </c>
      <c r="B360" s="627" t="s">
        <v>776</v>
      </c>
      <c r="C360" s="402" t="s">
        <v>18</v>
      </c>
      <c r="D360" s="413">
        <f>1*2*1</f>
        <v>2</v>
      </c>
      <c r="E360" s="412">
        <v>37.9</v>
      </c>
      <c r="F360" s="404">
        <v>41.31</v>
      </c>
      <c r="G360" s="403">
        <v>45</v>
      </c>
      <c r="H360" s="404">
        <f t="shared" si="36"/>
        <v>75.8</v>
      </c>
    </row>
    <row r="361" spans="1:8">
      <c r="A361" s="626" t="s">
        <v>292</v>
      </c>
      <c r="B361" s="627" t="s">
        <v>777</v>
      </c>
      <c r="C361" s="402" t="s">
        <v>18</v>
      </c>
      <c r="D361" s="413">
        <f>1*2*1</f>
        <v>2</v>
      </c>
      <c r="E361" s="412">
        <v>73.489999999999995</v>
      </c>
      <c r="F361" s="404">
        <v>96.7</v>
      </c>
      <c r="G361" s="403">
        <v>106.76</v>
      </c>
      <c r="H361" s="404">
        <f t="shared" si="36"/>
        <v>146.97999999999999</v>
      </c>
    </row>
    <row r="362" spans="1:8">
      <c r="A362" s="626" t="s">
        <v>293</v>
      </c>
      <c r="B362" s="625" t="s">
        <v>640</v>
      </c>
      <c r="C362" s="402" t="s">
        <v>18</v>
      </c>
      <c r="D362" s="67">
        <v>2</v>
      </c>
      <c r="E362" s="68">
        <v>197.13</v>
      </c>
      <c r="F362" s="69">
        <v>389.9</v>
      </c>
      <c r="G362" s="68">
        <v>389.9</v>
      </c>
      <c r="H362" s="404">
        <f t="shared" si="36"/>
        <v>394.26</v>
      </c>
    </row>
    <row r="363" spans="1:8" ht="28.8">
      <c r="A363" s="626" t="s">
        <v>294</v>
      </c>
      <c r="B363" s="625" t="s">
        <v>639</v>
      </c>
      <c r="C363" s="402" t="s">
        <v>18</v>
      </c>
      <c r="D363" s="67">
        <v>2</v>
      </c>
      <c r="E363" s="68">
        <v>54.06</v>
      </c>
      <c r="F363" s="69">
        <v>114.99</v>
      </c>
      <c r="G363" s="68">
        <v>125</v>
      </c>
      <c r="H363" s="404">
        <f t="shared" si="36"/>
        <v>108.12</v>
      </c>
    </row>
    <row r="364" spans="1:8">
      <c r="A364" s="163" t="s">
        <v>295</v>
      </c>
      <c r="B364" s="401" t="s">
        <v>638</v>
      </c>
      <c r="C364" s="402" t="s">
        <v>18</v>
      </c>
      <c r="D364" s="67">
        <v>2</v>
      </c>
      <c r="E364" s="68">
        <v>5842.47</v>
      </c>
      <c r="F364" s="69">
        <v>6594.73</v>
      </c>
      <c r="G364" s="68">
        <v>7022.18</v>
      </c>
      <c r="H364" s="404">
        <f t="shared" si="36"/>
        <v>11684.94</v>
      </c>
    </row>
    <row r="365" spans="1:8" ht="28.8">
      <c r="A365" s="163" t="s">
        <v>296</v>
      </c>
      <c r="B365" s="401" t="s">
        <v>637</v>
      </c>
      <c r="C365" s="402" t="s">
        <v>18</v>
      </c>
      <c r="D365" s="195">
        <v>2</v>
      </c>
      <c r="E365" s="196">
        <v>310</v>
      </c>
      <c r="F365" s="197">
        <v>345.99</v>
      </c>
      <c r="G365" s="196">
        <v>440</v>
      </c>
      <c r="H365" s="404">
        <f t="shared" si="36"/>
        <v>620</v>
      </c>
    </row>
    <row r="366" spans="1:8">
      <c r="A366" s="163" t="s">
        <v>297</v>
      </c>
      <c r="B366" s="401" t="s">
        <v>636</v>
      </c>
      <c r="C366" s="402" t="s">
        <v>18</v>
      </c>
      <c r="D366" s="67">
        <v>2</v>
      </c>
      <c r="E366" s="68">
        <v>69</v>
      </c>
      <c r="F366" s="69">
        <v>74.2</v>
      </c>
      <c r="G366" s="68">
        <v>75.14</v>
      </c>
      <c r="H366" s="404">
        <f t="shared" si="36"/>
        <v>138</v>
      </c>
    </row>
    <row r="367" spans="1:8">
      <c r="A367" s="163" t="s">
        <v>298</v>
      </c>
      <c r="B367" s="401" t="s">
        <v>635</v>
      </c>
      <c r="C367" s="402" t="s">
        <v>18</v>
      </c>
      <c r="D367" s="67">
        <v>2</v>
      </c>
      <c r="E367" s="68">
        <v>14.8</v>
      </c>
      <c r="F367" s="69">
        <v>15.18</v>
      </c>
      <c r="G367" s="68">
        <v>16.899999999999999</v>
      </c>
      <c r="H367" s="404">
        <f t="shared" si="36"/>
        <v>29.6</v>
      </c>
    </row>
    <row r="368" spans="1:8">
      <c r="A368" s="163" t="s">
        <v>299</v>
      </c>
      <c r="B368" s="432" t="s">
        <v>626</v>
      </c>
      <c r="C368" s="402" t="s">
        <v>18</v>
      </c>
      <c r="D368" s="67">
        <v>2</v>
      </c>
      <c r="E368" s="68">
        <v>29.6</v>
      </c>
      <c r="F368" s="74">
        <v>53.7</v>
      </c>
      <c r="G368" s="68">
        <v>61.28</v>
      </c>
      <c r="H368" s="404">
        <f t="shared" si="36"/>
        <v>59.2</v>
      </c>
    </row>
    <row r="369" spans="1:8">
      <c r="A369" s="163" t="s">
        <v>300</v>
      </c>
      <c r="B369" s="401" t="s">
        <v>641</v>
      </c>
      <c r="C369" s="402" t="s">
        <v>18</v>
      </c>
      <c r="D369" s="67">
        <v>2300</v>
      </c>
      <c r="E369" s="68">
        <v>14</v>
      </c>
      <c r="F369" s="69">
        <v>14</v>
      </c>
      <c r="G369" s="68">
        <v>18.2</v>
      </c>
      <c r="H369" s="404">
        <f t="shared" si="36"/>
        <v>32200</v>
      </c>
    </row>
    <row r="370" spans="1:8">
      <c r="A370" s="163" t="s">
        <v>301</v>
      </c>
      <c r="B370" s="401" t="s">
        <v>302</v>
      </c>
      <c r="C370" s="402" t="s">
        <v>18</v>
      </c>
      <c r="D370" s="195">
        <v>600</v>
      </c>
      <c r="E370" s="196">
        <v>29.92</v>
      </c>
      <c r="F370" s="197">
        <v>44</v>
      </c>
      <c r="G370" s="196">
        <v>73.44</v>
      </c>
      <c r="H370" s="404">
        <f t="shared" si="36"/>
        <v>17952</v>
      </c>
    </row>
    <row r="371" spans="1:8">
      <c r="A371" s="163" t="s">
        <v>303</v>
      </c>
      <c r="B371" s="432" t="s">
        <v>642</v>
      </c>
      <c r="C371" s="429" t="s">
        <v>110</v>
      </c>
      <c r="D371" s="67">
        <v>10</v>
      </c>
      <c r="E371" s="68">
        <v>20</v>
      </c>
      <c r="F371" s="69">
        <v>27.46</v>
      </c>
      <c r="G371" s="68">
        <v>35</v>
      </c>
      <c r="H371" s="404">
        <f t="shared" si="36"/>
        <v>200</v>
      </c>
    </row>
    <row r="372" spans="1:8">
      <c r="A372" s="163" t="s">
        <v>304</v>
      </c>
      <c r="B372" s="432" t="s">
        <v>643</v>
      </c>
      <c r="C372" s="429" t="s">
        <v>103</v>
      </c>
      <c r="D372" s="67">
        <v>10</v>
      </c>
      <c r="E372" s="68">
        <v>36.200000000000003</v>
      </c>
      <c r="F372" s="69">
        <v>45.25</v>
      </c>
      <c r="G372" s="68">
        <v>52.49</v>
      </c>
      <c r="H372" s="404">
        <f t="shared" si="36"/>
        <v>362</v>
      </c>
    </row>
    <row r="373" spans="1:8">
      <c r="A373" s="163" t="s">
        <v>305</v>
      </c>
      <c r="B373" s="432" t="s">
        <v>644</v>
      </c>
      <c r="C373" s="429" t="s">
        <v>18</v>
      </c>
      <c r="D373" s="213">
        <v>2</v>
      </c>
      <c r="E373" s="68">
        <v>120</v>
      </c>
      <c r="F373" s="69">
        <v>150</v>
      </c>
      <c r="G373" s="68">
        <v>156</v>
      </c>
      <c r="H373" s="404">
        <f t="shared" si="36"/>
        <v>240</v>
      </c>
    </row>
    <row r="374" spans="1:8">
      <c r="A374" s="163" t="s">
        <v>306</v>
      </c>
      <c r="B374" s="432" t="s">
        <v>645</v>
      </c>
      <c r="C374" s="429" t="s">
        <v>18</v>
      </c>
      <c r="D374" s="213">
        <v>2</v>
      </c>
      <c r="E374" s="68">
        <v>15.18</v>
      </c>
      <c r="F374" s="69">
        <v>18.899999999999999</v>
      </c>
      <c r="G374" s="68">
        <v>19.73</v>
      </c>
      <c r="H374" s="404">
        <f t="shared" si="36"/>
        <v>30.36</v>
      </c>
    </row>
    <row r="375" spans="1:8">
      <c r="A375" s="163" t="s">
        <v>307</v>
      </c>
      <c r="B375" s="401" t="s">
        <v>497</v>
      </c>
      <c r="C375" s="402" t="s">
        <v>68</v>
      </c>
      <c r="D375" s="67">
        <v>1</v>
      </c>
      <c r="E375" s="276">
        <v>34.9</v>
      </c>
      <c r="F375" s="207">
        <v>45.9</v>
      </c>
      <c r="G375" s="70">
        <v>48.62</v>
      </c>
      <c r="H375" s="404">
        <f t="shared" si="36"/>
        <v>34.9</v>
      </c>
    </row>
    <row r="376" spans="1:8">
      <c r="A376" s="163" t="s">
        <v>308</v>
      </c>
      <c r="B376" s="401" t="s">
        <v>498</v>
      </c>
      <c r="C376" s="402" t="s">
        <v>18</v>
      </c>
      <c r="D376" s="213">
        <v>2</v>
      </c>
      <c r="E376" s="68">
        <v>14.18</v>
      </c>
      <c r="F376" s="69">
        <v>17.5</v>
      </c>
      <c r="G376" s="68">
        <v>55.9</v>
      </c>
      <c r="H376" s="404">
        <f t="shared" si="36"/>
        <v>28.36</v>
      </c>
    </row>
    <row r="377" spans="1:8">
      <c r="A377" s="163" t="s">
        <v>309</v>
      </c>
      <c r="B377" s="401" t="s">
        <v>646</v>
      </c>
      <c r="C377" s="402" t="s">
        <v>18</v>
      </c>
      <c r="D377" s="67">
        <v>10</v>
      </c>
      <c r="E377" s="73">
        <v>15.5</v>
      </c>
      <c r="F377" s="232">
        <v>24.2</v>
      </c>
      <c r="G377" s="73">
        <v>29.9</v>
      </c>
      <c r="H377" s="404">
        <f t="shared" si="36"/>
        <v>155</v>
      </c>
    </row>
    <row r="378" spans="1:8">
      <c r="A378" s="163" t="s">
        <v>426</v>
      </c>
      <c r="B378" s="416" t="s">
        <v>647</v>
      </c>
      <c r="C378" s="402" t="s">
        <v>68</v>
      </c>
      <c r="D378" s="67">
        <v>1</v>
      </c>
      <c r="E378" s="70">
        <v>7.2</v>
      </c>
      <c r="F378" s="74">
        <v>7.36</v>
      </c>
      <c r="G378" s="73">
        <v>17.8</v>
      </c>
      <c r="H378" s="404">
        <f t="shared" si="36"/>
        <v>7.2</v>
      </c>
    </row>
    <row r="379" spans="1:8">
      <c r="A379" s="163" t="s">
        <v>427</v>
      </c>
      <c r="B379" s="416" t="s">
        <v>648</v>
      </c>
      <c r="C379" s="402" t="s">
        <v>103</v>
      </c>
      <c r="D379" s="67">
        <v>5</v>
      </c>
      <c r="E379" s="68">
        <v>14.75</v>
      </c>
      <c r="F379" s="69">
        <v>17.899999999999999</v>
      </c>
      <c r="G379" s="68">
        <v>21.99</v>
      </c>
      <c r="H379" s="404">
        <f t="shared" si="36"/>
        <v>73.75</v>
      </c>
    </row>
    <row r="380" spans="1:8">
      <c r="A380" s="163" t="s">
        <v>428</v>
      </c>
      <c r="B380" s="416" t="s">
        <v>649</v>
      </c>
      <c r="C380" s="402" t="s">
        <v>103</v>
      </c>
      <c r="D380" s="67">
        <v>2</v>
      </c>
      <c r="E380" s="68">
        <v>5.82</v>
      </c>
      <c r="F380" s="69">
        <v>10.039999999999999</v>
      </c>
      <c r="G380" s="68">
        <v>12.68</v>
      </c>
      <c r="H380" s="404">
        <f t="shared" si="36"/>
        <v>11.64</v>
      </c>
    </row>
    <row r="381" spans="1:8">
      <c r="A381" s="163" t="s">
        <v>429</v>
      </c>
      <c r="B381" s="416" t="s">
        <v>650</v>
      </c>
      <c r="C381" s="402" t="s">
        <v>68</v>
      </c>
      <c r="D381" s="67">
        <v>4</v>
      </c>
      <c r="E381" s="68">
        <v>42.67</v>
      </c>
      <c r="F381" s="68">
        <v>48.67</v>
      </c>
      <c r="G381" s="69">
        <v>68.63</v>
      </c>
      <c r="H381" s="404">
        <f t="shared" si="36"/>
        <v>170.68</v>
      </c>
    </row>
    <row r="382" spans="1:8">
      <c r="A382" s="497" t="s">
        <v>310</v>
      </c>
      <c r="B382" s="508"/>
      <c r="C382" s="509"/>
      <c r="D382" s="508"/>
      <c r="E382" s="510"/>
      <c r="F382" s="510"/>
      <c r="G382" s="510"/>
      <c r="H382" s="496">
        <f>SUM(H329:H381)</f>
        <v>256962.48560000004</v>
      </c>
    </row>
    <row r="383" spans="1:8">
      <c r="A383" s="395" t="s">
        <v>311</v>
      </c>
      <c r="B383" s="396" t="s">
        <v>312</v>
      </c>
      <c r="C383" s="397" t="s">
        <v>7</v>
      </c>
      <c r="D383" s="397" t="s">
        <v>8</v>
      </c>
      <c r="E383" s="398" t="s">
        <v>410</v>
      </c>
      <c r="F383" s="398" t="s">
        <v>408</v>
      </c>
      <c r="G383" s="398" t="s">
        <v>409</v>
      </c>
      <c r="H383" s="453" t="s">
        <v>9</v>
      </c>
    </row>
    <row r="384" spans="1:8" ht="28.8">
      <c r="A384" s="400" t="s">
        <v>313</v>
      </c>
      <c r="B384" s="401" t="s">
        <v>314</v>
      </c>
      <c r="C384" s="402" t="s">
        <v>13</v>
      </c>
      <c r="D384" s="67">
        <v>17</v>
      </c>
      <c r="E384" s="251">
        <f>(2825.54*97%)+2825.54</f>
        <v>5566.3137999999999</v>
      </c>
      <c r="F384" s="249">
        <f>(2942.99*97%)+2942.99</f>
        <v>5797.6902999999993</v>
      </c>
      <c r="G384" s="68">
        <f>(1700*97%)+1700</f>
        <v>3349</v>
      </c>
      <c r="H384" s="404">
        <f>E384*D384</f>
        <v>94627.334600000002</v>
      </c>
    </row>
    <row r="385" spans="1:8" ht="28.8">
      <c r="A385" s="400" t="s">
        <v>315</v>
      </c>
      <c r="B385" s="401" t="s">
        <v>316</v>
      </c>
      <c r="C385" s="402" t="s">
        <v>13</v>
      </c>
      <c r="D385" s="67">
        <v>17</v>
      </c>
      <c r="E385" s="68">
        <f>(1412*97%)+1412</f>
        <v>2781.64</v>
      </c>
      <c r="F385" s="69">
        <f>(1454*97%)+1454</f>
        <v>2864.38</v>
      </c>
      <c r="G385" s="68">
        <f>(1700*97%)+1700</f>
        <v>3349</v>
      </c>
      <c r="H385" s="404">
        <f>E385*D385*4</f>
        <v>189151.52</v>
      </c>
    </row>
    <row r="386" spans="1:8" ht="28.8">
      <c r="A386" s="400" t="s">
        <v>317</v>
      </c>
      <c r="B386" s="401" t="s">
        <v>515</v>
      </c>
      <c r="C386" s="402" t="s">
        <v>15</v>
      </c>
      <c r="D386" s="67">
        <f t="shared" ref="D386:D387" si="39">20*5*17</f>
        <v>1700</v>
      </c>
      <c r="E386" s="68">
        <v>32</v>
      </c>
      <c r="F386" s="69">
        <v>32</v>
      </c>
      <c r="G386" s="68">
        <v>35</v>
      </c>
      <c r="H386" s="404">
        <f t="shared" ref="H386:H461" si="40">E386*D386</f>
        <v>54400</v>
      </c>
    </row>
    <row r="387" spans="1:8">
      <c r="A387" s="400" t="s">
        <v>318</v>
      </c>
      <c r="B387" s="401" t="s">
        <v>574</v>
      </c>
      <c r="C387" s="402" t="s">
        <v>15</v>
      </c>
      <c r="D387" s="67">
        <f t="shared" si="39"/>
        <v>1700</v>
      </c>
      <c r="E387" s="68">
        <v>8</v>
      </c>
      <c r="F387" s="69">
        <v>8.6</v>
      </c>
      <c r="G387" s="68">
        <v>9</v>
      </c>
      <c r="H387" s="404">
        <f t="shared" si="40"/>
        <v>13600</v>
      </c>
    </row>
    <row r="388" spans="1:8" ht="43.2">
      <c r="A388" s="400" t="s">
        <v>319</v>
      </c>
      <c r="B388" s="401" t="s">
        <v>651</v>
      </c>
      <c r="C388" s="402" t="s">
        <v>18</v>
      </c>
      <c r="D388" s="67">
        <v>1</v>
      </c>
      <c r="E388" s="73">
        <v>1849.77</v>
      </c>
      <c r="F388" s="232">
        <v>2899</v>
      </c>
      <c r="G388" s="68">
        <v>3199</v>
      </c>
      <c r="H388" s="404">
        <f t="shared" si="40"/>
        <v>1849.77</v>
      </c>
    </row>
    <row r="389" spans="1:8" ht="28.8">
      <c r="A389" s="400" t="s">
        <v>320</v>
      </c>
      <c r="B389" s="401" t="s">
        <v>567</v>
      </c>
      <c r="C389" s="402" t="s">
        <v>18</v>
      </c>
      <c r="D389" s="67">
        <v>1</v>
      </c>
      <c r="E389" s="73">
        <v>169.9</v>
      </c>
      <c r="F389" s="232">
        <v>189</v>
      </c>
      <c r="G389" s="68">
        <v>197.59</v>
      </c>
      <c r="H389" s="448">
        <f t="shared" si="40"/>
        <v>169.9</v>
      </c>
    </row>
    <row r="390" spans="1:8" ht="28.8">
      <c r="A390" s="400" t="s">
        <v>321</v>
      </c>
      <c r="B390" s="123" t="s">
        <v>521</v>
      </c>
      <c r="C390" s="402" t="s">
        <v>18</v>
      </c>
      <c r="D390" s="67">
        <v>1</v>
      </c>
      <c r="E390" s="73">
        <v>1386</v>
      </c>
      <c r="F390" s="232">
        <v>1549</v>
      </c>
      <c r="G390" s="68">
        <v>1649.9</v>
      </c>
      <c r="H390" s="404">
        <f t="shared" si="40"/>
        <v>1386</v>
      </c>
    </row>
    <row r="391" spans="1:8">
      <c r="A391" s="400" t="s">
        <v>322</v>
      </c>
      <c r="B391" s="401" t="s">
        <v>462</v>
      </c>
      <c r="C391" s="402" t="s">
        <v>13</v>
      </c>
      <c r="D391" s="67">
        <v>17</v>
      </c>
      <c r="E391" s="73">
        <v>124.99</v>
      </c>
      <c r="F391" s="232">
        <v>142</v>
      </c>
      <c r="G391" s="68">
        <v>159.99</v>
      </c>
      <c r="H391" s="404">
        <f t="shared" si="40"/>
        <v>2124.83</v>
      </c>
    </row>
    <row r="392" spans="1:8" ht="28.8">
      <c r="A392" s="400" t="s">
        <v>323</v>
      </c>
      <c r="B392" s="401" t="s">
        <v>653</v>
      </c>
      <c r="C392" s="402" t="s">
        <v>18</v>
      </c>
      <c r="D392" s="67">
        <v>8</v>
      </c>
      <c r="E392" s="68">
        <v>125.75</v>
      </c>
      <c r="F392" s="69">
        <v>150.72999999999999</v>
      </c>
      <c r="G392" s="68">
        <v>179.39</v>
      </c>
      <c r="H392" s="404">
        <f t="shared" si="40"/>
        <v>1006</v>
      </c>
    </row>
    <row r="393" spans="1:8">
      <c r="A393" s="400" t="s">
        <v>324</v>
      </c>
      <c r="B393" s="401" t="s">
        <v>576</v>
      </c>
      <c r="C393" s="402" t="s">
        <v>13</v>
      </c>
      <c r="D393" s="67">
        <v>17</v>
      </c>
      <c r="E393" s="73">
        <v>7950</v>
      </c>
      <c r="F393" s="73">
        <v>8763.6</v>
      </c>
      <c r="G393" s="232">
        <v>9350</v>
      </c>
      <c r="H393" s="404">
        <f t="shared" si="40"/>
        <v>135150</v>
      </c>
    </row>
    <row r="394" spans="1:8">
      <c r="A394" s="400" t="s">
        <v>325</v>
      </c>
      <c r="B394" s="401" t="s">
        <v>490</v>
      </c>
      <c r="C394" s="402" t="s">
        <v>15</v>
      </c>
      <c r="D394" s="67">
        <v>1</v>
      </c>
      <c r="E394" s="73">
        <v>300</v>
      </c>
      <c r="F394" s="232">
        <v>600</v>
      </c>
      <c r="G394" s="73">
        <v>975</v>
      </c>
      <c r="H394" s="404">
        <f t="shared" si="40"/>
        <v>300</v>
      </c>
    </row>
    <row r="395" spans="1:8" ht="28.8">
      <c r="A395" s="400" t="s">
        <v>326</v>
      </c>
      <c r="B395" s="401" t="s">
        <v>631</v>
      </c>
      <c r="C395" s="402" t="s">
        <v>15</v>
      </c>
      <c r="D395" s="67">
        <v>17</v>
      </c>
      <c r="E395" s="73">
        <v>144.9</v>
      </c>
      <c r="F395" s="232">
        <v>0</v>
      </c>
      <c r="G395" s="73">
        <v>265</v>
      </c>
      <c r="H395" s="404">
        <f t="shared" si="40"/>
        <v>2463.3000000000002</v>
      </c>
    </row>
    <row r="396" spans="1:8" ht="28.8">
      <c r="A396" s="400" t="s">
        <v>327</v>
      </c>
      <c r="B396" s="401" t="s">
        <v>654</v>
      </c>
      <c r="C396" s="402" t="s">
        <v>13</v>
      </c>
      <c r="D396" s="67">
        <v>17</v>
      </c>
      <c r="E396" s="73">
        <v>49.9</v>
      </c>
      <c r="F396" s="232">
        <v>60</v>
      </c>
      <c r="G396" s="73">
        <v>65.900000000000006</v>
      </c>
      <c r="H396" s="404">
        <f t="shared" si="40"/>
        <v>848.3</v>
      </c>
    </row>
    <row r="397" spans="1:8" ht="28.8">
      <c r="A397" s="400" t="s">
        <v>328</v>
      </c>
      <c r="B397" s="401" t="s">
        <v>655</v>
      </c>
      <c r="C397" s="402" t="s">
        <v>108</v>
      </c>
      <c r="D397" s="67">
        <f>88*4*17</f>
        <v>5984</v>
      </c>
      <c r="E397" s="73">
        <v>6.47</v>
      </c>
      <c r="F397" s="232">
        <v>6.48</v>
      </c>
      <c r="G397" s="73">
        <v>6.49</v>
      </c>
      <c r="H397" s="404">
        <f t="shared" si="40"/>
        <v>38716.479999999996</v>
      </c>
    </row>
    <row r="398" spans="1:8">
      <c r="A398" s="400" t="s">
        <v>329</v>
      </c>
      <c r="B398" s="401" t="s">
        <v>634</v>
      </c>
      <c r="C398" s="402" t="s">
        <v>18</v>
      </c>
      <c r="D398" s="67">
        <v>1</v>
      </c>
      <c r="E398" s="73">
        <v>99.86</v>
      </c>
      <c r="F398" s="232">
        <v>109.49</v>
      </c>
      <c r="G398" s="73">
        <v>211.19</v>
      </c>
      <c r="H398" s="404">
        <f t="shared" si="40"/>
        <v>99.86</v>
      </c>
    </row>
    <row r="399" spans="1:8" ht="28.8">
      <c r="A399" s="400" t="s">
        <v>330</v>
      </c>
      <c r="B399" s="427" t="s">
        <v>469</v>
      </c>
      <c r="C399" s="402" t="s">
        <v>18</v>
      </c>
      <c r="D399" s="213">
        <f t="shared" ref="D399:D400" si="41">5*6*2</f>
        <v>60</v>
      </c>
      <c r="E399" s="73">
        <v>60</v>
      </c>
      <c r="F399" s="73">
        <v>65</v>
      </c>
      <c r="G399" s="232">
        <v>70</v>
      </c>
      <c r="H399" s="404">
        <f t="shared" si="40"/>
        <v>3600</v>
      </c>
    </row>
    <row r="400" spans="1:8" ht="28.8">
      <c r="A400" s="400" t="s">
        <v>331</v>
      </c>
      <c r="B400" s="427" t="s">
        <v>501</v>
      </c>
      <c r="C400" s="402" t="s">
        <v>18</v>
      </c>
      <c r="D400" s="213">
        <f t="shared" si="41"/>
        <v>60</v>
      </c>
      <c r="E400" s="73">
        <v>25</v>
      </c>
      <c r="F400" s="73">
        <v>40</v>
      </c>
      <c r="G400" s="232">
        <v>43</v>
      </c>
      <c r="H400" s="404">
        <f t="shared" si="40"/>
        <v>1500</v>
      </c>
    </row>
    <row r="401" spans="1:8" ht="28.8">
      <c r="A401" s="400" t="s">
        <v>332</v>
      </c>
      <c r="B401" s="401" t="s">
        <v>526</v>
      </c>
      <c r="C401" s="402" t="s">
        <v>18</v>
      </c>
      <c r="D401" s="213">
        <f>5*2*2</f>
        <v>20</v>
      </c>
      <c r="E401" s="73">
        <v>77.34</v>
      </c>
      <c r="F401" s="232">
        <v>103.8</v>
      </c>
      <c r="G401" s="73">
        <v>117.95</v>
      </c>
      <c r="H401" s="404">
        <f t="shared" si="40"/>
        <v>1546.8000000000002</v>
      </c>
    </row>
    <row r="402" spans="1:8" ht="28.8">
      <c r="A402" s="400" t="s">
        <v>333</v>
      </c>
      <c r="B402" s="401" t="s">
        <v>584</v>
      </c>
      <c r="C402" s="402" t="s">
        <v>18</v>
      </c>
      <c r="D402" s="213">
        <f>4*2*2</f>
        <v>16</v>
      </c>
      <c r="E402" s="73">
        <v>22.94</v>
      </c>
      <c r="F402" s="232">
        <v>23.46</v>
      </c>
      <c r="G402" s="73">
        <v>30</v>
      </c>
      <c r="H402" s="404">
        <f t="shared" si="40"/>
        <v>367.04</v>
      </c>
    </row>
    <row r="403" spans="1:8" ht="28.8">
      <c r="A403" s="400" t="s">
        <v>334</v>
      </c>
      <c r="B403" s="401" t="s">
        <v>527</v>
      </c>
      <c r="C403" s="402" t="s">
        <v>18</v>
      </c>
      <c r="D403" s="213">
        <f>1*2*2</f>
        <v>4</v>
      </c>
      <c r="E403" s="73">
        <v>21.8</v>
      </c>
      <c r="F403" s="232">
        <v>36</v>
      </c>
      <c r="G403" s="73">
        <v>46.9</v>
      </c>
      <c r="H403" s="404">
        <f t="shared" si="40"/>
        <v>87.2</v>
      </c>
    </row>
    <row r="404" spans="1:8" ht="28.8">
      <c r="A404" s="400" t="s">
        <v>335</v>
      </c>
      <c r="B404" s="431" t="s">
        <v>528</v>
      </c>
      <c r="C404" s="402" t="s">
        <v>18</v>
      </c>
      <c r="D404" s="67">
        <f>2*5</f>
        <v>10</v>
      </c>
      <c r="E404" s="73">
        <v>13.93</v>
      </c>
      <c r="F404" s="74">
        <v>15.71</v>
      </c>
      <c r="G404" s="68">
        <v>22.5</v>
      </c>
      <c r="H404" s="404">
        <f t="shared" si="40"/>
        <v>139.30000000000001</v>
      </c>
    </row>
    <row r="405" spans="1:8" ht="28.8">
      <c r="A405" s="400" t="s">
        <v>336</v>
      </c>
      <c r="B405" s="401" t="s">
        <v>656</v>
      </c>
      <c r="C405" s="402" t="s">
        <v>18</v>
      </c>
      <c r="D405" s="213">
        <f>3*5*17</f>
        <v>255</v>
      </c>
      <c r="E405" s="260">
        <v>12.4</v>
      </c>
      <c r="F405" s="261">
        <v>13.5</v>
      </c>
      <c r="G405" s="68">
        <v>20.260000000000002</v>
      </c>
      <c r="H405" s="404">
        <f t="shared" si="40"/>
        <v>3162</v>
      </c>
    </row>
    <row r="406" spans="1:8">
      <c r="A406" s="400" t="s">
        <v>337</v>
      </c>
      <c r="B406" s="401" t="s">
        <v>502</v>
      </c>
      <c r="C406" s="402" t="s">
        <v>18</v>
      </c>
      <c r="D406" s="67">
        <f>2*5*17</f>
        <v>170</v>
      </c>
      <c r="E406" s="68">
        <v>2.7</v>
      </c>
      <c r="F406" s="261">
        <v>2.75</v>
      </c>
      <c r="G406" s="260">
        <v>2.94</v>
      </c>
      <c r="H406" s="404">
        <f t="shared" si="40"/>
        <v>459.00000000000006</v>
      </c>
    </row>
    <row r="407" spans="1:8" ht="28.8">
      <c r="A407" s="400" t="s">
        <v>338</v>
      </c>
      <c r="B407" s="401" t="s">
        <v>585</v>
      </c>
      <c r="C407" s="402" t="s">
        <v>18</v>
      </c>
      <c r="D407" s="213">
        <f>2*2*17</f>
        <v>68</v>
      </c>
      <c r="E407" s="260">
        <v>49.99</v>
      </c>
      <c r="F407" s="261">
        <v>59.99</v>
      </c>
      <c r="G407" s="260">
        <v>96.97</v>
      </c>
      <c r="H407" s="404">
        <f t="shared" si="40"/>
        <v>3399.32</v>
      </c>
    </row>
    <row r="408" spans="1:8">
      <c r="A408" s="400" t="s">
        <v>339</v>
      </c>
      <c r="B408" s="401" t="s">
        <v>619</v>
      </c>
      <c r="C408" s="402" t="s">
        <v>18</v>
      </c>
      <c r="D408" s="213">
        <f>2*17</f>
        <v>34</v>
      </c>
      <c r="E408" s="68">
        <v>160</v>
      </c>
      <c r="F408" s="261">
        <v>163</v>
      </c>
      <c r="G408" s="260">
        <v>193.63</v>
      </c>
      <c r="H408" s="404">
        <f t="shared" si="40"/>
        <v>5440</v>
      </c>
    </row>
    <row r="409" spans="1:8" ht="28.8">
      <c r="A409" s="400" t="s">
        <v>340</v>
      </c>
      <c r="B409" s="401" t="s">
        <v>474</v>
      </c>
      <c r="C409" s="402" t="s">
        <v>18</v>
      </c>
      <c r="D409" s="67">
        <f t="shared" ref="D409:D410" si="42">1*5*2</f>
        <v>10</v>
      </c>
      <c r="E409" s="70">
        <v>35</v>
      </c>
      <c r="F409" s="74">
        <v>41.4</v>
      </c>
      <c r="G409" s="68">
        <v>168.26</v>
      </c>
      <c r="H409" s="404">
        <f t="shared" si="40"/>
        <v>350</v>
      </c>
    </row>
    <row r="410" spans="1:8">
      <c r="A410" s="400" t="s">
        <v>341</v>
      </c>
      <c r="B410" s="401" t="s">
        <v>475</v>
      </c>
      <c r="C410" s="402" t="s">
        <v>18</v>
      </c>
      <c r="D410" s="67">
        <f t="shared" si="42"/>
        <v>10</v>
      </c>
      <c r="E410" s="260">
        <v>41.4</v>
      </c>
      <c r="F410" s="69">
        <v>42.23</v>
      </c>
      <c r="G410" s="70">
        <v>50</v>
      </c>
      <c r="H410" s="404">
        <f t="shared" si="40"/>
        <v>414</v>
      </c>
    </row>
    <row r="411" spans="1:8">
      <c r="A411" s="400" t="s">
        <v>342</v>
      </c>
      <c r="B411" s="401" t="s">
        <v>504</v>
      </c>
      <c r="C411" s="402" t="s">
        <v>18</v>
      </c>
      <c r="D411" s="67">
        <f t="shared" ref="D411:D412" si="43">2*2</f>
        <v>4</v>
      </c>
      <c r="E411" s="260">
        <v>27.94</v>
      </c>
      <c r="F411" s="69">
        <v>35.5</v>
      </c>
      <c r="G411" s="260">
        <v>39.6</v>
      </c>
      <c r="H411" s="404">
        <f t="shared" si="40"/>
        <v>111.76</v>
      </c>
    </row>
    <row r="412" spans="1:8">
      <c r="A412" s="400" t="s">
        <v>343</v>
      </c>
      <c r="B412" s="401" t="s">
        <v>505</v>
      </c>
      <c r="C412" s="402" t="s">
        <v>18</v>
      </c>
      <c r="D412" s="67">
        <f t="shared" si="43"/>
        <v>4</v>
      </c>
      <c r="E412" s="260">
        <v>28.55</v>
      </c>
      <c r="F412" s="69">
        <v>28.8</v>
      </c>
      <c r="G412" s="260">
        <v>103.4</v>
      </c>
      <c r="H412" s="404">
        <f t="shared" si="40"/>
        <v>114.2</v>
      </c>
    </row>
    <row r="413" spans="1:8">
      <c r="A413" s="400" t="s">
        <v>344</v>
      </c>
      <c r="B413" s="454" t="s">
        <v>587</v>
      </c>
      <c r="C413" s="402" t="s">
        <v>18</v>
      </c>
      <c r="D413" s="213">
        <f>2*5*17</f>
        <v>170</v>
      </c>
      <c r="E413" s="70">
        <v>1.3</v>
      </c>
      <c r="F413" s="69">
        <v>1.48</v>
      </c>
      <c r="G413" s="68">
        <v>1.75</v>
      </c>
      <c r="H413" s="404">
        <f t="shared" si="40"/>
        <v>221</v>
      </c>
    </row>
    <row r="414" spans="1:8" ht="28.8">
      <c r="A414" s="400" t="s">
        <v>345</v>
      </c>
      <c r="B414" s="401" t="s">
        <v>657</v>
      </c>
      <c r="C414" s="402" t="s">
        <v>18</v>
      </c>
      <c r="D414" s="67">
        <f t="shared" ref="D414:D415" si="44">4*2</f>
        <v>8</v>
      </c>
      <c r="E414" s="261">
        <v>286</v>
      </c>
      <c r="F414" s="69">
        <v>484</v>
      </c>
      <c r="G414" s="68">
        <v>572</v>
      </c>
      <c r="H414" s="404">
        <f t="shared" si="40"/>
        <v>2288</v>
      </c>
    </row>
    <row r="415" spans="1:8" ht="28.8">
      <c r="A415" s="400" t="s">
        <v>346</v>
      </c>
      <c r="B415" s="401" t="s">
        <v>658</v>
      </c>
      <c r="C415" s="402" t="s">
        <v>18</v>
      </c>
      <c r="D415" s="67">
        <f t="shared" si="44"/>
        <v>8</v>
      </c>
      <c r="E415" s="68">
        <v>38.700000000000003</v>
      </c>
      <c r="F415" s="69">
        <v>65.64</v>
      </c>
      <c r="G415" s="260">
        <v>156.94999999999999</v>
      </c>
      <c r="H415" s="404">
        <f t="shared" si="40"/>
        <v>309.60000000000002</v>
      </c>
    </row>
    <row r="416" spans="1:8">
      <c r="A416" s="400" t="s">
        <v>347</v>
      </c>
      <c r="B416" s="401" t="s">
        <v>507</v>
      </c>
      <c r="C416" s="402" t="s">
        <v>18</v>
      </c>
      <c r="D416" s="67">
        <f t="shared" ref="D416:D417" si="45">2*2</f>
        <v>4</v>
      </c>
      <c r="E416" s="70">
        <v>133.01</v>
      </c>
      <c r="F416" s="69">
        <v>157.19999999999999</v>
      </c>
      <c r="G416" s="70">
        <v>175.33</v>
      </c>
      <c r="H416" s="404">
        <f t="shared" si="40"/>
        <v>532.04</v>
      </c>
    </row>
    <row r="417" spans="1:8" ht="28.8">
      <c r="A417" s="624" t="s">
        <v>348</v>
      </c>
      <c r="B417" s="625" t="s">
        <v>508</v>
      </c>
      <c r="C417" s="402" t="s">
        <v>18</v>
      </c>
      <c r="D417" s="67">
        <f t="shared" si="45"/>
        <v>4</v>
      </c>
      <c r="E417" s="68">
        <v>2.77</v>
      </c>
      <c r="F417" s="74">
        <v>3.75</v>
      </c>
      <c r="G417" s="260">
        <v>3.96</v>
      </c>
      <c r="H417" s="404">
        <f t="shared" si="40"/>
        <v>11.08</v>
      </c>
    </row>
    <row r="418" spans="1:8">
      <c r="A418" s="624" t="s">
        <v>349</v>
      </c>
      <c r="B418" s="625" t="s">
        <v>659</v>
      </c>
      <c r="C418" s="402" t="s">
        <v>18</v>
      </c>
      <c r="D418" s="213">
        <v>1</v>
      </c>
      <c r="E418" s="260">
        <v>26.5</v>
      </c>
      <c r="F418" s="260">
        <v>61.9</v>
      </c>
      <c r="G418" s="69">
        <v>83.6</v>
      </c>
      <c r="H418" s="404">
        <f t="shared" si="40"/>
        <v>26.5</v>
      </c>
    </row>
    <row r="419" spans="1:8" ht="28.8">
      <c r="A419" s="624" t="s">
        <v>350</v>
      </c>
      <c r="B419" s="625" t="s">
        <v>494</v>
      </c>
      <c r="C419" s="402" t="s">
        <v>18</v>
      </c>
      <c r="D419" s="67">
        <v>2</v>
      </c>
      <c r="E419" s="70">
        <v>27.9</v>
      </c>
      <c r="F419" s="261">
        <v>30</v>
      </c>
      <c r="G419" s="70">
        <v>32.229999999999997</v>
      </c>
      <c r="H419" s="404">
        <f t="shared" si="40"/>
        <v>55.8</v>
      </c>
    </row>
    <row r="420" spans="1:8">
      <c r="A420" s="624" t="s">
        <v>351</v>
      </c>
      <c r="B420" s="625" t="s">
        <v>495</v>
      </c>
      <c r="C420" s="402" t="s">
        <v>18</v>
      </c>
      <c r="D420" s="67">
        <v>2</v>
      </c>
      <c r="E420" s="68">
        <v>157.44</v>
      </c>
      <c r="F420" s="69">
        <v>184.26</v>
      </c>
      <c r="G420" s="68">
        <v>208.95</v>
      </c>
      <c r="H420" s="404">
        <f t="shared" si="40"/>
        <v>314.88</v>
      </c>
    </row>
    <row r="421" spans="1:8">
      <c r="A421" s="624" t="s">
        <v>352</v>
      </c>
      <c r="B421" s="625" t="s">
        <v>496</v>
      </c>
      <c r="C421" s="402" t="s">
        <v>18</v>
      </c>
      <c r="D421" s="67">
        <v>4</v>
      </c>
      <c r="E421" s="68">
        <v>33.729999999999997</v>
      </c>
      <c r="F421" s="69">
        <v>43.66</v>
      </c>
      <c r="G421" s="68">
        <v>72</v>
      </c>
      <c r="H421" s="404">
        <f t="shared" si="40"/>
        <v>134.91999999999999</v>
      </c>
    </row>
    <row r="422" spans="1:8">
      <c r="A422" s="626" t="s">
        <v>353</v>
      </c>
      <c r="B422" s="627" t="s">
        <v>772</v>
      </c>
      <c r="C422" s="402" t="s">
        <v>18</v>
      </c>
      <c r="D422" s="413">
        <f>5*2</f>
        <v>10</v>
      </c>
      <c r="E422" s="412">
        <v>286</v>
      </c>
      <c r="F422" s="404">
        <v>338</v>
      </c>
      <c r="G422" s="403">
        <v>377</v>
      </c>
      <c r="H422" s="404">
        <f t="shared" si="40"/>
        <v>2860</v>
      </c>
    </row>
    <row r="423" spans="1:8">
      <c r="A423" s="626" t="s">
        <v>354</v>
      </c>
      <c r="B423" s="627" t="s">
        <v>773</v>
      </c>
      <c r="C423" s="402" t="s">
        <v>18</v>
      </c>
      <c r="D423" s="413">
        <f>4*2</f>
        <v>8</v>
      </c>
      <c r="E423" s="412">
        <v>98</v>
      </c>
      <c r="F423" s="404">
        <v>270</v>
      </c>
      <c r="G423" s="403">
        <v>279</v>
      </c>
      <c r="H423" s="404">
        <f t="shared" si="40"/>
        <v>784</v>
      </c>
    </row>
    <row r="424" spans="1:8">
      <c r="A424" s="626" t="s">
        <v>355</v>
      </c>
      <c r="B424" s="627" t="s">
        <v>774</v>
      </c>
      <c r="C424" s="402" t="s">
        <v>18</v>
      </c>
      <c r="D424" s="413">
        <f>2*5*17</f>
        <v>170</v>
      </c>
      <c r="E424" s="412">
        <v>35.99</v>
      </c>
      <c r="F424" s="404">
        <v>37.93</v>
      </c>
      <c r="G424" s="403">
        <v>67.900000000000006</v>
      </c>
      <c r="H424" s="404">
        <f t="shared" si="40"/>
        <v>6118.3</v>
      </c>
    </row>
    <row r="425" spans="1:8">
      <c r="A425" s="626" t="s">
        <v>356</v>
      </c>
      <c r="B425" s="627" t="s">
        <v>786</v>
      </c>
      <c r="C425" s="402" t="s">
        <v>18</v>
      </c>
      <c r="D425" s="413">
        <v>1</v>
      </c>
      <c r="E425" s="412">
        <v>817.89</v>
      </c>
      <c r="F425" s="404">
        <v>897.86</v>
      </c>
      <c r="G425" s="403">
        <v>1089.9000000000001</v>
      </c>
      <c r="H425" s="404">
        <f t="shared" si="40"/>
        <v>817.89</v>
      </c>
    </row>
    <row r="426" spans="1:8">
      <c r="A426" s="626" t="s">
        <v>357</v>
      </c>
      <c r="B426" s="627" t="s">
        <v>787</v>
      </c>
      <c r="C426" s="402" t="s">
        <v>18</v>
      </c>
      <c r="D426" s="413">
        <v>1</v>
      </c>
      <c r="E426" s="412">
        <v>479.52</v>
      </c>
      <c r="F426" s="404">
        <v>559.9</v>
      </c>
      <c r="G426" s="403">
        <v>616</v>
      </c>
      <c r="H426" s="404">
        <f t="shared" si="40"/>
        <v>479.52</v>
      </c>
    </row>
    <row r="427" spans="1:8">
      <c r="A427" s="626" t="s">
        <v>358</v>
      </c>
      <c r="B427" s="627" t="s">
        <v>783</v>
      </c>
      <c r="C427" s="402" t="s">
        <v>18</v>
      </c>
      <c r="D427" s="413">
        <f>2*5*1</f>
        <v>10</v>
      </c>
      <c r="E427" s="412">
        <v>125</v>
      </c>
      <c r="F427" s="404">
        <v>144.41</v>
      </c>
      <c r="G427" s="403">
        <v>155.5</v>
      </c>
      <c r="H427" s="404">
        <f t="shared" si="40"/>
        <v>1250</v>
      </c>
    </row>
    <row r="428" spans="1:8">
      <c r="A428" s="626" t="s">
        <v>359</v>
      </c>
      <c r="B428" s="627" t="s">
        <v>775</v>
      </c>
      <c r="C428" s="402" t="s">
        <v>18</v>
      </c>
      <c r="D428" s="413">
        <v>1</v>
      </c>
      <c r="E428" s="412">
        <v>930</v>
      </c>
      <c r="F428" s="404">
        <v>1000</v>
      </c>
      <c r="G428" s="403">
        <v>1980</v>
      </c>
      <c r="H428" s="404">
        <f t="shared" si="40"/>
        <v>930</v>
      </c>
    </row>
    <row r="429" spans="1:8">
      <c r="A429" s="626" t="s">
        <v>360</v>
      </c>
      <c r="B429" s="627" t="s">
        <v>776</v>
      </c>
      <c r="C429" s="402" t="s">
        <v>18</v>
      </c>
      <c r="D429" s="413">
        <f>1*5*1</f>
        <v>5</v>
      </c>
      <c r="E429" s="412">
        <v>37.9</v>
      </c>
      <c r="F429" s="404">
        <v>41.31</v>
      </c>
      <c r="G429" s="403">
        <v>45</v>
      </c>
      <c r="H429" s="404">
        <f t="shared" si="40"/>
        <v>189.5</v>
      </c>
    </row>
    <row r="430" spans="1:8">
      <c r="A430" s="626" t="s">
        <v>361</v>
      </c>
      <c r="B430" s="627" t="s">
        <v>777</v>
      </c>
      <c r="C430" s="402" t="s">
        <v>18</v>
      </c>
      <c r="D430" s="413">
        <f>1*5*1</f>
        <v>5</v>
      </c>
      <c r="E430" s="412">
        <v>73.489999999999995</v>
      </c>
      <c r="F430" s="404">
        <v>96.7</v>
      </c>
      <c r="G430" s="403">
        <v>106.76</v>
      </c>
      <c r="H430" s="404">
        <f t="shared" si="40"/>
        <v>367.45</v>
      </c>
    </row>
    <row r="431" spans="1:8">
      <c r="A431" s="626" t="s">
        <v>362</v>
      </c>
      <c r="B431" s="627" t="s">
        <v>784</v>
      </c>
      <c r="C431" s="402" t="s">
        <v>18</v>
      </c>
      <c r="D431" s="413">
        <v>1</v>
      </c>
      <c r="E431" s="412">
        <v>139.9</v>
      </c>
      <c r="F431" s="404">
        <v>155</v>
      </c>
      <c r="G431" s="403">
        <v>169.92</v>
      </c>
      <c r="H431" s="404">
        <f t="shared" si="40"/>
        <v>139.9</v>
      </c>
    </row>
    <row r="432" spans="1:8">
      <c r="A432" s="626" t="s">
        <v>363</v>
      </c>
      <c r="B432" s="627" t="s">
        <v>788</v>
      </c>
      <c r="C432" s="10" t="s">
        <v>18</v>
      </c>
      <c r="D432" s="413">
        <v>2</v>
      </c>
      <c r="E432" s="412">
        <v>743.68</v>
      </c>
      <c r="F432" s="404">
        <v>895</v>
      </c>
      <c r="G432" s="403">
        <v>2099.9</v>
      </c>
      <c r="H432" s="404">
        <f t="shared" si="40"/>
        <v>1487.36</v>
      </c>
    </row>
    <row r="433" spans="1:8">
      <c r="A433" s="626" t="s">
        <v>364</v>
      </c>
      <c r="B433" s="625" t="s">
        <v>107</v>
      </c>
      <c r="C433" s="402" t="s">
        <v>18</v>
      </c>
      <c r="D433" s="67">
        <v>2</v>
      </c>
      <c r="E433" s="68">
        <v>3200.55</v>
      </c>
      <c r="F433" s="69">
        <v>3309</v>
      </c>
      <c r="G433" s="68">
        <v>3369</v>
      </c>
      <c r="H433" s="404">
        <f t="shared" si="40"/>
        <v>6401.1</v>
      </c>
    </row>
    <row r="434" spans="1:8" ht="28.8">
      <c r="A434" s="163" t="s">
        <v>365</v>
      </c>
      <c r="B434" s="401" t="s">
        <v>660</v>
      </c>
      <c r="C434" s="402" t="s">
        <v>108</v>
      </c>
      <c r="D434" s="213">
        <f>10*4*17*2</f>
        <v>1360</v>
      </c>
      <c r="E434" s="70">
        <v>6.08</v>
      </c>
      <c r="F434" s="74">
        <v>6.09</v>
      </c>
      <c r="G434" s="70">
        <v>6.35</v>
      </c>
      <c r="H434" s="404">
        <f t="shared" si="40"/>
        <v>8268.7999999999993</v>
      </c>
    </row>
    <row r="435" spans="1:8">
      <c r="A435" s="163" t="s">
        <v>366</v>
      </c>
      <c r="B435" s="401" t="s">
        <v>510</v>
      </c>
      <c r="C435" s="402" t="s">
        <v>108</v>
      </c>
      <c r="D435" s="67">
        <f>2*20</f>
        <v>40</v>
      </c>
      <c r="E435" s="68">
        <v>43.98</v>
      </c>
      <c r="F435" s="69">
        <v>47.42</v>
      </c>
      <c r="G435" s="68">
        <v>47.9</v>
      </c>
      <c r="H435" s="404">
        <f t="shared" si="40"/>
        <v>1759.1999999999998</v>
      </c>
    </row>
    <row r="436" spans="1:8">
      <c r="A436" s="163" t="s">
        <v>367</v>
      </c>
      <c r="B436" s="401" t="s">
        <v>511</v>
      </c>
      <c r="C436" s="402" t="s">
        <v>109</v>
      </c>
      <c r="D436" s="213">
        <f>10*2</f>
        <v>20</v>
      </c>
      <c r="E436" s="68">
        <v>26.24</v>
      </c>
      <c r="F436" s="69">
        <v>28.33</v>
      </c>
      <c r="G436" s="68">
        <v>31.98</v>
      </c>
      <c r="H436" s="404">
        <f t="shared" si="40"/>
        <v>524.79999999999995</v>
      </c>
    </row>
    <row r="437" spans="1:8">
      <c r="A437" s="163" t="s">
        <v>368</v>
      </c>
      <c r="B437" s="401" t="s">
        <v>537</v>
      </c>
      <c r="C437" s="402" t="s">
        <v>68</v>
      </c>
      <c r="D437" s="213">
        <f>3*17</f>
        <v>51</v>
      </c>
      <c r="E437" s="68">
        <v>94.2</v>
      </c>
      <c r="F437" s="69">
        <v>108.6</v>
      </c>
      <c r="G437" s="68">
        <v>114.93</v>
      </c>
      <c r="H437" s="404">
        <f t="shared" si="40"/>
        <v>4804.2</v>
      </c>
    </row>
    <row r="438" spans="1:8">
      <c r="A438" s="163" t="s">
        <v>369</v>
      </c>
      <c r="B438" s="401" t="s">
        <v>512</v>
      </c>
      <c r="C438" s="402" t="s">
        <v>18</v>
      </c>
      <c r="D438" s="67">
        <v>8</v>
      </c>
      <c r="E438" s="232">
        <v>37.47</v>
      </c>
      <c r="F438" s="73">
        <v>43.66</v>
      </c>
      <c r="G438" s="73">
        <v>48</v>
      </c>
      <c r="H438" s="404">
        <f t="shared" si="40"/>
        <v>299.76</v>
      </c>
    </row>
    <row r="439" spans="1:8" ht="28.8">
      <c r="A439" s="163" t="s">
        <v>370</v>
      </c>
      <c r="B439" s="401" t="s">
        <v>588</v>
      </c>
      <c r="C439" s="402" t="s">
        <v>18</v>
      </c>
      <c r="D439" s="213">
        <f>3*2*17</f>
        <v>102</v>
      </c>
      <c r="E439" s="256">
        <v>23.1</v>
      </c>
      <c r="F439" s="69">
        <v>25.52</v>
      </c>
      <c r="G439" s="68">
        <v>29.6</v>
      </c>
      <c r="H439" s="404">
        <f t="shared" si="40"/>
        <v>2356.2000000000003</v>
      </c>
    </row>
    <row r="440" spans="1:8">
      <c r="A440" s="163" t="s">
        <v>371</v>
      </c>
      <c r="B440" s="401" t="s">
        <v>589</v>
      </c>
      <c r="C440" s="402" t="s">
        <v>18</v>
      </c>
      <c r="D440" s="213">
        <f t="shared" ref="D440:D441" si="46">1*2*17</f>
        <v>34</v>
      </c>
      <c r="E440" s="256">
        <v>54.78</v>
      </c>
      <c r="F440" s="69">
        <f>35.03+39.8</f>
        <v>74.83</v>
      </c>
      <c r="G440" s="260">
        <v>82.7</v>
      </c>
      <c r="H440" s="404">
        <f t="shared" si="40"/>
        <v>1862.52</v>
      </c>
    </row>
    <row r="441" spans="1:8">
      <c r="A441" s="163" t="s">
        <v>372</v>
      </c>
      <c r="B441" s="401" t="s">
        <v>590</v>
      </c>
      <c r="C441" s="402" t="s">
        <v>18</v>
      </c>
      <c r="D441" s="213">
        <f t="shared" si="46"/>
        <v>34</v>
      </c>
      <c r="E441" s="68">
        <v>32.369999999999997</v>
      </c>
      <c r="F441" s="69">
        <v>33.74</v>
      </c>
      <c r="G441" s="68">
        <v>33.74</v>
      </c>
      <c r="H441" s="404">
        <f t="shared" si="40"/>
        <v>1100.58</v>
      </c>
    </row>
    <row r="442" spans="1:8">
      <c r="A442" s="163" t="s">
        <v>373</v>
      </c>
      <c r="B442" s="401" t="s">
        <v>622</v>
      </c>
      <c r="C442" s="402" t="s">
        <v>68</v>
      </c>
      <c r="D442" s="213">
        <f>8*17</f>
        <v>136</v>
      </c>
      <c r="E442" s="73">
        <v>204</v>
      </c>
      <c r="F442" s="232">
        <v>255</v>
      </c>
      <c r="G442" s="73">
        <v>280</v>
      </c>
      <c r="H442" s="404">
        <f t="shared" si="40"/>
        <v>27744</v>
      </c>
    </row>
    <row r="443" spans="1:8" ht="28.8">
      <c r="A443" s="163" t="s">
        <v>374</v>
      </c>
      <c r="B443" s="401" t="s">
        <v>545</v>
      </c>
      <c r="C443" s="402" t="s">
        <v>18</v>
      </c>
      <c r="D443" s="67">
        <f>2*4</f>
        <v>8</v>
      </c>
      <c r="E443" s="68">
        <v>49</v>
      </c>
      <c r="F443" s="69">
        <v>64</v>
      </c>
      <c r="G443" s="68">
        <v>80</v>
      </c>
      <c r="H443" s="404">
        <f t="shared" si="40"/>
        <v>392</v>
      </c>
    </row>
    <row r="444" spans="1:8">
      <c r="A444" s="163" t="s">
        <v>375</v>
      </c>
      <c r="B444" s="432" t="s">
        <v>546</v>
      </c>
      <c r="C444" s="402" t="s">
        <v>18</v>
      </c>
      <c r="D444" s="213">
        <f>1*4</f>
        <v>4</v>
      </c>
      <c r="E444" s="68">
        <v>49.6</v>
      </c>
      <c r="F444" s="69">
        <v>62</v>
      </c>
      <c r="G444" s="68">
        <v>95.25</v>
      </c>
      <c r="H444" s="404">
        <f t="shared" si="40"/>
        <v>198.4</v>
      </c>
    </row>
    <row r="445" spans="1:8" ht="28.8">
      <c r="A445" s="163" t="s">
        <v>376</v>
      </c>
      <c r="B445" s="432" t="s">
        <v>591</v>
      </c>
      <c r="C445" s="402" t="s">
        <v>18</v>
      </c>
      <c r="D445" s="213">
        <f>3*5*2</f>
        <v>30</v>
      </c>
      <c r="E445" s="68">
        <v>103.2</v>
      </c>
      <c r="F445" s="74">
        <v>129</v>
      </c>
      <c r="G445" s="68">
        <v>167.81</v>
      </c>
      <c r="H445" s="404">
        <f t="shared" si="40"/>
        <v>3096</v>
      </c>
    </row>
    <row r="446" spans="1:8" ht="28.8">
      <c r="A446" s="163" t="s">
        <v>377</v>
      </c>
      <c r="B446" s="432" t="s">
        <v>661</v>
      </c>
      <c r="C446" s="402" t="s">
        <v>18</v>
      </c>
      <c r="D446" s="67">
        <f t="shared" ref="D446:D448" si="47">1*4</f>
        <v>4</v>
      </c>
      <c r="E446" s="68">
        <v>37.6</v>
      </c>
      <c r="F446" s="69">
        <v>54</v>
      </c>
      <c r="G446" s="68">
        <v>59.6</v>
      </c>
      <c r="H446" s="404">
        <f t="shared" si="40"/>
        <v>150.4</v>
      </c>
    </row>
    <row r="447" spans="1:8" ht="28.8">
      <c r="A447" s="163" t="s">
        <v>378</v>
      </c>
      <c r="B447" s="432" t="s">
        <v>662</v>
      </c>
      <c r="C447" s="402" t="s">
        <v>18</v>
      </c>
      <c r="D447" s="67">
        <f t="shared" si="47"/>
        <v>4</v>
      </c>
      <c r="E447" s="68">
        <v>29.6</v>
      </c>
      <c r="F447" s="74">
        <v>53.7</v>
      </c>
      <c r="G447" s="68">
        <v>61.28</v>
      </c>
      <c r="H447" s="404">
        <f t="shared" si="40"/>
        <v>118.4</v>
      </c>
    </row>
    <row r="448" spans="1:8" ht="28.8">
      <c r="A448" s="163" t="s">
        <v>379</v>
      </c>
      <c r="B448" s="432" t="s">
        <v>663</v>
      </c>
      <c r="C448" s="402" t="s">
        <v>18</v>
      </c>
      <c r="D448" s="67">
        <f t="shared" si="47"/>
        <v>4</v>
      </c>
      <c r="E448" s="68">
        <v>36</v>
      </c>
      <c r="F448" s="69">
        <v>50.6</v>
      </c>
      <c r="G448" s="103">
        <v>54.6</v>
      </c>
      <c r="H448" s="404">
        <f t="shared" si="40"/>
        <v>144</v>
      </c>
    </row>
    <row r="449" spans="1:8">
      <c r="A449" s="163" t="s">
        <v>380</v>
      </c>
      <c r="B449" s="432" t="s">
        <v>664</v>
      </c>
      <c r="C449" s="402" t="s">
        <v>18</v>
      </c>
      <c r="D449" s="67">
        <f>2*1</f>
        <v>2</v>
      </c>
      <c r="E449" s="68">
        <v>45.39</v>
      </c>
      <c r="F449" s="232">
        <v>49.8</v>
      </c>
      <c r="G449" s="73">
        <v>84.64</v>
      </c>
      <c r="H449" s="404">
        <f t="shared" si="40"/>
        <v>90.78</v>
      </c>
    </row>
    <row r="450" spans="1:8" ht="28.8">
      <c r="A450" s="163" t="s">
        <v>381</v>
      </c>
      <c r="B450" s="432" t="s">
        <v>552</v>
      </c>
      <c r="C450" s="402" t="s">
        <v>18</v>
      </c>
      <c r="D450" s="67">
        <f>1*4</f>
        <v>4</v>
      </c>
      <c r="E450" s="68">
        <v>140.54</v>
      </c>
      <c r="F450" s="232">
        <v>186.8</v>
      </c>
      <c r="G450" s="73">
        <v>341.8</v>
      </c>
      <c r="H450" s="404">
        <f t="shared" si="40"/>
        <v>562.16</v>
      </c>
    </row>
    <row r="451" spans="1:8">
      <c r="A451" s="163" t="s">
        <v>812</v>
      </c>
      <c r="B451" s="432" t="s">
        <v>665</v>
      </c>
      <c r="C451" s="402" t="s">
        <v>18</v>
      </c>
      <c r="D451" s="213">
        <f>2*1</f>
        <v>2</v>
      </c>
      <c r="E451" s="256">
        <v>5.38</v>
      </c>
      <c r="F451" s="232">
        <v>5.65</v>
      </c>
      <c r="G451" s="73">
        <v>12.6</v>
      </c>
      <c r="H451" s="404">
        <f t="shared" si="40"/>
        <v>10.76</v>
      </c>
    </row>
    <row r="452" spans="1:8">
      <c r="A452" s="163" t="s">
        <v>813</v>
      </c>
      <c r="B452" s="432" t="s">
        <v>554</v>
      </c>
      <c r="C452" s="429" t="s">
        <v>18</v>
      </c>
      <c r="D452" s="213">
        <f>1*5</f>
        <v>5</v>
      </c>
      <c r="E452" s="68">
        <v>120</v>
      </c>
      <c r="F452" s="232">
        <v>150</v>
      </c>
      <c r="G452" s="73">
        <v>156</v>
      </c>
      <c r="H452" s="404">
        <f t="shared" si="40"/>
        <v>600</v>
      </c>
    </row>
    <row r="453" spans="1:8">
      <c r="A453" s="163" t="s">
        <v>814</v>
      </c>
      <c r="B453" s="450" t="s">
        <v>555</v>
      </c>
      <c r="C453" s="429" t="s">
        <v>18</v>
      </c>
      <c r="D453" s="67">
        <v>5</v>
      </c>
      <c r="E453" s="68">
        <v>118</v>
      </c>
      <c r="F453" s="232">
        <v>147.5</v>
      </c>
      <c r="G453" s="73">
        <v>171.1</v>
      </c>
      <c r="H453" s="404">
        <f t="shared" si="40"/>
        <v>590</v>
      </c>
    </row>
    <row r="454" spans="1:8">
      <c r="A454" s="163" t="s">
        <v>815</v>
      </c>
      <c r="B454" s="451" t="s">
        <v>597</v>
      </c>
      <c r="C454" s="429" t="s">
        <v>18</v>
      </c>
      <c r="D454" s="213">
        <v>1</v>
      </c>
      <c r="E454" s="68">
        <v>300</v>
      </c>
      <c r="F454" s="69">
        <v>375</v>
      </c>
      <c r="G454" s="68">
        <v>435</v>
      </c>
      <c r="H454" s="404">
        <f t="shared" si="40"/>
        <v>300</v>
      </c>
    </row>
    <row r="455" spans="1:8" ht="28.8">
      <c r="A455" s="163" t="s">
        <v>816</v>
      </c>
      <c r="B455" s="432" t="s">
        <v>557</v>
      </c>
      <c r="C455" s="429" t="s">
        <v>18</v>
      </c>
      <c r="D455" s="67">
        <v>2</v>
      </c>
      <c r="E455" s="68">
        <v>1000</v>
      </c>
      <c r="F455" s="69">
        <v>1250</v>
      </c>
      <c r="G455" s="68">
        <v>1300</v>
      </c>
      <c r="H455" s="404">
        <f t="shared" si="40"/>
        <v>2000</v>
      </c>
    </row>
    <row r="456" spans="1:8">
      <c r="A456" s="163" t="s">
        <v>817</v>
      </c>
      <c r="B456" s="432" t="s">
        <v>598</v>
      </c>
      <c r="C456" s="429" t="s">
        <v>18</v>
      </c>
      <c r="D456" s="67">
        <v>2</v>
      </c>
      <c r="E456" s="68">
        <v>116</v>
      </c>
      <c r="F456" s="69">
        <v>145</v>
      </c>
      <c r="G456" s="68">
        <v>150</v>
      </c>
      <c r="H456" s="404">
        <f t="shared" si="40"/>
        <v>232</v>
      </c>
    </row>
    <row r="457" spans="1:8">
      <c r="A457" s="163" t="s">
        <v>818</v>
      </c>
      <c r="B457" s="432" t="s">
        <v>599</v>
      </c>
      <c r="C457" s="429" t="s">
        <v>18</v>
      </c>
      <c r="D457" s="67">
        <v>1</v>
      </c>
      <c r="E457" s="68">
        <v>300</v>
      </c>
      <c r="F457" s="69">
        <v>375</v>
      </c>
      <c r="G457" s="68">
        <v>390</v>
      </c>
      <c r="H457" s="404">
        <f t="shared" si="40"/>
        <v>300</v>
      </c>
    </row>
    <row r="458" spans="1:8">
      <c r="A458" s="163" t="s">
        <v>819</v>
      </c>
      <c r="B458" s="432" t="s">
        <v>600</v>
      </c>
      <c r="C458" s="429" t="s">
        <v>18</v>
      </c>
      <c r="D458" s="67">
        <v>1</v>
      </c>
      <c r="E458" s="68">
        <v>519.79999999999995</v>
      </c>
      <c r="F458" s="69">
        <v>519</v>
      </c>
      <c r="G458" s="68">
        <v>675</v>
      </c>
      <c r="H458" s="404">
        <f t="shared" si="40"/>
        <v>519.79999999999995</v>
      </c>
    </row>
    <row r="459" spans="1:8">
      <c r="A459" s="163" t="s">
        <v>820</v>
      </c>
      <c r="B459" s="432" t="s">
        <v>666</v>
      </c>
      <c r="C459" s="429" t="s">
        <v>18</v>
      </c>
      <c r="D459" s="67">
        <f>1*4</f>
        <v>4</v>
      </c>
      <c r="E459" s="68">
        <v>29.46</v>
      </c>
      <c r="F459" s="69">
        <v>36.83</v>
      </c>
      <c r="G459" s="68">
        <v>38.299999999999997</v>
      </c>
      <c r="H459" s="404">
        <f t="shared" si="40"/>
        <v>117.84</v>
      </c>
    </row>
    <row r="460" spans="1:8">
      <c r="A460" s="163" t="s">
        <v>821</v>
      </c>
      <c r="B460" s="401" t="s">
        <v>514</v>
      </c>
      <c r="C460" s="402" t="s">
        <v>15</v>
      </c>
      <c r="D460" s="213">
        <f>3*4</f>
        <v>12</v>
      </c>
      <c r="E460" s="68">
        <v>15.18</v>
      </c>
      <c r="F460" s="69">
        <v>18.899999999999999</v>
      </c>
      <c r="G460" s="68">
        <v>19.73</v>
      </c>
      <c r="H460" s="404">
        <f t="shared" si="40"/>
        <v>182.16</v>
      </c>
    </row>
    <row r="461" spans="1:8" ht="28.8">
      <c r="A461" s="163" t="s">
        <v>822</v>
      </c>
      <c r="B461" s="401" t="s">
        <v>582</v>
      </c>
      <c r="C461" s="402" t="s">
        <v>15</v>
      </c>
      <c r="D461" s="67">
        <v>2</v>
      </c>
      <c r="E461" s="256">
        <v>800</v>
      </c>
      <c r="F461" s="69"/>
      <c r="G461" s="68"/>
      <c r="H461" s="404">
        <f t="shared" si="40"/>
        <v>1600</v>
      </c>
    </row>
    <row r="462" spans="1:8">
      <c r="A462" s="497" t="s">
        <v>389</v>
      </c>
      <c r="B462" s="508"/>
      <c r="C462" s="509"/>
      <c r="D462" s="508"/>
      <c r="E462" s="510"/>
      <c r="F462" s="510"/>
      <c r="G462" s="510"/>
      <c r="H462" s="496">
        <f>SUM(H384:H461)</f>
        <v>642227.51460000023</v>
      </c>
    </row>
    <row r="463" spans="1:8">
      <c r="A463" s="499" t="s">
        <v>254</v>
      </c>
      <c r="B463" s="511"/>
      <c r="C463" s="512"/>
      <c r="D463" s="511"/>
      <c r="E463" s="513"/>
      <c r="F463" s="513"/>
      <c r="G463" s="513"/>
      <c r="H463" s="503">
        <f>H462+H382+H327+H282+H181</f>
        <v>3617947.7402000008</v>
      </c>
    </row>
    <row r="464" spans="1:8">
      <c r="A464" s="609" t="s">
        <v>390</v>
      </c>
      <c r="B464" s="604"/>
      <c r="C464" s="392"/>
      <c r="D464" s="392"/>
      <c r="E464" s="455"/>
      <c r="F464" s="421"/>
      <c r="G464" s="421"/>
      <c r="H464" s="421"/>
    </row>
    <row r="465" spans="1:8">
      <c r="A465" s="395" t="s">
        <v>382</v>
      </c>
      <c r="B465" s="396" t="s">
        <v>383</v>
      </c>
      <c r="C465" s="397" t="s">
        <v>7</v>
      </c>
      <c r="D465" s="397" t="s">
        <v>8</v>
      </c>
      <c r="E465" s="398" t="s">
        <v>410</v>
      </c>
      <c r="F465" s="398" t="s">
        <v>408</v>
      </c>
      <c r="G465" s="398" t="s">
        <v>409</v>
      </c>
      <c r="H465" s="399" t="s">
        <v>9</v>
      </c>
    </row>
    <row r="466" spans="1:8">
      <c r="A466" s="456" t="s">
        <v>12</v>
      </c>
      <c r="B466" s="401" t="s">
        <v>405</v>
      </c>
      <c r="C466" s="457" t="s">
        <v>13</v>
      </c>
      <c r="D466" s="458">
        <v>36</v>
      </c>
      <c r="E466" s="68">
        <f>(3643*97%)+3643</f>
        <v>7176.71</v>
      </c>
      <c r="F466" s="69">
        <f>(5000*97%)+5000</f>
        <v>9850</v>
      </c>
      <c r="G466" s="68">
        <f>(5801*97%)+5801</f>
        <v>11427.970000000001</v>
      </c>
      <c r="H466" s="441">
        <f t="shared" ref="H466:H470" si="48">E466*D466</f>
        <v>258361.56</v>
      </c>
    </row>
    <row r="467" spans="1:8" ht="43.2">
      <c r="A467" s="456" t="s">
        <v>14</v>
      </c>
      <c r="B467" s="401" t="s">
        <v>459</v>
      </c>
      <c r="C467" s="402" t="s">
        <v>15</v>
      </c>
      <c r="D467" s="402">
        <v>3</v>
      </c>
      <c r="E467" s="233">
        <v>10000</v>
      </c>
      <c r="F467" s="233">
        <v>10750</v>
      </c>
      <c r="G467" s="214">
        <v>11500</v>
      </c>
      <c r="H467" s="441">
        <f t="shared" si="48"/>
        <v>30000</v>
      </c>
    </row>
    <row r="468" spans="1:8" ht="28.8">
      <c r="A468" s="456" t="s">
        <v>16</v>
      </c>
      <c r="B468" s="401" t="s">
        <v>403</v>
      </c>
      <c r="C468" s="402" t="s">
        <v>15</v>
      </c>
      <c r="D468" s="402">
        <v>3</v>
      </c>
      <c r="E468" s="233">
        <v>3500</v>
      </c>
      <c r="F468" s="233">
        <v>4000</v>
      </c>
      <c r="G468" s="214">
        <v>4200</v>
      </c>
      <c r="H468" s="441">
        <f t="shared" si="48"/>
        <v>10500</v>
      </c>
    </row>
    <row r="469" spans="1:8" ht="28.8">
      <c r="A469" s="456" t="s">
        <v>19</v>
      </c>
      <c r="B469" s="401" t="s">
        <v>406</v>
      </c>
      <c r="C469" s="402" t="s">
        <v>18</v>
      </c>
      <c r="D469" s="402">
        <v>30</v>
      </c>
      <c r="E469" s="69">
        <v>2810</v>
      </c>
      <c r="F469" s="69">
        <v>2810</v>
      </c>
      <c r="G469" s="68">
        <v>2920</v>
      </c>
      <c r="H469" s="441">
        <f t="shared" si="48"/>
        <v>84300</v>
      </c>
    </row>
    <row r="470" spans="1:8">
      <c r="A470" s="456" t="s">
        <v>20</v>
      </c>
      <c r="B470" s="401" t="s">
        <v>404</v>
      </c>
      <c r="C470" s="402" t="s">
        <v>15</v>
      </c>
      <c r="D470" s="402">
        <v>1</v>
      </c>
      <c r="E470" s="69">
        <v>7000</v>
      </c>
      <c r="F470" s="69">
        <v>8300</v>
      </c>
      <c r="G470" s="68">
        <v>9500</v>
      </c>
      <c r="H470" s="441">
        <f t="shared" si="48"/>
        <v>7000</v>
      </c>
    </row>
    <row r="471" spans="1:8">
      <c r="A471" s="514" t="s">
        <v>255</v>
      </c>
      <c r="B471" s="515"/>
      <c r="C471" s="516"/>
      <c r="D471" s="515"/>
      <c r="E471" s="517"/>
      <c r="F471" s="517"/>
      <c r="G471" s="517"/>
      <c r="H471" s="503">
        <f>SUM(H466:H470)</f>
        <v>390161.56</v>
      </c>
    </row>
    <row r="472" spans="1:8">
      <c r="A472" s="609" t="s">
        <v>391</v>
      </c>
      <c r="B472" s="604"/>
      <c r="C472" s="392"/>
      <c r="D472" s="459"/>
      <c r="E472" s="460"/>
      <c r="F472" s="460"/>
      <c r="G472" s="460"/>
      <c r="H472" s="460"/>
    </row>
    <row r="473" spans="1:8" ht="28.8" hidden="1">
      <c r="A473" s="395" t="s">
        <v>5</v>
      </c>
      <c r="B473" s="396" t="s">
        <v>823</v>
      </c>
      <c r="C473" s="397" t="s">
        <v>7</v>
      </c>
      <c r="D473" s="397" t="s">
        <v>8</v>
      </c>
      <c r="E473" s="398" t="s">
        <v>410</v>
      </c>
      <c r="F473" s="398" t="s">
        <v>408</v>
      </c>
      <c r="G473" s="398" t="s">
        <v>409</v>
      </c>
      <c r="H473" s="399" t="s">
        <v>9</v>
      </c>
    </row>
    <row r="474" spans="1:8" ht="43.2" hidden="1">
      <c r="A474" s="461">
        <v>2</v>
      </c>
      <c r="B474" s="396" t="s">
        <v>824</v>
      </c>
      <c r="C474" s="397" t="s">
        <v>7</v>
      </c>
      <c r="D474" s="397" t="s">
        <v>8</v>
      </c>
      <c r="E474" s="398" t="s">
        <v>410</v>
      </c>
      <c r="F474" s="398" t="s">
        <v>408</v>
      </c>
      <c r="G474" s="398" t="s">
        <v>409</v>
      </c>
      <c r="H474" s="399" t="s">
        <v>9</v>
      </c>
    </row>
    <row r="475" spans="1:8">
      <c r="A475" s="383"/>
      <c r="B475" s="383"/>
      <c r="C475" s="385"/>
      <c r="D475" s="385"/>
      <c r="E475" s="386"/>
      <c r="F475" s="386"/>
      <c r="G475" s="386"/>
      <c r="H475" s="386"/>
    </row>
    <row r="476" spans="1:8">
      <c r="A476" s="383"/>
      <c r="B476" s="614" t="s">
        <v>741</v>
      </c>
      <c r="C476" s="603"/>
      <c r="D476" s="603"/>
      <c r="E476" s="603"/>
      <c r="F476" s="603"/>
      <c r="G476" s="604"/>
      <c r="H476" s="462">
        <f>H471+H463+H100+H90</f>
        <v>5447205.0802000007</v>
      </c>
    </row>
    <row r="477" spans="1:8">
      <c r="A477" s="383"/>
      <c r="B477" s="602" t="s">
        <v>742</v>
      </c>
      <c r="C477" s="603"/>
      <c r="D477" s="603"/>
      <c r="E477" s="603"/>
      <c r="F477" s="603"/>
      <c r="G477" s="604"/>
      <c r="H477" s="463">
        <f>H476/50</f>
        <v>108944.10160400001</v>
      </c>
    </row>
    <row r="478" spans="1:8">
      <c r="A478" s="383"/>
      <c r="B478" s="383"/>
      <c r="C478" s="385"/>
      <c r="D478" s="385"/>
      <c r="E478" s="386"/>
      <c r="F478" s="623" t="s">
        <v>848</v>
      </c>
      <c r="G478" s="464">
        <v>0.3</v>
      </c>
      <c r="H478" s="386">
        <f>H477*G478</f>
        <v>32683.2304812</v>
      </c>
    </row>
    <row r="479" spans="1:8">
      <c r="A479" s="383"/>
      <c r="B479" s="383"/>
      <c r="C479" s="385"/>
      <c r="D479" s="385"/>
      <c r="E479" s="386"/>
      <c r="F479" s="386"/>
      <c r="G479" s="386"/>
      <c r="H479" s="465">
        <f>H477+H478</f>
        <v>141627.3320852</v>
      </c>
    </row>
    <row r="480" spans="1:8">
      <c r="A480" s="383"/>
      <c r="B480" s="383"/>
      <c r="C480" s="385"/>
      <c r="D480" s="385"/>
      <c r="E480" s="386"/>
      <c r="F480" s="386"/>
      <c r="G480" s="386"/>
      <c r="H480" s="386"/>
    </row>
    <row r="481" spans="1:8">
      <c r="A481" s="383"/>
      <c r="B481" s="383"/>
      <c r="C481" s="385"/>
      <c r="D481" s="385"/>
      <c r="E481" s="386"/>
      <c r="F481" s="386"/>
      <c r="G481" s="386"/>
      <c r="H481" s="386"/>
    </row>
    <row r="482" spans="1:8">
      <c r="A482" s="383"/>
      <c r="B482" s="383"/>
      <c r="C482" s="385"/>
      <c r="D482" s="385"/>
      <c r="E482" s="386"/>
      <c r="F482" s="386"/>
      <c r="G482" s="386"/>
      <c r="H482" s="386"/>
    </row>
    <row r="483" spans="1:8">
      <c r="A483" s="383"/>
      <c r="B483" s="383"/>
      <c r="C483" s="385"/>
      <c r="D483" s="385"/>
      <c r="E483" s="386"/>
      <c r="F483" s="386"/>
      <c r="G483" s="386"/>
      <c r="H483" s="386"/>
    </row>
    <row r="484" spans="1:8">
      <c r="A484" s="383"/>
      <c r="B484" s="383"/>
      <c r="C484" s="466"/>
      <c r="D484" s="383"/>
      <c r="E484" s="386"/>
      <c r="F484" s="386"/>
      <c r="G484" s="386"/>
      <c r="H484" s="386"/>
    </row>
    <row r="485" spans="1:8">
      <c r="A485" s="383"/>
      <c r="B485" s="383"/>
      <c r="C485" s="466"/>
      <c r="D485" s="383"/>
      <c r="E485" s="383"/>
      <c r="F485" s="383"/>
      <c r="G485" s="383"/>
      <c r="H485" s="383"/>
    </row>
    <row r="486" spans="1:8">
      <c r="A486" s="383"/>
      <c r="B486" s="383"/>
      <c r="C486" s="466"/>
      <c r="D486" s="383"/>
      <c r="E486" s="383"/>
      <c r="F486" s="383"/>
      <c r="G486" s="383"/>
      <c r="H486" s="383"/>
    </row>
    <row r="487" spans="1:8">
      <c r="A487" s="383"/>
      <c r="B487" s="383"/>
      <c r="C487" s="466"/>
      <c r="D487" s="383"/>
      <c r="E487" s="383"/>
      <c r="F487" s="383"/>
      <c r="G487" s="383"/>
      <c r="H487" s="383"/>
    </row>
    <row r="488" spans="1:8">
      <c r="A488" s="383"/>
      <c r="B488" s="383"/>
      <c r="C488" s="466"/>
      <c r="D488" s="383"/>
      <c r="E488" s="383"/>
      <c r="F488" s="383"/>
      <c r="G488" s="383"/>
      <c r="H488" s="383"/>
    </row>
    <row r="489" spans="1:8">
      <c r="A489" s="383"/>
      <c r="B489" s="383"/>
      <c r="C489" s="466"/>
      <c r="D489" s="383"/>
      <c r="E489" s="383"/>
      <c r="F489" s="383"/>
      <c r="G489" s="383"/>
      <c r="H489" s="383"/>
    </row>
    <row r="490" spans="1:8">
      <c r="A490" s="383"/>
      <c r="B490" s="383"/>
      <c r="C490" s="466"/>
      <c r="D490" s="383"/>
      <c r="E490" s="383"/>
      <c r="F490" s="383"/>
      <c r="G490" s="383"/>
      <c r="H490" s="383"/>
    </row>
    <row r="491" spans="1:8">
      <c r="A491" s="383"/>
      <c r="B491" s="383"/>
      <c r="C491" s="466"/>
      <c r="D491" s="383"/>
      <c r="E491" s="383"/>
      <c r="F491" s="383"/>
      <c r="G491" s="383"/>
      <c r="H491" s="383"/>
    </row>
    <row r="492" spans="1:8">
      <c r="A492" s="383"/>
      <c r="B492" s="383"/>
      <c r="C492" s="466"/>
      <c r="D492" s="383"/>
      <c r="E492" s="383"/>
      <c r="F492" s="383"/>
      <c r="G492" s="383"/>
      <c r="H492" s="383"/>
    </row>
    <row r="493" spans="1:8">
      <c r="A493" s="383"/>
      <c r="B493" s="383"/>
      <c r="C493" s="466"/>
      <c r="D493" s="383"/>
      <c r="E493" s="383"/>
      <c r="F493" s="383"/>
      <c r="G493" s="383"/>
      <c r="H493" s="383"/>
    </row>
    <row r="494" spans="1:8">
      <c r="A494" s="383"/>
      <c r="B494" s="383"/>
      <c r="C494" s="466"/>
      <c r="D494" s="383"/>
      <c r="E494" s="383"/>
      <c r="F494" s="383"/>
      <c r="G494" s="383"/>
      <c r="H494" s="383"/>
    </row>
    <row r="495" spans="1:8">
      <c r="A495" s="383"/>
      <c r="B495" s="383"/>
      <c r="C495" s="466"/>
      <c r="D495" s="383"/>
      <c r="E495" s="383"/>
      <c r="F495" s="383"/>
      <c r="G495" s="383"/>
      <c r="H495" s="383"/>
    </row>
    <row r="496" spans="1:8">
      <c r="A496" s="383"/>
      <c r="B496" s="383"/>
      <c r="C496" s="466"/>
      <c r="D496" s="383"/>
      <c r="E496" s="383"/>
      <c r="F496" s="383"/>
      <c r="G496" s="383"/>
      <c r="H496" s="383"/>
    </row>
    <row r="497" spans="1:8">
      <c r="A497" s="383"/>
      <c r="B497" s="383"/>
      <c r="C497" s="466"/>
      <c r="D497" s="383"/>
      <c r="E497" s="383"/>
      <c r="F497" s="383"/>
      <c r="G497" s="383"/>
      <c r="H497" s="383"/>
    </row>
    <row r="498" spans="1:8">
      <c r="A498" s="383"/>
      <c r="B498" s="383"/>
      <c r="C498" s="466"/>
      <c r="D498" s="383"/>
      <c r="E498" s="383"/>
      <c r="F498" s="383"/>
      <c r="G498" s="383"/>
      <c r="H498" s="383"/>
    </row>
    <row r="499" spans="1:8">
      <c r="A499" s="383"/>
      <c r="B499" s="383"/>
      <c r="C499" s="466"/>
      <c r="D499" s="383"/>
      <c r="E499" s="383"/>
      <c r="F499" s="383"/>
      <c r="G499" s="383"/>
      <c r="H499" s="383"/>
    </row>
    <row r="500" spans="1:8">
      <c r="A500" s="383"/>
      <c r="B500" s="383"/>
      <c r="C500" s="466"/>
      <c r="D500" s="383"/>
      <c r="E500" s="383"/>
      <c r="F500" s="383"/>
      <c r="G500" s="383"/>
      <c r="H500" s="383"/>
    </row>
    <row r="501" spans="1:8">
      <c r="A501" s="383"/>
      <c r="B501" s="383"/>
      <c r="C501" s="466"/>
      <c r="D501" s="383"/>
      <c r="E501" s="383"/>
      <c r="F501" s="383"/>
      <c r="G501" s="383"/>
      <c r="H501" s="383"/>
    </row>
    <row r="502" spans="1:8">
      <c r="A502" s="383"/>
      <c r="B502" s="383"/>
      <c r="C502" s="466"/>
      <c r="D502" s="383"/>
      <c r="E502" s="383"/>
      <c r="F502" s="383"/>
      <c r="G502" s="383"/>
      <c r="H502" s="383"/>
    </row>
    <row r="503" spans="1:8">
      <c r="A503" s="383"/>
      <c r="B503" s="383"/>
      <c r="C503" s="466"/>
      <c r="D503" s="383"/>
      <c r="E503" s="383"/>
      <c r="F503" s="383"/>
      <c r="G503" s="383"/>
      <c r="H503" s="383"/>
    </row>
    <row r="504" spans="1:8">
      <c r="A504" s="383"/>
      <c r="B504" s="383"/>
      <c r="C504" s="466"/>
      <c r="D504" s="383"/>
      <c r="E504" s="383"/>
      <c r="F504" s="383"/>
      <c r="G504" s="383"/>
      <c r="H504" s="383"/>
    </row>
    <row r="505" spans="1:8">
      <c r="A505" s="383"/>
      <c r="B505" s="383"/>
      <c r="C505" s="466"/>
      <c r="D505" s="383"/>
      <c r="E505" s="383"/>
      <c r="F505" s="383"/>
      <c r="G505" s="383"/>
      <c r="H505" s="383"/>
    </row>
    <row r="506" spans="1:8">
      <c r="A506" s="383"/>
      <c r="B506" s="383"/>
      <c r="C506" s="466"/>
      <c r="D506" s="383"/>
      <c r="E506" s="383"/>
      <c r="F506" s="383"/>
      <c r="G506" s="383"/>
      <c r="H506" s="383"/>
    </row>
    <row r="507" spans="1:8">
      <c r="A507" s="383"/>
      <c r="B507" s="383"/>
      <c r="C507" s="466"/>
      <c r="D507" s="383"/>
      <c r="E507" s="383"/>
      <c r="F507" s="383"/>
      <c r="G507" s="383"/>
      <c r="H507" s="383"/>
    </row>
    <row r="508" spans="1:8">
      <c r="A508" s="383"/>
      <c r="B508" s="383"/>
      <c r="C508" s="466"/>
      <c r="D508" s="383"/>
      <c r="E508" s="383"/>
      <c r="F508" s="383"/>
      <c r="G508" s="383"/>
      <c r="H508" s="383"/>
    </row>
    <row r="509" spans="1:8">
      <c r="A509" s="383"/>
      <c r="B509" s="383"/>
      <c r="C509" s="466"/>
      <c r="D509" s="383"/>
      <c r="E509" s="383"/>
      <c r="F509" s="383"/>
      <c r="G509" s="383"/>
      <c r="H509" s="383"/>
    </row>
    <row r="510" spans="1:8">
      <c r="A510" s="383"/>
      <c r="B510" s="383"/>
      <c r="C510" s="466"/>
      <c r="D510" s="383"/>
      <c r="E510" s="383"/>
      <c r="F510" s="383"/>
      <c r="G510" s="383"/>
      <c r="H510" s="383"/>
    </row>
    <row r="511" spans="1:8">
      <c r="A511" s="383"/>
      <c r="B511" s="383"/>
      <c r="C511" s="466"/>
      <c r="D511" s="383"/>
      <c r="E511" s="383"/>
      <c r="F511" s="383"/>
      <c r="G511" s="383"/>
      <c r="H511" s="383"/>
    </row>
    <row r="512" spans="1:8">
      <c r="A512" s="383"/>
      <c r="B512" s="383"/>
      <c r="C512" s="466"/>
      <c r="D512" s="383"/>
      <c r="E512" s="383"/>
      <c r="F512" s="383"/>
      <c r="G512" s="383"/>
      <c r="H512" s="383"/>
    </row>
    <row r="513" spans="1:8">
      <c r="A513" s="383"/>
      <c r="B513" s="383"/>
      <c r="C513" s="466"/>
      <c r="D513" s="383"/>
      <c r="E513" s="383"/>
      <c r="F513" s="383"/>
      <c r="G513" s="383"/>
      <c r="H513" s="383"/>
    </row>
    <row r="514" spans="1:8">
      <c r="A514" s="383"/>
      <c r="B514" s="383"/>
      <c r="C514" s="466"/>
      <c r="D514" s="383"/>
      <c r="E514" s="383"/>
      <c r="F514" s="383"/>
      <c r="G514" s="383"/>
      <c r="H514" s="383"/>
    </row>
    <row r="515" spans="1:8">
      <c r="A515" s="383"/>
      <c r="B515" s="383"/>
      <c r="C515" s="466"/>
      <c r="D515" s="383"/>
      <c r="E515" s="383"/>
      <c r="F515" s="383"/>
      <c r="G515" s="383"/>
      <c r="H515" s="383"/>
    </row>
    <row r="516" spans="1:8">
      <c r="A516" s="383"/>
      <c r="B516" s="383"/>
      <c r="C516" s="466"/>
      <c r="D516" s="383"/>
      <c r="E516" s="383"/>
      <c r="F516" s="383"/>
      <c r="G516" s="383"/>
      <c r="H516" s="383"/>
    </row>
    <row r="517" spans="1:8">
      <c r="A517" s="383"/>
      <c r="B517" s="383"/>
      <c r="C517" s="466"/>
      <c r="D517" s="383"/>
      <c r="E517" s="383"/>
      <c r="F517" s="383"/>
      <c r="G517" s="383"/>
      <c r="H517" s="383"/>
    </row>
    <row r="518" spans="1:8">
      <c r="A518" s="383"/>
      <c r="B518" s="383"/>
      <c r="C518" s="466"/>
      <c r="D518" s="383"/>
      <c r="E518" s="383"/>
      <c r="F518" s="383"/>
      <c r="G518" s="383"/>
      <c r="H518" s="383"/>
    </row>
    <row r="519" spans="1:8">
      <c r="A519" s="383"/>
      <c r="B519" s="383"/>
      <c r="C519" s="466"/>
      <c r="D519" s="383"/>
      <c r="E519" s="383"/>
      <c r="F519" s="383"/>
      <c r="G519" s="383"/>
      <c r="H519" s="383"/>
    </row>
    <row r="520" spans="1:8">
      <c r="A520" s="383"/>
      <c r="B520" s="383"/>
      <c r="C520" s="466"/>
      <c r="D520" s="383"/>
      <c r="E520" s="383"/>
      <c r="F520" s="383"/>
      <c r="G520" s="383"/>
      <c r="H520" s="383"/>
    </row>
    <row r="521" spans="1:8">
      <c r="A521" s="383"/>
      <c r="B521" s="383"/>
      <c r="C521" s="466"/>
      <c r="D521" s="383"/>
      <c r="E521" s="383"/>
      <c r="F521" s="383"/>
      <c r="G521" s="383"/>
      <c r="H521" s="383"/>
    </row>
    <row r="522" spans="1:8">
      <c r="A522" s="383"/>
      <c r="B522" s="383"/>
      <c r="C522" s="466"/>
      <c r="D522" s="383"/>
      <c r="E522" s="383"/>
      <c r="F522" s="383"/>
      <c r="G522" s="383"/>
      <c r="H522" s="383"/>
    </row>
    <row r="523" spans="1:8">
      <c r="A523" s="383"/>
      <c r="B523" s="383"/>
      <c r="C523" s="466"/>
      <c r="D523" s="383"/>
      <c r="E523" s="383"/>
      <c r="F523" s="383"/>
      <c r="G523" s="383"/>
      <c r="H523" s="383"/>
    </row>
    <row r="524" spans="1:8">
      <c r="A524" s="383"/>
      <c r="B524" s="383"/>
      <c r="C524" s="466"/>
      <c r="D524" s="383"/>
      <c r="E524" s="383"/>
      <c r="F524" s="383"/>
      <c r="G524" s="383"/>
      <c r="H524" s="383"/>
    </row>
    <row r="525" spans="1:8">
      <c r="A525" s="383"/>
      <c r="B525" s="383"/>
      <c r="C525" s="466"/>
      <c r="D525" s="383"/>
      <c r="E525" s="383"/>
      <c r="F525" s="383"/>
      <c r="G525" s="383"/>
      <c r="H525" s="383"/>
    </row>
    <row r="526" spans="1:8">
      <c r="A526" s="383"/>
      <c r="B526" s="383"/>
      <c r="C526" s="466"/>
      <c r="D526" s="383"/>
      <c r="E526" s="383"/>
      <c r="F526" s="383"/>
      <c r="G526" s="383"/>
      <c r="H526" s="383"/>
    </row>
    <row r="527" spans="1:8">
      <c r="A527" s="383"/>
      <c r="B527" s="383"/>
      <c r="C527" s="466"/>
      <c r="D527" s="383"/>
      <c r="E527" s="383"/>
      <c r="F527" s="383"/>
      <c r="G527" s="383"/>
      <c r="H527" s="383"/>
    </row>
    <row r="528" spans="1:8">
      <c r="A528" s="383"/>
      <c r="B528" s="383"/>
      <c r="C528" s="466"/>
      <c r="D528" s="383"/>
      <c r="E528" s="383"/>
      <c r="F528" s="383"/>
      <c r="G528" s="383"/>
      <c r="H528" s="383"/>
    </row>
    <row r="529" spans="1:8">
      <c r="A529" s="383"/>
      <c r="B529" s="383"/>
      <c r="C529" s="466"/>
      <c r="D529" s="383"/>
      <c r="E529" s="383"/>
      <c r="F529" s="383"/>
      <c r="G529" s="383"/>
      <c r="H529" s="383"/>
    </row>
    <row r="530" spans="1:8">
      <c r="A530" s="383"/>
      <c r="B530" s="383"/>
      <c r="C530" s="466"/>
      <c r="D530" s="383"/>
      <c r="E530" s="383"/>
      <c r="F530" s="383"/>
      <c r="G530" s="383"/>
      <c r="H530" s="383"/>
    </row>
    <row r="531" spans="1:8">
      <c r="A531" s="383"/>
      <c r="B531" s="383"/>
      <c r="C531" s="466"/>
      <c r="D531" s="383"/>
      <c r="E531" s="383"/>
      <c r="F531" s="383"/>
      <c r="G531" s="383"/>
      <c r="H531" s="383"/>
    </row>
    <row r="532" spans="1:8">
      <c r="A532" s="383"/>
      <c r="B532" s="383"/>
      <c r="C532" s="466"/>
      <c r="D532" s="383"/>
      <c r="E532" s="383"/>
      <c r="F532" s="383"/>
      <c r="G532" s="383"/>
      <c r="H532" s="383"/>
    </row>
    <row r="533" spans="1:8">
      <c r="A533" s="383"/>
      <c r="B533" s="383"/>
      <c r="C533" s="466"/>
      <c r="D533" s="383"/>
      <c r="E533" s="383"/>
      <c r="F533" s="383"/>
      <c r="G533" s="383"/>
      <c r="H533" s="383"/>
    </row>
    <row r="534" spans="1:8">
      <c r="A534" s="383"/>
      <c r="B534" s="383"/>
      <c r="C534" s="466"/>
      <c r="D534" s="383"/>
      <c r="E534" s="383"/>
      <c r="F534" s="383"/>
      <c r="G534" s="383"/>
      <c r="H534" s="383"/>
    </row>
    <row r="535" spans="1:8">
      <c r="A535" s="383"/>
      <c r="B535" s="383"/>
      <c r="C535" s="466"/>
      <c r="D535" s="383"/>
      <c r="E535" s="383"/>
      <c r="F535" s="383"/>
      <c r="G535" s="383"/>
      <c r="H535" s="383"/>
    </row>
    <row r="536" spans="1:8">
      <c r="A536" s="383"/>
      <c r="B536" s="383"/>
      <c r="C536" s="466"/>
      <c r="D536" s="383"/>
      <c r="E536" s="383"/>
      <c r="F536" s="383"/>
      <c r="G536" s="383"/>
      <c r="H536" s="383"/>
    </row>
    <row r="537" spans="1:8">
      <c r="A537" s="383"/>
      <c r="B537" s="383"/>
      <c r="C537" s="466"/>
      <c r="D537" s="383"/>
      <c r="E537" s="383"/>
      <c r="F537" s="383"/>
      <c r="G537" s="383"/>
      <c r="H537" s="383"/>
    </row>
    <row r="538" spans="1:8">
      <c r="A538" s="383"/>
      <c r="B538" s="383"/>
      <c r="C538" s="466"/>
      <c r="D538" s="383"/>
      <c r="E538" s="383"/>
      <c r="F538" s="383"/>
      <c r="G538" s="383"/>
      <c r="H538" s="383"/>
    </row>
    <row r="539" spans="1:8">
      <c r="A539" s="383"/>
      <c r="B539" s="383"/>
      <c r="C539" s="466"/>
      <c r="D539" s="383"/>
      <c r="E539" s="383"/>
      <c r="F539" s="383"/>
      <c r="G539" s="383"/>
      <c r="H539" s="383"/>
    </row>
    <row r="540" spans="1:8">
      <c r="A540" s="383"/>
      <c r="B540" s="383"/>
      <c r="C540" s="466"/>
      <c r="D540" s="383"/>
      <c r="E540" s="383"/>
      <c r="F540" s="383"/>
      <c r="G540" s="383"/>
      <c r="H540" s="383"/>
    </row>
    <row r="541" spans="1:8">
      <c r="A541" s="383"/>
      <c r="B541" s="383"/>
      <c r="C541" s="466"/>
      <c r="D541" s="383"/>
      <c r="E541" s="383"/>
      <c r="F541" s="383"/>
      <c r="G541" s="383"/>
      <c r="H541" s="383"/>
    </row>
    <row r="542" spans="1:8">
      <c r="A542" s="383"/>
      <c r="B542" s="383"/>
      <c r="C542" s="466"/>
      <c r="D542" s="383"/>
      <c r="E542" s="383"/>
      <c r="F542" s="383"/>
      <c r="G542" s="383"/>
      <c r="H542" s="383"/>
    </row>
    <row r="543" spans="1:8">
      <c r="A543" s="383"/>
      <c r="B543" s="383"/>
      <c r="C543" s="466"/>
      <c r="D543" s="383"/>
      <c r="E543" s="383"/>
      <c r="F543" s="383"/>
      <c r="G543" s="383"/>
      <c r="H543" s="383"/>
    </row>
    <row r="544" spans="1:8">
      <c r="A544" s="383"/>
      <c r="B544" s="383"/>
      <c r="C544" s="466"/>
      <c r="D544" s="383"/>
      <c r="E544" s="383"/>
      <c r="F544" s="383"/>
      <c r="G544" s="383"/>
      <c r="H544" s="383"/>
    </row>
    <row r="545" spans="1:8">
      <c r="A545" s="383"/>
      <c r="B545" s="383"/>
      <c r="C545" s="466"/>
      <c r="D545" s="383"/>
      <c r="E545" s="383"/>
      <c r="F545" s="383"/>
      <c r="G545" s="383"/>
      <c r="H545" s="383"/>
    </row>
    <row r="546" spans="1:8">
      <c r="A546" s="383"/>
      <c r="B546" s="383"/>
      <c r="C546" s="466"/>
      <c r="D546" s="383"/>
      <c r="E546" s="383"/>
      <c r="F546" s="383"/>
      <c r="G546" s="383"/>
      <c r="H546" s="383"/>
    </row>
    <row r="547" spans="1:8">
      <c r="A547" s="383"/>
      <c r="B547" s="383"/>
      <c r="C547" s="466"/>
      <c r="D547" s="383"/>
      <c r="E547" s="383"/>
      <c r="F547" s="383"/>
      <c r="G547" s="383"/>
      <c r="H547" s="383"/>
    </row>
    <row r="548" spans="1:8">
      <c r="A548" s="383"/>
      <c r="B548" s="383"/>
      <c r="C548" s="466"/>
      <c r="D548" s="383"/>
      <c r="E548" s="383"/>
      <c r="F548" s="383"/>
      <c r="G548" s="383"/>
      <c r="H548" s="383"/>
    </row>
    <row r="549" spans="1:8">
      <c r="A549" s="383"/>
      <c r="B549" s="383"/>
      <c r="C549" s="466"/>
      <c r="D549" s="383"/>
      <c r="E549" s="383"/>
      <c r="F549" s="383"/>
      <c r="G549" s="383"/>
      <c r="H549" s="383"/>
    </row>
    <row r="550" spans="1:8">
      <c r="A550" s="383"/>
      <c r="B550" s="383"/>
      <c r="C550" s="466"/>
      <c r="D550" s="383"/>
      <c r="E550" s="383"/>
      <c r="F550" s="383"/>
      <c r="G550" s="383"/>
      <c r="H550" s="383"/>
    </row>
    <row r="551" spans="1:8">
      <c r="A551" s="383"/>
      <c r="B551" s="383"/>
      <c r="C551" s="466"/>
      <c r="D551" s="383"/>
      <c r="E551" s="383"/>
      <c r="F551" s="383"/>
      <c r="G551" s="383"/>
      <c r="H551" s="383"/>
    </row>
    <row r="552" spans="1:8">
      <c r="A552" s="383"/>
      <c r="B552" s="383"/>
      <c r="C552" s="466"/>
      <c r="D552" s="383"/>
      <c r="E552" s="383"/>
      <c r="F552" s="383"/>
      <c r="G552" s="383"/>
      <c r="H552" s="383"/>
    </row>
    <row r="553" spans="1:8">
      <c r="A553" s="383"/>
      <c r="B553" s="383"/>
      <c r="C553" s="466"/>
      <c r="D553" s="383"/>
      <c r="E553" s="383"/>
      <c r="F553" s="383"/>
      <c r="G553" s="383"/>
      <c r="H553" s="383"/>
    </row>
    <row r="554" spans="1:8">
      <c r="A554" s="383"/>
      <c r="B554" s="383"/>
      <c r="C554" s="466"/>
      <c r="D554" s="383"/>
      <c r="E554" s="383"/>
      <c r="F554" s="383"/>
      <c r="G554" s="383"/>
      <c r="H554" s="383"/>
    </row>
    <row r="555" spans="1:8">
      <c r="A555" s="383"/>
      <c r="B555" s="383"/>
      <c r="C555" s="466"/>
      <c r="D555" s="383"/>
      <c r="E555" s="383"/>
      <c r="F555" s="383"/>
      <c r="G555" s="383"/>
      <c r="H555" s="383"/>
    </row>
    <row r="556" spans="1:8">
      <c r="A556" s="383"/>
      <c r="B556" s="383"/>
      <c r="C556" s="466"/>
      <c r="D556" s="383"/>
      <c r="E556" s="383"/>
      <c r="F556" s="383"/>
      <c r="G556" s="383"/>
      <c r="H556" s="383"/>
    </row>
    <row r="557" spans="1:8">
      <c r="A557" s="383"/>
      <c r="B557" s="383"/>
      <c r="C557" s="466"/>
      <c r="D557" s="383"/>
      <c r="E557" s="383"/>
      <c r="F557" s="383"/>
      <c r="G557" s="383"/>
      <c r="H557" s="383"/>
    </row>
    <row r="558" spans="1:8">
      <c r="A558" s="383"/>
      <c r="B558" s="383"/>
      <c r="C558" s="466"/>
      <c r="D558" s="383"/>
      <c r="E558" s="383"/>
      <c r="F558" s="383"/>
      <c r="G558" s="383"/>
      <c r="H558" s="383"/>
    </row>
    <row r="559" spans="1:8">
      <c r="A559" s="383"/>
      <c r="B559" s="383"/>
      <c r="C559" s="466"/>
      <c r="D559" s="383"/>
      <c r="E559" s="383"/>
      <c r="F559" s="383"/>
      <c r="G559" s="383"/>
      <c r="H559" s="383"/>
    </row>
    <row r="560" spans="1:8">
      <c r="A560" s="383"/>
      <c r="B560" s="383"/>
      <c r="C560" s="466"/>
      <c r="D560" s="383"/>
      <c r="E560" s="383"/>
      <c r="F560" s="383"/>
      <c r="G560" s="383"/>
      <c r="H560" s="383"/>
    </row>
    <row r="561" spans="1:8">
      <c r="A561" s="383"/>
      <c r="B561" s="383"/>
      <c r="C561" s="466"/>
      <c r="D561" s="383"/>
      <c r="E561" s="383"/>
      <c r="F561" s="383"/>
      <c r="G561" s="383"/>
      <c r="H561" s="383"/>
    </row>
    <row r="562" spans="1:8">
      <c r="A562" s="383"/>
      <c r="B562" s="383"/>
      <c r="C562" s="466"/>
      <c r="D562" s="383"/>
      <c r="E562" s="383"/>
      <c r="F562" s="383"/>
      <c r="G562" s="383"/>
      <c r="H562" s="383"/>
    </row>
    <row r="563" spans="1:8">
      <c r="A563" s="383"/>
      <c r="B563" s="383"/>
      <c r="C563" s="466"/>
      <c r="D563" s="383"/>
      <c r="E563" s="383"/>
      <c r="F563" s="383"/>
      <c r="G563" s="383"/>
      <c r="H563" s="383"/>
    </row>
    <row r="564" spans="1:8">
      <c r="A564" s="383"/>
      <c r="B564" s="383"/>
      <c r="C564" s="466"/>
      <c r="D564" s="383"/>
      <c r="E564" s="383"/>
      <c r="F564" s="383"/>
      <c r="G564" s="383"/>
      <c r="H564" s="383"/>
    </row>
    <row r="565" spans="1:8">
      <c r="A565" s="383"/>
      <c r="B565" s="383"/>
      <c r="C565" s="466"/>
      <c r="D565" s="383"/>
      <c r="E565" s="383"/>
      <c r="F565" s="383"/>
      <c r="G565" s="383"/>
      <c r="H565" s="383"/>
    </row>
    <row r="566" spans="1:8">
      <c r="A566" s="383"/>
      <c r="B566" s="383"/>
      <c r="C566" s="466"/>
      <c r="D566" s="383"/>
      <c r="E566" s="383"/>
      <c r="F566" s="383"/>
      <c r="G566" s="383"/>
      <c r="H566" s="383"/>
    </row>
    <row r="567" spans="1:8">
      <c r="A567" s="383"/>
      <c r="B567" s="383"/>
      <c r="C567" s="466"/>
      <c r="D567" s="383"/>
      <c r="E567" s="383"/>
      <c r="F567" s="383"/>
      <c r="G567" s="383"/>
      <c r="H567" s="383"/>
    </row>
    <row r="568" spans="1:8">
      <c r="A568" s="383"/>
      <c r="B568" s="383"/>
      <c r="C568" s="466"/>
      <c r="D568" s="383"/>
      <c r="E568" s="383"/>
      <c r="F568" s="383"/>
      <c r="G568" s="383"/>
      <c r="H568" s="383"/>
    </row>
    <row r="569" spans="1:8">
      <c r="A569" s="383"/>
      <c r="B569" s="383"/>
      <c r="C569" s="466"/>
      <c r="D569" s="383"/>
      <c r="E569" s="383"/>
      <c r="F569" s="383"/>
      <c r="G569" s="383"/>
      <c r="H569" s="383"/>
    </row>
    <row r="570" spans="1:8">
      <c r="A570" s="383"/>
      <c r="B570" s="383"/>
      <c r="C570" s="466"/>
      <c r="D570" s="383"/>
      <c r="E570" s="383"/>
      <c r="F570" s="383"/>
      <c r="G570" s="383"/>
      <c r="H570" s="383"/>
    </row>
    <row r="571" spans="1:8">
      <c r="A571" s="383"/>
      <c r="B571" s="383"/>
      <c r="C571" s="466"/>
      <c r="D571" s="383"/>
      <c r="E571" s="383"/>
      <c r="F571" s="383"/>
      <c r="G571" s="383"/>
      <c r="H571" s="383"/>
    </row>
    <row r="572" spans="1:8">
      <c r="A572" s="383"/>
      <c r="B572" s="383"/>
      <c r="C572" s="466"/>
      <c r="D572" s="383"/>
      <c r="E572" s="383"/>
      <c r="F572" s="383"/>
      <c r="G572" s="383"/>
      <c r="H572" s="383"/>
    </row>
    <row r="573" spans="1:8">
      <c r="A573" s="383"/>
      <c r="B573" s="383"/>
      <c r="C573" s="466"/>
      <c r="D573" s="383"/>
      <c r="E573" s="383"/>
      <c r="F573" s="383"/>
      <c r="G573" s="383"/>
      <c r="H573" s="383"/>
    </row>
    <row r="574" spans="1:8">
      <c r="A574" s="383"/>
      <c r="B574" s="383"/>
      <c r="C574" s="466"/>
      <c r="D574" s="383"/>
      <c r="E574" s="383"/>
      <c r="F574" s="383"/>
      <c r="G574" s="383"/>
      <c r="H574" s="383"/>
    </row>
    <row r="575" spans="1:8">
      <c r="A575" s="383"/>
      <c r="B575" s="383"/>
      <c r="C575" s="466"/>
      <c r="D575" s="383"/>
      <c r="E575" s="383"/>
      <c r="F575" s="383"/>
      <c r="G575" s="383"/>
      <c r="H575" s="383"/>
    </row>
    <row r="576" spans="1:8">
      <c r="A576" s="383"/>
      <c r="B576" s="383"/>
      <c r="C576" s="466"/>
      <c r="D576" s="383"/>
      <c r="E576" s="383"/>
      <c r="F576" s="383"/>
      <c r="G576" s="383"/>
      <c r="H576" s="383"/>
    </row>
    <row r="577" spans="1:8">
      <c r="A577" s="383"/>
      <c r="B577" s="383"/>
      <c r="C577" s="466"/>
      <c r="D577" s="383"/>
      <c r="E577" s="383"/>
      <c r="F577" s="383"/>
      <c r="G577" s="383"/>
      <c r="H577" s="383"/>
    </row>
    <row r="578" spans="1:8">
      <c r="A578" s="383"/>
      <c r="B578" s="383"/>
      <c r="C578" s="466"/>
      <c r="D578" s="383"/>
      <c r="E578" s="383"/>
      <c r="F578" s="383"/>
      <c r="G578" s="383"/>
      <c r="H578" s="383"/>
    </row>
    <row r="579" spans="1:8">
      <c r="A579" s="383"/>
      <c r="B579" s="383"/>
      <c r="C579" s="466"/>
      <c r="D579" s="383"/>
      <c r="E579" s="383"/>
      <c r="F579" s="383"/>
      <c r="G579" s="383"/>
      <c r="H579" s="383"/>
    </row>
    <row r="580" spans="1:8">
      <c r="A580" s="383"/>
      <c r="B580" s="383"/>
      <c r="C580" s="466"/>
      <c r="D580" s="383"/>
      <c r="E580" s="383"/>
      <c r="F580" s="383"/>
      <c r="G580" s="383"/>
      <c r="H580" s="383"/>
    </row>
    <row r="581" spans="1:8">
      <c r="A581" s="383"/>
      <c r="B581" s="383"/>
      <c r="C581" s="466"/>
      <c r="D581" s="383"/>
      <c r="E581" s="383"/>
      <c r="F581" s="383"/>
      <c r="G581" s="383"/>
      <c r="H581" s="383"/>
    </row>
    <row r="582" spans="1:8">
      <c r="A582" s="383"/>
      <c r="B582" s="383"/>
      <c r="C582" s="466"/>
      <c r="D582" s="383"/>
      <c r="E582" s="383"/>
      <c r="F582" s="383"/>
      <c r="G582" s="383"/>
      <c r="H582" s="383"/>
    </row>
    <row r="583" spans="1:8">
      <c r="A583" s="383"/>
      <c r="B583" s="383"/>
      <c r="C583" s="466"/>
      <c r="D583" s="383"/>
      <c r="E583" s="383"/>
      <c r="F583" s="383"/>
      <c r="G583" s="383"/>
      <c r="H583" s="383"/>
    </row>
    <row r="584" spans="1:8">
      <c r="A584" s="383"/>
      <c r="B584" s="383"/>
      <c r="C584" s="466"/>
      <c r="D584" s="383"/>
      <c r="E584" s="383"/>
      <c r="F584" s="383"/>
      <c r="G584" s="383"/>
      <c r="H584" s="383"/>
    </row>
    <row r="585" spans="1:8">
      <c r="A585" s="383"/>
      <c r="B585" s="383"/>
      <c r="C585" s="466"/>
      <c r="D585" s="383"/>
      <c r="E585" s="383"/>
      <c r="F585" s="383"/>
      <c r="G585" s="383"/>
      <c r="H585" s="383"/>
    </row>
    <row r="586" spans="1:8">
      <c r="A586" s="383"/>
      <c r="B586" s="383"/>
      <c r="C586" s="466"/>
      <c r="D586" s="383"/>
      <c r="E586" s="383"/>
      <c r="F586" s="383"/>
      <c r="G586" s="383"/>
      <c r="H586" s="383"/>
    </row>
    <row r="587" spans="1:8">
      <c r="A587" s="383"/>
      <c r="B587" s="383"/>
      <c r="C587" s="466"/>
      <c r="D587" s="383"/>
      <c r="E587" s="383"/>
      <c r="F587" s="383"/>
      <c r="G587" s="383"/>
      <c r="H587" s="383"/>
    </row>
    <row r="588" spans="1:8">
      <c r="A588" s="383"/>
      <c r="B588" s="383"/>
      <c r="C588" s="466"/>
      <c r="D588" s="383"/>
      <c r="E588" s="383"/>
      <c r="F588" s="383"/>
      <c r="G588" s="383"/>
      <c r="H588" s="383"/>
    </row>
    <row r="589" spans="1:8">
      <c r="A589" s="383"/>
      <c r="B589" s="383"/>
      <c r="C589" s="466"/>
      <c r="D589" s="383"/>
      <c r="E589" s="383"/>
      <c r="F589" s="383"/>
      <c r="G589" s="383"/>
      <c r="H589" s="383"/>
    </row>
    <row r="590" spans="1:8">
      <c r="A590" s="383"/>
      <c r="B590" s="383"/>
      <c r="C590" s="466"/>
      <c r="D590" s="383"/>
      <c r="E590" s="383"/>
      <c r="F590" s="383"/>
      <c r="G590" s="383"/>
      <c r="H590" s="383"/>
    </row>
    <row r="591" spans="1:8">
      <c r="A591" s="383"/>
      <c r="B591" s="383"/>
      <c r="C591" s="466"/>
      <c r="D591" s="383"/>
      <c r="E591" s="383"/>
      <c r="F591" s="383"/>
      <c r="G591" s="383"/>
      <c r="H591" s="383"/>
    </row>
    <row r="592" spans="1:8">
      <c r="A592" s="383"/>
      <c r="B592" s="383"/>
      <c r="C592" s="466"/>
      <c r="D592" s="383"/>
      <c r="E592" s="383"/>
      <c r="F592" s="383"/>
      <c r="G592" s="383"/>
      <c r="H592" s="383"/>
    </row>
    <row r="593" spans="1:8">
      <c r="A593" s="383"/>
      <c r="B593" s="383"/>
      <c r="C593" s="466"/>
      <c r="D593" s="383"/>
      <c r="E593" s="383"/>
      <c r="F593" s="383"/>
      <c r="G593" s="383"/>
      <c r="H593" s="383"/>
    </row>
    <row r="594" spans="1:8">
      <c r="A594" s="383"/>
      <c r="B594" s="383"/>
      <c r="C594" s="466"/>
      <c r="D594" s="383"/>
      <c r="E594" s="383"/>
      <c r="F594" s="383"/>
      <c r="G594" s="383"/>
      <c r="H594" s="383"/>
    </row>
    <row r="595" spans="1:8">
      <c r="A595" s="383"/>
      <c r="B595" s="383"/>
      <c r="C595" s="466"/>
      <c r="D595" s="383"/>
      <c r="E595" s="383"/>
      <c r="F595" s="383"/>
      <c r="G595" s="383"/>
      <c r="H595" s="383"/>
    </row>
    <row r="596" spans="1:8">
      <c r="A596" s="383"/>
      <c r="B596" s="383"/>
      <c r="C596" s="466"/>
      <c r="D596" s="383"/>
      <c r="E596" s="383"/>
      <c r="F596" s="383"/>
      <c r="G596" s="383"/>
      <c r="H596" s="383"/>
    </row>
    <row r="597" spans="1:8">
      <c r="A597" s="383"/>
      <c r="B597" s="383"/>
      <c r="C597" s="466"/>
      <c r="D597" s="383"/>
      <c r="E597" s="383"/>
      <c r="F597" s="383"/>
      <c r="G597" s="383"/>
      <c r="H597" s="383"/>
    </row>
    <row r="598" spans="1:8">
      <c r="A598" s="383"/>
      <c r="B598" s="383"/>
      <c r="C598" s="466"/>
      <c r="D598" s="383"/>
      <c r="E598" s="383"/>
      <c r="F598" s="383"/>
      <c r="G598" s="383"/>
      <c r="H598" s="383"/>
    </row>
    <row r="599" spans="1:8">
      <c r="A599" s="383"/>
      <c r="B599" s="383"/>
      <c r="C599" s="466"/>
      <c r="D599" s="383"/>
      <c r="E599" s="383"/>
      <c r="F599" s="383"/>
      <c r="G599" s="383"/>
      <c r="H599" s="383"/>
    </row>
    <row r="600" spans="1:8">
      <c r="A600" s="383"/>
      <c r="B600" s="383"/>
      <c r="C600" s="466"/>
      <c r="D600" s="383"/>
      <c r="E600" s="383"/>
      <c r="F600" s="383"/>
      <c r="G600" s="383"/>
      <c r="H600" s="383"/>
    </row>
    <row r="601" spans="1:8">
      <c r="A601" s="383"/>
      <c r="B601" s="383"/>
      <c r="C601" s="466"/>
      <c r="D601" s="383"/>
      <c r="E601" s="383"/>
      <c r="F601" s="383"/>
      <c r="G601" s="383"/>
      <c r="H601" s="383"/>
    </row>
    <row r="602" spans="1:8">
      <c r="A602" s="383"/>
      <c r="B602" s="383"/>
      <c r="C602" s="466"/>
      <c r="D602" s="383"/>
      <c r="E602" s="383"/>
      <c r="F602" s="383"/>
      <c r="G602" s="383"/>
      <c r="H602" s="383"/>
    </row>
    <row r="603" spans="1:8">
      <c r="A603" s="383"/>
      <c r="B603" s="383"/>
      <c r="C603" s="466"/>
      <c r="D603" s="383"/>
      <c r="E603" s="383"/>
      <c r="F603" s="383"/>
      <c r="G603" s="383"/>
      <c r="H603" s="383"/>
    </row>
    <row r="604" spans="1:8">
      <c r="A604" s="383"/>
      <c r="B604" s="383"/>
      <c r="C604" s="466"/>
      <c r="D604" s="383"/>
      <c r="E604" s="383"/>
      <c r="F604" s="383"/>
      <c r="G604" s="383"/>
      <c r="H604" s="383"/>
    </row>
    <row r="605" spans="1:8">
      <c r="A605" s="383"/>
      <c r="B605" s="383"/>
      <c r="C605" s="466"/>
      <c r="D605" s="383"/>
      <c r="E605" s="383"/>
      <c r="F605" s="383"/>
      <c r="G605" s="383"/>
      <c r="H605" s="383"/>
    </row>
    <row r="606" spans="1:8">
      <c r="A606" s="383"/>
      <c r="B606" s="383"/>
      <c r="C606" s="466"/>
      <c r="D606" s="383"/>
      <c r="E606" s="383"/>
      <c r="F606" s="383"/>
      <c r="G606" s="383"/>
      <c r="H606" s="383"/>
    </row>
    <row r="607" spans="1:8">
      <c r="A607" s="383"/>
      <c r="B607" s="383"/>
      <c r="C607" s="466"/>
      <c r="D607" s="383"/>
      <c r="E607" s="383"/>
      <c r="F607" s="383"/>
      <c r="G607" s="383"/>
      <c r="H607" s="383"/>
    </row>
    <row r="608" spans="1:8">
      <c r="A608" s="383"/>
      <c r="B608" s="383"/>
      <c r="C608" s="466"/>
      <c r="D608" s="383"/>
      <c r="E608" s="383"/>
      <c r="F608" s="383"/>
      <c r="G608" s="383"/>
      <c r="H608" s="383"/>
    </row>
    <row r="609" spans="1:8">
      <c r="A609" s="383"/>
      <c r="B609" s="383"/>
      <c r="C609" s="466"/>
      <c r="D609" s="383"/>
      <c r="E609" s="383"/>
      <c r="F609" s="383"/>
      <c r="G609" s="383"/>
      <c r="H609" s="383"/>
    </row>
    <row r="610" spans="1:8">
      <c r="A610" s="383"/>
      <c r="B610" s="383"/>
      <c r="C610" s="466"/>
      <c r="D610" s="383"/>
      <c r="E610" s="383"/>
      <c r="F610" s="383"/>
      <c r="G610" s="383"/>
      <c r="H610" s="383"/>
    </row>
    <row r="611" spans="1:8">
      <c r="A611" s="383"/>
      <c r="B611" s="383"/>
      <c r="C611" s="466"/>
      <c r="D611" s="383"/>
      <c r="E611" s="383"/>
      <c r="F611" s="383"/>
      <c r="G611" s="383"/>
      <c r="H611" s="383"/>
    </row>
    <row r="612" spans="1:8">
      <c r="A612" s="383"/>
      <c r="B612" s="383"/>
      <c r="C612" s="466"/>
      <c r="D612" s="383"/>
      <c r="E612" s="383"/>
      <c r="F612" s="383"/>
      <c r="G612" s="383"/>
      <c r="H612" s="383"/>
    </row>
    <row r="613" spans="1:8">
      <c r="A613" s="383"/>
      <c r="B613" s="383"/>
      <c r="C613" s="466"/>
      <c r="D613" s="383"/>
      <c r="E613" s="383"/>
      <c r="F613" s="383"/>
      <c r="G613" s="383"/>
      <c r="H613" s="383"/>
    </row>
    <row r="614" spans="1:8">
      <c r="A614" s="383"/>
      <c r="B614" s="383"/>
      <c r="C614" s="466"/>
      <c r="D614" s="383"/>
      <c r="E614" s="383"/>
      <c r="F614" s="383"/>
      <c r="G614" s="383"/>
      <c r="H614" s="383"/>
    </row>
    <row r="615" spans="1:8">
      <c r="A615" s="383"/>
      <c r="B615" s="383"/>
      <c r="C615" s="466"/>
      <c r="D615" s="383"/>
      <c r="E615" s="383"/>
      <c r="F615" s="383"/>
      <c r="G615" s="383"/>
      <c r="H615" s="383"/>
    </row>
    <row r="616" spans="1:8">
      <c r="A616" s="383"/>
      <c r="B616" s="383"/>
      <c r="C616" s="466"/>
      <c r="D616" s="383"/>
      <c r="E616" s="383"/>
      <c r="F616" s="383"/>
      <c r="G616" s="383"/>
      <c r="H616" s="383"/>
    </row>
    <row r="617" spans="1:8">
      <c r="A617" s="383"/>
      <c r="B617" s="383"/>
      <c r="C617" s="466"/>
      <c r="D617" s="383"/>
      <c r="E617" s="383"/>
      <c r="F617" s="383"/>
      <c r="G617" s="383"/>
      <c r="H617" s="383"/>
    </row>
    <row r="618" spans="1:8">
      <c r="A618" s="383"/>
      <c r="B618" s="383"/>
      <c r="C618" s="466"/>
      <c r="D618" s="383"/>
      <c r="E618" s="383"/>
      <c r="F618" s="383"/>
      <c r="G618" s="383"/>
      <c r="H618" s="383"/>
    </row>
    <row r="619" spans="1:8">
      <c r="A619" s="383"/>
      <c r="B619" s="383"/>
      <c r="C619" s="466"/>
      <c r="D619" s="383"/>
      <c r="E619" s="383"/>
      <c r="F619" s="383"/>
      <c r="G619" s="383"/>
      <c r="H619" s="383"/>
    </row>
    <row r="620" spans="1:8">
      <c r="A620" s="383"/>
      <c r="B620" s="383"/>
      <c r="C620" s="466"/>
      <c r="D620" s="383"/>
      <c r="E620" s="383"/>
      <c r="F620" s="383"/>
      <c r="G620" s="383"/>
      <c r="H620" s="383"/>
    </row>
    <row r="621" spans="1:8">
      <c r="A621" s="383"/>
      <c r="B621" s="383"/>
      <c r="C621" s="466"/>
      <c r="D621" s="383"/>
      <c r="E621" s="383"/>
      <c r="F621" s="383"/>
      <c r="G621" s="383"/>
      <c r="H621" s="383"/>
    </row>
    <row r="622" spans="1:8">
      <c r="A622" s="383"/>
      <c r="B622" s="383"/>
      <c r="C622" s="466"/>
      <c r="D622" s="383"/>
      <c r="E622" s="383"/>
      <c r="F622" s="383"/>
      <c r="G622" s="383"/>
      <c r="H622" s="383"/>
    </row>
    <row r="623" spans="1:8">
      <c r="A623" s="383"/>
      <c r="B623" s="383"/>
      <c r="C623" s="466"/>
      <c r="D623" s="383"/>
      <c r="E623" s="383"/>
      <c r="F623" s="383"/>
      <c r="G623" s="383"/>
      <c r="H623" s="383"/>
    </row>
    <row r="624" spans="1:8">
      <c r="A624" s="383"/>
      <c r="B624" s="383"/>
      <c r="C624" s="466"/>
      <c r="D624" s="383"/>
      <c r="E624" s="383"/>
      <c r="F624" s="383"/>
      <c r="G624" s="383"/>
      <c r="H624" s="383"/>
    </row>
    <row r="625" spans="1:8">
      <c r="A625" s="383"/>
      <c r="B625" s="383"/>
      <c r="C625" s="466"/>
      <c r="D625" s="383"/>
      <c r="E625" s="383"/>
      <c r="F625" s="383"/>
      <c r="G625" s="383"/>
      <c r="H625" s="383"/>
    </row>
    <row r="626" spans="1:8">
      <c r="A626" s="383"/>
      <c r="B626" s="383"/>
      <c r="C626" s="466"/>
      <c r="D626" s="383"/>
      <c r="E626" s="383"/>
      <c r="F626" s="383"/>
      <c r="G626" s="383"/>
      <c r="H626" s="383"/>
    </row>
    <row r="627" spans="1:8">
      <c r="A627" s="383"/>
      <c r="B627" s="383"/>
      <c r="C627" s="466"/>
      <c r="D627" s="383"/>
      <c r="E627" s="383"/>
      <c r="F627" s="383"/>
      <c r="G627" s="383"/>
      <c r="H627" s="383"/>
    </row>
    <row r="628" spans="1:8">
      <c r="A628" s="383"/>
      <c r="B628" s="383"/>
      <c r="C628" s="466"/>
      <c r="D628" s="383"/>
      <c r="E628" s="383"/>
      <c r="F628" s="383"/>
      <c r="G628" s="383"/>
      <c r="H628" s="383"/>
    </row>
    <row r="629" spans="1:8">
      <c r="A629" s="383"/>
      <c r="B629" s="383"/>
      <c r="C629" s="466"/>
      <c r="D629" s="383"/>
      <c r="E629" s="383"/>
      <c r="F629" s="383"/>
      <c r="G629" s="383"/>
      <c r="H629" s="383"/>
    </row>
    <row r="630" spans="1:8">
      <c r="A630" s="383"/>
      <c r="B630" s="383"/>
      <c r="C630" s="466"/>
      <c r="D630" s="383"/>
      <c r="E630" s="383"/>
      <c r="F630" s="383"/>
      <c r="G630" s="383"/>
      <c r="H630" s="383"/>
    </row>
    <row r="631" spans="1:8">
      <c r="A631" s="383"/>
      <c r="B631" s="383"/>
      <c r="C631" s="466"/>
      <c r="D631" s="383"/>
      <c r="E631" s="383"/>
      <c r="F631" s="383"/>
      <c r="G631" s="383"/>
      <c r="H631" s="383"/>
    </row>
    <row r="632" spans="1:8">
      <c r="A632" s="383"/>
      <c r="B632" s="383"/>
      <c r="C632" s="466"/>
      <c r="D632" s="383"/>
      <c r="E632" s="383"/>
      <c r="F632" s="383"/>
      <c r="G632" s="383"/>
      <c r="H632" s="383"/>
    </row>
    <row r="633" spans="1:8">
      <c r="A633" s="383"/>
      <c r="B633" s="383"/>
      <c r="C633" s="466"/>
      <c r="D633" s="383"/>
      <c r="E633" s="383"/>
      <c r="F633" s="383"/>
      <c r="G633" s="383"/>
      <c r="H633" s="383"/>
    </row>
    <row r="634" spans="1:8">
      <c r="A634" s="383"/>
      <c r="B634" s="383"/>
      <c r="C634" s="466"/>
      <c r="D634" s="383"/>
      <c r="E634" s="383"/>
      <c r="F634" s="383"/>
      <c r="G634" s="383"/>
      <c r="H634" s="383"/>
    </row>
    <row r="635" spans="1:8">
      <c r="A635" s="383"/>
      <c r="B635" s="383"/>
      <c r="C635" s="466"/>
      <c r="D635" s="383"/>
      <c r="E635" s="383"/>
      <c r="F635" s="383"/>
      <c r="G635" s="383"/>
      <c r="H635" s="383"/>
    </row>
    <row r="636" spans="1:8">
      <c r="A636" s="383"/>
      <c r="B636" s="383"/>
      <c r="C636" s="466"/>
      <c r="D636" s="383"/>
      <c r="E636" s="383"/>
      <c r="F636" s="383"/>
      <c r="G636" s="383"/>
      <c r="H636" s="383"/>
    </row>
    <row r="637" spans="1:8">
      <c r="A637" s="383"/>
      <c r="B637" s="383"/>
      <c r="C637" s="466"/>
      <c r="D637" s="383"/>
      <c r="E637" s="383"/>
      <c r="F637" s="383"/>
      <c r="G637" s="383"/>
      <c r="H637" s="383"/>
    </row>
    <row r="638" spans="1:8">
      <c r="A638" s="383"/>
      <c r="B638" s="383"/>
      <c r="C638" s="466"/>
      <c r="D638" s="383"/>
      <c r="E638" s="383"/>
      <c r="F638" s="383"/>
      <c r="G638" s="383"/>
      <c r="H638" s="383"/>
    </row>
    <row r="639" spans="1:8">
      <c r="A639" s="383"/>
      <c r="B639" s="383"/>
      <c r="C639" s="466"/>
      <c r="D639" s="383"/>
      <c r="E639" s="383"/>
      <c r="F639" s="383"/>
      <c r="G639" s="383"/>
      <c r="H639" s="383"/>
    </row>
    <row r="640" spans="1:8">
      <c r="A640" s="383"/>
      <c r="B640" s="383"/>
      <c r="C640" s="466"/>
      <c r="D640" s="383"/>
      <c r="E640" s="383"/>
      <c r="F640" s="383"/>
      <c r="G640" s="383"/>
      <c r="H640" s="383"/>
    </row>
    <row r="641" spans="1:8">
      <c r="A641" s="383"/>
      <c r="B641" s="383"/>
      <c r="C641" s="466"/>
      <c r="D641" s="383"/>
      <c r="E641" s="383"/>
      <c r="F641" s="383"/>
      <c r="G641" s="383"/>
      <c r="H641" s="383"/>
    </row>
    <row r="642" spans="1:8">
      <c r="A642" s="383"/>
      <c r="B642" s="383"/>
      <c r="C642" s="466"/>
      <c r="D642" s="383"/>
      <c r="E642" s="383"/>
      <c r="F642" s="383"/>
      <c r="G642" s="383"/>
      <c r="H642" s="383"/>
    </row>
    <row r="643" spans="1:8">
      <c r="A643" s="383"/>
      <c r="B643" s="383"/>
      <c r="C643" s="466"/>
      <c r="D643" s="383"/>
      <c r="E643" s="383"/>
      <c r="F643" s="383"/>
      <c r="G643" s="383"/>
      <c r="H643" s="383"/>
    </row>
    <row r="644" spans="1:8">
      <c r="A644" s="383"/>
      <c r="B644" s="383"/>
      <c r="C644" s="466"/>
      <c r="D644" s="383"/>
      <c r="E644" s="383"/>
      <c r="F644" s="383"/>
      <c r="G644" s="383"/>
      <c r="H644" s="383"/>
    </row>
    <row r="645" spans="1:8">
      <c r="A645" s="383"/>
      <c r="B645" s="383"/>
      <c r="C645" s="466"/>
      <c r="D645" s="383"/>
      <c r="E645" s="383"/>
      <c r="F645" s="383"/>
      <c r="G645" s="383"/>
      <c r="H645" s="383"/>
    </row>
    <row r="646" spans="1:8">
      <c r="A646" s="383"/>
      <c r="B646" s="383"/>
      <c r="C646" s="466"/>
      <c r="D646" s="383"/>
      <c r="E646" s="383"/>
      <c r="F646" s="383"/>
      <c r="G646" s="383"/>
      <c r="H646" s="383"/>
    </row>
    <row r="647" spans="1:8">
      <c r="A647" s="383"/>
      <c r="B647" s="383"/>
      <c r="C647" s="466"/>
      <c r="D647" s="383"/>
      <c r="E647" s="383"/>
      <c r="F647" s="383"/>
      <c r="G647" s="383"/>
      <c r="H647" s="383"/>
    </row>
    <row r="648" spans="1:8">
      <c r="A648" s="383"/>
      <c r="B648" s="383"/>
      <c r="C648" s="466"/>
      <c r="D648" s="383"/>
      <c r="E648" s="383"/>
      <c r="F648" s="383"/>
      <c r="G648" s="383"/>
      <c r="H648" s="383"/>
    </row>
    <row r="649" spans="1:8">
      <c r="A649" s="383"/>
      <c r="B649" s="383"/>
      <c r="C649" s="466"/>
      <c r="D649" s="383"/>
      <c r="E649" s="383"/>
      <c r="F649" s="383"/>
      <c r="G649" s="383"/>
      <c r="H649" s="383"/>
    </row>
    <row r="650" spans="1:8">
      <c r="A650" s="383"/>
      <c r="B650" s="383"/>
      <c r="C650" s="466"/>
      <c r="D650" s="383"/>
      <c r="E650" s="383"/>
      <c r="F650" s="383"/>
      <c r="G650" s="383"/>
      <c r="H650" s="383"/>
    </row>
    <row r="651" spans="1:8">
      <c r="A651" s="383"/>
      <c r="B651" s="383"/>
      <c r="C651" s="466"/>
      <c r="D651" s="383"/>
      <c r="E651" s="383"/>
      <c r="F651" s="383"/>
      <c r="G651" s="383"/>
      <c r="H651" s="383"/>
    </row>
    <row r="652" spans="1:8">
      <c r="A652" s="383"/>
      <c r="B652" s="383"/>
      <c r="C652" s="466"/>
      <c r="D652" s="383"/>
      <c r="E652" s="383"/>
      <c r="F652" s="383"/>
      <c r="G652" s="383"/>
      <c r="H652" s="383"/>
    </row>
    <row r="653" spans="1:8">
      <c r="A653" s="383"/>
      <c r="B653" s="383"/>
      <c r="C653" s="466"/>
      <c r="D653" s="383"/>
      <c r="E653" s="383"/>
      <c r="F653" s="383"/>
      <c r="G653" s="383"/>
      <c r="H653" s="383"/>
    </row>
    <row r="654" spans="1:8">
      <c r="A654" s="383"/>
      <c r="B654" s="383"/>
      <c r="C654" s="466"/>
      <c r="D654" s="383"/>
      <c r="E654" s="383"/>
      <c r="F654" s="383"/>
      <c r="G654" s="383"/>
      <c r="H654" s="383"/>
    </row>
    <row r="655" spans="1:8">
      <c r="A655" s="383"/>
      <c r="B655" s="383"/>
      <c r="C655" s="466"/>
      <c r="D655" s="383"/>
      <c r="E655" s="383"/>
      <c r="F655" s="383"/>
      <c r="G655" s="383"/>
      <c r="H655" s="383"/>
    </row>
    <row r="656" spans="1:8">
      <c r="A656" s="383"/>
      <c r="B656" s="383"/>
      <c r="C656" s="466"/>
      <c r="D656" s="383"/>
      <c r="E656" s="383"/>
      <c r="F656" s="383"/>
      <c r="G656" s="383"/>
      <c r="H656" s="383"/>
    </row>
    <row r="657" spans="1:8">
      <c r="A657" s="383"/>
      <c r="B657" s="383"/>
      <c r="C657" s="466"/>
      <c r="D657" s="383"/>
      <c r="E657" s="383"/>
      <c r="F657" s="383"/>
      <c r="G657" s="383"/>
      <c r="H657" s="383"/>
    </row>
    <row r="658" spans="1:8">
      <c r="A658" s="383"/>
      <c r="B658" s="383"/>
      <c r="C658" s="466"/>
      <c r="D658" s="383"/>
      <c r="E658" s="383"/>
      <c r="F658" s="383"/>
      <c r="G658" s="383"/>
      <c r="H658" s="383"/>
    </row>
    <row r="659" spans="1:8">
      <c r="A659" s="383"/>
      <c r="B659" s="383"/>
      <c r="C659" s="466"/>
      <c r="D659" s="383"/>
      <c r="E659" s="383"/>
      <c r="F659" s="383"/>
      <c r="G659" s="383"/>
      <c r="H659" s="383"/>
    </row>
    <row r="660" spans="1:8">
      <c r="A660" s="383"/>
      <c r="B660" s="383"/>
      <c r="C660" s="466"/>
      <c r="D660" s="383"/>
      <c r="E660" s="383"/>
      <c r="F660" s="383"/>
      <c r="G660" s="383"/>
      <c r="H660" s="383"/>
    </row>
    <row r="661" spans="1:8">
      <c r="A661" s="383"/>
      <c r="B661" s="383"/>
      <c r="C661" s="466"/>
      <c r="D661" s="383"/>
      <c r="E661" s="383"/>
      <c r="F661" s="383"/>
      <c r="G661" s="383"/>
      <c r="H661" s="383"/>
    </row>
    <row r="662" spans="1:8">
      <c r="A662" s="383"/>
      <c r="B662" s="383"/>
      <c r="C662" s="466"/>
      <c r="D662" s="383"/>
      <c r="E662" s="383"/>
      <c r="F662" s="383"/>
      <c r="G662" s="383"/>
      <c r="H662" s="383"/>
    </row>
    <row r="663" spans="1:8">
      <c r="A663" s="383"/>
      <c r="B663" s="383"/>
      <c r="C663" s="466"/>
      <c r="D663" s="383"/>
      <c r="E663" s="383"/>
      <c r="F663" s="383"/>
      <c r="G663" s="383"/>
      <c r="H663" s="383"/>
    </row>
    <row r="664" spans="1:8">
      <c r="A664" s="383"/>
      <c r="B664" s="383"/>
      <c r="C664" s="466"/>
      <c r="D664" s="383"/>
      <c r="E664" s="383"/>
      <c r="F664" s="383"/>
      <c r="G664" s="383"/>
      <c r="H664" s="383"/>
    </row>
    <row r="665" spans="1:8">
      <c r="A665" s="383"/>
      <c r="B665" s="383"/>
      <c r="C665" s="466"/>
      <c r="D665" s="383"/>
      <c r="E665" s="383"/>
      <c r="F665" s="383"/>
      <c r="G665" s="383"/>
      <c r="H665" s="383"/>
    </row>
    <row r="666" spans="1:8">
      <c r="A666" s="383"/>
      <c r="B666" s="383"/>
      <c r="C666" s="466"/>
      <c r="D666" s="383"/>
      <c r="E666" s="383"/>
      <c r="F666" s="383"/>
      <c r="G666" s="383"/>
      <c r="H666" s="383"/>
    </row>
    <row r="667" spans="1:8">
      <c r="A667" s="383"/>
      <c r="B667" s="383"/>
      <c r="C667" s="466"/>
      <c r="D667" s="383"/>
      <c r="E667" s="383"/>
      <c r="F667" s="383"/>
      <c r="G667" s="383"/>
      <c r="H667" s="383"/>
    </row>
    <row r="668" spans="1:8">
      <c r="A668" s="383"/>
      <c r="B668" s="383"/>
      <c r="C668" s="466"/>
      <c r="D668" s="383"/>
      <c r="E668" s="383"/>
      <c r="F668" s="383"/>
      <c r="G668" s="383"/>
      <c r="H668" s="383"/>
    </row>
    <row r="669" spans="1:8">
      <c r="A669" s="383"/>
      <c r="B669" s="383"/>
      <c r="C669" s="466"/>
      <c r="D669" s="383"/>
      <c r="E669" s="383"/>
      <c r="F669" s="383"/>
      <c r="G669" s="383"/>
      <c r="H669" s="383"/>
    </row>
    <row r="670" spans="1:8">
      <c r="A670" s="383"/>
      <c r="B670" s="383"/>
      <c r="C670" s="466"/>
      <c r="D670" s="383"/>
      <c r="E670" s="383"/>
      <c r="F670" s="383"/>
      <c r="G670" s="383"/>
      <c r="H670" s="383"/>
    </row>
    <row r="671" spans="1:8">
      <c r="A671" s="383"/>
      <c r="B671" s="383"/>
      <c r="C671" s="466"/>
      <c r="D671" s="383"/>
      <c r="E671" s="383"/>
      <c r="F671" s="383"/>
      <c r="G671" s="383"/>
      <c r="H671" s="383"/>
    </row>
    <row r="672" spans="1:8">
      <c r="A672" s="383"/>
      <c r="B672" s="383"/>
      <c r="C672" s="466"/>
      <c r="D672" s="383"/>
      <c r="E672" s="383"/>
      <c r="F672" s="383"/>
      <c r="G672" s="383"/>
      <c r="H672" s="383"/>
    </row>
    <row r="673" spans="1:8">
      <c r="A673" s="383"/>
      <c r="B673" s="383"/>
      <c r="C673" s="466"/>
      <c r="D673" s="383"/>
      <c r="E673" s="383"/>
      <c r="F673" s="383"/>
      <c r="G673" s="383"/>
      <c r="H673" s="383"/>
    </row>
    <row r="674" spans="1:8">
      <c r="A674" s="383"/>
      <c r="B674" s="383"/>
      <c r="C674" s="466"/>
      <c r="D674" s="383"/>
      <c r="E674" s="383"/>
      <c r="F674" s="383"/>
      <c r="G674" s="383"/>
      <c r="H674" s="383"/>
    </row>
    <row r="675" spans="1:8">
      <c r="A675" s="383"/>
      <c r="B675" s="383"/>
      <c r="C675" s="466"/>
      <c r="D675" s="383"/>
      <c r="E675" s="383"/>
      <c r="F675" s="383"/>
      <c r="G675" s="383"/>
      <c r="H675" s="383"/>
    </row>
    <row r="676" spans="1:8">
      <c r="A676" s="383"/>
      <c r="B676" s="383"/>
      <c r="C676" s="466"/>
      <c r="D676" s="383"/>
      <c r="E676" s="383"/>
      <c r="F676" s="383"/>
      <c r="G676" s="383"/>
      <c r="H676" s="383"/>
    </row>
    <row r="677" spans="1:8">
      <c r="A677" s="383"/>
      <c r="B677" s="383"/>
      <c r="C677" s="466"/>
      <c r="D677" s="383"/>
      <c r="E677" s="383"/>
      <c r="F677" s="383"/>
      <c r="G677" s="383"/>
      <c r="H677" s="383"/>
    </row>
    <row r="678" spans="1:8">
      <c r="A678" s="383"/>
      <c r="B678" s="383"/>
      <c r="C678" s="466"/>
      <c r="D678" s="383"/>
      <c r="E678" s="383"/>
      <c r="F678" s="383"/>
      <c r="G678" s="383"/>
      <c r="H678" s="383"/>
    </row>
    <row r="679" spans="1:8">
      <c r="A679" s="383"/>
      <c r="B679" s="383"/>
      <c r="C679" s="466"/>
      <c r="D679" s="383"/>
      <c r="E679" s="383"/>
      <c r="F679" s="383"/>
      <c r="G679" s="383"/>
      <c r="H679" s="383"/>
    </row>
    <row r="680" spans="1:8">
      <c r="A680" s="383"/>
      <c r="B680" s="383"/>
      <c r="C680" s="466"/>
      <c r="D680" s="383"/>
      <c r="E680" s="383"/>
      <c r="F680" s="383"/>
      <c r="G680" s="383"/>
      <c r="H680" s="383"/>
    </row>
    <row r="681" spans="1:8">
      <c r="A681" s="383"/>
      <c r="B681" s="383"/>
      <c r="C681" s="466"/>
      <c r="D681" s="383"/>
      <c r="E681" s="383"/>
      <c r="F681" s="383"/>
      <c r="G681" s="383"/>
      <c r="H681" s="383"/>
    </row>
    <row r="682" spans="1:8">
      <c r="A682" s="383"/>
      <c r="B682" s="383"/>
      <c r="C682" s="466"/>
      <c r="D682" s="383"/>
      <c r="E682" s="383"/>
      <c r="F682" s="383"/>
      <c r="G682" s="383"/>
      <c r="H682" s="383"/>
    </row>
    <row r="683" spans="1:8">
      <c r="A683" s="383"/>
      <c r="B683" s="383"/>
      <c r="C683" s="466"/>
      <c r="D683" s="383"/>
      <c r="E683" s="383"/>
      <c r="F683" s="383"/>
      <c r="G683" s="383"/>
      <c r="H683" s="383"/>
    </row>
    <row r="684" spans="1:8">
      <c r="A684" s="383"/>
      <c r="B684" s="383"/>
      <c r="C684" s="466"/>
      <c r="D684" s="383"/>
      <c r="E684" s="383"/>
      <c r="F684" s="383"/>
      <c r="G684" s="383"/>
      <c r="H684" s="383"/>
    </row>
    <row r="685" spans="1:8">
      <c r="A685" s="383"/>
      <c r="B685" s="383"/>
      <c r="C685" s="466"/>
      <c r="D685" s="383"/>
      <c r="E685" s="383"/>
      <c r="F685" s="383"/>
      <c r="G685" s="383"/>
      <c r="H685" s="383"/>
    </row>
    <row r="686" spans="1:8">
      <c r="A686" s="383"/>
      <c r="B686" s="383"/>
      <c r="C686" s="466"/>
      <c r="D686" s="383"/>
      <c r="E686" s="383"/>
      <c r="F686" s="383"/>
      <c r="G686" s="383"/>
      <c r="H686" s="383"/>
    </row>
    <row r="687" spans="1:8">
      <c r="A687" s="383"/>
      <c r="B687" s="383"/>
      <c r="C687" s="466"/>
      <c r="D687" s="383"/>
      <c r="E687" s="383"/>
      <c r="F687" s="383"/>
      <c r="G687" s="383"/>
      <c r="H687" s="383"/>
    </row>
    <row r="688" spans="1:8">
      <c r="A688" s="383"/>
      <c r="B688" s="383"/>
      <c r="C688" s="466"/>
      <c r="D688" s="383"/>
      <c r="E688" s="383"/>
      <c r="F688" s="383"/>
      <c r="G688" s="383"/>
      <c r="H688" s="383"/>
    </row>
    <row r="689" spans="1:8">
      <c r="A689" s="383"/>
      <c r="B689" s="383"/>
      <c r="C689" s="466"/>
      <c r="D689" s="383"/>
      <c r="E689" s="383"/>
      <c r="F689" s="383"/>
      <c r="G689" s="383"/>
      <c r="H689" s="383"/>
    </row>
    <row r="690" spans="1:8">
      <c r="A690" s="383"/>
      <c r="B690" s="383"/>
      <c r="C690" s="466"/>
      <c r="D690" s="383"/>
      <c r="E690" s="383"/>
      <c r="F690" s="383"/>
      <c r="G690" s="383"/>
      <c r="H690" s="383"/>
    </row>
    <row r="691" spans="1:8">
      <c r="A691" s="383"/>
      <c r="B691" s="383"/>
      <c r="C691" s="466"/>
      <c r="D691" s="383"/>
      <c r="E691" s="383"/>
      <c r="F691" s="383"/>
      <c r="G691" s="383"/>
      <c r="H691" s="383"/>
    </row>
    <row r="692" spans="1:8">
      <c r="A692" s="383"/>
      <c r="B692" s="383"/>
      <c r="C692" s="466"/>
      <c r="D692" s="383"/>
      <c r="E692" s="383"/>
      <c r="F692" s="383"/>
      <c r="G692" s="383"/>
      <c r="H692" s="383"/>
    </row>
    <row r="693" spans="1:8">
      <c r="A693" s="383"/>
      <c r="B693" s="383"/>
      <c r="C693" s="466"/>
      <c r="D693" s="383"/>
      <c r="E693" s="383"/>
      <c r="F693" s="383"/>
      <c r="G693" s="383"/>
      <c r="H693" s="383"/>
    </row>
    <row r="694" spans="1:8">
      <c r="A694" s="383"/>
      <c r="B694" s="383"/>
      <c r="C694" s="466"/>
      <c r="D694" s="383"/>
      <c r="E694" s="383"/>
      <c r="F694" s="383"/>
      <c r="G694" s="383"/>
      <c r="H694" s="383"/>
    </row>
    <row r="695" spans="1:8">
      <c r="A695" s="383"/>
      <c r="B695" s="383"/>
      <c r="C695" s="466"/>
      <c r="D695" s="383"/>
      <c r="E695" s="383"/>
      <c r="F695" s="383"/>
      <c r="G695" s="383"/>
      <c r="H695" s="383"/>
    </row>
    <row r="696" spans="1:8">
      <c r="A696" s="383"/>
      <c r="B696" s="383"/>
      <c r="C696" s="466"/>
      <c r="D696" s="383"/>
      <c r="E696" s="383"/>
      <c r="F696" s="383"/>
      <c r="G696" s="383"/>
      <c r="H696" s="383"/>
    </row>
    <row r="697" spans="1:8">
      <c r="A697" s="383"/>
      <c r="B697" s="383"/>
      <c r="C697" s="466"/>
      <c r="D697" s="383"/>
      <c r="E697" s="383"/>
      <c r="F697" s="383"/>
      <c r="G697" s="383"/>
      <c r="H697" s="383"/>
    </row>
    <row r="698" spans="1:8">
      <c r="A698" s="383"/>
      <c r="B698" s="383"/>
      <c r="C698" s="466"/>
      <c r="D698" s="383"/>
      <c r="E698" s="383"/>
      <c r="F698" s="383"/>
      <c r="G698" s="383"/>
      <c r="H698" s="383"/>
    </row>
    <row r="699" spans="1:8">
      <c r="A699" s="383"/>
      <c r="B699" s="383"/>
      <c r="C699" s="466"/>
      <c r="D699" s="383"/>
      <c r="E699" s="383"/>
      <c r="F699" s="383"/>
      <c r="G699" s="383"/>
      <c r="H699" s="383"/>
    </row>
    <row r="700" spans="1:8">
      <c r="A700" s="383"/>
      <c r="B700" s="383"/>
      <c r="C700" s="466"/>
      <c r="D700" s="383"/>
      <c r="E700" s="383"/>
      <c r="F700" s="383"/>
      <c r="G700" s="383"/>
      <c r="H700" s="383"/>
    </row>
    <row r="701" spans="1:8">
      <c r="A701" s="383"/>
      <c r="B701" s="383"/>
      <c r="C701" s="466"/>
      <c r="D701" s="383"/>
      <c r="E701" s="383"/>
      <c r="F701" s="383"/>
      <c r="G701" s="383"/>
      <c r="H701" s="383"/>
    </row>
    <row r="702" spans="1:8">
      <c r="A702" s="383"/>
      <c r="B702" s="383"/>
      <c r="C702" s="466"/>
      <c r="D702" s="383"/>
      <c r="E702" s="383"/>
      <c r="F702" s="383"/>
      <c r="G702" s="383"/>
      <c r="H702" s="383"/>
    </row>
    <row r="703" spans="1:8">
      <c r="A703" s="383"/>
      <c r="B703" s="383"/>
      <c r="C703" s="466"/>
      <c r="D703" s="383"/>
      <c r="E703" s="383"/>
      <c r="F703" s="383"/>
      <c r="G703" s="383"/>
      <c r="H703" s="383"/>
    </row>
    <row r="704" spans="1:8">
      <c r="A704" s="383"/>
      <c r="B704" s="383"/>
      <c r="C704" s="466"/>
      <c r="D704" s="383"/>
      <c r="E704" s="383"/>
      <c r="F704" s="383"/>
      <c r="G704" s="383"/>
      <c r="H704" s="383"/>
    </row>
    <row r="705" spans="1:8">
      <c r="A705" s="383"/>
      <c r="B705" s="383"/>
      <c r="C705" s="466"/>
      <c r="D705" s="383"/>
      <c r="E705" s="383"/>
      <c r="F705" s="383"/>
      <c r="G705" s="383"/>
      <c r="H705" s="383"/>
    </row>
    <row r="706" spans="1:8">
      <c r="A706" s="383"/>
      <c r="B706" s="383"/>
      <c r="C706" s="466"/>
      <c r="D706" s="383"/>
      <c r="E706" s="383"/>
      <c r="F706" s="383"/>
      <c r="G706" s="383"/>
      <c r="H706" s="383"/>
    </row>
    <row r="707" spans="1:8">
      <c r="A707" s="383"/>
      <c r="B707" s="383"/>
      <c r="C707" s="466"/>
      <c r="D707" s="383"/>
      <c r="E707" s="383"/>
      <c r="F707" s="383"/>
      <c r="G707" s="383"/>
      <c r="H707" s="383"/>
    </row>
    <row r="708" spans="1:8">
      <c r="A708" s="383"/>
      <c r="B708" s="383"/>
      <c r="C708" s="466"/>
      <c r="D708" s="383"/>
      <c r="E708" s="383"/>
      <c r="F708" s="383"/>
      <c r="G708" s="383"/>
      <c r="H708" s="383"/>
    </row>
    <row r="709" spans="1:8">
      <c r="A709" s="383"/>
      <c r="B709" s="383"/>
      <c r="C709" s="466"/>
      <c r="D709" s="383"/>
      <c r="E709" s="383"/>
      <c r="F709" s="383"/>
      <c r="G709" s="383"/>
      <c r="H709" s="383"/>
    </row>
    <row r="710" spans="1:8">
      <c r="A710" s="383"/>
      <c r="B710" s="383"/>
      <c r="C710" s="466"/>
      <c r="D710" s="383"/>
      <c r="E710" s="383"/>
      <c r="F710" s="383"/>
      <c r="G710" s="383"/>
      <c r="H710" s="383"/>
    </row>
    <row r="711" spans="1:8">
      <c r="A711" s="383"/>
      <c r="B711" s="383"/>
      <c r="C711" s="466"/>
      <c r="D711" s="383"/>
      <c r="E711" s="383"/>
      <c r="F711" s="383"/>
      <c r="G711" s="383"/>
      <c r="H711" s="383"/>
    </row>
    <row r="712" spans="1:8">
      <c r="A712" s="383"/>
      <c r="B712" s="383"/>
      <c r="C712" s="466"/>
      <c r="D712" s="383"/>
      <c r="E712" s="383"/>
      <c r="F712" s="383"/>
      <c r="G712" s="383"/>
      <c r="H712" s="383"/>
    </row>
    <row r="713" spans="1:8">
      <c r="A713" s="383"/>
      <c r="B713" s="383"/>
      <c r="C713" s="466"/>
      <c r="D713" s="383"/>
      <c r="E713" s="383"/>
      <c r="F713" s="383"/>
      <c r="G713" s="383"/>
      <c r="H713" s="383"/>
    </row>
    <row r="714" spans="1:8">
      <c r="A714" s="383"/>
      <c r="B714" s="383"/>
      <c r="C714" s="466"/>
      <c r="D714" s="383"/>
      <c r="E714" s="383"/>
      <c r="F714" s="383"/>
      <c r="G714" s="383"/>
      <c r="H714" s="383"/>
    </row>
    <row r="715" spans="1:8">
      <c r="A715" s="383"/>
      <c r="B715" s="383"/>
      <c r="C715" s="466"/>
      <c r="D715" s="383"/>
      <c r="E715" s="383"/>
      <c r="F715" s="383"/>
      <c r="G715" s="383"/>
      <c r="H715" s="383"/>
    </row>
    <row r="716" spans="1:8">
      <c r="A716" s="383"/>
      <c r="B716" s="383"/>
      <c r="C716" s="466"/>
      <c r="D716" s="383"/>
      <c r="E716" s="383"/>
      <c r="F716" s="383"/>
      <c r="G716" s="383"/>
      <c r="H716" s="383"/>
    </row>
    <row r="717" spans="1:8">
      <c r="A717" s="383"/>
      <c r="B717" s="383"/>
      <c r="C717" s="466"/>
      <c r="D717" s="383"/>
      <c r="E717" s="383"/>
      <c r="F717" s="383"/>
      <c r="G717" s="383"/>
      <c r="H717" s="383"/>
    </row>
    <row r="718" spans="1:8">
      <c r="A718" s="383"/>
      <c r="B718" s="383"/>
      <c r="C718" s="466"/>
      <c r="D718" s="383"/>
      <c r="E718" s="383"/>
      <c r="F718" s="383"/>
      <c r="G718" s="383"/>
      <c r="H718" s="383"/>
    </row>
    <row r="719" spans="1:8">
      <c r="A719" s="383"/>
      <c r="B719" s="383"/>
      <c r="C719" s="466"/>
      <c r="D719" s="383"/>
      <c r="E719" s="383"/>
      <c r="F719" s="383"/>
      <c r="G719" s="383"/>
      <c r="H719" s="383"/>
    </row>
    <row r="720" spans="1:8">
      <c r="A720" s="383"/>
      <c r="B720" s="383"/>
      <c r="C720" s="466"/>
      <c r="D720" s="383"/>
      <c r="E720" s="383"/>
      <c r="F720" s="383"/>
      <c r="G720" s="383"/>
      <c r="H720" s="383"/>
    </row>
    <row r="721" spans="1:8">
      <c r="A721" s="383"/>
      <c r="B721" s="383"/>
      <c r="C721" s="466"/>
      <c r="D721" s="383"/>
      <c r="E721" s="383"/>
      <c r="F721" s="383"/>
      <c r="G721" s="383"/>
      <c r="H721" s="383"/>
    </row>
    <row r="722" spans="1:8">
      <c r="A722" s="383"/>
      <c r="B722" s="383"/>
      <c r="C722" s="466"/>
      <c r="D722" s="383"/>
      <c r="E722" s="383"/>
      <c r="F722" s="383"/>
      <c r="G722" s="383"/>
      <c r="H722" s="383"/>
    </row>
    <row r="723" spans="1:8">
      <c r="A723" s="383"/>
      <c r="B723" s="383"/>
      <c r="C723" s="466"/>
      <c r="D723" s="383"/>
      <c r="E723" s="383"/>
      <c r="F723" s="383"/>
      <c r="G723" s="383"/>
      <c r="H723" s="383"/>
    </row>
    <row r="724" spans="1:8">
      <c r="A724" s="383"/>
      <c r="B724" s="383"/>
      <c r="C724" s="466"/>
      <c r="D724" s="383"/>
      <c r="E724" s="383"/>
      <c r="F724" s="383"/>
      <c r="G724" s="383"/>
      <c r="H724" s="383"/>
    </row>
    <row r="725" spans="1:8">
      <c r="A725" s="383"/>
      <c r="B725" s="383"/>
      <c r="C725" s="466"/>
      <c r="D725" s="383"/>
      <c r="E725" s="383"/>
      <c r="F725" s="383"/>
      <c r="G725" s="383"/>
      <c r="H725" s="383"/>
    </row>
    <row r="726" spans="1:8">
      <c r="A726" s="383"/>
      <c r="B726" s="383"/>
      <c r="C726" s="466"/>
      <c r="D726" s="383"/>
      <c r="E726" s="383"/>
      <c r="F726" s="383"/>
      <c r="G726" s="383"/>
      <c r="H726" s="383"/>
    </row>
    <row r="727" spans="1:8">
      <c r="A727" s="383"/>
      <c r="B727" s="383"/>
      <c r="C727" s="466"/>
      <c r="D727" s="383"/>
      <c r="E727" s="383"/>
      <c r="F727" s="383"/>
      <c r="G727" s="383"/>
      <c r="H727" s="383"/>
    </row>
    <row r="728" spans="1:8">
      <c r="A728" s="383"/>
      <c r="B728" s="383"/>
      <c r="C728" s="466"/>
      <c r="D728" s="383"/>
      <c r="E728" s="383"/>
      <c r="F728" s="383"/>
      <c r="G728" s="383"/>
      <c r="H728" s="383"/>
    </row>
    <row r="729" spans="1:8">
      <c r="A729" s="383"/>
      <c r="B729" s="383"/>
      <c r="C729" s="466"/>
      <c r="D729" s="383"/>
      <c r="E729" s="383"/>
      <c r="F729" s="383"/>
      <c r="G729" s="383"/>
      <c r="H729" s="383"/>
    </row>
    <row r="730" spans="1:8">
      <c r="A730" s="383"/>
      <c r="B730" s="383"/>
      <c r="C730" s="466"/>
      <c r="D730" s="383"/>
      <c r="E730" s="383"/>
      <c r="F730" s="383"/>
      <c r="G730" s="383"/>
      <c r="H730" s="383"/>
    </row>
    <row r="731" spans="1:8">
      <c r="A731" s="383"/>
      <c r="B731" s="383"/>
      <c r="C731" s="466"/>
      <c r="D731" s="383"/>
      <c r="E731" s="383"/>
      <c r="F731" s="383"/>
      <c r="G731" s="383"/>
      <c r="H731" s="383"/>
    </row>
    <row r="732" spans="1:8">
      <c r="A732" s="383"/>
      <c r="B732" s="383"/>
      <c r="C732" s="466"/>
      <c r="D732" s="383"/>
      <c r="E732" s="383"/>
      <c r="F732" s="383"/>
      <c r="G732" s="383"/>
      <c r="H732" s="383"/>
    </row>
    <row r="733" spans="1:8">
      <c r="A733" s="383"/>
      <c r="B733" s="383"/>
      <c r="C733" s="466"/>
      <c r="D733" s="383"/>
      <c r="E733" s="383"/>
      <c r="F733" s="383"/>
      <c r="G733" s="383"/>
      <c r="H733" s="383"/>
    </row>
    <row r="734" spans="1:8">
      <c r="A734" s="383"/>
      <c r="B734" s="383"/>
      <c r="C734" s="466"/>
      <c r="D734" s="383"/>
      <c r="E734" s="383"/>
      <c r="F734" s="383"/>
      <c r="G734" s="383"/>
      <c r="H734" s="383"/>
    </row>
    <row r="735" spans="1:8">
      <c r="A735" s="383"/>
      <c r="B735" s="383"/>
      <c r="C735" s="466"/>
      <c r="D735" s="383"/>
      <c r="E735" s="383"/>
      <c r="F735" s="383"/>
      <c r="G735" s="383"/>
      <c r="H735" s="383"/>
    </row>
    <row r="736" spans="1:8">
      <c r="A736" s="383"/>
      <c r="B736" s="383"/>
      <c r="C736" s="466"/>
      <c r="D736" s="383"/>
      <c r="E736" s="383"/>
      <c r="F736" s="383"/>
      <c r="G736" s="383"/>
      <c r="H736" s="383"/>
    </row>
    <row r="737" spans="1:8">
      <c r="A737" s="383"/>
      <c r="B737" s="383"/>
      <c r="C737" s="466"/>
      <c r="D737" s="383"/>
      <c r="E737" s="383"/>
      <c r="F737" s="383"/>
      <c r="G737" s="383"/>
      <c r="H737" s="383"/>
    </row>
    <row r="738" spans="1:8">
      <c r="A738" s="383"/>
      <c r="B738" s="383"/>
      <c r="C738" s="466"/>
      <c r="D738" s="383"/>
      <c r="E738" s="383"/>
      <c r="F738" s="383"/>
      <c r="G738" s="383"/>
      <c r="H738" s="383"/>
    </row>
    <row r="739" spans="1:8">
      <c r="A739" s="383"/>
      <c r="B739" s="383"/>
      <c r="C739" s="466"/>
      <c r="D739" s="383"/>
      <c r="E739" s="383"/>
      <c r="F739" s="383"/>
      <c r="G739" s="383"/>
      <c r="H739" s="383"/>
    </row>
    <row r="740" spans="1:8">
      <c r="A740" s="383"/>
      <c r="B740" s="383"/>
      <c r="C740" s="466"/>
      <c r="D740" s="383"/>
      <c r="E740" s="383"/>
      <c r="F740" s="383"/>
      <c r="G740" s="383"/>
      <c r="H740" s="383"/>
    </row>
    <row r="741" spans="1:8">
      <c r="A741" s="383"/>
      <c r="B741" s="383"/>
      <c r="C741" s="466"/>
      <c r="D741" s="383"/>
      <c r="E741" s="383"/>
      <c r="F741" s="383"/>
      <c r="G741" s="383"/>
      <c r="H741" s="383"/>
    </row>
    <row r="742" spans="1:8">
      <c r="A742" s="383"/>
      <c r="B742" s="383"/>
      <c r="C742" s="466"/>
      <c r="D742" s="383"/>
      <c r="E742" s="383"/>
      <c r="F742" s="383"/>
      <c r="G742" s="383"/>
      <c r="H742" s="383"/>
    </row>
    <row r="743" spans="1:8">
      <c r="A743" s="383"/>
      <c r="B743" s="383"/>
      <c r="C743" s="466"/>
      <c r="D743" s="383"/>
      <c r="E743" s="383"/>
      <c r="F743" s="383"/>
      <c r="G743" s="383"/>
      <c r="H743" s="383"/>
    </row>
    <row r="744" spans="1:8">
      <c r="A744" s="383"/>
      <c r="B744" s="383"/>
      <c r="C744" s="466"/>
      <c r="D744" s="383"/>
      <c r="E744" s="383"/>
      <c r="F744" s="383"/>
      <c r="G744" s="383"/>
      <c r="H744" s="383"/>
    </row>
    <row r="745" spans="1:8">
      <c r="A745" s="383"/>
      <c r="B745" s="383"/>
      <c r="C745" s="466"/>
      <c r="D745" s="383"/>
      <c r="E745" s="383"/>
      <c r="F745" s="383"/>
      <c r="G745" s="383"/>
      <c r="H745" s="383"/>
    </row>
    <row r="746" spans="1:8">
      <c r="A746" s="383"/>
      <c r="B746" s="383"/>
      <c r="C746" s="466"/>
      <c r="D746" s="383"/>
      <c r="E746" s="383"/>
      <c r="F746" s="383"/>
      <c r="G746" s="383"/>
      <c r="H746" s="383"/>
    </row>
    <row r="747" spans="1:8">
      <c r="A747" s="383"/>
      <c r="B747" s="383"/>
      <c r="C747" s="466"/>
      <c r="D747" s="383"/>
      <c r="E747" s="383"/>
      <c r="F747" s="383"/>
      <c r="G747" s="383"/>
      <c r="H747" s="383"/>
    </row>
    <row r="748" spans="1:8">
      <c r="A748" s="383"/>
      <c r="B748" s="383"/>
      <c r="C748" s="466"/>
      <c r="D748" s="383"/>
      <c r="E748" s="383"/>
      <c r="F748" s="383"/>
      <c r="G748" s="383"/>
      <c r="H748" s="383"/>
    </row>
    <row r="749" spans="1:8">
      <c r="A749" s="383"/>
      <c r="B749" s="383"/>
      <c r="C749" s="466"/>
      <c r="D749" s="383"/>
      <c r="E749" s="383"/>
      <c r="F749" s="383"/>
      <c r="G749" s="383"/>
      <c r="H749" s="383"/>
    </row>
    <row r="750" spans="1:8">
      <c r="A750" s="383"/>
      <c r="B750" s="383"/>
      <c r="C750" s="466"/>
      <c r="D750" s="383"/>
      <c r="E750" s="383"/>
      <c r="F750" s="383"/>
      <c r="G750" s="383"/>
      <c r="H750" s="383"/>
    </row>
    <row r="751" spans="1:8">
      <c r="A751" s="383"/>
      <c r="B751" s="383"/>
      <c r="C751" s="466"/>
      <c r="D751" s="383"/>
      <c r="E751" s="383"/>
      <c r="F751" s="383"/>
      <c r="G751" s="383"/>
      <c r="H751" s="383"/>
    </row>
    <row r="752" spans="1:8">
      <c r="A752" s="383"/>
      <c r="B752" s="383"/>
      <c r="C752" s="466"/>
      <c r="D752" s="383"/>
      <c r="E752" s="383"/>
      <c r="F752" s="383"/>
      <c r="G752" s="383"/>
      <c r="H752" s="383"/>
    </row>
    <row r="753" spans="1:8">
      <c r="A753" s="383"/>
      <c r="B753" s="383"/>
      <c r="C753" s="466"/>
      <c r="D753" s="383"/>
      <c r="E753" s="383"/>
      <c r="F753" s="383"/>
      <c r="G753" s="383"/>
      <c r="H753" s="383"/>
    </row>
    <row r="754" spans="1:8">
      <c r="A754" s="383"/>
      <c r="B754" s="383"/>
      <c r="C754" s="466"/>
      <c r="D754" s="383"/>
      <c r="E754" s="383"/>
      <c r="F754" s="383"/>
      <c r="G754" s="383"/>
      <c r="H754" s="383"/>
    </row>
    <row r="755" spans="1:8">
      <c r="A755" s="383"/>
      <c r="B755" s="383"/>
      <c r="C755" s="466"/>
      <c r="D755" s="383"/>
      <c r="E755" s="383"/>
      <c r="F755" s="383"/>
      <c r="G755" s="383"/>
      <c r="H755" s="383"/>
    </row>
    <row r="756" spans="1:8">
      <c r="A756" s="383"/>
      <c r="B756" s="383"/>
      <c r="C756" s="466"/>
      <c r="D756" s="383"/>
      <c r="E756" s="383"/>
      <c r="F756" s="383"/>
      <c r="G756" s="383"/>
      <c r="H756" s="383"/>
    </row>
    <row r="757" spans="1:8">
      <c r="A757" s="383"/>
      <c r="B757" s="383"/>
      <c r="C757" s="466"/>
      <c r="D757" s="383"/>
      <c r="E757" s="383"/>
      <c r="F757" s="383"/>
      <c r="G757" s="383"/>
      <c r="H757" s="383"/>
    </row>
    <row r="758" spans="1:8">
      <c r="A758" s="383"/>
      <c r="B758" s="383"/>
      <c r="C758" s="466"/>
      <c r="D758" s="383"/>
      <c r="E758" s="383"/>
      <c r="F758" s="383"/>
      <c r="G758" s="383"/>
      <c r="H758" s="383"/>
    </row>
    <row r="759" spans="1:8">
      <c r="A759" s="383"/>
      <c r="B759" s="383"/>
      <c r="C759" s="466"/>
      <c r="D759" s="383"/>
      <c r="E759" s="383"/>
      <c r="F759" s="383"/>
      <c r="G759" s="383"/>
      <c r="H759" s="383"/>
    </row>
    <row r="760" spans="1:8">
      <c r="A760" s="383"/>
      <c r="B760" s="383"/>
      <c r="C760" s="466"/>
      <c r="D760" s="383"/>
      <c r="E760" s="383"/>
      <c r="F760" s="383"/>
      <c r="G760" s="383"/>
      <c r="H760" s="383"/>
    </row>
    <row r="761" spans="1:8">
      <c r="A761" s="383"/>
      <c r="B761" s="383"/>
      <c r="C761" s="466"/>
      <c r="D761" s="383"/>
      <c r="E761" s="383"/>
      <c r="F761" s="383"/>
      <c r="G761" s="383"/>
      <c r="H761" s="383"/>
    </row>
    <row r="762" spans="1:8">
      <c r="A762" s="383"/>
      <c r="B762" s="383"/>
      <c r="C762" s="466"/>
      <c r="D762" s="383"/>
      <c r="E762" s="383"/>
      <c r="F762" s="383"/>
      <c r="G762" s="383"/>
      <c r="H762" s="383"/>
    </row>
    <row r="763" spans="1:8">
      <c r="A763" s="383"/>
      <c r="B763" s="383"/>
      <c r="C763" s="466"/>
      <c r="D763" s="383"/>
      <c r="E763" s="383"/>
      <c r="F763" s="383"/>
      <c r="G763" s="383"/>
      <c r="H763" s="383"/>
    </row>
    <row r="764" spans="1:8">
      <c r="A764" s="383"/>
      <c r="B764" s="383"/>
      <c r="C764" s="466"/>
      <c r="D764" s="383"/>
      <c r="E764" s="383"/>
      <c r="F764" s="383"/>
      <c r="G764" s="383"/>
      <c r="H764" s="383"/>
    </row>
    <row r="765" spans="1:8">
      <c r="A765" s="383"/>
      <c r="B765" s="383"/>
      <c r="C765" s="466"/>
      <c r="D765" s="383"/>
      <c r="E765" s="383"/>
      <c r="F765" s="383"/>
      <c r="G765" s="383"/>
      <c r="H765" s="383"/>
    </row>
    <row r="766" spans="1:8">
      <c r="A766" s="383"/>
      <c r="B766" s="383"/>
      <c r="C766" s="466"/>
      <c r="D766" s="383"/>
      <c r="E766" s="383"/>
      <c r="F766" s="383"/>
      <c r="G766" s="383"/>
      <c r="H766" s="383"/>
    </row>
    <row r="767" spans="1:8">
      <c r="A767" s="383"/>
      <c r="B767" s="383"/>
      <c r="C767" s="466"/>
      <c r="D767" s="383"/>
      <c r="E767" s="383"/>
      <c r="F767" s="383"/>
      <c r="G767" s="383"/>
      <c r="H767" s="383"/>
    </row>
    <row r="768" spans="1:8">
      <c r="A768" s="383"/>
      <c r="B768" s="383"/>
      <c r="C768" s="466"/>
      <c r="D768" s="383"/>
      <c r="E768" s="383"/>
      <c r="F768" s="383"/>
      <c r="G768" s="383"/>
      <c r="H768" s="383"/>
    </row>
    <row r="769" spans="1:8">
      <c r="A769" s="383"/>
      <c r="B769" s="383"/>
      <c r="C769" s="466"/>
      <c r="D769" s="383"/>
      <c r="E769" s="383"/>
      <c r="F769" s="383"/>
      <c r="G769" s="383"/>
      <c r="H769" s="383"/>
    </row>
    <row r="770" spans="1:8">
      <c r="A770" s="383"/>
      <c r="B770" s="383"/>
      <c r="C770" s="466"/>
      <c r="D770" s="383"/>
      <c r="E770" s="383"/>
      <c r="F770" s="383"/>
      <c r="G770" s="383"/>
      <c r="H770" s="383"/>
    </row>
    <row r="771" spans="1:8">
      <c r="A771" s="383"/>
      <c r="B771" s="383"/>
      <c r="C771" s="466"/>
      <c r="D771" s="383"/>
      <c r="E771" s="383"/>
      <c r="F771" s="383"/>
      <c r="G771" s="383"/>
      <c r="H771" s="383"/>
    </row>
    <row r="772" spans="1:8">
      <c r="A772" s="383"/>
      <c r="B772" s="383"/>
      <c r="C772" s="466"/>
      <c r="D772" s="383"/>
      <c r="E772" s="383"/>
      <c r="F772" s="383"/>
      <c r="G772" s="383"/>
      <c r="H772" s="383"/>
    </row>
    <row r="773" spans="1:8">
      <c r="A773" s="383"/>
      <c r="B773" s="383"/>
      <c r="C773" s="466"/>
      <c r="D773" s="383"/>
      <c r="E773" s="383"/>
      <c r="F773" s="383"/>
      <c r="G773" s="383"/>
      <c r="H773" s="383"/>
    </row>
    <row r="774" spans="1:8">
      <c r="A774" s="383"/>
      <c r="B774" s="383"/>
      <c r="C774" s="466"/>
      <c r="D774" s="383"/>
      <c r="E774" s="383"/>
      <c r="F774" s="383"/>
      <c r="G774" s="383"/>
      <c r="H774" s="383"/>
    </row>
    <row r="775" spans="1:8">
      <c r="A775" s="383"/>
      <c r="B775" s="383"/>
      <c r="C775" s="466"/>
      <c r="D775" s="383"/>
      <c r="E775" s="383"/>
      <c r="F775" s="383"/>
      <c r="G775" s="383"/>
      <c r="H775" s="383"/>
    </row>
    <row r="776" spans="1:8">
      <c r="A776" s="383"/>
      <c r="B776" s="383"/>
      <c r="C776" s="466"/>
      <c r="D776" s="383"/>
      <c r="E776" s="383"/>
      <c r="F776" s="383"/>
      <c r="G776" s="383"/>
      <c r="H776" s="383"/>
    </row>
    <row r="777" spans="1:8">
      <c r="A777" s="383"/>
      <c r="B777" s="383"/>
      <c r="C777" s="466"/>
      <c r="D777" s="383"/>
      <c r="E777" s="383"/>
      <c r="F777" s="383"/>
      <c r="G777" s="383"/>
      <c r="H777" s="383"/>
    </row>
    <row r="778" spans="1:8">
      <c r="A778" s="383"/>
      <c r="B778" s="383"/>
      <c r="C778" s="466"/>
      <c r="D778" s="383"/>
      <c r="E778" s="383"/>
      <c r="F778" s="383"/>
      <c r="G778" s="383"/>
      <c r="H778" s="383"/>
    </row>
    <row r="779" spans="1:8">
      <c r="A779" s="383"/>
      <c r="B779" s="383"/>
      <c r="C779" s="466"/>
      <c r="D779" s="383"/>
      <c r="E779" s="383"/>
      <c r="F779" s="383"/>
      <c r="G779" s="383"/>
      <c r="H779" s="383"/>
    </row>
    <row r="780" spans="1:8">
      <c r="A780" s="383"/>
      <c r="B780" s="383"/>
      <c r="C780" s="466"/>
      <c r="D780" s="383"/>
      <c r="E780" s="383"/>
      <c r="F780" s="383"/>
      <c r="G780" s="383"/>
      <c r="H780" s="383"/>
    </row>
    <row r="781" spans="1:8">
      <c r="A781" s="383"/>
      <c r="B781" s="383"/>
      <c r="C781" s="466"/>
      <c r="D781" s="383"/>
      <c r="E781" s="383"/>
      <c r="F781" s="383"/>
      <c r="G781" s="383"/>
      <c r="H781" s="383"/>
    </row>
    <row r="782" spans="1:8">
      <c r="A782" s="383"/>
      <c r="B782" s="383"/>
      <c r="C782" s="466"/>
      <c r="D782" s="383"/>
      <c r="E782" s="383"/>
      <c r="F782" s="383"/>
      <c r="G782" s="383"/>
      <c r="H782" s="383"/>
    </row>
    <row r="783" spans="1:8">
      <c r="A783" s="383"/>
      <c r="B783" s="383"/>
      <c r="C783" s="466"/>
      <c r="D783" s="383"/>
      <c r="E783" s="383"/>
      <c r="F783" s="383"/>
      <c r="G783" s="383"/>
      <c r="H783" s="383"/>
    </row>
    <row r="784" spans="1:8">
      <c r="A784" s="383"/>
      <c r="B784" s="383"/>
      <c r="C784" s="466"/>
      <c r="D784" s="383"/>
      <c r="E784" s="383"/>
      <c r="F784" s="383"/>
      <c r="G784" s="383"/>
      <c r="H784" s="383"/>
    </row>
    <row r="785" spans="1:8">
      <c r="A785" s="383"/>
      <c r="B785" s="383"/>
      <c r="C785" s="466"/>
      <c r="D785" s="383"/>
      <c r="E785" s="383"/>
      <c r="F785" s="383"/>
      <c r="G785" s="383"/>
      <c r="H785" s="383"/>
    </row>
    <row r="786" spans="1:8">
      <c r="A786" s="383"/>
      <c r="B786" s="383"/>
      <c r="C786" s="466"/>
      <c r="D786" s="383"/>
      <c r="E786" s="383"/>
      <c r="F786" s="383"/>
      <c r="G786" s="383"/>
      <c r="H786" s="383"/>
    </row>
    <row r="787" spans="1:8">
      <c r="A787" s="383"/>
      <c r="B787" s="383"/>
      <c r="C787" s="466"/>
      <c r="D787" s="383"/>
      <c r="E787" s="383"/>
      <c r="F787" s="383"/>
      <c r="G787" s="383"/>
      <c r="H787" s="383"/>
    </row>
    <row r="788" spans="1:8">
      <c r="A788" s="383"/>
      <c r="B788" s="383"/>
      <c r="C788" s="466"/>
      <c r="D788" s="383"/>
      <c r="E788" s="383"/>
      <c r="F788" s="383"/>
      <c r="G788" s="383"/>
      <c r="H788" s="383"/>
    </row>
    <row r="789" spans="1:8">
      <c r="A789" s="383"/>
      <c r="B789" s="383"/>
      <c r="C789" s="466"/>
      <c r="D789" s="383"/>
      <c r="E789" s="383"/>
      <c r="F789" s="383"/>
      <c r="G789" s="383"/>
      <c r="H789" s="383"/>
    </row>
    <row r="790" spans="1:8">
      <c r="A790" s="383"/>
      <c r="B790" s="383"/>
      <c r="C790" s="466"/>
      <c r="D790" s="383"/>
      <c r="E790" s="383"/>
      <c r="F790" s="383"/>
      <c r="G790" s="383"/>
      <c r="H790" s="383"/>
    </row>
    <row r="791" spans="1:8">
      <c r="A791" s="383"/>
      <c r="B791" s="383"/>
      <c r="C791" s="466"/>
      <c r="D791" s="383"/>
      <c r="E791" s="383"/>
      <c r="F791" s="383"/>
      <c r="G791" s="383"/>
      <c r="H791" s="383"/>
    </row>
    <row r="792" spans="1:8">
      <c r="A792" s="383"/>
      <c r="B792" s="383"/>
      <c r="C792" s="466"/>
      <c r="D792" s="383"/>
      <c r="E792" s="383"/>
      <c r="F792" s="383"/>
      <c r="G792" s="383"/>
      <c r="H792" s="383"/>
    </row>
    <row r="793" spans="1:8">
      <c r="A793" s="383"/>
      <c r="B793" s="383"/>
      <c r="C793" s="466"/>
      <c r="D793" s="383"/>
      <c r="E793" s="383"/>
      <c r="F793" s="383"/>
      <c r="G793" s="383"/>
      <c r="H793" s="383"/>
    </row>
    <row r="794" spans="1:8">
      <c r="A794" s="383"/>
      <c r="B794" s="383"/>
      <c r="C794" s="466"/>
      <c r="D794" s="383"/>
      <c r="E794" s="383"/>
      <c r="F794" s="383"/>
      <c r="G794" s="383"/>
      <c r="H794" s="383"/>
    </row>
    <row r="795" spans="1:8">
      <c r="A795" s="383"/>
      <c r="B795" s="383"/>
      <c r="C795" s="466"/>
      <c r="D795" s="383"/>
      <c r="E795" s="383"/>
      <c r="F795" s="383"/>
      <c r="G795" s="383"/>
      <c r="H795" s="383"/>
    </row>
    <row r="796" spans="1:8">
      <c r="A796" s="383"/>
      <c r="B796" s="383"/>
      <c r="C796" s="466"/>
      <c r="D796" s="383"/>
      <c r="E796" s="383"/>
      <c r="F796" s="383"/>
      <c r="G796" s="383"/>
      <c r="H796" s="383"/>
    </row>
    <row r="797" spans="1:8">
      <c r="A797" s="383"/>
      <c r="B797" s="383"/>
      <c r="C797" s="466"/>
      <c r="D797" s="383"/>
      <c r="E797" s="383"/>
      <c r="F797" s="383"/>
      <c r="G797" s="383"/>
      <c r="H797" s="383"/>
    </row>
    <row r="798" spans="1:8">
      <c r="A798" s="383"/>
      <c r="B798" s="383"/>
      <c r="C798" s="466"/>
      <c r="D798" s="383"/>
      <c r="E798" s="383"/>
      <c r="F798" s="383"/>
      <c r="G798" s="383"/>
      <c r="H798" s="383"/>
    </row>
    <row r="799" spans="1:8">
      <c r="A799" s="383"/>
      <c r="B799" s="383"/>
      <c r="C799" s="466"/>
      <c r="D799" s="383"/>
      <c r="E799" s="383"/>
      <c r="F799" s="383"/>
      <c r="G799" s="383"/>
      <c r="H799" s="383"/>
    </row>
    <row r="800" spans="1:8">
      <c r="A800" s="383"/>
      <c r="B800" s="383"/>
      <c r="C800" s="466"/>
      <c r="D800" s="383"/>
      <c r="E800" s="383"/>
      <c r="F800" s="383"/>
      <c r="G800" s="383"/>
      <c r="H800" s="383"/>
    </row>
    <row r="801" spans="1:8">
      <c r="A801" s="383"/>
      <c r="B801" s="383"/>
      <c r="C801" s="466"/>
      <c r="D801" s="383"/>
      <c r="E801" s="383"/>
      <c r="F801" s="383"/>
      <c r="G801" s="383"/>
      <c r="H801" s="383"/>
    </row>
    <row r="802" spans="1:8">
      <c r="A802" s="383"/>
      <c r="B802" s="383"/>
      <c r="C802" s="466"/>
      <c r="D802" s="383"/>
      <c r="E802" s="383"/>
      <c r="F802" s="383"/>
      <c r="G802" s="383"/>
      <c r="H802" s="383"/>
    </row>
    <row r="803" spans="1:8">
      <c r="A803" s="383"/>
      <c r="B803" s="383"/>
      <c r="C803" s="466"/>
      <c r="D803" s="383"/>
      <c r="E803" s="383"/>
      <c r="F803" s="383"/>
      <c r="G803" s="383"/>
      <c r="H803" s="383"/>
    </row>
    <row r="804" spans="1:8">
      <c r="A804" s="383"/>
      <c r="B804" s="383"/>
      <c r="C804" s="466"/>
      <c r="D804" s="383"/>
      <c r="E804" s="383"/>
      <c r="F804" s="383"/>
      <c r="G804" s="383"/>
      <c r="H804" s="383"/>
    </row>
    <row r="805" spans="1:8">
      <c r="A805" s="383"/>
      <c r="B805" s="383"/>
      <c r="C805" s="466"/>
      <c r="D805" s="383"/>
      <c r="E805" s="383"/>
      <c r="F805" s="383"/>
      <c r="G805" s="383"/>
      <c r="H805" s="383"/>
    </row>
    <row r="806" spans="1:8">
      <c r="A806" s="383"/>
      <c r="B806" s="383"/>
      <c r="C806" s="466"/>
      <c r="D806" s="383"/>
      <c r="E806" s="383"/>
      <c r="F806" s="383"/>
      <c r="G806" s="383"/>
      <c r="H806" s="383"/>
    </row>
    <row r="807" spans="1:8">
      <c r="A807" s="383"/>
      <c r="B807" s="383"/>
      <c r="C807" s="466"/>
      <c r="D807" s="383"/>
      <c r="E807" s="383"/>
      <c r="F807" s="383"/>
      <c r="G807" s="383"/>
      <c r="H807" s="383"/>
    </row>
    <row r="808" spans="1:8">
      <c r="A808" s="383"/>
      <c r="B808" s="383"/>
      <c r="C808" s="466"/>
      <c r="D808" s="383"/>
      <c r="E808" s="383"/>
      <c r="F808" s="383"/>
      <c r="G808" s="383"/>
      <c r="H808" s="383"/>
    </row>
    <row r="809" spans="1:8">
      <c r="A809" s="383"/>
      <c r="B809" s="383"/>
      <c r="C809" s="466"/>
      <c r="D809" s="383"/>
      <c r="E809" s="383"/>
      <c r="F809" s="383"/>
      <c r="G809" s="383"/>
      <c r="H809" s="383"/>
    </row>
    <row r="810" spans="1:8">
      <c r="A810" s="383"/>
      <c r="B810" s="383"/>
      <c r="C810" s="466"/>
      <c r="D810" s="383"/>
      <c r="E810" s="383"/>
      <c r="F810" s="383"/>
      <c r="G810" s="383"/>
      <c r="H810" s="383"/>
    </row>
    <row r="811" spans="1:8">
      <c r="A811" s="383"/>
      <c r="B811" s="383"/>
      <c r="C811" s="466"/>
      <c r="D811" s="383"/>
      <c r="E811" s="383"/>
      <c r="F811" s="383"/>
      <c r="G811" s="383"/>
      <c r="H811" s="383"/>
    </row>
    <row r="812" spans="1:8">
      <c r="A812" s="383"/>
      <c r="B812" s="383"/>
      <c r="C812" s="466"/>
      <c r="D812" s="383"/>
      <c r="E812" s="383"/>
      <c r="F812" s="383"/>
      <c r="G812" s="383"/>
      <c r="H812" s="383"/>
    </row>
    <row r="813" spans="1:8">
      <c r="A813" s="383"/>
      <c r="B813" s="383"/>
      <c r="C813" s="466"/>
      <c r="D813" s="383"/>
      <c r="E813" s="383"/>
      <c r="F813" s="383"/>
      <c r="G813" s="383"/>
      <c r="H813" s="383"/>
    </row>
    <row r="814" spans="1:8">
      <c r="A814" s="383"/>
      <c r="B814" s="383"/>
      <c r="C814" s="466"/>
      <c r="D814" s="383"/>
      <c r="E814" s="383"/>
      <c r="F814" s="383"/>
      <c r="G814" s="383"/>
      <c r="H814" s="383"/>
    </row>
    <row r="815" spans="1:8">
      <c r="A815" s="383"/>
      <c r="B815" s="383"/>
      <c r="C815" s="466"/>
      <c r="D815" s="383"/>
      <c r="E815" s="383"/>
      <c r="F815" s="383"/>
      <c r="G815" s="383"/>
      <c r="H815" s="383"/>
    </row>
    <row r="816" spans="1:8">
      <c r="A816" s="383"/>
      <c r="B816" s="383"/>
      <c r="C816" s="466"/>
      <c r="D816" s="383"/>
      <c r="E816" s="383"/>
      <c r="F816" s="383"/>
      <c r="G816" s="383"/>
      <c r="H816" s="383"/>
    </row>
    <row r="817" spans="1:8">
      <c r="A817" s="383"/>
      <c r="B817" s="383"/>
      <c r="C817" s="466"/>
      <c r="D817" s="383"/>
      <c r="E817" s="383"/>
      <c r="F817" s="383"/>
      <c r="G817" s="383"/>
      <c r="H817" s="383"/>
    </row>
    <row r="818" spans="1:8">
      <c r="A818" s="383"/>
      <c r="B818" s="383"/>
      <c r="C818" s="466"/>
      <c r="D818" s="383"/>
      <c r="E818" s="383"/>
      <c r="F818" s="383"/>
      <c r="G818" s="383"/>
      <c r="H818" s="383"/>
    </row>
    <row r="819" spans="1:8">
      <c r="A819" s="383"/>
      <c r="B819" s="383"/>
      <c r="C819" s="466"/>
      <c r="D819" s="383"/>
      <c r="E819" s="383"/>
      <c r="F819" s="383"/>
      <c r="G819" s="383"/>
      <c r="H819" s="383"/>
    </row>
    <row r="820" spans="1:8">
      <c r="A820" s="383"/>
      <c r="B820" s="383"/>
      <c r="C820" s="466"/>
      <c r="D820" s="383"/>
      <c r="E820" s="383"/>
      <c r="F820" s="383"/>
      <c r="G820" s="383"/>
      <c r="H820" s="383"/>
    </row>
    <row r="821" spans="1:8">
      <c r="A821" s="383"/>
      <c r="B821" s="383"/>
      <c r="C821" s="466"/>
      <c r="D821" s="383"/>
      <c r="E821" s="383"/>
      <c r="F821" s="383"/>
      <c r="G821" s="383"/>
      <c r="H821" s="383"/>
    </row>
    <row r="822" spans="1:8">
      <c r="A822" s="383"/>
      <c r="B822" s="383"/>
      <c r="C822" s="466"/>
      <c r="D822" s="383"/>
      <c r="E822" s="383"/>
      <c r="F822" s="383"/>
      <c r="G822" s="383"/>
      <c r="H822" s="383"/>
    </row>
    <row r="823" spans="1:8">
      <c r="A823" s="383"/>
      <c r="B823" s="383"/>
      <c r="C823" s="466"/>
      <c r="D823" s="383"/>
      <c r="E823" s="383"/>
      <c r="F823" s="383"/>
      <c r="G823" s="383"/>
      <c r="H823" s="383"/>
    </row>
    <row r="824" spans="1:8">
      <c r="A824" s="383"/>
      <c r="B824" s="383"/>
      <c r="C824" s="466"/>
      <c r="D824" s="383"/>
      <c r="E824" s="383"/>
      <c r="F824" s="383"/>
      <c r="G824" s="383"/>
      <c r="H824" s="383"/>
    </row>
    <row r="825" spans="1:8">
      <c r="A825" s="383"/>
      <c r="B825" s="383"/>
      <c r="C825" s="466"/>
      <c r="D825" s="383"/>
      <c r="E825" s="383"/>
      <c r="F825" s="383"/>
      <c r="G825" s="383"/>
      <c r="H825" s="383"/>
    </row>
    <row r="826" spans="1:8">
      <c r="A826" s="383"/>
      <c r="B826" s="383"/>
      <c r="C826" s="466"/>
      <c r="D826" s="383"/>
      <c r="E826" s="383"/>
      <c r="F826" s="383"/>
      <c r="G826" s="383"/>
      <c r="H826" s="383"/>
    </row>
    <row r="827" spans="1:8">
      <c r="A827" s="383"/>
      <c r="B827" s="383"/>
      <c r="C827" s="466"/>
      <c r="D827" s="383"/>
      <c r="E827" s="383"/>
      <c r="F827" s="383"/>
      <c r="G827" s="383"/>
      <c r="H827" s="383"/>
    </row>
    <row r="828" spans="1:8">
      <c r="A828" s="383"/>
      <c r="B828" s="383"/>
      <c r="C828" s="466"/>
      <c r="D828" s="383"/>
      <c r="E828" s="383"/>
      <c r="F828" s="383"/>
      <c r="G828" s="383"/>
      <c r="H828" s="383"/>
    </row>
    <row r="829" spans="1:8">
      <c r="A829" s="383"/>
      <c r="B829" s="383"/>
      <c r="C829" s="466"/>
      <c r="D829" s="383"/>
      <c r="E829" s="383"/>
      <c r="F829" s="383"/>
      <c r="G829" s="383"/>
      <c r="H829" s="383"/>
    </row>
    <row r="830" spans="1:8">
      <c r="A830" s="383"/>
      <c r="B830" s="383"/>
      <c r="C830" s="466"/>
      <c r="D830" s="383"/>
      <c r="E830" s="383"/>
      <c r="F830" s="383"/>
      <c r="G830" s="383"/>
      <c r="H830" s="383"/>
    </row>
    <row r="831" spans="1:8">
      <c r="A831" s="383"/>
      <c r="B831" s="383"/>
      <c r="C831" s="466"/>
      <c r="D831" s="383"/>
      <c r="E831" s="383"/>
      <c r="F831" s="383"/>
      <c r="G831" s="383"/>
      <c r="H831" s="383"/>
    </row>
    <row r="832" spans="1:8">
      <c r="A832" s="383"/>
      <c r="B832" s="383"/>
      <c r="C832" s="466"/>
      <c r="D832" s="383"/>
      <c r="E832" s="383"/>
      <c r="F832" s="383"/>
      <c r="G832" s="383"/>
      <c r="H832" s="383"/>
    </row>
    <row r="833" spans="1:8">
      <c r="A833" s="383"/>
      <c r="B833" s="383"/>
      <c r="C833" s="466"/>
      <c r="D833" s="383"/>
      <c r="E833" s="383"/>
      <c r="F833" s="383"/>
      <c r="G833" s="383"/>
      <c r="H833" s="383"/>
    </row>
    <row r="834" spans="1:8">
      <c r="A834" s="383"/>
      <c r="B834" s="383"/>
      <c r="C834" s="466"/>
      <c r="D834" s="383"/>
      <c r="E834" s="383"/>
      <c r="F834" s="383"/>
      <c r="G834" s="383"/>
      <c r="H834" s="383"/>
    </row>
    <row r="835" spans="1:8">
      <c r="A835" s="383"/>
      <c r="B835" s="383"/>
      <c r="C835" s="466"/>
      <c r="D835" s="383"/>
      <c r="E835" s="383"/>
      <c r="F835" s="383"/>
      <c r="G835" s="383"/>
      <c r="H835" s="383"/>
    </row>
    <row r="836" spans="1:8">
      <c r="A836" s="383"/>
      <c r="B836" s="383"/>
      <c r="C836" s="466"/>
      <c r="D836" s="383"/>
      <c r="E836" s="383"/>
      <c r="F836" s="383"/>
      <c r="G836" s="383"/>
      <c r="H836" s="383"/>
    </row>
    <row r="837" spans="1:8">
      <c r="A837" s="383"/>
      <c r="B837" s="383"/>
      <c r="C837" s="466"/>
      <c r="D837" s="383"/>
      <c r="E837" s="383"/>
      <c r="F837" s="383"/>
      <c r="G837" s="383"/>
      <c r="H837" s="383"/>
    </row>
    <row r="838" spans="1:8">
      <c r="A838" s="383"/>
      <c r="B838" s="383"/>
      <c r="C838" s="466"/>
      <c r="D838" s="383"/>
      <c r="E838" s="383"/>
      <c r="F838" s="383"/>
      <c r="G838" s="383"/>
      <c r="H838" s="383"/>
    </row>
    <row r="839" spans="1:8">
      <c r="A839" s="383"/>
      <c r="B839" s="383"/>
      <c r="C839" s="466"/>
      <c r="D839" s="383"/>
      <c r="E839" s="383"/>
      <c r="F839" s="383"/>
      <c r="G839" s="383"/>
      <c r="H839" s="383"/>
    </row>
    <row r="840" spans="1:8">
      <c r="A840" s="383"/>
      <c r="B840" s="383"/>
      <c r="C840" s="466"/>
      <c r="D840" s="383"/>
      <c r="E840" s="383"/>
      <c r="F840" s="383"/>
      <c r="G840" s="383"/>
      <c r="H840" s="383"/>
    </row>
    <row r="841" spans="1:8">
      <c r="A841" s="383"/>
      <c r="B841" s="383"/>
      <c r="C841" s="466"/>
      <c r="D841" s="383"/>
      <c r="E841" s="383"/>
      <c r="F841" s="383"/>
      <c r="G841" s="383"/>
      <c r="H841" s="383"/>
    </row>
    <row r="842" spans="1:8">
      <c r="A842" s="383"/>
      <c r="B842" s="383"/>
      <c r="C842" s="466"/>
      <c r="D842" s="383"/>
      <c r="E842" s="383"/>
      <c r="F842" s="383"/>
      <c r="G842" s="383"/>
      <c r="H842" s="383"/>
    </row>
    <row r="843" spans="1:8">
      <c r="A843" s="383"/>
      <c r="B843" s="383"/>
      <c r="C843" s="466"/>
      <c r="D843" s="383"/>
      <c r="E843" s="383"/>
      <c r="F843" s="383"/>
      <c r="G843" s="383"/>
      <c r="H843" s="383"/>
    </row>
    <row r="844" spans="1:8">
      <c r="A844" s="383"/>
      <c r="B844" s="383"/>
      <c r="C844" s="466"/>
      <c r="D844" s="383"/>
      <c r="E844" s="383"/>
      <c r="F844" s="383"/>
      <c r="G844" s="383"/>
      <c r="H844" s="383"/>
    </row>
    <row r="845" spans="1:8">
      <c r="A845" s="383"/>
      <c r="B845" s="383"/>
      <c r="C845" s="466"/>
      <c r="D845" s="383"/>
      <c r="E845" s="383"/>
      <c r="F845" s="383"/>
      <c r="G845" s="383"/>
      <c r="H845" s="383"/>
    </row>
    <row r="846" spans="1:8">
      <c r="A846" s="383"/>
      <c r="B846" s="383"/>
      <c r="C846" s="466"/>
      <c r="D846" s="383"/>
      <c r="E846" s="383"/>
      <c r="F846" s="383"/>
      <c r="G846" s="383"/>
      <c r="H846" s="383"/>
    </row>
    <row r="847" spans="1:8">
      <c r="A847" s="383"/>
      <c r="B847" s="383"/>
      <c r="C847" s="466"/>
      <c r="D847" s="383"/>
      <c r="E847" s="383"/>
      <c r="F847" s="383"/>
      <c r="G847" s="383"/>
      <c r="H847" s="383"/>
    </row>
    <row r="848" spans="1:8">
      <c r="A848" s="383"/>
      <c r="B848" s="383"/>
      <c r="C848" s="466"/>
      <c r="D848" s="383"/>
      <c r="E848" s="383"/>
      <c r="F848" s="383"/>
      <c r="G848" s="383"/>
      <c r="H848" s="383"/>
    </row>
    <row r="849" spans="1:8">
      <c r="A849" s="383"/>
      <c r="B849" s="383"/>
      <c r="C849" s="466"/>
      <c r="D849" s="383"/>
      <c r="E849" s="383"/>
      <c r="F849" s="383"/>
      <c r="G849" s="383"/>
      <c r="H849" s="383"/>
    </row>
    <row r="850" spans="1:8">
      <c r="A850" s="383"/>
      <c r="B850" s="383"/>
      <c r="C850" s="466"/>
      <c r="D850" s="383"/>
      <c r="E850" s="383"/>
      <c r="F850" s="383"/>
      <c r="G850" s="383"/>
      <c r="H850" s="383"/>
    </row>
    <row r="851" spans="1:8">
      <c r="A851" s="383"/>
      <c r="B851" s="383"/>
      <c r="C851" s="466"/>
      <c r="D851" s="383"/>
      <c r="E851" s="383"/>
      <c r="F851" s="383"/>
      <c r="G851" s="383"/>
      <c r="H851" s="383"/>
    </row>
    <row r="852" spans="1:8">
      <c r="A852" s="383"/>
      <c r="B852" s="383"/>
      <c r="C852" s="466"/>
      <c r="D852" s="383"/>
      <c r="E852" s="383"/>
      <c r="F852" s="383"/>
      <c r="G852" s="383"/>
      <c r="H852" s="383"/>
    </row>
    <row r="853" spans="1:8">
      <c r="A853" s="383"/>
      <c r="B853" s="383"/>
      <c r="C853" s="466"/>
      <c r="D853" s="383"/>
      <c r="E853" s="383"/>
      <c r="F853" s="383"/>
      <c r="G853" s="383"/>
      <c r="H853" s="383"/>
    </row>
    <row r="854" spans="1:8">
      <c r="A854" s="383"/>
      <c r="B854" s="383"/>
      <c r="C854" s="466"/>
      <c r="D854" s="383"/>
      <c r="E854" s="383"/>
      <c r="F854" s="383"/>
      <c r="G854" s="383"/>
      <c r="H854" s="383"/>
    </row>
    <row r="855" spans="1:8">
      <c r="A855" s="383"/>
      <c r="B855" s="383"/>
      <c r="C855" s="466"/>
      <c r="D855" s="383"/>
      <c r="E855" s="383"/>
      <c r="F855" s="383"/>
      <c r="G855" s="383"/>
      <c r="H855" s="383"/>
    </row>
    <row r="856" spans="1:8">
      <c r="A856" s="383"/>
      <c r="B856" s="383"/>
      <c r="C856" s="466"/>
      <c r="D856" s="383"/>
      <c r="E856" s="383"/>
      <c r="F856" s="383"/>
      <c r="G856" s="383"/>
      <c r="H856" s="383"/>
    </row>
    <row r="857" spans="1:8">
      <c r="A857" s="383"/>
      <c r="B857" s="383"/>
      <c r="C857" s="466"/>
      <c r="D857" s="383"/>
      <c r="E857" s="383"/>
      <c r="F857" s="383"/>
      <c r="G857" s="383"/>
      <c r="H857" s="383"/>
    </row>
    <row r="858" spans="1:8">
      <c r="A858" s="383"/>
      <c r="B858" s="383"/>
      <c r="C858" s="466"/>
      <c r="D858" s="383"/>
      <c r="E858" s="383"/>
      <c r="F858" s="383"/>
      <c r="G858" s="383"/>
      <c r="H858" s="383"/>
    </row>
    <row r="859" spans="1:8">
      <c r="A859" s="383"/>
      <c r="B859" s="383"/>
      <c r="C859" s="466"/>
      <c r="D859" s="383"/>
      <c r="E859" s="383"/>
      <c r="F859" s="383"/>
      <c r="G859" s="383"/>
      <c r="H859" s="383"/>
    </row>
    <row r="860" spans="1:8">
      <c r="A860" s="383"/>
      <c r="B860" s="383"/>
      <c r="C860" s="466"/>
      <c r="D860" s="383"/>
      <c r="E860" s="383"/>
      <c r="F860" s="383"/>
      <c r="G860" s="383"/>
      <c r="H860" s="383"/>
    </row>
    <row r="861" spans="1:8">
      <c r="A861" s="383"/>
      <c r="B861" s="383"/>
      <c r="C861" s="466"/>
      <c r="D861" s="383"/>
      <c r="E861" s="383"/>
      <c r="F861" s="383"/>
      <c r="G861" s="383"/>
      <c r="H861" s="383"/>
    </row>
    <row r="862" spans="1:8">
      <c r="A862" s="383"/>
      <c r="B862" s="383"/>
      <c r="C862" s="466"/>
      <c r="D862" s="383"/>
      <c r="E862" s="383"/>
      <c r="F862" s="383"/>
      <c r="G862" s="383"/>
      <c r="H862" s="383"/>
    </row>
    <row r="863" spans="1:8">
      <c r="A863" s="383"/>
      <c r="B863" s="383"/>
      <c r="C863" s="466"/>
      <c r="D863" s="383"/>
      <c r="E863" s="383"/>
      <c r="F863" s="383"/>
      <c r="G863" s="383"/>
      <c r="H863" s="383"/>
    </row>
    <row r="864" spans="1:8">
      <c r="A864" s="383"/>
      <c r="B864" s="383"/>
      <c r="C864" s="466"/>
      <c r="D864" s="383"/>
      <c r="E864" s="383"/>
      <c r="F864" s="383"/>
      <c r="G864" s="383"/>
      <c r="H864" s="383"/>
    </row>
    <row r="865" spans="1:8">
      <c r="A865" s="383"/>
      <c r="B865" s="383"/>
      <c r="C865" s="466"/>
      <c r="D865" s="383"/>
      <c r="E865" s="383"/>
      <c r="F865" s="383"/>
      <c r="G865" s="383"/>
      <c r="H865" s="383"/>
    </row>
    <row r="866" spans="1:8">
      <c r="A866" s="383"/>
      <c r="B866" s="383"/>
      <c r="C866" s="466"/>
      <c r="D866" s="383"/>
      <c r="E866" s="383"/>
      <c r="F866" s="383"/>
      <c r="G866" s="383"/>
      <c r="H866" s="383"/>
    </row>
    <row r="867" spans="1:8">
      <c r="A867" s="383"/>
      <c r="B867" s="383"/>
      <c r="C867" s="466"/>
      <c r="D867" s="383"/>
      <c r="E867" s="383"/>
      <c r="F867" s="383"/>
      <c r="G867" s="383"/>
      <c r="H867" s="383"/>
    </row>
    <row r="868" spans="1:8">
      <c r="A868" s="383"/>
      <c r="B868" s="383"/>
      <c r="C868" s="466"/>
      <c r="D868" s="383"/>
      <c r="E868" s="383"/>
      <c r="F868" s="383"/>
      <c r="G868" s="383"/>
      <c r="H868" s="383"/>
    </row>
    <row r="869" spans="1:8">
      <c r="A869" s="383"/>
      <c r="B869" s="383"/>
      <c r="C869" s="466"/>
      <c r="D869" s="383"/>
      <c r="E869" s="383"/>
      <c r="F869" s="383"/>
      <c r="G869" s="383"/>
      <c r="H869" s="383"/>
    </row>
    <row r="870" spans="1:8">
      <c r="A870" s="383"/>
      <c r="B870" s="383"/>
      <c r="C870" s="466"/>
      <c r="D870" s="383"/>
      <c r="E870" s="383"/>
      <c r="F870" s="383"/>
      <c r="G870" s="383"/>
      <c r="H870" s="383"/>
    </row>
    <row r="871" spans="1:8">
      <c r="A871" s="383"/>
      <c r="B871" s="383"/>
      <c r="C871" s="466"/>
      <c r="D871" s="383"/>
      <c r="E871" s="383"/>
      <c r="F871" s="383"/>
      <c r="G871" s="383"/>
      <c r="H871" s="383"/>
    </row>
    <row r="872" spans="1:8">
      <c r="A872" s="383"/>
      <c r="B872" s="383"/>
      <c r="C872" s="466"/>
      <c r="D872" s="383"/>
      <c r="E872" s="383"/>
      <c r="F872" s="383"/>
      <c r="G872" s="383"/>
      <c r="H872" s="383"/>
    </row>
    <row r="873" spans="1:8">
      <c r="A873" s="383"/>
      <c r="B873" s="383"/>
      <c r="C873" s="466"/>
      <c r="D873" s="383"/>
      <c r="E873" s="383"/>
      <c r="F873" s="383"/>
      <c r="G873" s="383"/>
      <c r="H873" s="383"/>
    </row>
    <row r="874" spans="1:8">
      <c r="A874" s="383"/>
      <c r="B874" s="383"/>
      <c r="C874" s="466"/>
      <c r="D874" s="383"/>
      <c r="E874" s="383"/>
      <c r="F874" s="383"/>
      <c r="G874" s="383"/>
      <c r="H874" s="383"/>
    </row>
    <row r="875" spans="1:8">
      <c r="A875" s="383"/>
      <c r="B875" s="383"/>
      <c r="C875" s="466"/>
      <c r="D875" s="383"/>
      <c r="E875" s="383"/>
      <c r="F875" s="383"/>
      <c r="G875" s="383"/>
      <c r="H875" s="383"/>
    </row>
    <row r="876" spans="1:8">
      <c r="A876" s="383"/>
      <c r="B876" s="383"/>
      <c r="C876" s="466"/>
      <c r="D876" s="383"/>
      <c r="E876" s="383"/>
      <c r="F876" s="383"/>
      <c r="G876" s="383"/>
      <c r="H876" s="383"/>
    </row>
    <row r="877" spans="1:8">
      <c r="A877" s="383"/>
      <c r="B877" s="383"/>
      <c r="C877" s="466"/>
      <c r="D877" s="383"/>
      <c r="E877" s="383"/>
      <c r="F877" s="383"/>
      <c r="G877" s="383"/>
      <c r="H877" s="383"/>
    </row>
    <row r="878" spans="1:8">
      <c r="A878" s="383"/>
      <c r="B878" s="383"/>
      <c r="C878" s="466"/>
      <c r="D878" s="383"/>
      <c r="E878" s="383"/>
      <c r="F878" s="383"/>
      <c r="G878" s="383"/>
      <c r="H878" s="383"/>
    </row>
    <row r="879" spans="1:8">
      <c r="A879" s="383"/>
      <c r="B879" s="383"/>
      <c r="C879" s="466"/>
      <c r="D879" s="383"/>
      <c r="E879" s="383"/>
      <c r="F879" s="383"/>
      <c r="G879" s="383"/>
      <c r="H879" s="383"/>
    </row>
    <row r="880" spans="1:8">
      <c r="A880" s="383"/>
      <c r="B880" s="383"/>
      <c r="C880" s="466"/>
      <c r="D880" s="383"/>
      <c r="E880" s="383"/>
      <c r="F880" s="383"/>
      <c r="G880" s="383"/>
      <c r="H880" s="383"/>
    </row>
    <row r="881" spans="1:8">
      <c r="A881" s="383"/>
      <c r="B881" s="383"/>
      <c r="C881" s="466"/>
      <c r="D881" s="383"/>
      <c r="E881" s="383"/>
      <c r="F881" s="383"/>
      <c r="G881" s="383"/>
      <c r="H881" s="383"/>
    </row>
    <row r="882" spans="1:8">
      <c r="A882" s="383"/>
      <c r="B882" s="383"/>
      <c r="C882" s="466"/>
      <c r="D882" s="383"/>
      <c r="E882" s="383"/>
      <c r="F882" s="383"/>
      <c r="G882" s="383"/>
      <c r="H882" s="383"/>
    </row>
    <row r="883" spans="1:8">
      <c r="A883" s="383"/>
      <c r="B883" s="383"/>
      <c r="C883" s="466"/>
      <c r="D883" s="383"/>
      <c r="E883" s="383"/>
      <c r="F883" s="383"/>
      <c r="G883" s="383"/>
      <c r="H883" s="383"/>
    </row>
    <row r="884" spans="1:8">
      <c r="A884" s="383"/>
      <c r="B884" s="383"/>
      <c r="C884" s="466"/>
      <c r="D884" s="383"/>
      <c r="E884" s="383"/>
      <c r="F884" s="383"/>
      <c r="G884" s="383"/>
      <c r="H884" s="383"/>
    </row>
    <row r="885" spans="1:8">
      <c r="A885" s="383"/>
      <c r="B885" s="383"/>
      <c r="C885" s="466"/>
      <c r="D885" s="383"/>
      <c r="E885" s="383"/>
      <c r="F885" s="383"/>
      <c r="G885" s="383"/>
      <c r="H885" s="383"/>
    </row>
    <row r="886" spans="1:8">
      <c r="A886" s="383"/>
      <c r="B886" s="383"/>
      <c r="C886" s="466"/>
      <c r="D886" s="383"/>
      <c r="E886" s="383"/>
      <c r="F886" s="383"/>
      <c r="G886" s="383"/>
      <c r="H886" s="383"/>
    </row>
    <row r="887" spans="1:8">
      <c r="A887" s="383"/>
      <c r="B887" s="383"/>
      <c r="C887" s="466"/>
      <c r="D887" s="383"/>
      <c r="E887" s="383"/>
      <c r="F887" s="383"/>
      <c r="G887" s="383"/>
      <c r="H887" s="383"/>
    </row>
    <row r="888" spans="1:8">
      <c r="A888" s="383"/>
      <c r="B888" s="383"/>
      <c r="C888" s="466"/>
      <c r="D888" s="383"/>
      <c r="E888" s="383"/>
      <c r="F888" s="383"/>
      <c r="G888" s="383"/>
      <c r="H888" s="383"/>
    </row>
    <row r="889" spans="1:8">
      <c r="A889" s="383"/>
      <c r="B889" s="383"/>
      <c r="C889" s="466"/>
      <c r="D889" s="383"/>
      <c r="E889" s="383"/>
      <c r="F889" s="383"/>
      <c r="G889" s="383"/>
      <c r="H889" s="383"/>
    </row>
    <row r="890" spans="1:8">
      <c r="A890" s="383"/>
      <c r="B890" s="383"/>
      <c r="C890" s="466"/>
      <c r="D890" s="383"/>
      <c r="E890" s="383"/>
      <c r="F890" s="383"/>
      <c r="G890" s="383"/>
      <c r="H890" s="383"/>
    </row>
    <row r="891" spans="1:8">
      <c r="A891" s="383"/>
      <c r="B891" s="383"/>
      <c r="C891" s="466"/>
      <c r="D891" s="383"/>
      <c r="E891" s="383"/>
      <c r="F891" s="383"/>
      <c r="G891" s="383"/>
      <c r="H891" s="383"/>
    </row>
    <row r="892" spans="1:8">
      <c r="A892" s="383"/>
      <c r="B892" s="383"/>
      <c r="C892" s="466"/>
      <c r="D892" s="383"/>
      <c r="E892" s="383"/>
      <c r="F892" s="383"/>
      <c r="G892" s="383"/>
      <c r="H892" s="383"/>
    </row>
  </sheetData>
  <mergeCells count="15">
    <mergeCell ref="B477:G477"/>
    <mergeCell ref="A98:G98"/>
    <mergeCell ref="A100:G100"/>
    <mergeCell ref="A101:B101"/>
    <mergeCell ref="A10:B10"/>
    <mergeCell ref="A12:B12"/>
    <mergeCell ref="A67:G67"/>
    <mergeCell ref="A89:G89"/>
    <mergeCell ref="A90:B90"/>
    <mergeCell ref="A91:B91"/>
    <mergeCell ref="A181:G181"/>
    <mergeCell ref="A282:G282"/>
    <mergeCell ref="A464:B464"/>
    <mergeCell ref="A472:B472"/>
    <mergeCell ref="B476:G476"/>
  </mergeCells>
  <phoneticPr fontId="13" type="noConversion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8B827-477E-4900-9C8C-5A48A7819452}">
  <dimension ref="A1:K892"/>
  <sheetViews>
    <sheetView workbookViewId="0">
      <selection activeCell="H187" sqref="C187:H189"/>
    </sheetView>
  </sheetViews>
  <sheetFormatPr defaultRowHeight="14.4"/>
  <cols>
    <col min="1" max="1" width="7.33203125" customWidth="1"/>
    <col min="2" max="2" width="35" customWidth="1"/>
    <col min="3" max="3" width="9.88671875" customWidth="1"/>
    <col min="4" max="4" width="8.5546875" customWidth="1"/>
    <col min="5" max="5" width="15.33203125" customWidth="1"/>
    <col min="6" max="6" width="13.6640625" customWidth="1"/>
    <col min="7" max="7" width="13" customWidth="1"/>
    <col min="8" max="8" width="16.6640625" customWidth="1"/>
    <col min="10" max="10" width="15.88671875" style="273" bestFit="1" customWidth="1"/>
    <col min="11" max="11" width="15.5546875" style="273" customWidth="1"/>
  </cols>
  <sheetData>
    <row r="1" spans="1:8">
      <c r="A1" s="383"/>
      <c r="B1" s="467" t="s">
        <v>1</v>
      </c>
      <c r="C1" s="468"/>
      <c r="D1" s="385"/>
      <c r="E1" s="383"/>
      <c r="F1" s="383"/>
      <c r="G1" s="383"/>
      <c r="H1" s="383"/>
    </row>
    <row r="2" spans="1:8">
      <c r="A2" s="383"/>
      <c r="B2" s="383" t="s">
        <v>2</v>
      </c>
      <c r="C2" s="468"/>
      <c r="D2" s="385"/>
      <c r="E2" s="383"/>
      <c r="F2" s="383"/>
      <c r="G2" s="383"/>
      <c r="H2" s="383"/>
    </row>
    <row r="3" spans="1:8">
      <c r="A3" s="383"/>
      <c r="B3" s="469" t="s">
        <v>443</v>
      </c>
      <c r="C3" s="468"/>
      <c r="D3" s="470"/>
      <c r="E3" s="383"/>
      <c r="F3" s="383"/>
      <c r="G3" s="383"/>
      <c r="H3" s="383"/>
    </row>
    <row r="4" spans="1:8">
      <c r="A4" s="383"/>
      <c r="B4" s="383" t="s">
        <v>444</v>
      </c>
      <c r="C4" s="468"/>
      <c r="D4" s="385"/>
      <c r="E4" s="383"/>
      <c r="F4" s="383"/>
      <c r="G4" s="383"/>
      <c r="H4" s="383"/>
    </row>
    <row r="5" spans="1:8">
      <c r="A5" s="383"/>
      <c r="B5" s="383" t="s">
        <v>676</v>
      </c>
      <c r="C5" s="468"/>
      <c r="D5" s="385"/>
      <c r="E5" s="383"/>
      <c r="F5" s="383"/>
      <c r="G5" s="383"/>
      <c r="H5" s="383"/>
    </row>
    <row r="6" spans="1:8">
      <c r="A6" s="383"/>
      <c r="B6" s="383" t="s">
        <v>446</v>
      </c>
      <c r="C6" s="468"/>
      <c r="D6" s="385"/>
      <c r="E6" s="389"/>
      <c r="F6" s="389"/>
      <c r="G6" s="389"/>
      <c r="H6" s="383"/>
    </row>
    <row r="7" spans="1:8">
      <c r="A7" s="383"/>
      <c r="B7" s="383" t="s">
        <v>445</v>
      </c>
      <c r="C7" s="468"/>
      <c r="D7" s="385"/>
      <c r="E7" s="389"/>
      <c r="F7" s="389"/>
      <c r="G7" s="389"/>
      <c r="H7" s="383"/>
    </row>
    <row r="8" spans="1:8">
      <c r="A8" s="383"/>
      <c r="B8" s="383" t="s">
        <v>669</v>
      </c>
      <c r="C8" s="468"/>
      <c r="D8" s="385"/>
      <c r="E8" s="389"/>
      <c r="F8" s="389"/>
      <c r="G8" s="389"/>
      <c r="H8" s="383"/>
    </row>
    <row r="9" spans="1:8">
      <c r="A9" s="383"/>
      <c r="B9" s="2" t="s">
        <v>846</v>
      </c>
      <c r="C9" s="468"/>
      <c r="D9" s="385"/>
      <c r="E9" s="389"/>
      <c r="F9" s="389"/>
      <c r="G9" s="389"/>
      <c r="H9" s="383"/>
    </row>
    <row r="10" spans="1:8">
      <c r="A10" s="609" t="s">
        <v>4</v>
      </c>
      <c r="B10" s="604"/>
      <c r="C10" s="392"/>
      <c r="D10" s="392"/>
      <c r="E10" s="393"/>
      <c r="F10" s="393"/>
      <c r="G10" s="393"/>
      <c r="H10" s="394"/>
    </row>
    <row r="11" spans="1:8" ht="28.8">
      <c r="A11" s="395" t="s">
        <v>5</v>
      </c>
      <c r="B11" s="396" t="s">
        <v>6</v>
      </c>
      <c r="C11" s="397" t="s">
        <v>7</v>
      </c>
      <c r="D11" s="397" t="s">
        <v>8</v>
      </c>
      <c r="E11" s="398" t="s">
        <v>410</v>
      </c>
      <c r="F11" s="398" t="s">
        <v>408</v>
      </c>
      <c r="G11" s="398" t="s">
        <v>409</v>
      </c>
      <c r="H11" s="398" t="s">
        <v>9</v>
      </c>
    </row>
    <row r="12" spans="1:8">
      <c r="A12" s="609" t="s">
        <v>10</v>
      </c>
      <c r="B12" s="604"/>
      <c r="C12" s="392"/>
      <c r="D12" s="392"/>
      <c r="E12" s="393"/>
      <c r="F12" s="393"/>
      <c r="G12" s="393"/>
      <c r="H12" s="394"/>
    </row>
    <row r="13" spans="1:8" ht="57.6">
      <c r="A13" s="395" t="s">
        <v>5</v>
      </c>
      <c r="B13" s="396" t="s">
        <v>11</v>
      </c>
      <c r="C13" s="397" t="s">
        <v>7</v>
      </c>
      <c r="D13" s="397" t="s">
        <v>8</v>
      </c>
      <c r="E13" s="398" t="s">
        <v>410</v>
      </c>
      <c r="F13" s="398" t="s">
        <v>408</v>
      </c>
      <c r="G13" s="398" t="s">
        <v>409</v>
      </c>
      <c r="H13" s="398" t="s">
        <v>9</v>
      </c>
    </row>
    <row r="14" spans="1:8" ht="43.2">
      <c r="A14" s="400" t="s">
        <v>12</v>
      </c>
      <c r="B14" s="401" t="s">
        <v>670</v>
      </c>
      <c r="C14" s="402" t="s">
        <v>13</v>
      </c>
      <c r="D14" s="402">
        <v>36</v>
      </c>
      <c r="E14" s="403">
        <f t="shared" ref="E14:E15" si="0">(3643*97%)+3643</f>
        <v>7176.71</v>
      </c>
      <c r="F14" s="69">
        <f>(5000*97%)+5000</f>
        <v>9850</v>
      </c>
      <c r="G14" s="403">
        <f t="shared" ref="G14:G15" si="1">(5801*97%)+5801</f>
        <v>11427.970000000001</v>
      </c>
      <c r="H14" s="404">
        <f>E14*D14</f>
        <v>258361.56</v>
      </c>
    </row>
    <row r="15" spans="1:8" ht="43.2">
      <c r="A15" s="400" t="s">
        <v>14</v>
      </c>
      <c r="B15" s="401" t="s">
        <v>671</v>
      </c>
      <c r="C15" s="402" t="s">
        <v>13</v>
      </c>
      <c r="D15" s="402">
        <v>9</v>
      </c>
      <c r="E15" s="403">
        <f t="shared" si="0"/>
        <v>7176.71</v>
      </c>
      <c r="F15" s="69">
        <f>(5000*97%)+5000</f>
        <v>9850</v>
      </c>
      <c r="G15" s="403">
        <f t="shared" si="1"/>
        <v>11427.970000000001</v>
      </c>
      <c r="H15" s="404">
        <f>E15*D15*2</f>
        <v>129180.78</v>
      </c>
    </row>
    <row r="16" spans="1:8" ht="43.2">
      <c r="A16" s="400" t="s">
        <v>16</v>
      </c>
      <c r="B16" s="401" t="s">
        <v>487</v>
      </c>
      <c r="C16" s="402" t="s">
        <v>15</v>
      </c>
      <c r="D16" s="402">
        <f>3*4*36*1</f>
        <v>432</v>
      </c>
      <c r="E16" s="405">
        <v>250</v>
      </c>
      <c r="F16" s="404">
        <v>450</v>
      </c>
      <c r="G16" s="403">
        <v>581</v>
      </c>
      <c r="H16" s="404">
        <f t="shared" ref="H16:H25" si="2">E16*D16</f>
        <v>108000</v>
      </c>
    </row>
    <row r="17" spans="1:8" ht="43.2">
      <c r="A17" s="400" t="s">
        <v>19</v>
      </c>
      <c r="B17" s="401" t="s">
        <v>488</v>
      </c>
      <c r="C17" s="402" t="s">
        <v>15</v>
      </c>
      <c r="D17" s="402">
        <f>4*4*9*2</f>
        <v>288</v>
      </c>
      <c r="E17" s="405">
        <v>250</v>
      </c>
      <c r="F17" s="404">
        <v>450</v>
      </c>
      <c r="G17" s="403">
        <v>581</v>
      </c>
      <c r="H17" s="404">
        <f t="shared" si="2"/>
        <v>72000</v>
      </c>
    </row>
    <row r="18" spans="1:8" ht="72">
      <c r="A18" s="400" t="s">
        <v>20</v>
      </c>
      <c r="B18" s="401" t="s">
        <v>569</v>
      </c>
      <c r="C18" s="402" t="s">
        <v>18</v>
      </c>
      <c r="D18" s="402">
        <v>3</v>
      </c>
      <c r="E18" s="68">
        <v>4149</v>
      </c>
      <c r="F18" s="69">
        <v>5299</v>
      </c>
      <c r="G18" s="70">
        <v>5919</v>
      </c>
      <c r="H18" s="404">
        <f t="shared" si="2"/>
        <v>12447</v>
      </c>
    </row>
    <row r="19" spans="1:8" ht="28.8">
      <c r="A19" s="400" t="s">
        <v>21</v>
      </c>
      <c r="B19" s="407" t="s">
        <v>570</v>
      </c>
      <c r="C19" s="402" t="s">
        <v>18</v>
      </c>
      <c r="D19" s="402">
        <v>2</v>
      </c>
      <c r="E19" s="68">
        <v>1849</v>
      </c>
      <c r="F19" s="69">
        <v>2199</v>
      </c>
      <c r="G19" s="68">
        <v>2919</v>
      </c>
      <c r="H19" s="404">
        <f t="shared" si="2"/>
        <v>3698</v>
      </c>
    </row>
    <row r="20" spans="1:8" ht="57.6">
      <c r="A20" s="400" t="s">
        <v>22</v>
      </c>
      <c r="B20" s="401" t="s">
        <v>571</v>
      </c>
      <c r="C20" s="402" t="s">
        <v>18</v>
      </c>
      <c r="D20" s="402">
        <v>2</v>
      </c>
      <c r="E20" s="73">
        <v>1849.77</v>
      </c>
      <c r="F20" s="232">
        <v>2899</v>
      </c>
      <c r="G20" s="68">
        <v>3199</v>
      </c>
      <c r="H20" s="404">
        <f t="shared" si="2"/>
        <v>3699.54</v>
      </c>
    </row>
    <row r="21" spans="1:8" ht="43.2">
      <c r="A21" s="400" t="s">
        <v>23</v>
      </c>
      <c r="B21" s="401" t="s">
        <v>572</v>
      </c>
      <c r="C21" s="402" t="s">
        <v>18</v>
      </c>
      <c r="D21" s="402">
        <v>2</v>
      </c>
      <c r="E21" s="70">
        <v>169.9</v>
      </c>
      <c r="F21" s="69">
        <v>189.9</v>
      </c>
      <c r="G21" s="68">
        <v>197.59</v>
      </c>
      <c r="H21" s="404">
        <f t="shared" si="2"/>
        <v>339.8</v>
      </c>
    </row>
    <row r="22" spans="1:8" ht="43.2">
      <c r="A22" s="400" t="s">
        <v>24</v>
      </c>
      <c r="B22" s="401" t="s">
        <v>461</v>
      </c>
      <c r="C22" s="402" t="s">
        <v>18</v>
      </c>
      <c r="D22" s="402">
        <v>1</v>
      </c>
      <c r="E22" s="73">
        <v>6459.11</v>
      </c>
      <c r="F22" s="68">
        <v>6686</v>
      </c>
      <c r="G22" s="69">
        <v>6892.17</v>
      </c>
      <c r="H22" s="404">
        <f t="shared" si="2"/>
        <v>6459.11</v>
      </c>
    </row>
    <row r="23" spans="1:8" ht="57.6">
      <c r="A23" s="400" t="s">
        <v>25</v>
      </c>
      <c r="B23" s="401" t="s">
        <v>489</v>
      </c>
      <c r="C23" s="402" t="s">
        <v>18</v>
      </c>
      <c r="D23" s="402">
        <v>1</v>
      </c>
      <c r="E23" s="70">
        <v>3598</v>
      </c>
      <c r="F23" s="68">
        <v>3790</v>
      </c>
      <c r="G23" s="68">
        <v>5049</v>
      </c>
      <c r="H23" s="404">
        <f t="shared" si="2"/>
        <v>3598</v>
      </c>
    </row>
    <row r="24" spans="1:8" ht="43.2">
      <c r="A24" s="400" t="s">
        <v>27</v>
      </c>
      <c r="B24" s="401" t="s">
        <v>573</v>
      </c>
      <c r="C24" s="402" t="s">
        <v>18</v>
      </c>
      <c r="D24" s="402">
        <v>3</v>
      </c>
      <c r="E24" s="73">
        <v>1386</v>
      </c>
      <c r="F24" s="68">
        <v>1549</v>
      </c>
      <c r="G24" s="68">
        <v>1649.9</v>
      </c>
      <c r="H24" s="404">
        <f t="shared" si="2"/>
        <v>4158</v>
      </c>
    </row>
    <row r="25" spans="1:8" ht="28.8">
      <c r="A25" s="400" t="s">
        <v>28</v>
      </c>
      <c r="B25" s="401" t="s">
        <v>462</v>
      </c>
      <c r="C25" s="402" t="s">
        <v>13</v>
      </c>
      <c r="D25" s="402">
        <v>36</v>
      </c>
      <c r="E25" s="68">
        <v>124.99</v>
      </c>
      <c r="F25" s="69">
        <v>142</v>
      </c>
      <c r="G25" s="68">
        <v>159.9</v>
      </c>
      <c r="H25" s="404">
        <f t="shared" si="2"/>
        <v>4499.6399999999994</v>
      </c>
    </row>
    <row r="26" spans="1:8" ht="43.2">
      <c r="A26" s="400" t="s">
        <v>29</v>
      </c>
      <c r="B26" s="401" t="s">
        <v>517</v>
      </c>
      <c r="C26" s="402" t="s">
        <v>13</v>
      </c>
      <c r="D26" s="402">
        <v>36</v>
      </c>
      <c r="E26" s="68">
        <v>3168.69</v>
      </c>
      <c r="F26" s="74">
        <v>3297.51</v>
      </c>
      <c r="G26" s="68">
        <v>3622.3</v>
      </c>
      <c r="H26" s="404">
        <f>E26*D26*2</f>
        <v>228145.68</v>
      </c>
    </row>
    <row r="27" spans="1:8" ht="43.2">
      <c r="A27" s="400" t="s">
        <v>30</v>
      </c>
      <c r="B27" s="401" t="s">
        <v>518</v>
      </c>
      <c r="C27" s="402" t="s">
        <v>13</v>
      </c>
      <c r="D27" s="402">
        <f>9*2</f>
        <v>18</v>
      </c>
      <c r="E27" s="68">
        <v>3168.69</v>
      </c>
      <c r="F27" s="74">
        <v>3297.51</v>
      </c>
      <c r="G27" s="68">
        <v>3622.3</v>
      </c>
      <c r="H27" s="404">
        <f t="shared" ref="H27:H28" si="3">E27*D27</f>
        <v>57036.42</v>
      </c>
    </row>
    <row r="28" spans="1:8" ht="28.8">
      <c r="A28" s="400" t="s">
        <v>32</v>
      </c>
      <c r="B28" s="401" t="s">
        <v>463</v>
      </c>
      <c r="C28" s="402" t="s">
        <v>15</v>
      </c>
      <c r="D28" s="402">
        <v>3</v>
      </c>
      <c r="E28" s="68">
        <v>300</v>
      </c>
      <c r="F28" s="69">
        <v>600</v>
      </c>
      <c r="G28" s="68">
        <v>975</v>
      </c>
      <c r="H28" s="404">
        <f t="shared" si="3"/>
        <v>900</v>
      </c>
    </row>
    <row r="29" spans="1:8" ht="28.8">
      <c r="A29" s="400" t="s">
        <v>33</v>
      </c>
      <c r="B29" s="401" t="s">
        <v>465</v>
      </c>
      <c r="C29" s="402" t="s">
        <v>13</v>
      </c>
      <c r="D29" s="402">
        <v>36</v>
      </c>
      <c r="E29" s="68">
        <v>49.9</v>
      </c>
      <c r="F29" s="69">
        <v>60</v>
      </c>
      <c r="G29" s="70">
        <v>65.900000000000006</v>
      </c>
      <c r="H29" s="404">
        <f>E29*D29*2</f>
        <v>3592.7999999999997</v>
      </c>
    </row>
    <row r="30" spans="1:8" ht="43.2">
      <c r="A30" s="400" t="s">
        <v>34</v>
      </c>
      <c r="B30" s="401" t="s">
        <v>825</v>
      </c>
      <c r="C30" s="402" t="s">
        <v>13</v>
      </c>
      <c r="D30" s="402">
        <f>9*2</f>
        <v>18</v>
      </c>
      <c r="E30" s="68">
        <v>49.9</v>
      </c>
      <c r="F30" s="69">
        <v>60</v>
      </c>
      <c r="G30" s="70">
        <v>65.900000000000006</v>
      </c>
      <c r="H30" s="404">
        <f t="shared" ref="H30:H65" si="4">E30*D30</f>
        <v>898.19999999999993</v>
      </c>
    </row>
    <row r="31" spans="1:8" ht="28.8">
      <c r="A31" s="400" t="s">
        <v>37</v>
      </c>
      <c r="B31" s="401" t="s">
        <v>667</v>
      </c>
      <c r="C31" s="402" t="s">
        <v>15</v>
      </c>
      <c r="D31" s="402">
        <v>3</v>
      </c>
      <c r="E31" s="68">
        <v>144.9</v>
      </c>
      <c r="F31" s="69">
        <v>0</v>
      </c>
      <c r="G31" s="68">
        <v>265</v>
      </c>
      <c r="H31" s="404">
        <f t="shared" si="4"/>
        <v>434.70000000000005</v>
      </c>
    </row>
    <row r="32" spans="1:8" ht="43.2">
      <c r="A32" s="400" t="s">
        <v>39</v>
      </c>
      <c r="B32" s="401" t="s">
        <v>466</v>
      </c>
      <c r="C32" s="402" t="s">
        <v>31</v>
      </c>
      <c r="D32" s="402">
        <f>55*4*36*1</f>
        <v>7920</v>
      </c>
      <c r="E32" s="68">
        <v>6.08</v>
      </c>
      <c r="F32" s="69">
        <v>6.09</v>
      </c>
      <c r="G32" s="70">
        <v>6.35</v>
      </c>
      <c r="H32" s="404">
        <f t="shared" si="4"/>
        <v>48153.599999999999</v>
      </c>
    </row>
    <row r="33" spans="1:8" ht="43.2">
      <c r="A33" s="400" t="s">
        <v>40</v>
      </c>
      <c r="B33" s="401" t="s">
        <v>467</v>
      </c>
      <c r="C33" s="402" t="s">
        <v>31</v>
      </c>
      <c r="D33" s="402">
        <f>55*4*9*2</f>
        <v>3960</v>
      </c>
      <c r="E33" s="68">
        <v>6.08</v>
      </c>
      <c r="F33" s="69">
        <v>6.09</v>
      </c>
      <c r="G33" s="70">
        <v>6.35</v>
      </c>
      <c r="H33" s="404">
        <f t="shared" si="4"/>
        <v>24076.799999999999</v>
      </c>
    </row>
    <row r="34" spans="1:8" ht="28.8">
      <c r="A34" s="400" t="s">
        <v>44</v>
      </c>
      <c r="B34" s="411" t="s">
        <v>469</v>
      </c>
      <c r="C34" s="402" t="s">
        <v>18</v>
      </c>
      <c r="D34" s="495">
        <f>(6*1*3)+(3*2*1)</f>
        <v>24</v>
      </c>
      <c r="E34" s="68">
        <v>60</v>
      </c>
      <c r="F34" s="68">
        <v>65</v>
      </c>
      <c r="G34" s="69">
        <v>70</v>
      </c>
      <c r="H34" s="404">
        <f t="shared" si="4"/>
        <v>1440</v>
      </c>
    </row>
    <row r="35" spans="1:8" ht="43.2">
      <c r="A35" s="400" t="s">
        <v>46</v>
      </c>
      <c r="B35" s="411" t="s">
        <v>470</v>
      </c>
      <c r="C35" s="402" t="s">
        <v>18</v>
      </c>
      <c r="D35" s="495">
        <f>(1*2*3)+(2*3*1)</f>
        <v>12</v>
      </c>
      <c r="E35" s="68">
        <v>75</v>
      </c>
      <c r="F35" s="68">
        <v>90</v>
      </c>
      <c r="G35" s="69">
        <v>98</v>
      </c>
      <c r="H35" s="404">
        <f t="shared" si="4"/>
        <v>900</v>
      </c>
    </row>
    <row r="36" spans="1:8" ht="43.2">
      <c r="A36" s="400" t="s">
        <v>48</v>
      </c>
      <c r="B36" s="411" t="s">
        <v>38</v>
      </c>
      <c r="C36" s="402" t="s">
        <v>18</v>
      </c>
      <c r="D36" s="402">
        <f>3*3*3</f>
        <v>27</v>
      </c>
      <c r="E36" s="68">
        <v>25</v>
      </c>
      <c r="F36" s="68">
        <v>40</v>
      </c>
      <c r="G36" s="69">
        <v>43</v>
      </c>
      <c r="H36" s="404">
        <f t="shared" si="4"/>
        <v>675</v>
      </c>
    </row>
    <row r="37" spans="1:8" ht="28.8">
      <c r="A37" s="400" t="s">
        <v>49</v>
      </c>
      <c r="B37" s="411" t="s">
        <v>677</v>
      </c>
      <c r="C37" s="402" t="s">
        <v>18</v>
      </c>
      <c r="D37" s="495">
        <f>(4*1*3)+(1*2*1)</f>
        <v>14</v>
      </c>
      <c r="E37" s="68">
        <v>2.77</v>
      </c>
      <c r="F37" s="74">
        <v>3.75</v>
      </c>
      <c r="G37" s="73">
        <v>3.96</v>
      </c>
      <c r="H37" s="404">
        <f t="shared" si="4"/>
        <v>38.78</v>
      </c>
    </row>
    <row r="38" spans="1:8" ht="28.8">
      <c r="A38" s="400" t="s">
        <v>51</v>
      </c>
      <c r="B38" s="401" t="s">
        <v>471</v>
      </c>
      <c r="C38" s="402" t="s">
        <v>18</v>
      </c>
      <c r="D38" s="495">
        <f>(2*1*3)+(1*2*1)</f>
        <v>8</v>
      </c>
      <c r="E38" s="68">
        <v>122</v>
      </c>
      <c r="F38" s="74">
        <v>170.91</v>
      </c>
      <c r="G38" s="68">
        <v>185</v>
      </c>
      <c r="H38" s="404">
        <f t="shared" si="4"/>
        <v>976</v>
      </c>
    </row>
    <row r="39" spans="1:8" ht="28.8">
      <c r="A39" s="400" t="s">
        <v>53</v>
      </c>
      <c r="B39" s="401" t="s">
        <v>472</v>
      </c>
      <c r="C39" s="402" t="s">
        <v>18</v>
      </c>
      <c r="D39" s="495">
        <f>(2*1*3) + (2*2*1)</f>
        <v>10</v>
      </c>
      <c r="E39" s="68">
        <v>21.8</v>
      </c>
      <c r="F39" s="74">
        <v>36</v>
      </c>
      <c r="G39" s="68">
        <v>46.9</v>
      </c>
      <c r="H39" s="404">
        <f t="shared" si="4"/>
        <v>218</v>
      </c>
    </row>
    <row r="40" spans="1:8" ht="28.8">
      <c r="A40" s="400" t="s">
        <v>55</v>
      </c>
      <c r="B40" s="401" t="s">
        <v>485</v>
      </c>
      <c r="C40" s="402" t="s">
        <v>18</v>
      </c>
      <c r="D40" s="402">
        <f>3*3</f>
        <v>9</v>
      </c>
      <c r="E40" s="73">
        <v>13.93</v>
      </c>
      <c r="F40" s="74">
        <v>15.71</v>
      </c>
      <c r="G40" s="68">
        <v>22.5</v>
      </c>
      <c r="H40" s="404">
        <f t="shared" si="4"/>
        <v>125.37</v>
      </c>
    </row>
    <row r="41" spans="1:8" ht="28.8">
      <c r="A41" s="400" t="s">
        <v>56</v>
      </c>
      <c r="B41" s="401" t="s">
        <v>473</v>
      </c>
      <c r="C41" s="402" t="s">
        <v>18</v>
      </c>
      <c r="D41" s="402">
        <v>20</v>
      </c>
      <c r="E41" s="70">
        <v>12.4</v>
      </c>
      <c r="F41" s="74">
        <v>13.5</v>
      </c>
      <c r="G41" s="68">
        <v>20.260000000000002</v>
      </c>
      <c r="H41" s="404">
        <f t="shared" si="4"/>
        <v>248</v>
      </c>
    </row>
    <row r="42" spans="1:8" ht="28.8">
      <c r="A42" s="400" t="s">
        <v>57</v>
      </c>
      <c r="B42" s="401" t="s">
        <v>476</v>
      </c>
      <c r="C42" s="402" t="s">
        <v>18</v>
      </c>
      <c r="D42" s="402">
        <v>12</v>
      </c>
      <c r="E42" s="68">
        <v>160</v>
      </c>
      <c r="F42" s="74">
        <v>163</v>
      </c>
      <c r="G42" s="73">
        <v>193.63</v>
      </c>
      <c r="H42" s="404">
        <f t="shared" si="4"/>
        <v>1920</v>
      </c>
    </row>
    <row r="43" spans="1:8" ht="28.8">
      <c r="A43" s="400" t="s">
        <v>58</v>
      </c>
      <c r="B43" s="401" t="s">
        <v>474</v>
      </c>
      <c r="C43" s="402" t="s">
        <v>18</v>
      </c>
      <c r="D43" s="495">
        <f>3*2</f>
        <v>6</v>
      </c>
      <c r="E43" s="70">
        <v>35</v>
      </c>
      <c r="F43" s="74">
        <v>41.4</v>
      </c>
      <c r="G43" s="68">
        <v>168.26</v>
      </c>
      <c r="H43" s="404">
        <f t="shared" si="4"/>
        <v>210</v>
      </c>
    </row>
    <row r="44" spans="1:8" ht="28.8">
      <c r="A44" s="400" t="s">
        <v>59</v>
      </c>
      <c r="B44" s="401" t="s">
        <v>475</v>
      </c>
      <c r="C44" s="402" t="s">
        <v>18</v>
      </c>
      <c r="D44" s="495">
        <f t="shared" ref="D44:D45" si="5">3*2</f>
        <v>6</v>
      </c>
      <c r="E44" s="73">
        <v>41.4</v>
      </c>
      <c r="F44" s="73">
        <v>42.23</v>
      </c>
      <c r="G44" s="73">
        <v>50</v>
      </c>
      <c r="H44" s="404">
        <f t="shared" si="4"/>
        <v>248.39999999999998</v>
      </c>
    </row>
    <row r="45" spans="1:8" ht="28.8">
      <c r="A45" s="400" t="s">
        <v>60</v>
      </c>
      <c r="B45" s="401" t="s">
        <v>477</v>
      </c>
      <c r="C45" s="402" t="s">
        <v>18</v>
      </c>
      <c r="D45" s="495">
        <f t="shared" si="5"/>
        <v>6</v>
      </c>
      <c r="E45" s="68">
        <v>32.979999999999997</v>
      </c>
      <c r="F45" s="69">
        <v>58.66</v>
      </c>
      <c r="G45" s="68">
        <v>60.82</v>
      </c>
      <c r="H45" s="404">
        <f t="shared" si="4"/>
        <v>197.88</v>
      </c>
    </row>
    <row r="46" spans="1:8" ht="28.8">
      <c r="A46" s="624" t="s">
        <v>62</v>
      </c>
      <c r="B46" s="625" t="s">
        <v>478</v>
      </c>
      <c r="C46" s="646" t="s">
        <v>18</v>
      </c>
      <c r="D46" s="402">
        <v>3</v>
      </c>
      <c r="E46" s="73">
        <v>26.5</v>
      </c>
      <c r="F46" s="73">
        <v>61.9</v>
      </c>
      <c r="G46" s="69">
        <v>83.6</v>
      </c>
      <c r="H46" s="404">
        <f t="shared" si="4"/>
        <v>79.5</v>
      </c>
    </row>
    <row r="47" spans="1:8" ht="28.8">
      <c r="A47" s="624" t="s">
        <v>64</v>
      </c>
      <c r="B47" s="627" t="s">
        <v>772</v>
      </c>
      <c r="C47" s="646" t="s">
        <v>18</v>
      </c>
      <c r="D47" s="413">
        <f>1*3*3</f>
        <v>9</v>
      </c>
      <c r="E47" s="412">
        <v>286</v>
      </c>
      <c r="F47" s="404">
        <v>338</v>
      </c>
      <c r="G47" s="403">
        <v>377</v>
      </c>
      <c r="H47" s="404">
        <f t="shared" si="4"/>
        <v>2574</v>
      </c>
    </row>
    <row r="48" spans="1:8" ht="28.8">
      <c r="A48" s="624" t="s">
        <v>66</v>
      </c>
      <c r="B48" s="627" t="s">
        <v>773</v>
      </c>
      <c r="C48" s="646" t="s">
        <v>18</v>
      </c>
      <c r="D48" s="413">
        <f>4*2*3</f>
        <v>24</v>
      </c>
      <c r="E48" s="412">
        <v>98</v>
      </c>
      <c r="F48" s="404">
        <v>270</v>
      </c>
      <c r="G48" s="403">
        <v>279</v>
      </c>
      <c r="H48" s="404">
        <f t="shared" si="4"/>
        <v>2352</v>
      </c>
    </row>
    <row r="49" spans="1:8" ht="28.8">
      <c r="A49" s="624" t="s">
        <v>69</v>
      </c>
      <c r="B49" s="627" t="s">
        <v>774</v>
      </c>
      <c r="C49" s="646" t="s">
        <v>18</v>
      </c>
      <c r="D49" s="413">
        <f>2*2*36</f>
        <v>144</v>
      </c>
      <c r="E49" s="412">
        <v>35.99</v>
      </c>
      <c r="F49" s="404">
        <v>37.93</v>
      </c>
      <c r="G49" s="403">
        <v>67.900000000000006</v>
      </c>
      <c r="H49" s="404">
        <f t="shared" si="4"/>
        <v>5182.5600000000004</v>
      </c>
    </row>
    <row r="50" spans="1:8" ht="28.8">
      <c r="A50" s="624" t="s">
        <v>71</v>
      </c>
      <c r="B50" s="627" t="s">
        <v>775</v>
      </c>
      <c r="C50" s="646" t="s">
        <v>18</v>
      </c>
      <c r="D50" s="413">
        <v>4</v>
      </c>
      <c r="E50" s="412">
        <v>930</v>
      </c>
      <c r="F50" s="404">
        <v>1000</v>
      </c>
      <c r="G50" s="403">
        <v>1980</v>
      </c>
      <c r="H50" s="404">
        <f t="shared" si="4"/>
        <v>3720</v>
      </c>
    </row>
    <row r="51" spans="1:8" ht="28.8">
      <c r="A51" s="624" t="s">
        <v>73</v>
      </c>
      <c r="B51" s="627" t="s">
        <v>776</v>
      </c>
      <c r="C51" s="646" t="s">
        <v>18</v>
      </c>
      <c r="D51" s="413">
        <f>1*2*3</f>
        <v>6</v>
      </c>
      <c r="E51" s="412">
        <v>37.9</v>
      </c>
      <c r="F51" s="404">
        <v>41.31</v>
      </c>
      <c r="G51" s="403">
        <v>45</v>
      </c>
      <c r="H51" s="404">
        <f t="shared" si="4"/>
        <v>227.39999999999998</v>
      </c>
    </row>
    <row r="52" spans="1:8" ht="28.8">
      <c r="A52" s="624" t="s">
        <v>75</v>
      </c>
      <c r="B52" s="627" t="s">
        <v>777</v>
      </c>
      <c r="C52" s="646" t="s">
        <v>18</v>
      </c>
      <c r="D52" s="413">
        <f>1*2*3</f>
        <v>6</v>
      </c>
      <c r="E52" s="412">
        <v>73.489999999999995</v>
      </c>
      <c r="F52" s="404">
        <v>96.7</v>
      </c>
      <c r="G52" s="403">
        <v>106.76</v>
      </c>
      <c r="H52" s="404">
        <f t="shared" si="4"/>
        <v>440.93999999999994</v>
      </c>
    </row>
    <row r="53" spans="1:8">
      <c r="A53" s="163" t="s">
        <v>77</v>
      </c>
      <c r="B53" s="401" t="s">
        <v>411</v>
      </c>
      <c r="C53" s="402" t="s">
        <v>18</v>
      </c>
      <c r="D53" s="402">
        <v>500</v>
      </c>
      <c r="E53" s="260">
        <v>16.47</v>
      </c>
      <c r="F53" s="260">
        <v>16.899999999999999</v>
      </c>
      <c r="G53" s="260">
        <v>31</v>
      </c>
      <c r="H53" s="404">
        <f t="shared" si="4"/>
        <v>8235</v>
      </c>
    </row>
    <row r="54" spans="1:8">
      <c r="A54" s="163" t="s">
        <v>78</v>
      </c>
      <c r="B54" s="430" t="s">
        <v>412</v>
      </c>
      <c r="C54" s="402" t="s">
        <v>18</v>
      </c>
      <c r="D54" s="402">
        <v>250</v>
      </c>
      <c r="E54" s="260">
        <v>1.64</v>
      </c>
      <c r="F54" s="261">
        <v>17.5</v>
      </c>
      <c r="G54" s="261">
        <v>25.9</v>
      </c>
      <c r="H54" s="404">
        <f t="shared" si="4"/>
        <v>410</v>
      </c>
    </row>
    <row r="55" spans="1:8">
      <c r="A55" s="163" t="s">
        <v>79</v>
      </c>
      <c r="B55" s="401" t="s">
        <v>413</v>
      </c>
      <c r="C55" s="402" t="s">
        <v>18</v>
      </c>
      <c r="D55" s="402">
        <v>150</v>
      </c>
      <c r="E55" s="260">
        <v>1.5</v>
      </c>
      <c r="F55" s="260">
        <v>2.5</v>
      </c>
      <c r="G55" s="260">
        <v>3.74</v>
      </c>
      <c r="H55" s="404">
        <f t="shared" si="4"/>
        <v>225</v>
      </c>
    </row>
    <row r="56" spans="1:8">
      <c r="A56" s="163" t="s">
        <v>116</v>
      </c>
      <c r="B56" s="430" t="s">
        <v>414</v>
      </c>
      <c r="C56" s="402" t="s">
        <v>18</v>
      </c>
      <c r="D56" s="402">
        <v>1500</v>
      </c>
      <c r="E56" s="260">
        <v>0.17</v>
      </c>
      <c r="F56" s="261">
        <v>1</v>
      </c>
      <c r="G56" s="260">
        <v>1.89</v>
      </c>
      <c r="H56" s="404">
        <f t="shared" si="4"/>
        <v>255.00000000000003</v>
      </c>
    </row>
    <row r="57" spans="1:8" ht="28.8">
      <c r="A57" s="163" t="s">
        <v>118</v>
      </c>
      <c r="B57" s="416" t="s">
        <v>65</v>
      </c>
      <c r="C57" s="402" t="s">
        <v>18</v>
      </c>
      <c r="D57" s="402">
        <v>6</v>
      </c>
      <c r="E57" s="68">
        <v>320</v>
      </c>
      <c r="F57" s="73">
        <v>480</v>
      </c>
      <c r="G57" s="68">
        <v>614.4</v>
      </c>
      <c r="H57" s="404">
        <f t="shared" si="4"/>
        <v>1920</v>
      </c>
    </row>
    <row r="58" spans="1:8" ht="28.8">
      <c r="A58" s="163" t="s">
        <v>119</v>
      </c>
      <c r="B58" s="401" t="s">
        <v>67</v>
      </c>
      <c r="C58" s="402" t="s">
        <v>68</v>
      </c>
      <c r="D58" s="402">
        <v>2</v>
      </c>
      <c r="E58" s="276">
        <v>34.9</v>
      </c>
      <c r="F58" s="207">
        <v>45.9</v>
      </c>
      <c r="G58" s="70">
        <v>48.62</v>
      </c>
      <c r="H58" s="404">
        <f t="shared" si="4"/>
        <v>69.8</v>
      </c>
    </row>
    <row r="59" spans="1:8">
      <c r="A59" s="163" t="s">
        <v>120</v>
      </c>
      <c r="B59" s="401" t="s">
        <v>70</v>
      </c>
      <c r="C59" s="402" t="s">
        <v>18</v>
      </c>
      <c r="D59" s="402">
        <v>15</v>
      </c>
      <c r="E59" s="68">
        <v>14.18</v>
      </c>
      <c r="F59" s="69">
        <v>17.5</v>
      </c>
      <c r="G59" s="68">
        <v>55.99</v>
      </c>
      <c r="H59" s="404">
        <f t="shared" si="4"/>
        <v>212.7</v>
      </c>
    </row>
    <row r="60" spans="1:8">
      <c r="A60" s="163" t="s">
        <v>121</v>
      </c>
      <c r="B60" s="401" t="s">
        <v>72</v>
      </c>
      <c r="C60" s="402" t="s">
        <v>68</v>
      </c>
      <c r="D60" s="402">
        <v>4</v>
      </c>
      <c r="E60" s="68">
        <v>19.989999999999998</v>
      </c>
      <c r="F60" s="69">
        <v>22.2</v>
      </c>
      <c r="G60" s="70">
        <v>24.9</v>
      </c>
      <c r="H60" s="404">
        <f t="shared" si="4"/>
        <v>79.959999999999994</v>
      </c>
    </row>
    <row r="61" spans="1:8">
      <c r="A61" s="163" t="s">
        <v>122</v>
      </c>
      <c r="B61" s="401" t="s">
        <v>74</v>
      </c>
      <c r="C61" s="402" t="s">
        <v>18</v>
      </c>
      <c r="D61" s="402">
        <v>40</v>
      </c>
      <c r="E61" s="68">
        <v>14.9</v>
      </c>
      <c r="F61" s="69">
        <v>15.2</v>
      </c>
      <c r="G61" s="68">
        <v>24.99</v>
      </c>
      <c r="H61" s="404">
        <f t="shared" si="4"/>
        <v>596</v>
      </c>
    </row>
    <row r="62" spans="1:8" ht="28.8">
      <c r="A62" s="163" t="s">
        <v>123</v>
      </c>
      <c r="B62" s="416" t="s">
        <v>76</v>
      </c>
      <c r="C62" s="402" t="s">
        <v>68</v>
      </c>
      <c r="D62" s="402">
        <v>10</v>
      </c>
      <c r="E62" s="70">
        <v>7.2</v>
      </c>
      <c r="F62" s="74">
        <v>7.36</v>
      </c>
      <c r="G62" s="73">
        <v>17.8</v>
      </c>
      <c r="H62" s="404">
        <f t="shared" si="4"/>
        <v>72</v>
      </c>
    </row>
    <row r="63" spans="1:8" ht="28.8">
      <c r="A63" s="163" t="s">
        <v>124</v>
      </c>
      <c r="B63" s="416" t="s">
        <v>680</v>
      </c>
      <c r="C63" s="402" t="s">
        <v>15</v>
      </c>
      <c r="D63" s="402">
        <v>6</v>
      </c>
      <c r="E63" s="68">
        <v>600</v>
      </c>
      <c r="F63" s="69"/>
      <c r="G63" s="68"/>
      <c r="H63" s="404">
        <f t="shared" si="4"/>
        <v>3600</v>
      </c>
    </row>
    <row r="64" spans="1:8" ht="43.2">
      <c r="A64" s="163" t="s">
        <v>125</v>
      </c>
      <c r="B64" s="417" t="s">
        <v>678</v>
      </c>
      <c r="C64" s="402" t="s">
        <v>18</v>
      </c>
      <c r="D64" s="402">
        <v>10</v>
      </c>
      <c r="E64" s="68">
        <v>500</v>
      </c>
      <c r="F64" s="69"/>
      <c r="G64" s="68"/>
      <c r="H64" s="404">
        <f t="shared" si="4"/>
        <v>5000</v>
      </c>
    </row>
    <row r="65" spans="1:8" ht="28.8">
      <c r="A65" s="163" t="s">
        <v>126</v>
      </c>
      <c r="B65" s="417" t="s">
        <v>679</v>
      </c>
      <c r="C65" s="402" t="s">
        <v>18</v>
      </c>
      <c r="D65" s="402">
        <v>10</v>
      </c>
      <c r="E65" s="68">
        <v>980</v>
      </c>
      <c r="F65" s="69"/>
      <c r="G65" s="68"/>
      <c r="H65" s="404">
        <f t="shared" si="4"/>
        <v>9800</v>
      </c>
    </row>
    <row r="66" spans="1:8">
      <c r="A66" s="611" t="s">
        <v>418</v>
      </c>
      <c r="B66" s="612"/>
      <c r="C66" s="518"/>
      <c r="D66" s="518"/>
      <c r="E66" s="518"/>
      <c r="F66" s="518"/>
      <c r="G66" s="518"/>
      <c r="H66" s="519">
        <f>SUM(H14:H65)</f>
        <v>1021928.9200000002</v>
      </c>
    </row>
    <row r="67" spans="1:8" ht="43.2">
      <c r="A67" s="395" t="s">
        <v>80</v>
      </c>
      <c r="B67" s="418" t="s">
        <v>394</v>
      </c>
      <c r="C67" s="397" t="s">
        <v>7</v>
      </c>
      <c r="D67" s="397" t="s">
        <v>8</v>
      </c>
      <c r="E67" s="398" t="s">
        <v>410</v>
      </c>
      <c r="F67" s="398" t="s">
        <v>408</v>
      </c>
      <c r="G67" s="398" t="s">
        <v>409</v>
      </c>
      <c r="H67" s="399" t="s">
        <v>9</v>
      </c>
    </row>
    <row r="68" spans="1:8" ht="43.2">
      <c r="A68" s="400" t="s">
        <v>81</v>
      </c>
      <c r="B68" s="401" t="s">
        <v>82</v>
      </c>
      <c r="C68" s="402" t="s">
        <v>13</v>
      </c>
      <c r="D68" s="402">
        <v>12</v>
      </c>
      <c r="E68" s="68">
        <f>(3643*97%)+3643</f>
        <v>7176.71</v>
      </c>
      <c r="F68" s="69">
        <f>(5000*97%)+5000</f>
        <v>9850</v>
      </c>
      <c r="G68" s="68">
        <f>(5801*97%)+5801</f>
        <v>11427.970000000001</v>
      </c>
      <c r="H68" s="404">
        <f>E68*D68*2</f>
        <v>172241.04</v>
      </c>
    </row>
    <row r="69" spans="1:8" ht="28.8">
      <c r="A69" s="400" t="s">
        <v>83</v>
      </c>
      <c r="B69" s="401" t="s">
        <v>479</v>
      </c>
      <c r="C69" s="402" t="s">
        <v>15</v>
      </c>
      <c r="D69" s="402">
        <v>8</v>
      </c>
      <c r="E69" s="229">
        <v>250</v>
      </c>
      <c r="F69" s="69">
        <v>450</v>
      </c>
      <c r="G69" s="68">
        <v>581</v>
      </c>
      <c r="H69" s="404">
        <f t="shared" ref="H69:H87" si="6">E69*D69</f>
        <v>2000</v>
      </c>
    </row>
    <row r="70" spans="1:8" ht="72">
      <c r="A70" s="400" t="s">
        <v>84</v>
      </c>
      <c r="B70" s="401" t="s">
        <v>480</v>
      </c>
      <c r="C70" s="402" t="s">
        <v>18</v>
      </c>
      <c r="D70" s="402">
        <v>2</v>
      </c>
      <c r="E70" s="68">
        <v>4149</v>
      </c>
      <c r="F70" s="69">
        <v>5299</v>
      </c>
      <c r="G70" s="70">
        <v>5919</v>
      </c>
      <c r="H70" s="404">
        <f t="shared" si="6"/>
        <v>8298</v>
      </c>
    </row>
    <row r="71" spans="1:8" ht="43.2">
      <c r="A71" s="400" t="s">
        <v>85</v>
      </c>
      <c r="B71" s="401" t="s">
        <v>481</v>
      </c>
      <c r="C71" s="402" t="s">
        <v>18</v>
      </c>
      <c r="D71" s="402">
        <v>2</v>
      </c>
      <c r="E71" s="73">
        <v>1386</v>
      </c>
      <c r="F71" s="69">
        <v>1549</v>
      </c>
      <c r="G71" s="68">
        <v>1649.9</v>
      </c>
      <c r="H71" s="404">
        <f t="shared" si="6"/>
        <v>2772</v>
      </c>
    </row>
    <row r="72" spans="1:8" ht="28.8">
      <c r="A72" s="400" t="s">
        <v>86</v>
      </c>
      <c r="B72" s="401" t="s">
        <v>462</v>
      </c>
      <c r="C72" s="402" t="s">
        <v>13</v>
      </c>
      <c r="D72" s="402">
        <v>12</v>
      </c>
      <c r="E72" s="68">
        <v>124.99</v>
      </c>
      <c r="F72" s="69">
        <v>142</v>
      </c>
      <c r="G72" s="68">
        <v>159.9</v>
      </c>
      <c r="H72" s="404">
        <f t="shared" si="6"/>
        <v>1499.8799999999999</v>
      </c>
    </row>
    <row r="73" spans="1:8" ht="28.8">
      <c r="A73" s="400" t="s">
        <v>87</v>
      </c>
      <c r="B73" s="411" t="s">
        <v>482</v>
      </c>
      <c r="C73" s="402" t="s">
        <v>18</v>
      </c>
      <c r="D73" s="495">
        <f t="shared" ref="D73:D74" si="7">4*2</f>
        <v>8</v>
      </c>
      <c r="E73" s="68">
        <v>60</v>
      </c>
      <c r="F73" s="68">
        <v>65</v>
      </c>
      <c r="G73" s="69">
        <v>70</v>
      </c>
      <c r="H73" s="404">
        <f t="shared" si="6"/>
        <v>480</v>
      </c>
    </row>
    <row r="74" spans="1:8" ht="43.2">
      <c r="A74" s="400" t="s">
        <v>88</v>
      </c>
      <c r="B74" s="411" t="s">
        <v>483</v>
      </c>
      <c r="C74" s="402" t="s">
        <v>18</v>
      </c>
      <c r="D74" s="495">
        <f t="shared" si="7"/>
        <v>8</v>
      </c>
      <c r="E74" s="68">
        <v>75</v>
      </c>
      <c r="F74" s="68">
        <v>90</v>
      </c>
      <c r="G74" s="69">
        <v>98</v>
      </c>
      <c r="H74" s="404">
        <f t="shared" si="6"/>
        <v>600</v>
      </c>
    </row>
    <row r="75" spans="1:8" ht="57.6">
      <c r="A75" s="400" t="s">
        <v>89</v>
      </c>
      <c r="B75" s="411" t="s">
        <v>484</v>
      </c>
      <c r="C75" s="402" t="s">
        <v>18</v>
      </c>
      <c r="D75" s="495">
        <f t="shared" ref="D75:D80" si="8">2*2</f>
        <v>4</v>
      </c>
      <c r="E75" s="68">
        <v>25</v>
      </c>
      <c r="F75" s="68">
        <v>40</v>
      </c>
      <c r="G75" s="69">
        <v>43</v>
      </c>
      <c r="H75" s="404">
        <f t="shared" si="6"/>
        <v>100</v>
      </c>
    </row>
    <row r="76" spans="1:8" ht="28.8">
      <c r="A76" s="400" t="s">
        <v>91</v>
      </c>
      <c r="B76" s="401" t="s">
        <v>471</v>
      </c>
      <c r="C76" s="402" t="s">
        <v>18</v>
      </c>
      <c r="D76" s="402">
        <f t="shared" si="8"/>
        <v>4</v>
      </c>
      <c r="E76" s="68">
        <v>122</v>
      </c>
      <c r="F76" s="232">
        <v>170.91</v>
      </c>
      <c r="G76" s="68">
        <v>185</v>
      </c>
      <c r="H76" s="404">
        <f t="shared" si="6"/>
        <v>488</v>
      </c>
    </row>
    <row r="77" spans="1:8" ht="28.8">
      <c r="A77" s="400" t="s">
        <v>92</v>
      </c>
      <c r="B77" s="401" t="s">
        <v>472</v>
      </c>
      <c r="C77" s="402" t="s">
        <v>18</v>
      </c>
      <c r="D77" s="402">
        <f t="shared" si="8"/>
        <v>4</v>
      </c>
      <c r="E77" s="68">
        <v>21.8</v>
      </c>
      <c r="F77" s="74">
        <v>36</v>
      </c>
      <c r="G77" s="68">
        <v>46.9</v>
      </c>
      <c r="H77" s="404">
        <f t="shared" si="6"/>
        <v>87.2</v>
      </c>
    </row>
    <row r="78" spans="1:8" ht="28.8">
      <c r="A78" s="400" t="s">
        <v>93</v>
      </c>
      <c r="B78" s="401" t="s">
        <v>485</v>
      </c>
      <c r="C78" s="402" t="s">
        <v>18</v>
      </c>
      <c r="D78" s="402">
        <f t="shared" si="8"/>
        <v>4</v>
      </c>
      <c r="E78" s="73">
        <v>13.93</v>
      </c>
      <c r="F78" s="74">
        <v>15.71</v>
      </c>
      <c r="G78" s="68">
        <v>22.5</v>
      </c>
      <c r="H78" s="404">
        <f t="shared" si="6"/>
        <v>55.72</v>
      </c>
    </row>
    <row r="79" spans="1:8" ht="28.8">
      <c r="A79" s="400" t="s">
        <v>94</v>
      </c>
      <c r="B79" s="401" t="s">
        <v>486</v>
      </c>
      <c r="C79" s="402" t="s">
        <v>18</v>
      </c>
      <c r="D79" s="402">
        <f t="shared" si="8"/>
        <v>4</v>
      </c>
      <c r="E79" s="68">
        <v>12.4</v>
      </c>
      <c r="F79" s="69">
        <v>13.5</v>
      </c>
      <c r="G79" s="68">
        <v>20.260000000000002</v>
      </c>
      <c r="H79" s="404">
        <f t="shared" si="6"/>
        <v>49.6</v>
      </c>
    </row>
    <row r="80" spans="1:8" ht="28.8">
      <c r="A80" s="400" t="s">
        <v>95</v>
      </c>
      <c r="B80" s="401" t="s">
        <v>491</v>
      </c>
      <c r="C80" s="402" t="s">
        <v>18</v>
      </c>
      <c r="D80" s="402">
        <f t="shared" si="8"/>
        <v>4</v>
      </c>
      <c r="E80" s="73">
        <v>160</v>
      </c>
      <c r="F80" s="232">
        <v>163</v>
      </c>
      <c r="G80" s="73">
        <v>193.63</v>
      </c>
      <c r="H80" s="404">
        <f t="shared" si="6"/>
        <v>640</v>
      </c>
    </row>
    <row r="81" spans="1:8" ht="28.8">
      <c r="A81" s="400" t="s">
        <v>97</v>
      </c>
      <c r="B81" s="401" t="s">
        <v>474</v>
      </c>
      <c r="C81" s="402" t="s">
        <v>18</v>
      </c>
      <c r="D81" s="402">
        <f t="shared" ref="D81:D83" si="9">1*2</f>
        <v>2</v>
      </c>
      <c r="E81" s="73">
        <v>35</v>
      </c>
      <c r="F81" s="69">
        <v>41.4</v>
      </c>
      <c r="G81" s="68">
        <v>168.26</v>
      </c>
      <c r="H81" s="404">
        <f t="shared" si="6"/>
        <v>70</v>
      </c>
    </row>
    <row r="82" spans="1:8" ht="28.8">
      <c r="A82" s="624" t="s">
        <v>98</v>
      </c>
      <c r="B82" s="625" t="s">
        <v>475</v>
      </c>
      <c r="C82" s="402" t="s">
        <v>18</v>
      </c>
      <c r="D82" s="402">
        <f t="shared" si="9"/>
        <v>2</v>
      </c>
      <c r="E82" s="73">
        <v>41.4</v>
      </c>
      <c r="F82" s="69">
        <v>42.23</v>
      </c>
      <c r="G82" s="70">
        <v>50</v>
      </c>
      <c r="H82" s="404">
        <f t="shared" si="6"/>
        <v>82.8</v>
      </c>
    </row>
    <row r="83" spans="1:8" ht="28.8">
      <c r="A83" s="624" t="s">
        <v>99</v>
      </c>
      <c r="B83" s="625" t="s">
        <v>477</v>
      </c>
      <c r="C83" s="402" t="s">
        <v>18</v>
      </c>
      <c r="D83" s="402">
        <f t="shared" si="9"/>
        <v>2</v>
      </c>
      <c r="E83" s="68">
        <v>32.979999999999997</v>
      </c>
      <c r="F83" s="69">
        <v>58.66</v>
      </c>
      <c r="G83" s="68">
        <v>60.82</v>
      </c>
      <c r="H83" s="404">
        <f t="shared" si="6"/>
        <v>65.959999999999994</v>
      </c>
    </row>
    <row r="84" spans="1:8" ht="28.8">
      <c r="A84" s="626" t="s">
        <v>140</v>
      </c>
      <c r="B84" s="627" t="s">
        <v>772</v>
      </c>
      <c r="C84" s="402" t="s">
        <v>18</v>
      </c>
      <c r="D84" s="413">
        <v>2</v>
      </c>
      <c r="E84" s="412">
        <v>286</v>
      </c>
      <c r="F84" s="404">
        <v>338</v>
      </c>
      <c r="G84" s="403">
        <v>377</v>
      </c>
      <c r="H84" s="404">
        <f t="shared" si="6"/>
        <v>572</v>
      </c>
    </row>
    <row r="85" spans="1:8" ht="28.8">
      <c r="A85" s="626" t="s">
        <v>141</v>
      </c>
      <c r="B85" s="627" t="s">
        <v>774</v>
      </c>
      <c r="C85" s="402" t="s">
        <v>18</v>
      </c>
      <c r="D85" s="413">
        <v>4</v>
      </c>
      <c r="E85" s="412">
        <v>35.99</v>
      </c>
      <c r="F85" s="404">
        <v>37.93</v>
      </c>
      <c r="G85" s="403">
        <v>67.900000000000006</v>
      </c>
      <c r="H85" s="404">
        <f t="shared" si="6"/>
        <v>143.96</v>
      </c>
    </row>
    <row r="86" spans="1:8" ht="28.8">
      <c r="A86" s="626" t="s">
        <v>142</v>
      </c>
      <c r="B86" s="627" t="s">
        <v>776</v>
      </c>
      <c r="C86" s="402" t="s">
        <v>18</v>
      </c>
      <c r="D86" s="413">
        <v>2</v>
      </c>
      <c r="E86" s="412">
        <v>37.9</v>
      </c>
      <c r="F86" s="404">
        <v>41.31</v>
      </c>
      <c r="G86" s="403">
        <v>45</v>
      </c>
      <c r="H86" s="404">
        <f t="shared" si="6"/>
        <v>75.8</v>
      </c>
    </row>
    <row r="87" spans="1:8" ht="28.8">
      <c r="A87" s="626" t="s">
        <v>143</v>
      </c>
      <c r="B87" s="627" t="s">
        <v>777</v>
      </c>
      <c r="C87" s="402" t="s">
        <v>18</v>
      </c>
      <c r="D87" s="413">
        <f>D85</f>
        <v>4</v>
      </c>
      <c r="E87" s="412">
        <v>73.489999999999995</v>
      </c>
      <c r="F87" s="404">
        <v>96.7</v>
      </c>
      <c r="G87" s="403">
        <v>106.76</v>
      </c>
      <c r="H87" s="404">
        <f t="shared" si="6"/>
        <v>293.95999999999998</v>
      </c>
    </row>
    <row r="88" spans="1:8">
      <c r="A88" s="611" t="s">
        <v>392</v>
      </c>
      <c r="B88" s="612"/>
      <c r="C88" s="518"/>
      <c r="D88" s="518"/>
      <c r="E88" s="518"/>
      <c r="F88" s="518"/>
      <c r="G88" s="518"/>
      <c r="H88" s="520">
        <f>SUM(H68:H87)</f>
        <v>190615.91999999998</v>
      </c>
    </row>
    <row r="89" spans="1:8">
      <c r="A89" s="607" t="s">
        <v>393</v>
      </c>
      <c r="B89" s="608"/>
      <c r="C89" s="521"/>
      <c r="D89" s="521"/>
      <c r="E89" s="521"/>
      <c r="F89" s="521"/>
      <c r="G89" s="521"/>
      <c r="H89" s="505">
        <f>H88+H66</f>
        <v>1212544.8400000001</v>
      </c>
    </row>
    <row r="90" spans="1:8">
      <c r="A90" s="615" t="s">
        <v>100</v>
      </c>
      <c r="B90" s="604"/>
      <c r="C90" s="392"/>
      <c r="D90" s="392"/>
      <c r="E90" s="421"/>
      <c r="F90" s="421"/>
      <c r="G90" s="421"/>
      <c r="H90" s="421"/>
    </row>
    <row r="91" spans="1:8" ht="28.8">
      <c r="A91" s="471">
        <v>1</v>
      </c>
      <c r="B91" s="396" t="s">
        <v>101</v>
      </c>
      <c r="C91" s="397" t="s">
        <v>7</v>
      </c>
      <c r="D91" s="397" t="s">
        <v>8</v>
      </c>
      <c r="E91" s="398" t="s">
        <v>410</v>
      </c>
      <c r="F91" s="398" t="s">
        <v>408</v>
      </c>
      <c r="G91" s="398" t="s">
        <v>409</v>
      </c>
      <c r="H91" s="399" t="s">
        <v>9</v>
      </c>
    </row>
    <row r="92" spans="1:8" ht="43.2" hidden="1">
      <c r="A92" s="522" t="s">
        <v>12</v>
      </c>
      <c r="B92" s="523" t="s">
        <v>826</v>
      </c>
      <c r="C92" s="523"/>
      <c r="D92" s="524"/>
      <c r="E92" s="523"/>
      <c r="F92" s="523"/>
      <c r="G92" s="523"/>
      <c r="H92" s="523"/>
    </row>
    <row r="93" spans="1:8" ht="43.2" hidden="1">
      <c r="A93" s="522" t="s">
        <v>14</v>
      </c>
      <c r="B93" s="523" t="s">
        <v>827</v>
      </c>
      <c r="C93" s="523"/>
      <c r="D93" s="524"/>
      <c r="E93" s="523"/>
      <c r="F93" s="523"/>
      <c r="G93" s="523"/>
      <c r="H93" s="523"/>
    </row>
    <row r="94" spans="1:8">
      <c r="A94" s="522" t="s">
        <v>16</v>
      </c>
      <c r="B94" s="523" t="s">
        <v>104</v>
      </c>
      <c r="C94" s="525"/>
      <c r="D94" s="526"/>
      <c r="E94" s="525"/>
      <c r="F94" s="525"/>
      <c r="G94" s="525"/>
      <c r="H94" s="523"/>
    </row>
    <row r="95" spans="1:8" ht="51.75" customHeight="1">
      <c r="A95" s="400" t="s">
        <v>105</v>
      </c>
      <c r="B95" s="527" t="s">
        <v>752</v>
      </c>
      <c r="C95" s="439" t="s">
        <v>18</v>
      </c>
      <c r="D95" s="474">
        <f>(1200*70*1.2)</f>
        <v>100800</v>
      </c>
      <c r="E95" s="440">
        <v>10</v>
      </c>
      <c r="F95" s="440"/>
      <c r="G95" s="440"/>
      <c r="H95" s="441">
        <f t="shared" ref="H95:H96" si="10">E95*D95</f>
        <v>1008000</v>
      </c>
    </row>
    <row r="96" spans="1:8">
      <c r="A96" s="400" t="s">
        <v>419</v>
      </c>
      <c r="B96" s="438" t="s">
        <v>407</v>
      </c>
      <c r="C96" s="439" t="s">
        <v>15</v>
      </c>
      <c r="D96" s="439">
        <v>8</v>
      </c>
      <c r="E96" s="440">
        <v>6000</v>
      </c>
      <c r="F96" s="440"/>
      <c r="G96" s="440"/>
      <c r="H96" s="441">
        <f t="shared" si="10"/>
        <v>48000</v>
      </c>
    </row>
    <row r="97" spans="1:8">
      <c r="A97" s="497" t="s">
        <v>102</v>
      </c>
      <c r="B97" s="528"/>
      <c r="C97" s="528"/>
      <c r="D97" s="528"/>
      <c r="E97" s="528"/>
      <c r="F97" s="528"/>
      <c r="G97" s="528"/>
      <c r="H97" s="504">
        <f>SUM(H95:H96)</f>
        <v>1056000</v>
      </c>
    </row>
    <row r="98" spans="1:8" ht="43.2" hidden="1">
      <c r="A98" s="522" t="s">
        <v>19</v>
      </c>
      <c r="B98" s="523" t="s">
        <v>828</v>
      </c>
      <c r="C98" s="523"/>
      <c r="D98" s="529"/>
      <c r="E98" s="530"/>
      <c r="F98" s="530"/>
      <c r="G98" s="523"/>
      <c r="H98" s="523"/>
    </row>
    <row r="99" spans="1:8">
      <c r="A99" s="499" t="s">
        <v>111</v>
      </c>
      <c r="B99" s="501"/>
      <c r="C99" s="501"/>
      <c r="D99" s="501"/>
      <c r="E99" s="501"/>
      <c r="F99" s="501"/>
      <c r="G99" s="501"/>
      <c r="H99" s="505">
        <f>H97</f>
        <v>1056000</v>
      </c>
    </row>
    <row r="100" spans="1:8">
      <c r="A100" s="609" t="s">
        <v>112</v>
      </c>
      <c r="B100" s="604"/>
      <c r="C100" s="392"/>
      <c r="D100" s="392"/>
      <c r="E100" s="421"/>
      <c r="F100" s="421"/>
      <c r="G100" s="421"/>
      <c r="H100" s="421"/>
    </row>
    <row r="101" spans="1:8">
      <c r="A101" s="395" t="s">
        <v>5</v>
      </c>
      <c r="B101" s="396" t="s">
        <v>113</v>
      </c>
      <c r="C101" s="397" t="s">
        <v>7</v>
      </c>
      <c r="D101" s="397" t="s">
        <v>8</v>
      </c>
      <c r="E101" s="398" t="s">
        <v>410</v>
      </c>
      <c r="F101" s="398" t="s">
        <v>408</v>
      </c>
      <c r="G101" s="398" t="s">
        <v>409</v>
      </c>
      <c r="H101" s="399" t="s">
        <v>9</v>
      </c>
    </row>
    <row r="102" spans="1:8" ht="43.2">
      <c r="A102" s="400" t="s">
        <v>12</v>
      </c>
      <c r="B102" s="401" t="s">
        <v>420</v>
      </c>
      <c r="C102" s="402" t="s">
        <v>13</v>
      </c>
      <c r="D102" s="402">
        <v>10</v>
      </c>
      <c r="E102" s="251">
        <f>(2825.54*97%)+2825.54</f>
        <v>5566.3137999999999</v>
      </c>
      <c r="F102" s="249">
        <f>(2942.99*97%)+2942.99</f>
        <v>5797.6902999999993</v>
      </c>
      <c r="G102" s="250">
        <f>(3397*97%)+3397</f>
        <v>6692.09</v>
      </c>
      <c r="H102" s="404">
        <f>E102*D102*2</f>
        <v>111326.276</v>
      </c>
    </row>
    <row r="103" spans="1:8" ht="43.2">
      <c r="A103" s="400" t="s">
        <v>14</v>
      </c>
      <c r="B103" s="401" t="s">
        <v>421</v>
      </c>
      <c r="C103" s="402" t="s">
        <v>13</v>
      </c>
      <c r="D103" s="402">
        <v>10</v>
      </c>
      <c r="E103" s="68">
        <f>(1412*97%)+1412</f>
        <v>2781.64</v>
      </c>
      <c r="F103" s="69">
        <f>(1454*97%)+1454</f>
        <v>2864.38</v>
      </c>
      <c r="G103" s="68">
        <f>(1700*97%)+1700</f>
        <v>3349</v>
      </c>
      <c r="H103" s="404">
        <f>E103*D103*8</f>
        <v>222531.19999999998</v>
      </c>
    </row>
    <row r="104" spans="1:8" ht="43.2">
      <c r="A104" s="400" t="s">
        <v>16</v>
      </c>
      <c r="B104" s="401" t="s">
        <v>521</v>
      </c>
      <c r="C104" s="402" t="s">
        <v>18</v>
      </c>
      <c r="D104" s="402">
        <v>2</v>
      </c>
      <c r="E104" s="68">
        <v>1386</v>
      </c>
      <c r="F104" s="69">
        <v>1549</v>
      </c>
      <c r="G104" s="68">
        <v>1649.9</v>
      </c>
      <c r="H104" s="404">
        <f t="shared" ref="H104:H107" si="11">E104*D104</f>
        <v>2772</v>
      </c>
    </row>
    <row r="105" spans="1:8" ht="28.8">
      <c r="A105" s="400" t="s">
        <v>19</v>
      </c>
      <c r="B105" s="401" t="s">
        <v>462</v>
      </c>
      <c r="C105" s="402" t="s">
        <v>13</v>
      </c>
      <c r="D105" s="402">
        <v>10</v>
      </c>
      <c r="E105" s="68">
        <v>124.99</v>
      </c>
      <c r="F105" s="69">
        <v>142</v>
      </c>
      <c r="G105" s="68">
        <v>159.9</v>
      </c>
      <c r="H105" s="404">
        <f t="shared" si="11"/>
        <v>1249.8999999999999</v>
      </c>
    </row>
    <row r="106" spans="1:8" ht="43.2">
      <c r="A106" s="400" t="s">
        <v>20</v>
      </c>
      <c r="B106" s="401" t="s">
        <v>515</v>
      </c>
      <c r="C106" s="402" t="s">
        <v>15</v>
      </c>
      <c r="D106" s="402">
        <f t="shared" ref="D106:D107" si="12">20*10*10</f>
        <v>2000</v>
      </c>
      <c r="E106" s="68">
        <v>32</v>
      </c>
      <c r="F106" s="69">
        <v>32</v>
      </c>
      <c r="G106" s="68">
        <v>35</v>
      </c>
      <c r="H106" s="404">
        <f t="shared" si="11"/>
        <v>64000</v>
      </c>
    </row>
    <row r="107" spans="1:8" ht="28.8">
      <c r="A107" s="400" t="s">
        <v>21</v>
      </c>
      <c r="B107" s="401" t="s">
        <v>516</v>
      </c>
      <c r="C107" s="402" t="s">
        <v>15</v>
      </c>
      <c r="D107" s="402">
        <f t="shared" si="12"/>
        <v>2000</v>
      </c>
      <c r="E107" s="68">
        <v>8</v>
      </c>
      <c r="F107" s="69">
        <v>8.6</v>
      </c>
      <c r="G107" s="68">
        <v>9</v>
      </c>
      <c r="H107" s="404">
        <f t="shared" si="11"/>
        <v>16000</v>
      </c>
    </row>
    <row r="108" spans="1:8" ht="28.8">
      <c r="A108" s="400" t="s">
        <v>22</v>
      </c>
      <c r="B108" s="401" t="s">
        <v>522</v>
      </c>
      <c r="C108" s="402" t="s">
        <v>13</v>
      </c>
      <c r="D108" s="495">
        <v>10</v>
      </c>
      <c r="E108" s="68">
        <v>7950</v>
      </c>
      <c r="F108" s="68">
        <v>8763.6</v>
      </c>
      <c r="G108" s="102">
        <v>9350</v>
      </c>
      <c r="H108" s="404">
        <f>E108*D108*2</f>
        <v>159000</v>
      </c>
    </row>
    <row r="109" spans="1:8" ht="28.8">
      <c r="A109" s="400" t="s">
        <v>23</v>
      </c>
      <c r="B109" s="401" t="s">
        <v>674</v>
      </c>
      <c r="C109" s="402" t="s">
        <v>15</v>
      </c>
      <c r="D109" s="402">
        <v>10</v>
      </c>
      <c r="E109" s="68">
        <v>300</v>
      </c>
      <c r="F109" s="69">
        <v>600</v>
      </c>
      <c r="G109" s="68">
        <v>975</v>
      </c>
      <c r="H109" s="404">
        <f>E109*D109</f>
        <v>3000</v>
      </c>
    </row>
    <row r="110" spans="1:8" ht="28.8">
      <c r="A110" s="400" t="s">
        <v>24</v>
      </c>
      <c r="B110" s="401" t="s">
        <v>672</v>
      </c>
      <c r="C110" s="402" t="s">
        <v>13</v>
      </c>
      <c r="D110" s="402">
        <v>2</v>
      </c>
      <c r="E110" s="403">
        <v>49.9</v>
      </c>
      <c r="F110" s="404">
        <v>60</v>
      </c>
      <c r="G110" s="403">
        <v>65</v>
      </c>
      <c r="H110" s="404">
        <f>E110*D110*2</f>
        <v>199.6</v>
      </c>
    </row>
    <row r="111" spans="1:8">
      <c r="A111" s="400" t="s">
        <v>25</v>
      </c>
      <c r="B111" s="401" t="s">
        <v>673</v>
      </c>
      <c r="C111" s="402" t="s">
        <v>15</v>
      </c>
      <c r="D111" s="495">
        <v>2</v>
      </c>
      <c r="E111" s="403">
        <v>114</v>
      </c>
      <c r="F111" s="404">
        <v>180</v>
      </c>
      <c r="G111" s="403">
        <v>265</v>
      </c>
      <c r="H111" s="404">
        <f t="shared" ref="H111:H179" si="13">E111*D111</f>
        <v>228</v>
      </c>
    </row>
    <row r="112" spans="1:8" ht="28.8">
      <c r="A112" s="400" t="s">
        <v>27</v>
      </c>
      <c r="B112" s="401" t="s">
        <v>523</v>
      </c>
      <c r="C112" s="402" t="s">
        <v>108</v>
      </c>
      <c r="D112" s="402">
        <f>88*4*10*2</f>
        <v>7040</v>
      </c>
      <c r="E112" s="403">
        <v>6.47</v>
      </c>
      <c r="F112" s="404">
        <v>6.48</v>
      </c>
      <c r="G112" s="403">
        <v>6.49</v>
      </c>
      <c r="H112" s="404">
        <f t="shared" si="13"/>
        <v>45548.799999999996</v>
      </c>
    </row>
    <row r="113" spans="1:8" ht="28.8">
      <c r="A113" s="400" t="s">
        <v>28</v>
      </c>
      <c r="B113" s="401" t="s">
        <v>500</v>
      </c>
      <c r="C113" s="402" t="s">
        <v>18</v>
      </c>
      <c r="D113" s="402">
        <v>2</v>
      </c>
      <c r="E113" s="403">
        <v>109</v>
      </c>
      <c r="F113" s="404">
        <v>211.19</v>
      </c>
      <c r="G113" s="408">
        <v>330</v>
      </c>
      <c r="H113" s="404">
        <f t="shared" si="13"/>
        <v>218</v>
      </c>
    </row>
    <row r="114" spans="1:8" ht="28.8">
      <c r="A114" s="400" t="s">
        <v>29</v>
      </c>
      <c r="B114" s="427" t="s">
        <v>681</v>
      </c>
      <c r="C114" s="402" t="s">
        <v>18</v>
      </c>
      <c r="D114" s="402">
        <f t="shared" ref="D114:D115" si="14">5*10</f>
        <v>50</v>
      </c>
      <c r="E114" s="68">
        <v>60</v>
      </c>
      <c r="F114" s="68">
        <v>65</v>
      </c>
      <c r="G114" s="69">
        <v>70</v>
      </c>
      <c r="H114" s="404">
        <f t="shared" si="13"/>
        <v>3000</v>
      </c>
    </row>
    <row r="115" spans="1:8" ht="57.6">
      <c r="A115" s="400" t="s">
        <v>30</v>
      </c>
      <c r="B115" s="428" t="s">
        <v>682</v>
      </c>
      <c r="C115" s="402" t="s">
        <v>18</v>
      </c>
      <c r="D115" s="402">
        <f t="shared" si="14"/>
        <v>50</v>
      </c>
      <c r="E115" s="68">
        <v>25</v>
      </c>
      <c r="F115" s="68">
        <v>40</v>
      </c>
      <c r="G115" s="69">
        <v>43</v>
      </c>
      <c r="H115" s="404">
        <f t="shared" si="13"/>
        <v>1250</v>
      </c>
    </row>
    <row r="116" spans="1:8" ht="28.8">
      <c r="A116" s="400" t="s">
        <v>32</v>
      </c>
      <c r="B116" s="401" t="s">
        <v>690</v>
      </c>
      <c r="C116" s="402" t="s">
        <v>18</v>
      </c>
      <c r="D116" s="402">
        <f>2*1</f>
        <v>2</v>
      </c>
      <c r="E116" s="68">
        <v>122</v>
      </c>
      <c r="F116" s="74">
        <v>170.91</v>
      </c>
      <c r="G116" s="68">
        <v>296.93</v>
      </c>
      <c r="H116" s="404">
        <f t="shared" si="13"/>
        <v>244</v>
      </c>
    </row>
    <row r="117" spans="1:8" ht="43.2">
      <c r="A117" s="400" t="s">
        <v>33</v>
      </c>
      <c r="B117" s="430" t="s">
        <v>689</v>
      </c>
      <c r="C117" s="402" t="s">
        <v>18</v>
      </c>
      <c r="D117" s="402">
        <f>8*1</f>
        <v>8</v>
      </c>
      <c r="E117" s="68">
        <v>77.34</v>
      </c>
      <c r="F117" s="74">
        <v>103.8</v>
      </c>
      <c r="G117" s="70">
        <v>117.95</v>
      </c>
      <c r="H117" s="404">
        <f t="shared" si="13"/>
        <v>618.72</v>
      </c>
    </row>
    <row r="118" spans="1:8" ht="28.8">
      <c r="A118" s="400" t="s">
        <v>34</v>
      </c>
      <c r="B118" s="431" t="s">
        <v>691</v>
      </c>
      <c r="C118" s="402" t="s">
        <v>18</v>
      </c>
      <c r="D118" s="402">
        <f>2*1</f>
        <v>2</v>
      </c>
      <c r="E118" s="68">
        <v>21.8</v>
      </c>
      <c r="F118" s="74">
        <v>36</v>
      </c>
      <c r="G118" s="68">
        <v>46.9</v>
      </c>
      <c r="H118" s="404">
        <f t="shared" si="13"/>
        <v>43.6</v>
      </c>
    </row>
    <row r="119" spans="1:8" ht="28.8">
      <c r="A119" s="400" t="s">
        <v>37</v>
      </c>
      <c r="B119" s="431" t="s">
        <v>692</v>
      </c>
      <c r="C119" s="402" t="s">
        <v>18</v>
      </c>
      <c r="D119" s="402">
        <f>8*1</f>
        <v>8</v>
      </c>
      <c r="E119" s="73">
        <v>22.94</v>
      </c>
      <c r="F119" s="232">
        <v>23.46</v>
      </c>
      <c r="G119" s="73">
        <v>30</v>
      </c>
      <c r="H119" s="404">
        <f t="shared" si="13"/>
        <v>183.52</v>
      </c>
    </row>
    <row r="120" spans="1:8" ht="28.8">
      <c r="A120" s="400" t="s">
        <v>39</v>
      </c>
      <c r="B120" s="431" t="s">
        <v>685</v>
      </c>
      <c r="C120" s="402" t="s">
        <v>18</v>
      </c>
      <c r="D120" s="402">
        <f>10*1</f>
        <v>10</v>
      </c>
      <c r="E120" s="73">
        <v>13.93</v>
      </c>
      <c r="F120" s="74">
        <v>15.71</v>
      </c>
      <c r="G120" s="68">
        <v>49.9</v>
      </c>
      <c r="H120" s="404">
        <f t="shared" si="13"/>
        <v>139.30000000000001</v>
      </c>
    </row>
    <row r="121" spans="1:8" ht="28.8">
      <c r="A121" s="400" t="s">
        <v>40</v>
      </c>
      <c r="B121" s="401" t="s">
        <v>529</v>
      </c>
      <c r="C121" s="402" t="s">
        <v>18</v>
      </c>
      <c r="D121" s="402">
        <f>3*10*10</f>
        <v>300</v>
      </c>
      <c r="E121" s="73">
        <v>12.4</v>
      </c>
      <c r="F121" s="232">
        <v>13.5</v>
      </c>
      <c r="G121" s="68">
        <v>20.260000000000002</v>
      </c>
      <c r="H121" s="404">
        <f t="shared" si="13"/>
        <v>3720</v>
      </c>
    </row>
    <row r="122" spans="1:8" ht="28.8">
      <c r="A122" s="400" t="s">
        <v>42</v>
      </c>
      <c r="B122" s="401" t="s">
        <v>530</v>
      </c>
      <c r="C122" s="402" t="s">
        <v>18</v>
      </c>
      <c r="D122" s="402">
        <f>2*10*10</f>
        <v>200</v>
      </c>
      <c r="E122" s="68">
        <v>2.7</v>
      </c>
      <c r="F122" s="68">
        <v>2.75</v>
      </c>
      <c r="G122" s="232">
        <v>2.94</v>
      </c>
      <c r="H122" s="404">
        <f t="shared" si="13"/>
        <v>540</v>
      </c>
    </row>
    <row r="123" spans="1:8" ht="28.8">
      <c r="A123" s="400" t="s">
        <v>44</v>
      </c>
      <c r="B123" s="401" t="s">
        <v>531</v>
      </c>
      <c r="C123" s="402" t="s">
        <v>18</v>
      </c>
      <c r="D123" s="402">
        <f>4*2</f>
        <v>8</v>
      </c>
      <c r="E123" s="68">
        <v>38.700000000000003</v>
      </c>
      <c r="F123" s="69">
        <v>65.64</v>
      </c>
      <c r="G123" s="73">
        <v>176</v>
      </c>
      <c r="H123" s="404">
        <f t="shared" si="13"/>
        <v>309.60000000000002</v>
      </c>
    </row>
    <row r="124" spans="1:8">
      <c r="A124" s="400" t="s">
        <v>46</v>
      </c>
      <c r="B124" s="430" t="s">
        <v>503</v>
      </c>
      <c r="C124" s="402" t="s">
        <v>18</v>
      </c>
      <c r="D124" s="402">
        <v>10</v>
      </c>
      <c r="E124" s="68">
        <v>160</v>
      </c>
      <c r="F124" s="232">
        <v>163</v>
      </c>
      <c r="G124" s="73">
        <v>193.63</v>
      </c>
      <c r="H124" s="404">
        <f t="shared" si="13"/>
        <v>1600</v>
      </c>
    </row>
    <row r="125" spans="1:8" ht="28.8">
      <c r="A125" s="400" t="s">
        <v>48</v>
      </c>
      <c r="B125" s="432" t="s">
        <v>474</v>
      </c>
      <c r="C125" s="402" t="s">
        <v>18</v>
      </c>
      <c r="D125" s="402">
        <v>10</v>
      </c>
      <c r="E125" s="70">
        <v>35</v>
      </c>
      <c r="F125" s="74">
        <v>41.4</v>
      </c>
      <c r="G125" s="68">
        <v>168.26</v>
      </c>
      <c r="H125" s="404">
        <f t="shared" si="13"/>
        <v>350</v>
      </c>
    </row>
    <row r="126" spans="1:8" ht="28.8">
      <c r="A126" s="400" t="s">
        <v>49</v>
      </c>
      <c r="B126" s="430" t="s">
        <v>492</v>
      </c>
      <c r="C126" s="402" t="s">
        <v>18</v>
      </c>
      <c r="D126" s="402">
        <v>10</v>
      </c>
      <c r="E126" s="73">
        <v>41.4</v>
      </c>
      <c r="F126" s="69">
        <v>42.23</v>
      </c>
      <c r="G126" s="70">
        <v>50</v>
      </c>
      <c r="H126" s="404">
        <f t="shared" si="13"/>
        <v>414</v>
      </c>
    </row>
    <row r="127" spans="1:8" ht="28.8">
      <c r="A127" s="400" t="s">
        <v>51</v>
      </c>
      <c r="B127" s="401" t="s">
        <v>532</v>
      </c>
      <c r="C127" s="402" t="s">
        <v>18</v>
      </c>
      <c r="D127" s="495">
        <f>2*10</f>
        <v>20</v>
      </c>
      <c r="E127" s="68">
        <v>2.77</v>
      </c>
      <c r="F127" s="74">
        <v>3.75</v>
      </c>
      <c r="G127" s="73">
        <v>3.96</v>
      </c>
      <c r="H127" s="404">
        <f t="shared" si="13"/>
        <v>55.4</v>
      </c>
    </row>
    <row r="128" spans="1:8" ht="43.2">
      <c r="A128" s="400" t="s">
        <v>53</v>
      </c>
      <c r="B128" s="401" t="s">
        <v>533</v>
      </c>
      <c r="C128" s="402" t="s">
        <v>18</v>
      </c>
      <c r="D128" s="402">
        <f t="shared" ref="D128:D131" si="15">2*2</f>
        <v>4</v>
      </c>
      <c r="E128" s="73">
        <v>27.94</v>
      </c>
      <c r="F128" s="232">
        <v>35.5</v>
      </c>
      <c r="G128" s="73">
        <v>36.9</v>
      </c>
      <c r="H128" s="404">
        <f t="shared" si="13"/>
        <v>111.76</v>
      </c>
    </row>
    <row r="129" spans="1:8" ht="43.2">
      <c r="A129" s="400" t="s">
        <v>55</v>
      </c>
      <c r="B129" s="416" t="s">
        <v>534</v>
      </c>
      <c r="C129" s="402" t="s">
        <v>18</v>
      </c>
      <c r="D129" s="402">
        <f t="shared" si="15"/>
        <v>4</v>
      </c>
      <c r="E129" s="73">
        <v>28.55</v>
      </c>
      <c r="F129" s="232">
        <v>28.8</v>
      </c>
      <c r="G129" s="73">
        <v>103.4</v>
      </c>
      <c r="H129" s="404">
        <f t="shared" si="13"/>
        <v>114.2</v>
      </c>
    </row>
    <row r="130" spans="1:8" ht="57.6">
      <c r="A130" s="400" t="s">
        <v>56</v>
      </c>
      <c r="B130" s="430" t="s">
        <v>535</v>
      </c>
      <c r="C130" s="402" t="s">
        <v>18</v>
      </c>
      <c r="D130" s="402">
        <f t="shared" si="15"/>
        <v>4</v>
      </c>
      <c r="E130" s="232">
        <v>286</v>
      </c>
      <c r="F130" s="69">
        <v>484</v>
      </c>
      <c r="G130" s="68">
        <v>572</v>
      </c>
      <c r="H130" s="404">
        <f t="shared" si="13"/>
        <v>1144</v>
      </c>
    </row>
    <row r="131" spans="1:8" ht="28.8">
      <c r="A131" s="400" t="s">
        <v>57</v>
      </c>
      <c r="B131" s="416" t="s">
        <v>507</v>
      </c>
      <c r="C131" s="402" t="s">
        <v>18</v>
      </c>
      <c r="D131" s="402">
        <f t="shared" si="15"/>
        <v>4</v>
      </c>
      <c r="E131" s="70">
        <v>133.01</v>
      </c>
      <c r="F131" s="69">
        <v>157.19999999999999</v>
      </c>
      <c r="G131" s="70">
        <v>175.33</v>
      </c>
      <c r="H131" s="404">
        <f t="shared" si="13"/>
        <v>532.04</v>
      </c>
    </row>
    <row r="132" spans="1:8" ht="28.8">
      <c r="A132" s="400" t="s">
        <v>58</v>
      </c>
      <c r="B132" s="430" t="s">
        <v>536</v>
      </c>
      <c r="C132" s="402" t="s">
        <v>18</v>
      </c>
      <c r="D132" s="402">
        <v>2</v>
      </c>
      <c r="E132" s="70">
        <v>73.900000000000006</v>
      </c>
      <c r="F132" s="69">
        <v>76.5</v>
      </c>
      <c r="G132" s="73">
        <v>78.849999999999994</v>
      </c>
      <c r="H132" s="404">
        <f t="shared" si="13"/>
        <v>147.80000000000001</v>
      </c>
    </row>
    <row r="133" spans="1:8" ht="28.8">
      <c r="A133" s="400" t="s">
        <v>59</v>
      </c>
      <c r="B133" s="416" t="s">
        <v>493</v>
      </c>
      <c r="C133" s="402" t="s">
        <v>18</v>
      </c>
      <c r="D133" s="402">
        <v>2</v>
      </c>
      <c r="E133" s="73">
        <v>26.5</v>
      </c>
      <c r="F133" s="69">
        <v>61.9</v>
      </c>
      <c r="G133" s="68">
        <v>83.6</v>
      </c>
      <c r="H133" s="404">
        <f t="shared" si="13"/>
        <v>53</v>
      </c>
    </row>
    <row r="134" spans="1:8" ht="28.8">
      <c r="A134" s="400" t="s">
        <v>60</v>
      </c>
      <c r="B134" s="416" t="s">
        <v>494</v>
      </c>
      <c r="C134" s="402" t="s">
        <v>18</v>
      </c>
      <c r="D134" s="402">
        <f t="shared" ref="D134:D135" si="16">2*2</f>
        <v>4</v>
      </c>
      <c r="E134" s="70">
        <v>27.9</v>
      </c>
      <c r="F134" s="232">
        <v>30</v>
      </c>
      <c r="G134" s="70">
        <v>32.229999999999997</v>
      </c>
      <c r="H134" s="404">
        <f t="shared" si="13"/>
        <v>111.6</v>
      </c>
    </row>
    <row r="135" spans="1:8" ht="28.8">
      <c r="A135" s="400" t="s">
        <v>62</v>
      </c>
      <c r="B135" s="449" t="s">
        <v>495</v>
      </c>
      <c r="C135" s="402" t="s">
        <v>18</v>
      </c>
      <c r="D135" s="495">
        <f t="shared" si="16"/>
        <v>4</v>
      </c>
      <c r="E135" s="68">
        <v>157.44</v>
      </c>
      <c r="F135" s="69">
        <v>184.26</v>
      </c>
      <c r="G135" s="68">
        <v>208.95</v>
      </c>
      <c r="H135" s="404">
        <f t="shared" si="13"/>
        <v>629.76</v>
      </c>
    </row>
    <row r="136" spans="1:8" ht="28.8">
      <c r="A136" s="624" t="s">
        <v>64</v>
      </c>
      <c r="B136" s="625" t="s">
        <v>496</v>
      </c>
      <c r="C136" s="646" t="s">
        <v>18</v>
      </c>
      <c r="D136" s="646">
        <f>4*2</f>
        <v>8</v>
      </c>
      <c r="E136" s="636">
        <v>33.729999999999997</v>
      </c>
      <c r="F136" s="69">
        <v>43.66</v>
      </c>
      <c r="G136" s="68">
        <v>72</v>
      </c>
      <c r="H136" s="404">
        <f t="shared" si="13"/>
        <v>269.83999999999997</v>
      </c>
    </row>
    <row r="137" spans="1:8" ht="28.8">
      <c r="A137" s="626" t="s">
        <v>66</v>
      </c>
      <c r="B137" s="627" t="s">
        <v>772</v>
      </c>
      <c r="C137" s="646" t="s">
        <v>18</v>
      </c>
      <c r="D137" s="646">
        <f>10*1</f>
        <v>10</v>
      </c>
      <c r="E137" s="650">
        <v>286</v>
      </c>
      <c r="F137" s="404">
        <v>338</v>
      </c>
      <c r="G137" s="403">
        <v>377</v>
      </c>
      <c r="H137" s="404">
        <f t="shared" si="13"/>
        <v>2860</v>
      </c>
    </row>
    <row r="138" spans="1:8" ht="28.8">
      <c r="A138" s="626" t="s">
        <v>69</v>
      </c>
      <c r="B138" s="627" t="s">
        <v>773</v>
      </c>
      <c r="C138" s="646" t="s">
        <v>18</v>
      </c>
      <c r="D138" s="646">
        <f>8*1</f>
        <v>8</v>
      </c>
      <c r="E138" s="650">
        <v>98</v>
      </c>
      <c r="F138" s="404">
        <v>270</v>
      </c>
      <c r="G138" s="403">
        <v>279</v>
      </c>
      <c r="H138" s="404">
        <f t="shared" si="13"/>
        <v>784</v>
      </c>
    </row>
    <row r="139" spans="1:8" ht="28.8">
      <c r="A139" s="626" t="s">
        <v>71</v>
      </c>
      <c r="B139" s="627" t="s">
        <v>774</v>
      </c>
      <c r="C139" s="646" t="s">
        <v>18</v>
      </c>
      <c r="D139" s="646">
        <f>2*10*10</f>
        <v>200</v>
      </c>
      <c r="E139" s="650">
        <v>35.99</v>
      </c>
      <c r="F139" s="404">
        <v>37.93</v>
      </c>
      <c r="G139" s="403">
        <v>67.900000000000006</v>
      </c>
      <c r="H139" s="404">
        <f t="shared" si="13"/>
        <v>7198</v>
      </c>
    </row>
    <row r="140" spans="1:8" ht="28.8">
      <c r="A140" s="626" t="s">
        <v>73</v>
      </c>
      <c r="B140" s="627" t="s">
        <v>786</v>
      </c>
      <c r="C140" s="646" t="s">
        <v>18</v>
      </c>
      <c r="D140" s="646">
        <v>2</v>
      </c>
      <c r="E140" s="650">
        <v>817.89</v>
      </c>
      <c r="F140" s="404">
        <v>897.86</v>
      </c>
      <c r="G140" s="403">
        <v>1089.9000000000001</v>
      </c>
      <c r="H140" s="404">
        <f t="shared" si="13"/>
        <v>1635.78</v>
      </c>
    </row>
    <row r="141" spans="1:8" ht="28.8">
      <c r="A141" s="626" t="s">
        <v>75</v>
      </c>
      <c r="B141" s="627" t="s">
        <v>787</v>
      </c>
      <c r="C141" s="646" t="s">
        <v>18</v>
      </c>
      <c r="D141" s="646">
        <v>2</v>
      </c>
      <c r="E141" s="650">
        <v>479.52</v>
      </c>
      <c r="F141" s="404">
        <v>559.9</v>
      </c>
      <c r="G141" s="403">
        <v>616</v>
      </c>
      <c r="H141" s="404">
        <f t="shared" si="13"/>
        <v>959.04</v>
      </c>
    </row>
    <row r="142" spans="1:8" ht="28.8">
      <c r="A142" s="626" t="s">
        <v>77</v>
      </c>
      <c r="B142" s="627" t="s">
        <v>783</v>
      </c>
      <c r="C142" s="646" t="s">
        <v>18</v>
      </c>
      <c r="D142" s="646">
        <f>2*10*1</f>
        <v>20</v>
      </c>
      <c r="E142" s="650">
        <v>125</v>
      </c>
      <c r="F142" s="404">
        <v>144.41</v>
      </c>
      <c r="G142" s="403">
        <v>155.5</v>
      </c>
      <c r="H142" s="404">
        <f t="shared" si="13"/>
        <v>2500</v>
      </c>
    </row>
    <row r="143" spans="1:8" ht="28.8">
      <c r="A143" s="626" t="s">
        <v>78</v>
      </c>
      <c r="B143" s="627" t="s">
        <v>775</v>
      </c>
      <c r="C143" s="646" t="s">
        <v>18</v>
      </c>
      <c r="D143" s="646">
        <v>2</v>
      </c>
      <c r="E143" s="650">
        <v>930</v>
      </c>
      <c r="F143" s="404">
        <v>1000</v>
      </c>
      <c r="G143" s="403">
        <v>1980</v>
      </c>
      <c r="H143" s="404">
        <f t="shared" si="13"/>
        <v>1860</v>
      </c>
    </row>
    <row r="144" spans="1:8" ht="28.8">
      <c r="A144" s="626" t="s">
        <v>79</v>
      </c>
      <c r="B144" s="627" t="s">
        <v>776</v>
      </c>
      <c r="C144" s="646" t="s">
        <v>18</v>
      </c>
      <c r="D144" s="646">
        <f>1*10*1</f>
        <v>10</v>
      </c>
      <c r="E144" s="650">
        <v>37.9</v>
      </c>
      <c r="F144" s="404">
        <v>41.31</v>
      </c>
      <c r="G144" s="403">
        <v>45</v>
      </c>
      <c r="H144" s="404">
        <f t="shared" si="13"/>
        <v>379</v>
      </c>
    </row>
    <row r="145" spans="1:8" ht="28.8">
      <c r="A145" s="626" t="s">
        <v>116</v>
      </c>
      <c r="B145" s="627" t="s">
        <v>777</v>
      </c>
      <c r="C145" s="646" t="s">
        <v>18</v>
      </c>
      <c r="D145" s="646">
        <f>1*10*1</f>
        <v>10</v>
      </c>
      <c r="E145" s="650">
        <v>73.489999999999995</v>
      </c>
      <c r="F145" s="404">
        <v>96.7</v>
      </c>
      <c r="G145" s="403">
        <v>106.76</v>
      </c>
      <c r="H145" s="404">
        <f t="shared" si="13"/>
        <v>734.9</v>
      </c>
    </row>
    <row r="146" spans="1:8" ht="28.8">
      <c r="A146" s="626" t="s">
        <v>118</v>
      </c>
      <c r="B146" s="627" t="s">
        <v>784</v>
      </c>
      <c r="C146" s="646" t="s">
        <v>18</v>
      </c>
      <c r="D146" s="646">
        <v>2</v>
      </c>
      <c r="E146" s="650">
        <v>139.9</v>
      </c>
      <c r="F146" s="404">
        <v>155</v>
      </c>
      <c r="G146" s="403">
        <v>169.92</v>
      </c>
      <c r="H146" s="404">
        <f t="shared" si="13"/>
        <v>279.8</v>
      </c>
    </row>
    <row r="147" spans="1:8" ht="28.8">
      <c r="A147" s="626" t="s">
        <v>119</v>
      </c>
      <c r="B147" s="627" t="s">
        <v>788</v>
      </c>
      <c r="C147" s="651" t="s">
        <v>18</v>
      </c>
      <c r="D147" s="646">
        <v>4</v>
      </c>
      <c r="E147" s="650">
        <v>743.68</v>
      </c>
      <c r="F147" s="404">
        <v>895</v>
      </c>
      <c r="G147" s="403">
        <v>2099.9</v>
      </c>
      <c r="H147" s="404">
        <f t="shared" si="13"/>
        <v>2974.72</v>
      </c>
    </row>
    <row r="148" spans="1:8" ht="43.2">
      <c r="A148" s="163" t="s">
        <v>120</v>
      </c>
      <c r="B148" s="401" t="s">
        <v>541</v>
      </c>
      <c r="C148" s="402" t="s">
        <v>18</v>
      </c>
      <c r="D148" s="402">
        <v>2</v>
      </c>
      <c r="E148" s="256">
        <v>3200.55</v>
      </c>
      <c r="F148" s="69">
        <v>3309</v>
      </c>
      <c r="G148" s="68">
        <v>3369</v>
      </c>
      <c r="H148" s="404">
        <f t="shared" si="13"/>
        <v>6401.1</v>
      </c>
    </row>
    <row r="149" spans="1:8" ht="43.2">
      <c r="A149" s="163" t="s">
        <v>121</v>
      </c>
      <c r="B149" s="401" t="s">
        <v>509</v>
      </c>
      <c r="C149" s="402" t="s">
        <v>108</v>
      </c>
      <c r="D149" s="402">
        <f>10*4*2*8</f>
        <v>640</v>
      </c>
      <c r="E149" s="256">
        <v>6.8</v>
      </c>
      <c r="F149" s="69">
        <v>6.9</v>
      </c>
      <c r="G149" s="68">
        <v>6.35</v>
      </c>
      <c r="H149" s="404">
        <f t="shared" si="13"/>
        <v>4352</v>
      </c>
    </row>
    <row r="150" spans="1:8" ht="28.8">
      <c r="A150" s="163" t="s">
        <v>122</v>
      </c>
      <c r="B150" s="401" t="s">
        <v>510</v>
      </c>
      <c r="C150" s="402" t="s">
        <v>108</v>
      </c>
      <c r="D150" s="402">
        <f>20*2</f>
        <v>40</v>
      </c>
      <c r="E150" s="256">
        <v>43.98</v>
      </c>
      <c r="F150" s="69">
        <v>47.42</v>
      </c>
      <c r="G150" s="68">
        <v>47.9</v>
      </c>
      <c r="H150" s="404">
        <f t="shared" si="13"/>
        <v>1759.1999999999998</v>
      </c>
    </row>
    <row r="151" spans="1:8" ht="28.8">
      <c r="A151" s="163" t="s">
        <v>123</v>
      </c>
      <c r="B151" s="401" t="s">
        <v>511</v>
      </c>
      <c r="C151" s="402" t="s">
        <v>109</v>
      </c>
      <c r="D151" s="402">
        <f>10*2</f>
        <v>20</v>
      </c>
      <c r="E151" s="256">
        <v>26.24</v>
      </c>
      <c r="F151" s="69">
        <v>28.33</v>
      </c>
      <c r="G151" s="68">
        <v>31.98</v>
      </c>
      <c r="H151" s="404">
        <f t="shared" si="13"/>
        <v>524.79999999999995</v>
      </c>
    </row>
    <row r="152" spans="1:8" ht="28.8">
      <c r="A152" s="163" t="s">
        <v>124</v>
      </c>
      <c r="B152" s="401" t="s">
        <v>537</v>
      </c>
      <c r="C152" s="402" t="s">
        <v>18</v>
      </c>
      <c r="D152" s="402">
        <f>3*8*2</f>
        <v>48</v>
      </c>
      <c r="E152" s="256">
        <v>94.2</v>
      </c>
      <c r="F152" s="69">
        <v>108.06</v>
      </c>
      <c r="G152" s="68">
        <v>114.93</v>
      </c>
      <c r="H152" s="404">
        <f t="shared" si="13"/>
        <v>4521.6000000000004</v>
      </c>
    </row>
    <row r="153" spans="1:8" ht="28.8">
      <c r="A153" s="163" t="s">
        <v>125</v>
      </c>
      <c r="B153" s="401" t="s">
        <v>512</v>
      </c>
      <c r="C153" s="402" t="s">
        <v>18</v>
      </c>
      <c r="D153" s="495">
        <f>4*2</f>
        <v>8</v>
      </c>
      <c r="E153" s="68">
        <v>37.47</v>
      </c>
      <c r="F153" s="198">
        <v>43.66</v>
      </c>
      <c r="G153" s="73">
        <v>48</v>
      </c>
      <c r="H153" s="404">
        <f t="shared" si="13"/>
        <v>299.76</v>
      </c>
    </row>
    <row r="154" spans="1:8" ht="28.8">
      <c r="A154" s="163" t="s">
        <v>126</v>
      </c>
      <c r="B154" s="401" t="s">
        <v>538</v>
      </c>
      <c r="C154" s="402" t="s">
        <v>18</v>
      </c>
      <c r="D154" s="402">
        <f>3*8*2</f>
        <v>48</v>
      </c>
      <c r="E154" s="68">
        <v>23.1</v>
      </c>
      <c r="F154" s="232">
        <v>25.52</v>
      </c>
      <c r="G154" s="73">
        <v>29.6</v>
      </c>
      <c r="H154" s="404">
        <f t="shared" si="13"/>
        <v>1108.8000000000002</v>
      </c>
    </row>
    <row r="155" spans="1:8" ht="28.8">
      <c r="A155" s="163" t="s">
        <v>127</v>
      </c>
      <c r="B155" s="401" t="s">
        <v>540</v>
      </c>
      <c r="C155" s="402" t="s">
        <v>18</v>
      </c>
      <c r="D155" s="402">
        <f t="shared" ref="D155:D156" si="17">3*2</f>
        <v>6</v>
      </c>
      <c r="E155" s="256">
        <v>54.78</v>
      </c>
      <c r="F155" s="232">
        <v>74.83</v>
      </c>
      <c r="G155" s="73">
        <v>82.7</v>
      </c>
      <c r="H155" s="404">
        <f t="shared" si="13"/>
        <v>328.68</v>
      </c>
    </row>
    <row r="156" spans="1:8" ht="28.8">
      <c r="A156" s="163" t="s">
        <v>128</v>
      </c>
      <c r="B156" s="401" t="s">
        <v>539</v>
      </c>
      <c r="C156" s="402" t="s">
        <v>18</v>
      </c>
      <c r="D156" s="402">
        <f t="shared" si="17"/>
        <v>6</v>
      </c>
      <c r="E156" s="68">
        <v>27.82</v>
      </c>
      <c r="F156" s="69">
        <v>32.369999999999997</v>
      </c>
      <c r="G156" s="68">
        <v>33.74</v>
      </c>
      <c r="H156" s="404">
        <f t="shared" si="13"/>
        <v>166.92000000000002</v>
      </c>
    </row>
    <row r="157" spans="1:8" ht="28.8">
      <c r="A157" s="163" t="s">
        <v>129</v>
      </c>
      <c r="B157" s="401" t="s">
        <v>117</v>
      </c>
      <c r="C157" s="402" t="s">
        <v>18</v>
      </c>
      <c r="D157" s="67">
        <f>2*2</f>
        <v>4</v>
      </c>
      <c r="E157" s="68">
        <v>3647.05</v>
      </c>
      <c r="F157" s="69">
        <v>4061.93</v>
      </c>
      <c r="G157" s="68">
        <v>4274.5</v>
      </c>
      <c r="H157" s="69">
        <f t="shared" si="13"/>
        <v>14588.2</v>
      </c>
    </row>
    <row r="158" spans="1:8" ht="28.8">
      <c r="A158" s="163" t="s">
        <v>130</v>
      </c>
      <c r="B158" s="401" t="s">
        <v>542</v>
      </c>
      <c r="C158" s="402" t="s">
        <v>18</v>
      </c>
      <c r="D158" s="67">
        <f>4*2</f>
        <v>8</v>
      </c>
      <c r="E158" s="68">
        <v>1123.6400000000001</v>
      </c>
      <c r="F158" s="69">
        <v>1285.6300000000001</v>
      </c>
      <c r="G158" s="68">
        <v>1502.31</v>
      </c>
      <c r="H158" s="69">
        <f t="shared" si="13"/>
        <v>8989.1200000000008</v>
      </c>
    </row>
    <row r="159" spans="1:8" ht="28.8">
      <c r="A159" s="163" t="s">
        <v>131</v>
      </c>
      <c r="B159" s="401" t="s">
        <v>543</v>
      </c>
      <c r="C159" s="402" t="s">
        <v>18</v>
      </c>
      <c r="D159" s="67">
        <f>8*2</f>
        <v>16</v>
      </c>
      <c r="E159" s="256">
        <v>456.51</v>
      </c>
      <c r="F159" s="69">
        <v>465</v>
      </c>
      <c r="G159" s="68">
        <v>480.54</v>
      </c>
      <c r="H159" s="69">
        <f t="shared" si="13"/>
        <v>7304.16</v>
      </c>
    </row>
    <row r="160" spans="1:8" ht="28.8">
      <c r="A160" s="163" t="s">
        <v>132</v>
      </c>
      <c r="B160" s="401" t="s">
        <v>544</v>
      </c>
      <c r="C160" s="402" t="s">
        <v>18</v>
      </c>
      <c r="D160" s="213">
        <v>1</v>
      </c>
      <c r="E160" s="68">
        <v>822.41</v>
      </c>
      <c r="F160" s="69">
        <v>835.91</v>
      </c>
      <c r="G160" s="68">
        <v>852.9</v>
      </c>
      <c r="H160" s="69">
        <f t="shared" si="13"/>
        <v>822.41</v>
      </c>
    </row>
    <row r="161" spans="1:8" ht="28.8">
      <c r="A161" s="163" t="s">
        <v>133</v>
      </c>
      <c r="B161" s="401" t="s">
        <v>513</v>
      </c>
      <c r="C161" s="402" t="s">
        <v>68</v>
      </c>
      <c r="D161" s="495">
        <v>4</v>
      </c>
      <c r="E161" s="73">
        <v>204</v>
      </c>
      <c r="F161" s="232">
        <v>255</v>
      </c>
      <c r="G161" s="73">
        <v>280</v>
      </c>
      <c r="H161" s="404">
        <f t="shared" si="13"/>
        <v>816</v>
      </c>
    </row>
    <row r="162" spans="1:8" ht="43.2">
      <c r="A162" s="163" t="s">
        <v>134</v>
      </c>
      <c r="B162" s="401" t="s">
        <v>623</v>
      </c>
      <c r="C162" s="402" t="s">
        <v>18</v>
      </c>
      <c r="D162" s="402">
        <f>1*8</f>
        <v>8</v>
      </c>
      <c r="E162" s="68">
        <v>49</v>
      </c>
      <c r="F162" s="69">
        <v>64</v>
      </c>
      <c r="G162" s="68">
        <v>80</v>
      </c>
      <c r="H162" s="404">
        <f t="shared" si="13"/>
        <v>392</v>
      </c>
    </row>
    <row r="163" spans="1:8" ht="28.8">
      <c r="A163" s="163" t="s">
        <v>135</v>
      </c>
      <c r="B163" s="432" t="s">
        <v>546</v>
      </c>
      <c r="C163" s="402" t="s">
        <v>18</v>
      </c>
      <c r="D163" s="402">
        <v>4</v>
      </c>
      <c r="E163" s="70">
        <v>46.6</v>
      </c>
      <c r="F163" s="69">
        <v>62</v>
      </c>
      <c r="G163" s="68">
        <v>95.25</v>
      </c>
      <c r="H163" s="404">
        <f t="shared" si="13"/>
        <v>186.4</v>
      </c>
    </row>
    <row r="164" spans="1:8" ht="43.2">
      <c r="A164" s="163" t="s">
        <v>136</v>
      </c>
      <c r="B164" s="432" t="s">
        <v>547</v>
      </c>
      <c r="C164" s="402" t="s">
        <v>18</v>
      </c>
      <c r="D164" s="402">
        <f>8*2</f>
        <v>16</v>
      </c>
      <c r="E164" s="68">
        <v>103.2</v>
      </c>
      <c r="F164" s="74">
        <v>129</v>
      </c>
      <c r="G164" s="68">
        <v>167.81</v>
      </c>
      <c r="H164" s="404">
        <f t="shared" si="13"/>
        <v>1651.2</v>
      </c>
    </row>
    <row r="165" spans="1:8" ht="28.8">
      <c r="A165" s="163" t="s">
        <v>137</v>
      </c>
      <c r="B165" s="432" t="s">
        <v>548</v>
      </c>
      <c r="C165" s="402" t="s">
        <v>18</v>
      </c>
      <c r="D165" s="402">
        <f>2*2</f>
        <v>4</v>
      </c>
      <c r="E165" s="68">
        <v>37.6</v>
      </c>
      <c r="F165" s="69">
        <v>54</v>
      </c>
      <c r="G165" s="68">
        <v>59.6</v>
      </c>
      <c r="H165" s="404">
        <f t="shared" si="13"/>
        <v>150.4</v>
      </c>
    </row>
    <row r="166" spans="1:8" ht="28.8">
      <c r="A166" s="163" t="s">
        <v>732</v>
      </c>
      <c r="B166" s="432" t="s">
        <v>549</v>
      </c>
      <c r="C166" s="402" t="s">
        <v>18</v>
      </c>
      <c r="D166" s="402">
        <v>8</v>
      </c>
      <c r="E166" s="68">
        <v>29.6</v>
      </c>
      <c r="F166" s="74">
        <v>53.7</v>
      </c>
      <c r="G166" s="68">
        <v>61.28</v>
      </c>
      <c r="H166" s="404">
        <f t="shared" si="13"/>
        <v>236.8</v>
      </c>
    </row>
    <row r="167" spans="1:8" ht="28.8">
      <c r="A167" s="163" t="s">
        <v>733</v>
      </c>
      <c r="B167" s="432" t="s">
        <v>550</v>
      </c>
      <c r="C167" s="402" t="s">
        <v>18</v>
      </c>
      <c r="D167" s="402">
        <v>8</v>
      </c>
      <c r="E167" s="68">
        <v>36</v>
      </c>
      <c r="F167" s="69">
        <v>50.6</v>
      </c>
      <c r="G167" s="68">
        <v>54.6</v>
      </c>
      <c r="H167" s="404">
        <f t="shared" si="13"/>
        <v>288</v>
      </c>
    </row>
    <row r="168" spans="1:8" ht="28.8">
      <c r="A168" s="163" t="s">
        <v>734</v>
      </c>
      <c r="B168" s="432" t="s">
        <v>551</v>
      </c>
      <c r="C168" s="402" t="s">
        <v>18</v>
      </c>
      <c r="D168" s="402">
        <v>4</v>
      </c>
      <c r="E168" s="68">
        <v>45.39</v>
      </c>
      <c r="F168" s="232">
        <v>49.8</v>
      </c>
      <c r="G168" s="73">
        <v>84.64</v>
      </c>
      <c r="H168" s="404">
        <f t="shared" si="13"/>
        <v>181.56</v>
      </c>
    </row>
    <row r="169" spans="1:8" ht="28.8">
      <c r="A169" s="163" t="s">
        <v>789</v>
      </c>
      <c r="B169" s="432" t="s">
        <v>552</v>
      </c>
      <c r="C169" s="402" t="s">
        <v>18</v>
      </c>
      <c r="D169" s="402">
        <v>8</v>
      </c>
      <c r="E169" s="68">
        <v>140.54</v>
      </c>
      <c r="F169" s="232">
        <v>186.8</v>
      </c>
      <c r="G169" s="73">
        <v>341.8</v>
      </c>
      <c r="H169" s="404">
        <f t="shared" si="13"/>
        <v>1124.32</v>
      </c>
    </row>
    <row r="170" spans="1:8" ht="28.8">
      <c r="A170" s="163" t="s">
        <v>790</v>
      </c>
      <c r="B170" s="432" t="s">
        <v>553</v>
      </c>
      <c r="C170" s="402" t="s">
        <v>18</v>
      </c>
      <c r="D170" s="402">
        <v>8</v>
      </c>
      <c r="E170" s="256">
        <v>5.38</v>
      </c>
      <c r="F170" s="232">
        <v>5.65</v>
      </c>
      <c r="G170" s="73">
        <v>12.6</v>
      </c>
      <c r="H170" s="404">
        <f t="shared" si="13"/>
        <v>43.04</v>
      </c>
    </row>
    <row r="171" spans="1:8" ht="43.2">
      <c r="A171" s="163" t="s">
        <v>791</v>
      </c>
      <c r="B171" s="432" t="s">
        <v>562</v>
      </c>
      <c r="C171" s="402" t="s">
        <v>18</v>
      </c>
      <c r="D171" s="402">
        <v>1</v>
      </c>
      <c r="E171" s="68">
        <v>800</v>
      </c>
      <c r="F171" s="69"/>
      <c r="G171" s="68"/>
      <c r="H171" s="404">
        <f t="shared" si="13"/>
        <v>800</v>
      </c>
    </row>
    <row r="172" spans="1:8" ht="28.8">
      <c r="A172" s="163" t="s">
        <v>792</v>
      </c>
      <c r="B172" s="432" t="s">
        <v>554</v>
      </c>
      <c r="C172" s="429" t="s">
        <v>18</v>
      </c>
      <c r="D172" s="402">
        <v>10</v>
      </c>
      <c r="E172" s="68">
        <v>120</v>
      </c>
      <c r="F172" s="69">
        <v>150</v>
      </c>
      <c r="G172" s="68">
        <v>156</v>
      </c>
      <c r="H172" s="404">
        <f t="shared" si="13"/>
        <v>1200</v>
      </c>
    </row>
    <row r="173" spans="1:8" ht="28.8">
      <c r="A173" s="163" t="s">
        <v>793</v>
      </c>
      <c r="B173" s="450" t="s">
        <v>555</v>
      </c>
      <c r="C173" s="429" t="s">
        <v>18</v>
      </c>
      <c r="D173" s="402">
        <v>10</v>
      </c>
      <c r="E173" s="68">
        <v>118</v>
      </c>
      <c r="F173" s="69">
        <v>147.5</v>
      </c>
      <c r="G173" s="68">
        <v>171.1</v>
      </c>
      <c r="H173" s="404">
        <f t="shared" si="13"/>
        <v>1180</v>
      </c>
    </row>
    <row r="174" spans="1:8" ht="28.8">
      <c r="A174" s="163" t="s">
        <v>794</v>
      </c>
      <c r="B174" s="451" t="s">
        <v>556</v>
      </c>
      <c r="C174" s="429" t="s">
        <v>18</v>
      </c>
      <c r="D174" s="402">
        <v>2</v>
      </c>
      <c r="E174" s="68">
        <v>300</v>
      </c>
      <c r="F174" s="69">
        <v>375</v>
      </c>
      <c r="G174" s="68">
        <v>435</v>
      </c>
      <c r="H174" s="404">
        <f t="shared" si="13"/>
        <v>600</v>
      </c>
    </row>
    <row r="175" spans="1:8" ht="28.8">
      <c r="A175" s="163" t="s">
        <v>795</v>
      </c>
      <c r="B175" s="432" t="s">
        <v>557</v>
      </c>
      <c r="C175" s="429" t="s">
        <v>18</v>
      </c>
      <c r="D175" s="402">
        <v>2</v>
      </c>
      <c r="E175" s="68">
        <v>1000</v>
      </c>
      <c r="F175" s="69">
        <v>1250</v>
      </c>
      <c r="G175" s="68">
        <v>1300</v>
      </c>
      <c r="H175" s="404">
        <f t="shared" si="13"/>
        <v>2000</v>
      </c>
    </row>
    <row r="176" spans="1:8" ht="28.8">
      <c r="A176" s="163" t="s">
        <v>829</v>
      </c>
      <c r="B176" s="401" t="s">
        <v>558</v>
      </c>
      <c r="C176" s="402" t="s">
        <v>18</v>
      </c>
      <c r="D176" s="402">
        <f>340*20</f>
        <v>6800</v>
      </c>
      <c r="E176" s="68">
        <v>28</v>
      </c>
      <c r="F176" s="69">
        <v>44</v>
      </c>
      <c r="G176" s="68">
        <v>44</v>
      </c>
      <c r="H176" s="404">
        <f t="shared" si="13"/>
        <v>190400</v>
      </c>
    </row>
    <row r="177" spans="1:8" ht="28.8">
      <c r="A177" s="163" t="s">
        <v>830</v>
      </c>
      <c r="B177" s="401" t="s">
        <v>559</v>
      </c>
      <c r="C177" s="402" t="s">
        <v>103</v>
      </c>
      <c r="D177" s="402">
        <f>18*20</f>
        <v>360</v>
      </c>
      <c r="E177" s="68">
        <v>400</v>
      </c>
      <c r="F177" s="69">
        <v>553.34</v>
      </c>
      <c r="G177" s="68">
        <v>553.34</v>
      </c>
      <c r="H177" s="404">
        <f t="shared" si="13"/>
        <v>144000</v>
      </c>
    </row>
    <row r="178" spans="1:8" ht="28.8">
      <c r="A178" s="163" t="s">
        <v>831</v>
      </c>
      <c r="B178" s="401" t="s">
        <v>560</v>
      </c>
      <c r="C178" s="402" t="s">
        <v>138</v>
      </c>
      <c r="D178" s="402">
        <f>17*20</f>
        <v>340</v>
      </c>
      <c r="E178" s="68">
        <v>20</v>
      </c>
      <c r="F178" s="69">
        <v>42.9</v>
      </c>
      <c r="G178" s="68">
        <v>42.92</v>
      </c>
      <c r="H178" s="404">
        <f t="shared" si="13"/>
        <v>6800</v>
      </c>
    </row>
    <row r="179" spans="1:8" ht="28.8">
      <c r="A179" s="163" t="s">
        <v>832</v>
      </c>
      <c r="B179" s="401" t="s">
        <v>561</v>
      </c>
      <c r="C179" s="402" t="s">
        <v>18</v>
      </c>
      <c r="D179" s="402">
        <f>2*20</f>
        <v>40</v>
      </c>
      <c r="E179" s="403">
        <v>251.5</v>
      </c>
      <c r="F179" s="404">
        <v>251.5</v>
      </c>
      <c r="G179" s="403">
        <v>326.95</v>
      </c>
      <c r="H179" s="404">
        <f t="shared" si="13"/>
        <v>10060</v>
      </c>
    </row>
    <row r="180" spans="1:8">
      <c r="A180" s="611" t="s">
        <v>139</v>
      </c>
      <c r="B180" s="612"/>
      <c r="C180" s="528"/>
      <c r="D180" s="528"/>
      <c r="E180" s="528"/>
      <c r="F180" s="528"/>
      <c r="G180" s="528"/>
      <c r="H180" s="531">
        <f>SUM(H102:H179)</f>
        <v>1077097.6260000002</v>
      </c>
    </row>
    <row r="181" spans="1:8" ht="28.8">
      <c r="A181" s="395" t="s">
        <v>80</v>
      </c>
      <c r="B181" s="396" t="s">
        <v>395</v>
      </c>
      <c r="C181" s="397" t="s">
        <v>7</v>
      </c>
      <c r="D181" s="397" t="s">
        <v>8</v>
      </c>
      <c r="E181" s="398" t="s">
        <v>410</v>
      </c>
      <c r="F181" s="398" t="s">
        <v>408</v>
      </c>
      <c r="G181" s="398" t="s">
        <v>409</v>
      </c>
      <c r="H181" s="477" t="s">
        <v>9</v>
      </c>
    </row>
    <row r="182" spans="1:8" ht="43.2">
      <c r="A182" s="400" t="s">
        <v>81</v>
      </c>
      <c r="B182" s="401" t="s">
        <v>423</v>
      </c>
      <c r="C182" s="402" t="s">
        <v>13</v>
      </c>
      <c r="D182" s="402">
        <v>16</v>
      </c>
      <c r="E182" s="68">
        <f>(3643*97%)+3643</f>
        <v>7176.71</v>
      </c>
      <c r="F182" s="69">
        <f>(5000*97%)+5000</f>
        <v>9850</v>
      </c>
      <c r="G182" s="68">
        <f>(5801*97%)+5801</f>
        <v>11427.970000000001</v>
      </c>
      <c r="H182" s="404">
        <f>E182*D182</f>
        <v>114827.36</v>
      </c>
    </row>
    <row r="183" spans="1:8" ht="28.8">
      <c r="A183" s="400" t="s">
        <v>83</v>
      </c>
      <c r="B183" s="401" t="s">
        <v>416</v>
      </c>
      <c r="C183" s="402" t="s">
        <v>13</v>
      </c>
      <c r="D183" s="402">
        <v>15</v>
      </c>
      <c r="E183" s="251">
        <f>(2825.54*97%)+2825.54</f>
        <v>5566.3137999999999</v>
      </c>
      <c r="F183" s="249">
        <f>(2942.99*97%)+2942.99</f>
        <v>5797.6902999999993</v>
      </c>
      <c r="G183" s="250">
        <f>(3397*97%)+3397</f>
        <v>6692.09</v>
      </c>
      <c r="H183" s="404">
        <f t="shared" ref="H183:H184" si="18">E183*D183*2</f>
        <v>166989.41399999999</v>
      </c>
    </row>
    <row r="184" spans="1:8" ht="28.8">
      <c r="A184" s="400" t="s">
        <v>84</v>
      </c>
      <c r="B184" s="401" t="s">
        <v>220</v>
      </c>
      <c r="C184" s="402" t="s">
        <v>13</v>
      </c>
      <c r="D184" s="402">
        <v>15</v>
      </c>
      <c r="E184" s="343">
        <f>(1992.99+97%)+1992.99</f>
        <v>3986.95</v>
      </c>
      <c r="F184" s="258">
        <f>(2143*97%)+2143</f>
        <v>4221.71</v>
      </c>
      <c r="G184" s="72">
        <f>(3071-97%)+3071</f>
        <v>6141.0300000000007</v>
      </c>
      <c r="H184" s="404">
        <f t="shared" si="18"/>
        <v>119608.5</v>
      </c>
    </row>
    <row r="185" spans="1:8" ht="43.2">
      <c r="A185" s="400" t="s">
        <v>85</v>
      </c>
      <c r="B185" s="401" t="s">
        <v>422</v>
      </c>
      <c r="C185" s="402" t="s">
        <v>13</v>
      </c>
      <c r="D185" s="402">
        <v>15</v>
      </c>
      <c r="E185" s="68">
        <f>(1412*97%)+1412</f>
        <v>2781.64</v>
      </c>
      <c r="F185" s="69">
        <f>(1454*97%)+1454</f>
        <v>2864.38</v>
      </c>
      <c r="G185" s="68">
        <f>(1700*97%)+1700</f>
        <v>3349</v>
      </c>
      <c r="H185" s="404">
        <f>E185*D185*24</f>
        <v>1001390.3999999999</v>
      </c>
    </row>
    <row r="186" spans="1:8" ht="28.8">
      <c r="A186" s="400" t="s">
        <v>86</v>
      </c>
      <c r="B186" s="401" t="s">
        <v>563</v>
      </c>
      <c r="C186" s="402" t="s">
        <v>15</v>
      </c>
      <c r="D186" s="402">
        <f>20*1*16</f>
        <v>320</v>
      </c>
      <c r="E186" s="229">
        <v>250</v>
      </c>
      <c r="F186" s="69">
        <v>450</v>
      </c>
      <c r="G186" s="68">
        <v>581</v>
      </c>
      <c r="H186" s="404">
        <f t="shared" ref="H186:H195" si="19">E186*D186</f>
        <v>80000</v>
      </c>
    </row>
    <row r="187" spans="1:8" ht="43.2">
      <c r="A187" s="400" t="s">
        <v>87</v>
      </c>
      <c r="B187" s="401" t="s">
        <v>515</v>
      </c>
      <c r="C187" s="67" t="s">
        <v>15</v>
      </c>
      <c r="D187" s="67">
        <f t="shared" ref="D187:D188" si="20">28*20*15</f>
        <v>8400</v>
      </c>
      <c r="E187" s="311">
        <v>32</v>
      </c>
      <c r="F187" s="312">
        <v>32</v>
      </c>
      <c r="G187" s="311">
        <v>35</v>
      </c>
      <c r="H187" s="69">
        <f t="shared" si="19"/>
        <v>268800</v>
      </c>
    </row>
    <row r="188" spans="1:8" ht="28.8">
      <c r="A188" s="400" t="s">
        <v>88</v>
      </c>
      <c r="B188" s="401" t="s">
        <v>574</v>
      </c>
      <c r="C188" s="67" t="s">
        <v>15</v>
      </c>
      <c r="D188" s="67">
        <f t="shared" si="20"/>
        <v>8400</v>
      </c>
      <c r="E188" s="68">
        <v>8</v>
      </c>
      <c r="F188" s="69">
        <v>8.6</v>
      </c>
      <c r="G188" s="68">
        <v>9</v>
      </c>
      <c r="H188" s="69">
        <f t="shared" si="19"/>
        <v>67200</v>
      </c>
    </row>
    <row r="189" spans="1:8" ht="72">
      <c r="A189" s="400" t="s">
        <v>89</v>
      </c>
      <c r="B189" s="401" t="s">
        <v>564</v>
      </c>
      <c r="C189" s="67" t="s">
        <v>18</v>
      </c>
      <c r="D189" s="67">
        <v>1</v>
      </c>
      <c r="E189" s="68">
        <v>4149</v>
      </c>
      <c r="F189" s="69">
        <v>5299</v>
      </c>
      <c r="G189" s="70">
        <v>5919</v>
      </c>
      <c r="H189" s="69">
        <f t="shared" si="19"/>
        <v>4149</v>
      </c>
    </row>
    <row r="190" spans="1:8" ht="28.8">
      <c r="A190" s="400" t="s">
        <v>91</v>
      </c>
      <c r="B190" s="407" t="s">
        <v>565</v>
      </c>
      <c r="C190" s="402" t="s">
        <v>18</v>
      </c>
      <c r="D190" s="402">
        <v>3</v>
      </c>
      <c r="E190" s="68">
        <v>1849</v>
      </c>
      <c r="F190" s="69">
        <v>2199</v>
      </c>
      <c r="G190" s="68">
        <v>2919</v>
      </c>
      <c r="H190" s="404">
        <f t="shared" si="19"/>
        <v>5547</v>
      </c>
    </row>
    <row r="191" spans="1:8" ht="72">
      <c r="A191" s="400" t="s">
        <v>92</v>
      </c>
      <c r="B191" s="401" t="s">
        <v>566</v>
      </c>
      <c r="C191" s="402" t="s">
        <v>18</v>
      </c>
      <c r="D191" s="402">
        <v>3</v>
      </c>
      <c r="E191" s="73">
        <v>1849.77</v>
      </c>
      <c r="F191" s="232">
        <v>2891</v>
      </c>
      <c r="G191" s="68">
        <v>3199</v>
      </c>
      <c r="H191" s="404">
        <f t="shared" si="19"/>
        <v>5549.3099999999995</v>
      </c>
    </row>
    <row r="192" spans="1:8" ht="43.2">
      <c r="A192" s="400" t="s">
        <v>93</v>
      </c>
      <c r="B192" s="401" t="s">
        <v>567</v>
      </c>
      <c r="C192" s="402" t="s">
        <v>18</v>
      </c>
      <c r="D192" s="402">
        <v>3</v>
      </c>
      <c r="E192" s="70">
        <v>169.9</v>
      </c>
      <c r="F192" s="69">
        <v>189</v>
      </c>
      <c r="G192" s="68">
        <v>197.59</v>
      </c>
      <c r="H192" s="404">
        <f t="shared" si="19"/>
        <v>509.70000000000005</v>
      </c>
    </row>
    <row r="193" spans="1:8" ht="72">
      <c r="A193" s="400" t="s">
        <v>94</v>
      </c>
      <c r="B193" s="401" t="s">
        <v>693</v>
      </c>
      <c r="C193" s="402" t="s">
        <v>18</v>
      </c>
      <c r="D193" s="402">
        <v>5</v>
      </c>
      <c r="E193" s="73">
        <v>1386</v>
      </c>
      <c r="F193" s="69">
        <v>1549</v>
      </c>
      <c r="G193" s="68">
        <v>1649.9</v>
      </c>
      <c r="H193" s="404">
        <f t="shared" si="19"/>
        <v>6930</v>
      </c>
    </row>
    <row r="194" spans="1:8" ht="28.8">
      <c r="A194" s="400" t="s">
        <v>95</v>
      </c>
      <c r="B194" s="401" t="s">
        <v>462</v>
      </c>
      <c r="C194" s="402" t="s">
        <v>13</v>
      </c>
      <c r="D194" s="402">
        <v>15</v>
      </c>
      <c r="E194" s="68">
        <v>124.99</v>
      </c>
      <c r="F194" s="69">
        <v>142</v>
      </c>
      <c r="G194" s="103">
        <v>159.99</v>
      </c>
      <c r="H194" s="404">
        <f t="shared" si="19"/>
        <v>1874.85</v>
      </c>
    </row>
    <row r="195" spans="1:8" ht="43.2">
      <c r="A195" s="400" t="s">
        <v>97</v>
      </c>
      <c r="B195" s="401" t="s">
        <v>575</v>
      </c>
      <c r="C195" s="402" t="s">
        <v>18</v>
      </c>
      <c r="D195" s="402">
        <v>24</v>
      </c>
      <c r="E195" s="68">
        <v>125.75</v>
      </c>
      <c r="F195" s="69">
        <v>150.72999999999999</v>
      </c>
      <c r="G195" s="103">
        <v>179.39</v>
      </c>
      <c r="H195" s="404">
        <f t="shared" si="19"/>
        <v>3018</v>
      </c>
    </row>
    <row r="196" spans="1:8" ht="28.8">
      <c r="A196" s="400" t="s">
        <v>98</v>
      </c>
      <c r="B196" s="401" t="s">
        <v>694</v>
      </c>
      <c r="C196" s="402" t="s">
        <v>13</v>
      </c>
      <c r="D196" s="402">
        <v>15</v>
      </c>
      <c r="E196" s="68">
        <v>7950</v>
      </c>
      <c r="F196" s="68">
        <v>8763.6</v>
      </c>
      <c r="G196" s="102">
        <v>9350</v>
      </c>
      <c r="H196" s="404">
        <f>E196*D196*2</f>
        <v>238500</v>
      </c>
    </row>
    <row r="197" spans="1:8" ht="28.8">
      <c r="A197" s="400" t="s">
        <v>99</v>
      </c>
      <c r="B197" s="401" t="s">
        <v>695</v>
      </c>
      <c r="C197" s="402" t="s">
        <v>13</v>
      </c>
      <c r="D197" s="402">
        <v>16</v>
      </c>
      <c r="E197" s="68">
        <v>2850</v>
      </c>
      <c r="F197" s="69">
        <v>3768</v>
      </c>
      <c r="G197" s="69">
        <v>5367.02</v>
      </c>
      <c r="H197" s="404">
        <f t="shared" ref="H197:H199" si="21">E197*D197</f>
        <v>45600</v>
      </c>
    </row>
    <row r="198" spans="1:8" ht="28.8">
      <c r="A198" s="400" t="s">
        <v>140</v>
      </c>
      <c r="B198" s="401" t="s">
        <v>578</v>
      </c>
      <c r="C198" s="402" t="s">
        <v>15</v>
      </c>
      <c r="D198" s="402">
        <v>3</v>
      </c>
      <c r="E198" s="70">
        <v>300</v>
      </c>
      <c r="F198" s="74">
        <v>600</v>
      </c>
      <c r="G198" s="70">
        <v>975</v>
      </c>
      <c r="H198" s="404">
        <f t="shared" si="21"/>
        <v>900</v>
      </c>
    </row>
    <row r="199" spans="1:8" ht="43.2">
      <c r="A199" s="400" t="s">
        <v>141</v>
      </c>
      <c r="B199" s="401" t="s">
        <v>579</v>
      </c>
      <c r="C199" s="402" t="s">
        <v>15</v>
      </c>
      <c r="D199" s="402">
        <v>3</v>
      </c>
      <c r="E199" s="68">
        <v>144.9</v>
      </c>
      <c r="F199" s="69">
        <v>0</v>
      </c>
      <c r="G199" s="68">
        <v>265</v>
      </c>
      <c r="H199" s="404">
        <f t="shared" si="21"/>
        <v>434.70000000000005</v>
      </c>
    </row>
    <row r="200" spans="1:8" ht="28.8">
      <c r="A200" s="400" t="s">
        <v>142</v>
      </c>
      <c r="B200" s="401" t="s">
        <v>464</v>
      </c>
      <c r="C200" s="402" t="s">
        <v>13</v>
      </c>
      <c r="D200" s="402">
        <v>16</v>
      </c>
      <c r="E200" s="403">
        <v>49.9</v>
      </c>
      <c r="F200" s="410">
        <v>60</v>
      </c>
      <c r="G200" s="403">
        <v>65.900000000000006</v>
      </c>
      <c r="H200" s="404">
        <f>E200*D200*3</f>
        <v>2395.1999999999998</v>
      </c>
    </row>
    <row r="201" spans="1:8" ht="28.8">
      <c r="A201" s="400" t="s">
        <v>142</v>
      </c>
      <c r="B201" s="401" t="s">
        <v>464</v>
      </c>
      <c r="C201" s="402" t="s">
        <v>13</v>
      </c>
      <c r="D201" s="402">
        <v>15</v>
      </c>
      <c r="E201" s="68">
        <v>49.9</v>
      </c>
      <c r="F201" s="74">
        <v>60</v>
      </c>
      <c r="G201" s="103">
        <v>65.900000000000006</v>
      </c>
      <c r="H201" s="404">
        <f>E201*D201</f>
        <v>748.5</v>
      </c>
    </row>
    <row r="202" spans="1:8" ht="43.2">
      <c r="A202" s="400" t="s">
        <v>143</v>
      </c>
      <c r="B202" s="401" t="s">
        <v>580</v>
      </c>
      <c r="C202" s="402" t="s">
        <v>108</v>
      </c>
      <c r="D202" s="402">
        <f>55*4*16</f>
        <v>3520</v>
      </c>
      <c r="E202" s="403">
        <v>6.08</v>
      </c>
      <c r="F202" s="404">
        <v>6.09</v>
      </c>
      <c r="G202" s="406">
        <v>6.35</v>
      </c>
      <c r="H202" s="404">
        <f t="shared" ref="H202:H204" si="22">E202*D202</f>
        <v>21401.599999999999</v>
      </c>
    </row>
    <row r="203" spans="1:8" ht="43.2">
      <c r="A203" s="400" t="s">
        <v>144</v>
      </c>
      <c r="B203" s="401" t="s">
        <v>696</v>
      </c>
      <c r="C203" s="402" t="s">
        <v>108</v>
      </c>
      <c r="D203" s="495">
        <f>(88*4*15)*3</f>
        <v>15840</v>
      </c>
      <c r="E203" s="403">
        <v>6.47</v>
      </c>
      <c r="F203" s="404">
        <v>6.48</v>
      </c>
      <c r="G203" s="403">
        <v>6.49</v>
      </c>
      <c r="H203" s="404">
        <f t="shared" si="22"/>
        <v>102484.8</v>
      </c>
    </row>
    <row r="204" spans="1:8" ht="28.8">
      <c r="A204" s="400" t="s">
        <v>145</v>
      </c>
      <c r="B204" s="401" t="s">
        <v>468</v>
      </c>
      <c r="C204" s="402" t="s">
        <v>18</v>
      </c>
      <c r="D204" s="402">
        <v>6</v>
      </c>
      <c r="E204" s="403">
        <v>930</v>
      </c>
      <c r="F204" s="404">
        <v>990</v>
      </c>
      <c r="G204" s="408">
        <v>1000</v>
      </c>
      <c r="H204" s="404">
        <f t="shared" si="22"/>
        <v>5580</v>
      </c>
    </row>
    <row r="205" spans="1:8">
      <c r="A205" s="400" t="s">
        <v>146</v>
      </c>
      <c r="B205" s="401" t="s">
        <v>398</v>
      </c>
      <c r="C205" s="402" t="s">
        <v>13</v>
      </c>
      <c r="D205" s="402">
        <v>15</v>
      </c>
      <c r="E205" s="403">
        <v>14000</v>
      </c>
      <c r="F205" s="404"/>
      <c r="G205" s="403"/>
      <c r="H205" s="404">
        <f>E205*D205*2</f>
        <v>420000</v>
      </c>
    </row>
    <row r="206" spans="1:8" ht="28.8">
      <c r="A206" s="400" t="s">
        <v>147</v>
      </c>
      <c r="B206" s="427" t="s">
        <v>469</v>
      </c>
      <c r="C206" s="402" t="s">
        <v>18</v>
      </c>
      <c r="D206" s="495">
        <f>29*6*2</f>
        <v>348</v>
      </c>
      <c r="E206" s="403">
        <v>60</v>
      </c>
      <c r="F206" s="403">
        <v>65</v>
      </c>
      <c r="G206" s="447">
        <v>70</v>
      </c>
      <c r="H206" s="404">
        <f t="shared" ref="H206:H281" si="23">E206*D206</f>
        <v>20880</v>
      </c>
    </row>
    <row r="207" spans="1:8" ht="57.6">
      <c r="A207" s="400" t="s">
        <v>148</v>
      </c>
      <c r="B207" s="427" t="s">
        <v>519</v>
      </c>
      <c r="C207" s="402" t="s">
        <v>18</v>
      </c>
      <c r="D207" s="402">
        <f>6*1</f>
        <v>6</v>
      </c>
      <c r="E207" s="403">
        <v>75</v>
      </c>
      <c r="F207" s="403">
        <v>90</v>
      </c>
      <c r="G207" s="404">
        <v>98</v>
      </c>
      <c r="H207" s="404">
        <f t="shared" si="23"/>
        <v>450</v>
      </c>
    </row>
    <row r="208" spans="1:8" ht="57.6">
      <c r="A208" s="400" t="s">
        <v>149</v>
      </c>
      <c r="B208" s="428" t="s">
        <v>501</v>
      </c>
      <c r="C208" s="402" t="s">
        <v>18</v>
      </c>
      <c r="D208" s="495">
        <f>6*18*2</f>
        <v>216</v>
      </c>
      <c r="E208" s="403">
        <v>25</v>
      </c>
      <c r="F208" s="403">
        <v>40</v>
      </c>
      <c r="G208" s="404">
        <v>43</v>
      </c>
      <c r="H208" s="404">
        <f t="shared" si="23"/>
        <v>5400</v>
      </c>
    </row>
    <row r="209" spans="1:8" ht="28.8">
      <c r="A209" s="400" t="s">
        <v>150</v>
      </c>
      <c r="B209" s="401" t="s">
        <v>471</v>
      </c>
      <c r="C209" s="402" t="s">
        <v>18</v>
      </c>
      <c r="D209" s="495">
        <v>6</v>
      </c>
      <c r="E209" s="68">
        <v>122</v>
      </c>
      <c r="F209" s="74">
        <v>170.91</v>
      </c>
      <c r="G209" s="68">
        <v>185</v>
      </c>
      <c r="H209" s="404">
        <f t="shared" si="23"/>
        <v>732</v>
      </c>
    </row>
    <row r="210" spans="1:8" ht="43.2">
      <c r="A210" s="163" t="s">
        <v>150</v>
      </c>
      <c r="B210" s="430" t="s">
        <v>526</v>
      </c>
      <c r="C210" s="402" t="s">
        <v>18</v>
      </c>
      <c r="D210" s="213">
        <v>52</v>
      </c>
      <c r="E210" s="68">
        <v>77.34</v>
      </c>
      <c r="F210" s="74">
        <v>103.8</v>
      </c>
      <c r="G210" s="70">
        <v>117.95</v>
      </c>
      <c r="H210" s="404">
        <f t="shared" si="23"/>
        <v>4021.6800000000003</v>
      </c>
    </row>
    <row r="211" spans="1:8" ht="43.2">
      <c r="A211" s="400" t="s">
        <v>151</v>
      </c>
      <c r="B211" s="431" t="s">
        <v>697</v>
      </c>
      <c r="C211" s="402" t="s">
        <v>18</v>
      </c>
      <c r="D211" s="495">
        <f>2*2*2</f>
        <v>8</v>
      </c>
      <c r="E211" s="68">
        <v>21.8</v>
      </c>
      <c r="F211" s="74">
        <v>36</v>
      </c>
      <c r="G211" s="68">
        <v>46.9</v>
      </c>
      <c r="H211" s="404">
        <f t="shared" si="23"/>
        <v>174.4</v>
      </c>
    </row>
    <row r="212" spans="1:8" ht="28.8">
      <c r="A212" s="400" t="s">
        <v>152</v>
      </c>
      <c r="B212" s="431" t="s">
        <v>584</v>
      </c>
      <c r="C212" s="402" t="s">
        <v>18</v>
      </c>
      <c r="D212" s="495">
        <f t="shared" ref="D212:D213" si="24">26*2*1</f>
        <v>52</v>
      </c>
      <c r="E212" s="73">
        <v>22.94</v>
      </c>
      <c r="F212" s="232">
        <v>23.46</v>
      </c>
      <c r="G212" s="73">
        <v>30</v>
      </c>
      <c r="H212" s="404">
        <f t="shared" si="23"/>
        <v>1192.8800000000001</v>
      </c>
    </row>
    <row r="213" spans="1:8" ht="28.8">
      <c r="A213" s="400" t="s">
        <v>153</v>
      </c>
      <c r="B213" s="431" t="s">
        <v>528</v>
      </c>
      <c r="C213" s="402" t="s">
        <v>18</v>
      </c>
      <c r="D213" s="495">
        <f t="shared" si="24"/>
        <v>52</v>
      </c>
      <c r="E213" s="73">
        <v>13.93</v>
      </c>
      <c r="F213" s="232">
        <v>15.71</v>
      </c>
      <c r="G213" s="73">
        <v>22.5</v>
      </c>
      <c r="H213" s="404">
        <f t="shared" si="23"/>
        <v>724.36</v>
      </c>
    </row>
    <row r="214" spans="1:8" ht="28.8">
      <c r="A214" s="400" t="s">
        <v>154</v>
      </c>
      <c r="B214" s="401" t="s">
        <v>529</v>
      </c>
      <c r="C214" s="402" t="s">
        <v>18</v>
      </c>
      <c r="D214" s="402">
        <f>3*28*15</f>
        <v>1260</v>
      </c>
      <c r="E214" s="73">
        <v>12.4</v>
      </c>
      <c r="F214" s="232">
        <v>13.5</v>
      </c>
      <c r="G214" s="73">
        <v>20.260000000000002</v>
      </c>
      <c r="H214" s="404">
        <f t="shared" si="23"/>
        <v>15624</v>
      </c>
    </row>
    <row r="215" spans="1:8" ht="28.8">
      <c r="A215" s="400" t="s">
        <v>155</v>
      </c>
      <c r="B215" s="401" t="s">
        <v>502</v>
      </c>
      <c r="C215" s="402" t="s">
        <v>18</v>
      </c>
      <c r="D215" s="402">
        <f>2*29*15</f>
        <v>870</v>
      </c>
      <c r="E215" s="68">
        <v>2.7</v>
      </c>
      <c r="F215" s="232">
        <v>2.75</v>
      </c>
      <c r="G215" s="73">
        <v>2.94</v>
      </c>
      <c r="H215" s="404">
        <f t="shared" si="23"/>
        <v>2349</v>
      </c>
    </row>
    <row r="216" spans="1:8" ht="43.2">
      <c r="A216" s="400" t="s">
        <v>156</v>
      </c>
      <c r="B216" s="401" t="s">
        <v>698</v>
      </c>
      <c r="C216" s="402" t="s">
        <v>18</v>
      </c>
      <c r="D216" s="495">
        <f>2*6*15</f>
        <v>180</v>
      </c>
      <c r="E216" s="73">
        <v>49.99</v>
      </c>
      <c r="F216" s="232">
        <v>59.99</v>
      </c>
      <c r="G216" s="73">
        <v>96.97</v>
      </c>
      <c r="H216" s="404">
        <f t="shared" si="23"/>
        <v>8998.2000000000007</v>
      </c>
    </row>
    <row r="217" spans="1:8" ht="28.8">
      <c r="A217" s="400" t="s">
        <v>157</v>
      </c>
      <c r="B217" s="430" t="s">
        <v>586</v>
      </c>
      <c r="C217" s="402" t="s">
        <v>18</v>
      </c>
      <c r="D217" s="495">
        <f>3*15*2</f>
        <v>90</v>
      </c>
      <c r="E217" s="73">
        <v>160</v>
      </c>
      <c r="F217" s="232">
        <v>163</v>
      </c>
      <c r="G217" s="73">
        <v>193.63</v>
      </c>
      <c r="H217" s="404">
        <f t="shared" si="23"/>
        <v>14400</v>
      </c>
    </row>
    <row r="218" spans="1:8" ht="28.8">
      <c r="A218" s="400" t="s">
        <v>158</v>
      </c>
      <c r="B218" s="432" t="s">
        <v>474</v>
      </c>
      <c r="C218" s="402" t="s">
        <v>18</v>
      </c>
      <c r="D218" s="402">
        <f t="shared" ref="D218:D219" si="25">29*2</f>
        <v>58</v>
      </c>
      <c r="E218" s="73">
        <v>35</v>
      </c>
      <c r="F218" s="232">
        <v>41.4</v>
      </c>
      <c r="G218" s="73">
        <v>168.26</v>
      </c>
      <c r="H218" s="404">
        <f t="shared" si="23"/>
        <v>2030</v>
      </c>
    </row>
    <row r="219" spans="1:8" ht="28.8">
      <c r="A219" s="400" t="s">
        <v>159</v>
      </c>
      <c r="B219" s="430" t="s">
        <v>475</v>
      </c>
      <c r="C219" s="402" t="s">
        <v>18</v>
      </c>
      <c r="D219" s="402">
        <f t="shared" si="25"/>
        <v>58</v>
      </c>
      <c r="E219" s="73">
        <v>41.4</v>
      </c>
      <c r="F219" s="232">
        <v>42.23</v>
      </c>
      <c r="G219" s="73">
        <v>50</v>
      </c>
      <c r="H219" s="404">
        <f t="shared" si="23"/>
        <v>2401.1999999999998</v>
      </c>
    </row>
    <row r="220" spans="1:8" ht="28.8">
      <c r="A220" s="400" t="s">
        <v>160</v>
      </c>
      <c r="B220" s="401" t="s">
        <v>504</v>
      </c>
      <c r="C220" s="402" t="s">
        <v>18</v>
      </c>
      <c r="D220" s="402">
        <f>6*2</f>
        <v>12</v>
      </c>
      <c r="E220" s="73">
        <v>27.64</v>
      </c>
      <c r="F220" s="232">
        <v>35.5</v>
      </c>
      <c r="G220" s="73">
        <v>36.9</v>
      </c>
      <c r="H220" s="404">
        <f t="shared" si="23"/>
        <v>331.68</v>
      </c>
    </row>
    <row r="221" spans="1:8" ht="43.2">
      <c r="A221" s="400" t="s">
        <v>161</v>
      </c>
      <c r="B221" s="416" t="s">
        <v>534</v>
      </c>
      <c r="C221" s="402" t="s">
        <v>18</v>
      </c>
      <c r="D221" s="402">
        <f>2*6</f>
        <v>12</v>
      </c>
      <c r="E221" s="73">
        <v>28.55</v>
      </c>
      <c r="F221" s="232">
        <v>28.8</v>
      </c>
      <c r="G221" s="73">
        <v>103.4</v>
      </c>
      <c r="H221" s="404">
        <f t="shared" si="23"/>
        <v>342.6</v>
      </c>
    </row>
    <row r="222" spans="1:8" ht="28.8">
      <c r="A222" s="400" t="s">
        <v>162</v>
      </c>
      <c r="B222" s="416" t="s">
        <v>587</v>
      </c>
      <c r="C222" s="402" t="s">
        <v>18</v>
      </c>
      <c r="D222" s="402">
        <f>2*29*15</f>
        <v>870</v>
      </c>
      <c r="E222" s="73">
        <v>1.29</v>
      </c>
      <c r="F222" s="232">
        <v>1.48</v>
      </c>
      <c r="G222" s="73">
        <v>1.75</v>
      </c>
      <c r="H222" s="404">
        <f t="shared" si="23"/>
        <v>1122.3</v>
      </c>
    </row>
    <row r="223" spans="1:8" ht="57.6">
      <c r="A223" s="400" t="s">
        <v>163</v>
      </c>
      <c r="B223" s="430" t="s">
        <v>535</v>
      </c>
      <c r="C223" s="402" t="s">
        <v>18</v>
      </c>
      <c r="D223" s="402">
        <v>12</v>
      </c>
      <c r="E223" s="232">
        <v>286</v>
      </c>
      <c r="F223" s="232">
        <v>484</v>
      </c>
      <c r="G223" s="73">
        <v>572</v>
      </c>
      <c r="H223" s="404">
        <f t="shared" si="23"/>
        <v>3432</v>
      </c>
    </row>
    <row r="224" spans="1:8" ht="28.8">
      <c r="A224" s="400" t="s">
        <v>164</v>
      </c>
      <c r="B224" s="432" t="s">
        <v>506</v>
      </c>
      <c r="C224" s="402" t="s">
        <v>18</v>
      </c>
      <c r="D224" s="495">
        <f>4*12</f>
        <v>48</v>
      </c>
      <c r="E224" s="73">
        <v>38.700000000000003</v>
      </c>
      <c r="F224" s="232">
        <v>65.64</v>
      </c>
      <c r="G224" s="73">
        <v>156.94999999999999</v>
      </c>
      <c r="H224" s="404">
        <f t="shared" si="23"/>
        <v>1857.6000000000001</v>
      </c>
    </row>
    <row r="225" spans="1:8" ht="28.8">
      <c r="A225" s="624" t="s">
        <v>165</v>
      </c>
      <c r="B225" s="631" t="s">
        <v>507</v>
      </c>
      <c r="C225" s="646" t="s">
        <v>18</v>
      </c>
      <c r="D225" s="646">
        <f t="shared" ref="D225:D226" si="26">2*6</f>
        <v>12</v>
      </c>
      <c r="E225" s="636">
        <v>133.01</v>
      </c>
      <c r="F225" s="637">
        <v>157.19999999999999</v>
      </c>
      <c r="G225" s="636">
        <v>175.33</v>
      </c>
      <c r="H225" s="404">
        <f t="shared" si="23"/>
        <v>1596.12</v>
      </c>
    </row>
    <row r="226" spans="1:8" ht="28.8">
      <c r="A226" s="624" t="s">
        <v>166</v>
      </c>
      <c r="B226" s="631" t="s">
        <v>508</v>
      </c>
      <c r="C226" s="646" t="s">
        <v>18</v>
      </c>
      <c r="D226" s="646">
        <f t="shared" si="26"/>
        <v>12</v>
      </c>
      <c r="E226" s="636">
        <v>2.77</v>
      </c>
      <c r="F226" s="637">
        <v>3.75</v>
      </c>
      <c r="G226" s="636">
        <v>3.96</v>
      </c>
      <c r="H226" s="404">
        <f t="shared" si="23"/>
        <v>33.24</v>
      </c>
    </row>
    <row r="227" spans="1:8" ht="28.8">
      <c r="A227" s="624" t="s">
        <v>167</v>
      </c>
      <c r="B227" s="628" t="s">
        <v>536</v>
      </c>
      <c r="C227" s="652" t="s">
        <v>103</v>
      </c>
      <c r="D227" s="646">
        <f>2*2</f>
        <v>4</v>
      </c>
      <c r="E227" s="636">
        <v>73.900000000000006</v>
      </c>
      <c r="F227" s="637">
        <v>76.5</v>
      </c>
      <c r="G227" s="636">
        <v>78.849999999999994</v>
      </c>
      <c r="H227" s="404">
        <f t="shared" si="23"/>
        <v>295.60000000000002</v>
      </c>
    </row>
    <row r="228" spans="1:8" ht="28.8">
      <c r="A228" s="624" t="s">
        <v>168</v>
      </c>
      <c r="B228" s="631" t="s">
        <v>493</v>
      </c>
      <c r="C228" s="646" t="s">
        <v>18</v>
      </c>
      <c r="D228" s="653">
        <v>3</v>
      </c>
      <c r="E228" s="636">
        <v>26.5</v>
      </c>
      <c r="F228" s="637">
        <v>61.9</v>
      </c>
      <c r="G228" s="636">
        <v>83.6</v>
      </c>
      <c r="H228" s="404">
        <f t="shared" si="23"/>
        <v>79.5</v>
      </c>
    </row>
    <row r="229" spans="1:8" ht="28.8">
      <c r="A229" s="624" t="s">
        <v>169</v>
      </c>
      <c r="B229" s="631" t="s">
        <v>494</v>
      </c>
      <c r="C229" s="654" t="s">
        <v>18</v>
      </c>
      <c r="D229" s="646">
        <f t="shared" ref="D229:D230" si="27">2*3</f>
        <v>6</v>
      </c>
      <c r="E229" s="636">
        <v>27.9</v>
      </c>
      <c r="F229" s="637">
        <v>30</v>
      </c>
      <c r="G229" s="636">
        <v>32.229999999999997</v>
      </c>
      <c r="H229" s="404">
        <f t="shared" si="23"/>
        <v>167.39999999999998</v>
      </c>
    </row>
    <row r="230" spans="1:8" ht="28.8">
      <c r="A230" s="624" t="s">
        <v>170</v>
      </c>
      <c r="B230" s="632" t="s">
        <v>495</v>
      </c>
      <c r="C230" s="646" t="s">
        <v>18</v>
      </c>
      <c r="D230" s="646">
        <f t="shared" si="27"/>
        <v>6</v>
      </c>
      <c r="E230" s="636">
        <v>157.44</v>
      </c>
      <c r="F230" s="637">
        <v>184.26</v>
      </c>
      <c r="G230" s="636">
        <v>208.95</v>
      </c>
      <c r="H230" s="404">
        <f t="shared" si="23"/>
        <v>944.64</v>
      </c>
    </row>
    <row r="231" spans="1:8" ht="28.8">
      <c r="A231" s="624" t="s">
        <v>172</v>
      </c>
      <c r="B231" s="625" t="s">
        <v>496</v>
      </c>
      <c r="C231" s="646" t="s">
        <v>18</v>
      </c>
      <c r="D231" s="646">
        <f>4*3</f>
        <v>12</v>
      </c>
      <c r="E231" s="636">
        <v>33.729999999999997</v>
      </c>
      <c r="F231" s="637">
        <v>43.66</v>
      </c>
      <c r="G231" s="636">
        <v>72</v>
      </c>
      <c r="H231" s="404">
        <f t="shared" si="23"/>
        <v>404.76</v>
      </c>
    </row>
    <row r="232" spans="1:8" ht="28.8">
      <c r="A232" s="626" t="s">
        <v>171</v>
      </c>
      <c r="B232" s="627" t="s">
        <v>772</v>
      </c>
      <c r="C232" s="646" t="s">
        <v>18</v>
      </c>
      <c r="D232" s="646">
        <f>29*1</f>
        <v>29</v>
      </c>
      <c r="E232" s="650">
        <v>286</v>
      </c>
      <c r="F232" s="655">
        <v>338</v>
      </c>
      <c r="G232" s="656">
        <v>377</v>
      </c>
      <c r="H232" s="404">
        <f t="shared" si="23"/>
        <v>8294</v>
      </c>
    </row>
    <row r="233" spans="1:8" ht="28.8">
      <c r="A233" s="626" t="s">
        <v>173</v>
      </c>
      <c r="B233" s="627" t="s">
        <v>773</v>
      </c>
      <c r="C233" s="646" t="s">
        <v>18</v>
      </c>
      <c r="D233" s="646">
        <f>29*1</f>
        <v>29</v>
      </c>
      <c r="E233" s="650">
        <v>98</v>
      </c>
      <c r="F233" s="655">
        <v>270</v>
      </c>
      <c r="G233" s="656">
        <v>279</v>
      </c>
      <c r="H233" s="404">
        <f t="shared" si="23"/>
        <v>2842</v>
      </c>
    </row>
    <row r="234" spans="1:8" ht="28.8">
      <c r="A234" s="626" t="s">
        <v>174</v>
      </c>
      <c r="B234" s="627" t="s">
        <v>774</v>
      </c>
      <c r="C234" s="646" t="s">
        <v>18</v>
      </c>
      <c r="D234" s="646">
        <f>2*29*10</f>
        <v>580</v>
      </c>
      <c r="E234" s="650">
        <v>35.99</v>
      </c>
      <c r="F234" s="655">
        <v>37.93</v>
      </c>
      <c r="G234" s="656">
        <v>67.900000000000006</v>
      </c>
      <c r="H234" s="404">
        <f t="shared" si="23"/>
        <v>20874.2</v>
      </c>
    </row>
    <row r="235" spans="1:8" ht="28.8">
      <c r="A235" s="626" t="s">
        <v>175</v>
      </c>
      <c r="B235" s="627" t="s">
        <v>786</v>
      </c>
      <c r="C235" s="646" t="s">
        <v>18</v>
      </c>
      <c r="D235" s="646">
        <v>2</v>
      </c>
      <c r="E235" s="650">
        <v>817.89</v>
      </c>
      <c r="F235" s="655">
        <v>897.86</v>
      </c>
      <c r="G235" s="656">
        <v>1089.9000000000001</v>
      </c>
      <c r="H235" s="404">
        <f t="shared" si="23"/>
        <v>1635.78</v>
      </c>
    </row>
    <row r="236" spans="1:8" ht="28.8">
      <c r="A236" s="626" t="s">
        <v>176</v>
      </c>
      <c r="B236" s="627" t="s">
        <v>787</v>
      </c>
      <c r="C236" s="646" t="s">
        <v>18</v>
      </c>
      <c r="D236" s="646">
        <v>2</v>
      </c>
      <c r="E236" s="650">
        <v>479.52</v>
      </c>
      <c r="F236" s="655">
        <v>559.9</v>
      </c>
      <c r="G236" s="656">
        <v>616</v>
      </c>
      <c r="H236" s="404">
        <f t="shared" si="23"/>
        <v>959.04</v>
      </c>
    </row>
    <row r="237" spans="1:8" ht="28.8">
      <c r="A237" s="626" t="s">
        <v>177</v>
      </c>
      <c r="B237" s="627" t="s">
        <v>783</v>
      </c>
      <c r="C237" s="646" t="s">
        <v>18</v>
      </c>
      <c r="D237" s="646">
        <f>2*29*1</f>
        <v>58</v>
      </c>
      <c r="E237" s="650">
        <v>125</v>
      </c>
      <c r="F237" s="655">
        <v>144.41</v>
      </c>
      <c r="G237" s="656">
        <v>155.5</v>
      </c>
      <c r="H237" s="404">
        <f t="shared" si="23"/>
        <v>7250</v>
      </c>
    </row>
    <row r="238" spans="1:8" ht="28.8">
      <c r="A238" s="626" t="s">
        <v>178</v>
      </c>
      <c r="B238" s="627" t="s">
        <v>775</v>
      </c>
      <c r="C238" s="646" t="s">
        <v>18</v>
      </c>
      <c r="D238" s="646">
        <v>3</v>
      </c>
      <c r="E238" s="650">
        <v>930</v>
      </c>
      <c r="F238" s="655">
        <v>1000</v>
      </c>
      <c r="G238" s="656">
        <v>1980</v>
      </c>
      <c r="H238" s="404">
        <f t="shared" si="23"/>
        <v>2790</v>
      </c>
    </row>
    <row r="239" spans="1:8" ht="28.8">
      <c r="A239" s="626" t="s">
        <v>179</v>
      </c>
      <c r="B239" s="627" t="s">
        <v>776</v>
      </c>
      <c r="C239" s="646" t="s">
        <v>18</v>
      </c>
      <c r="D239" s="646">
        <f>1*29*1</f>
        <v>29</v>
      </c>
      <c r="E239" s="650">
        <v>37.9</v>
      </c>
      <c r="F239" s="655">
        <v>41.31</v>
      </c>
      <c r="G239" s="656">
        <v>45</v>
      </c>
      <c r="H239" s="404">
        <f t="shared" si="23"/>
        <v>1099.0999999999999</v>
      </c>
    </row>
    <row r="240" spans="1:8" ht="28.8">
      <c r="A240" s="626" t="s">
        <v>180</v>
      </c>
      <c r="B240" s="627" t="s">
        <v>777</v>
      </c>
      <c r="C240" s="646" t="s">
        <v>18</v>
      </c>
      <c r="D240" s="646">
        <f>1*29*1</f>
        <v>29</v>
      </c>
      <c r="E240" s="650">
        <v>73.489999999999995</v>
      </c>
      <c r="F240" s="655">
        <v>96.7</v>
      </c>
      <c r="G240" s="656">
        <v>106.76</v>
      </c>
      <c r="H240" s="404">
        <f t="shared" si="23"/>
        <v>2131.21</v>
      </c>
    </row>
    <row r="241" spans="1:8" ht="28.8">
      <c r="A241" s="626" t="s">
        <v>181</v>
      </c>
      <c r="B241" s="627" t="s">
        <v>784</v>
      </c>
      <c r="C241" s="646" t="s">
        <v>18</v>
      </c>
      <c r="D241" s="646">
        <v>2</v>
      </c>
      <c r="E241" s="650">
        <v>139.9</v>
      </c>
      <c r="F241" s="655">
        <v>155</v>
      </c>
      <c r="G241" s="656">
        <v>169.92</v>
      </c>
      <c r="H241" s="404">
        <f t="shared" si="23"/>
        <v>279.8</v>
      </c>
    </row>
    <row r="242" spans="1:8" ht="28.8">
      <c r="A242" s="626" t="s">
        <v>182</v>
      </c>
      <c r="B242" s="627" t="s">
        <v>788</v>
      </c>
      <c r="C242" s="651" t="s">
        <v>18</v>
      </c>
      <c r="D242" s="646">
        <v>4</v>
      </c>
      <c r="E242" s="650">
        <v>743.68</v>
      </c>
      <c r="F242" s="655">
        <v>895</v>
      </c>
      <c r="G242" s="656">
        <v>2099.9</v>
      </c>
      <c r="H242" s="404">
        <f t="shared" si="23"/>
        <v>2974.72</v>
      </c>
    </row>
    <row r="243" spans="1:8" ht="28.8">
      <c r="A243" s="163" t="s">
        <v>183</v>
      </c>
      <c r="B243" s="401" t="s">
        <v>107</v>
      </c>
      <c r="C243" s="402" t="s">
        <v>18</v>
      </c>
      <c r="D243" s="402">
        <v>6</v>
      </c>
      <c r="E243" s="256">
        <v>3200.55</v>
      </c>
      <c r="F243" s="69">
        <v>3309</v>
      </c>
      <c r="G243" s="103">
        <v>3369</v>
      </c>
      <c r="H243" s="404">
        <f t="shared" si="23"/>
        <v>19203.300000000003</v>
      </c>
    </row>
    <row r="244" spans="1:8" ht="43.2">
      <c r="A244" s="163" t="s">
        <v>184</v>
      </c>
      <c r="B244" s="401" t="s">
        <v>509</v>
      </c>
      <c r="C244" s="402" t="s">
        <v>108</v>
      </c>
      <c r="D244" s="402">
        <f>10*4*15*6</f>
        <v>3600</v>
      </c>
      <c r="E244" s="256">
        <v>6.08</v>
      </c>
      <c r="F244" s="69">
        <v>6.09</v>
      </c>
      <c r="G244" s="68">
        <v>6.35</v>
      </c>
      <c r="H244" s="404">
        <f t="shared" si="23"/>
        <v>21888</v>
      </c>
    </row>
    <row r="245" spans="1:8" ht="28.8">
      <c r="A245" s="163" t="s">
        <v>185</v>
      </c>
      <c r="B245" s="401" t="s">
        <v>510</v>
      </c>
      <c r="C245" s="402" t="s">
        <v>108</v>
      </c>
      <c r="D245" s="402">
        <f>6*20</f>
        <v>120</v>
      </c>
      <c r="E245" s="256">
        <v>43.98</v>
      </c>
      <c r="F245" s="69">
        <v>47.42</v>
      </c>
      <c r="G245" s="68">
        <v>47.9</v>
      </c>
      <c r="H245" s="404">
        <f t="shared" si="23"/>
        <v>5277.5999999999995</v>
      </c>
    </row>
    <row r="246" spans="1:8" ht="28.8">
      <c r="A246" s="163" t="s">
        <v>186</v>
      </c>
      <c r="B246" s="401" t="s">
        <v>511</v>
      </c>
      <c r="C246" s="402" t="s">
        <v>109</v>
      </c>
      <c r="D246" s="402">
        <f>10*6</f>
        <v>60</v>
      </c>
      <c r="E246" s="275">
        <v>26.24</v>
      </c>
      <c r="F246" s="232">
        <v>28.33</v>
      </c>
      <c r="G246" s="73">
        <v>31.98</v>
      </c>
      <c r="H246" s="404">
        <f t="shared" si="23"/>
        <v>1574.3999999999999</v>
      </c>
    </row>
    <row r="247" spans="1:8" ht="28.8">
      <c r="A247" s="163" t="s">
        <v>187</v>
      </c>
      <c r="B247" s="401" t="s">
        <v>537</v>
      </c>
      <c r="C247" s="402" t="s">
        <v>18</v>
      </c>
      <c r="D247" s="402">
        <f>3*6*15</f>
        <v>270</v>
      </c>
      <c r="E247" s="275">
        <v>94.2</v>
      </c>
      <c r="F247" s="232">
        <v>108.06</v>
      </c>
      <c r="G247" s="73">
        <v>114.93</v>
      </c>
      <c r="H247" s="404">
        <f t="shared" si="23"/>
        <v>25434</v>
      </c>
    </row>
    <row r="248" spans="1:8" ht="28.8">
      <c r="A248" s="163" t="s">
        <v>188</v>
      </c>
      <c r="B248" s="401" t="s">
        <v>512</v>
      </c>
      <c r="C248" s="402" t="s">
        <v>18</v>
      </c>
      <c r="D248" s="495">
        <f>4*6</f>
        <v>24</v>
      </c>
      <c r="E248" s="232">
        <v>37.47</v>
      </c>
      <c r="F248" s="73">
        <v>43.66</v>
      </c>
      <c r="G248" s="73">
        <v>48</v>
      </c>
      <c r="H248" s="404">
        <f t="shared" si="23"/>
        <v>899.28</v>
      </c>
    </row>
    <row r="249" spans="1:8" ht="28.8">
      <c r="A249" s="163" t="s">
        <v>189</v>
      </c>
      <c r="B249" s="401" t="s">
        <v>588</v>
      </c>
      <c r="C249" s="402" t="s">
        <v>18</v>
      </c>
      <c r="D249" s="495">
        <f>3*6*15</f>
        <v>270</v>
      </c>
      <c r="E249" s="275">
        <v>23.1</v>
      </c>
      <c r="F249" s="232">
        <v>25.52</v>
      </c>
      <c r="G249" s="104">
        <v>29.6</v>
      </c>
      <c r="H249" s="404">
        <f t="shared" si="23"/>
        <v>6237</v>
      </c>
    </row>
    <row r="250" spans="1:8" ht="28.8">
      <c r="A250" s="163" t="s">
        <v>190</v>
      </c>
      <c r="B250" s="401" t="s">
        <v>589</v>
      </c>
      <c r="C250" s="402" t="s">
        <v>18</v>
      </c>
      <c r="D250" s="402">
        <f t="shared" ref="D250:D251" si="28">3*15</f>
        <v>45</v>
      </c>
      <c r="E250" s="275">
        <v>54.78</v>
      </c>
      <c r="F250" s="232">
        <f>35.03+39.8</f>
        <v>74.83</v>
      </c>
      <c r="G250" s="73">
        <v>82.7</v>
      </c>
      <c r="H250" s="404">
        <f t="shared" si="23"/>
        <v>2465.1</v>
      </c>
    </row>
    <row r="251" spans="1:8" ht="28.8">
      <c r="A251" s="163" t="s">
        <v>191</v>
      </c>
      <c r="B251" s="401" t="s">
        <v>590</v>
      </c>
      <c r="C251" s="402" t="s">
        <v>18</v>
      </c>
      <c r="D251" s="402">
        <f t="shared" si="28"/>
        <v>45</v>
      </c>
      <c r="E251" s="275">
        <v>27.82</v>
      </c>
      <c r="F251" s="232">
        <v>32.369999999999997</v>
      </c>
      <c r="G251" s="104">
        <v>33.74</v>
      </c>
      <c r="H251" s="404">
        <f t="shared" si="23"/>
        <v>1251.9000000000001</v>
      </c>
    </row>
    <row r="252" spans="1:8" ht="28.8">
      <c r="A252" s="163" t="s">
        <v>192</v>
      </c>
      <c r="B252" s="401" t="s">
        <v>117</v>
      </c>
      <c r="C252" s="402" t="s">
        <v>18</v>
      </c>
      <c r="D252" s="402">
        <v>6</v>
      </c>
      <c r="E252" s="256">
        <v>3647.05</v>
      </c>
      <c r="F252" s="69">
        <v>4061.63</v>
      </c>
      <c r="G252" s="103">
        <v>4274.5</v>
      </c>
      <c r="H252" s="404">
        <f t="shared" si="23"/>
        <v>21882.300000000003</v>
      </c>
    </row>
    <row r="253" spans="1:8" ht="28.8">
      <c r="A253" s="163" t="s">
        <v>193</v>
      </c>
      <c r="B253" s="401" t="s">
        <v>542</v>
      </c>
      <c r="C253" s="402" t="s">
        <v>18</v>
      </c>
      <c r="D253" s="495">
        <f>2*6</f>
        <v>12</v>
      </c>
      <c r="E253" s="256">
        <v>1123.6400000000001</v>
      </c>
      <c r="F253" s="69">
        <v>1285.6300000000001</v>
      </c>
      <c r="G253" s="103">
        <v>1502.31</v>
      </c>
      <c r="H253" s="404">
        <f t="shared" si="23"/>
        <v>13483.68</v>
      </c>
    </row>
    <row r="254" spans="1:8" ht="28.8">
      <c r="A254" s="163" t="s">
        <v>194</v>
      </c>
      <c r="B254" s="401" t="s">
        <v>543</v>
      </c>
      <c r="C254" s="402" t="s">
        <v>18</v>
      </c>
      <c r="D254" s="495">
        <f>12*15</f>
        <v>180</v>
      </c>
      <c r="E254" s="256">
        <v>456.51</v>
      </c>
      <c r="F254" s="69">
        <v>465</v>
      </c>
      <c r="G254" s="103">
        <v>480.54</v>
      </c>
      <c r="H254" s="404">
        <f t="shared" si="23"/>
        <v>82171.8</v>
      </c>
    </row>
    <row r="255" spans="1:8" ht="28.8">
      <c r="A255" s="163" t="s">
        <v>195</v>
      </c>
      <c r="B255" s="401" t="s">
        <v>513</v>
      </c>
      <c r="C255" s="402" t="s">
        <v>68</v>
      </c>
      <c r="D255" s="402">
        <f>4*15</f>
        <v>60</v>
      </c>
      <c r="E255" s="73">
        <v>204</v>
      </c>
      <c r="F255" s="232">
        <v>25</v>
      </c>
      <c r="G255" s="73">
        <v>280</v>
      </c>
      <c r="H255" s="404">
        <f t="shared" si="23"/>
        <v>12240</v>
      </c>
    </row>
    <row r="256" spans="1:8" ht="43.2">
      <c r="A256" s="163" t="s">
        <v>196</v>
      </c>
      <c r="B256" s="401" t="s">
        <v>545</v>
      </c>
      <c r="C256" s="402" t="s">
        <v>18</v>
      </c>
      <c r="D256" s="495">
        <f>2*29</f>
        <v>58</v>
      </c>
      <c r="E256" s="68">
        <v>49</v>
      </c>
      <c r="F256" s="69">
        <v>64</v>
      </c>
      <c r="G256" s="103">
        <v>80</v>
      </c>
      <c r="H256" s="404">
        <f t="shared" si="23"/>
        <v>2842</v>
      </c>
    </row>
    <row r="257" spans="1:8" ht="43.2">
      <c r="A257" s="163" t="s">
        <v>197</v>
      </c>
      <c r="B257" s="432" t="s">
        <v>591</v>
      </c>
      <c r="C257" s="402" t="s">
        <v>18</v>
      </c>
      <c r="D257" s="495">
        <f>3*29</f>
        <v>87</v>
      </c>
      <c r="E257" s="68">
        <v>103.2</v>
      </c>
      <c r="F257" s="74">
        <v>129</v>
      </c>
      <c r="G257" s="68">
        <v>167.81</v>
      </c>
      <c r="H257" s="404">
        <f t="shared" si="23"/>
        <v>8978.4</v>
      </c>
    </row>
    <row r="258" spans="1:8" ht="28.8">
      <c r="A258" s="163" t="s">
        <v>198</v>
      </c>
      <c r="B258" s="432" t="s">
        <v>592</v>
      </c>
      <c r="C258" s="402" t="s">
        <v>18</v>
      </c>
      <c r="D258" s="495">
        <f t="shared" ref="D258:D261" si="29">2*4</f>
        <v>8</v>
      </c>
      <c r="E258" s="68">
        <v>37.6</v>
      </c>
      <c r="F258" s="69">
        <v>54</v>
      </c>
      <c r="G258" s="103">
        <v>59.6</v>
      </c>
      <c r="H258" s="404">
        <f t="shared" si="23"/>
        <v>300.8</v>
      </c>
    </row>
    <row r="259" spans="1:8" ht="28.8">
      <c r="A259" s="163" t="s">
        <v>199</v>
      </c>
      <c r="B259" s="432" t="s">
        <v>594</v>
      </c>
      <c r="C259" s="402" t="s">
        <v>18</v>
      </c>
      <c r="D259" s="495">
        <f t="shared" si="29"/>
        <v>8</v>
      </c>
      <c r="E259" s="68">
        <v>29.6</v>
      </c>
      <c r="F259" s="74">
        <v>53.7</v>
      </c>
      <c r="G259" s="68">
        <v>61.28</v>
      </c>
      <c r="H259" s="404">
        <f t="shared" si="23"/>
        <v>236.8</v>
      </c>
    </row>
    <row r="260" spans="1:8" ht="28.8">
      <c r="A260" s="163" t="s">
        <v>200</v>
      </c>
      <c r="B260" s="432" t="s">
        <v>593</v>
      </c>
      <c r="C260" s="402" t="s">
        <v>18</v>
      </c>
      <c r="D260" s="495">
        <f t="shared" si="29"/>
        <v>8</v>
      </c>
      <c r="E260" s="68">
        <v>36</v>
      </c>
      <c r="F260" s="69">
        <v>50.6</v>
      </c>
      <c r="G260" s="103">
        <v>54.6</v>
      </c>
      <c r="H260" s="404">
        <f t="shared" si="23"/>
        <v>288</v>
      </c>
    </row>
    <row r="261" spans="1:8" ht="28.8">
      <c r="A261" s="163" t="s">
        <v>201</v>
      </c>
      <c r="B261" s="432" t="s">
        <v>595</v>
      </c>
      <c r="C261" s="402" t="s">
        <v>18</v>
      </c>
      <c r="D261" s="495">
        <f t="shared" si="29"/>
        <v>8</v>
      </c>
      <c r="E261" s="68">
        <v>45.39</v>
      </c>
      <c r="F261" s="232">
        <v>49.8</v>
      </c>
      <c r="G261" s="73">
        <v>84.64</v>
      </c>
      <c r="H261" s="404">
        <f t="shared" si="23"/>
        <v>363.12</v>
      </c>
    </row>
    <row r="262" spans="1:8" ht="28.8">
      <c r="A262" s="163" t="s">
        <v>202</v>
      </c>
      <c r="B262" s="432" t="s">
        <v>552</v>
      </c>
      <c r="C262" s="402" t="s">
        <v>18</v>
      </c>
      <c r="D262" s="402">
        <f>1*24</f>
        <v>24</v>
      </c>
      <c r="E262" s="68">
        <v>140.54</v>
      </c>
      <c r="F262" s="232">
        <v>186.8</v>
      </c>
      <c r="G262" s="73">
        <v>341.8</v>
      </c>
      <c r="H262" s="404">
        <f t="shared" si="23"/>
        <v>3372.96</v>
      </c>
    </row>
    <row r="263" spans="1:8" ht="28.8">
      <c r="A263" s="163" t="s">
        <v>203</v>
      </c>
      <c r="B263" s="432" t="s">
        <v>596</v>
      </c>
      <c r="C263" s="402" t="s">
        <v>18</v>
      </c>
      <c r="D263" s="495">
        <f>2*4</f>
        <v>8</v>
      </c>
      <c r="E263" s="256">
        <v>5.38</v>
      </c>
      <c r="F263" s="232">
        <v>5.65</v>
      </c>
      <c r="G263" s="73">
        <v>12.6</v>
      </c>
      <c r="H263" s="404">
        <f t="shared" si="23"/>
        <v>43.04</v>
      </c>
    </row>
    <row r="264" spans="1:8" ht="28.8">
      <c r="A264" s="163" t="s">
        <v>204</v>
      </c>
      <c r="B264" s="432" t="s">
        <v>554</v>
      </c>
      <c r="C264" s="429" t="s">
        <v>18</v>
      </c>
      <c r="D264" s="402">
        <f>1*29</f>
        <v>29</v>
      </c>
      <c r="E264" s="68">
        <v>120</v>
      </c>
      <c r="F264" s="232">
        <v>150</v>
      </c>
      <c r="G264" s="73">
        <v>156</v>
      </c>
      <c r="H264" s="404">
        <f t="shared" si="23"/>
        <v>3480</v>
      </c>
    </row>
    <row r="265" spans="1:8" ht="28.8">
      <c r="A265" s="163" t="s">
        <v>205</v>
      </c>
      <c r="B265" s="450" t="s">
        <v>555</v>
      </c>
      <c r="C265" s="429" t="s">
        <v>18</v>
      </c>
      <c r="D265" s="402">
        <v>29</v>
      </c>
      <c r="E265" s="68">
        <v>118</v>
      </c>
      <c r="F265" s="69">
        <v>147.5</v>
      </c>
      <c r="G265" s="68">
        <v>171.1</v>
      </c>
      <c r="H265" s="404">
        <f t="shared" si="23"/>
        <v>3422</v>
      </c>
    </row>
    <row r="266" spans="1:8" ht="28.8">
      <c r="A266" s="163" t="s">
        <v>206</v>
      </c>
      <c r="B266" s="451" t="s">
        <v>597</v>
      </c>
      <c r="C266" s="429" t="s">
        <v>18</v>
      </c>
      <c r="D266" s="402">
        <f t="shared" ref="D266:D270" si="30">2*2</f>
        <v>4</v>
      </c>
      <c r="E266" s="68">
        <v>300</v>
      </c>
      <c r="F266" s="69">
        <v>375</v>
      </c>
      <c r="G266" s="68">
        <v>435</v>
      </c>
      <c r="H266" s="404">
        <f t="shared" si="23"/>
        <v>1200</v>
      </c>
    </row>
    <row r="267" spans="1:8" ht="28.8">
      <c r="A267" s="163" t="s">
        <v>207</v>
      </c>
      <c r="B267" s="432" t="s">
        <v>557</v>
      </c>
      <c r="C267" s="429" t="s">
        <v>18</v>
      </c>
      <c r="D267" s="402">
        <f t="shared" si="30"/>
        <v>4</v>
      </c>
      <c r="E267" s="68">
        <v>1000</v>
      </c>
      <c r="F267" s="69">
        <v>1250</v>
      </c>
      <c r="G267" s="68">
        <v>1300</v>
      </c>
      <c r="H267" s="404">
        <f t="shared" si="23"/>
        <v>4000</v>
      </c>
    </row>
    <row r="268" spans="1:8" ht="28.8">
      <c r="A268" s="163" t="s">
        <v>208</v>
      </c>
      <c r="B268" s="432" t="s">
        <v>598</v>
      </c>
      <c r="C268" s="429" t="s">
        <v>18</v>
      </c>
      <c r="D268" s="402">
        <f t="shared" si="30"/>
        <v>4</v>
      </c>
      <c r="E268" s="68">
        <v>116</v>
      </c>
      <c r="F268" s="69">
        <v>145</v>
      </c>
      <c r="G268" s="103">
        <v>150.80000000000001</v>
      </c>
      <c r="H268" s="404">
        <f t="shared" si="23"/>
        <v>464</v>
      </c>
    </row>
    <row r="269" spans="1:8" ht="28.8">
      <c r="A269" s="163" t="s">
        <v>209</v>
      </c>
      <c r="B269" s="432" t="s">
        <v>599</v>
      </c>
      <c r="C269" s="429" t="s">
        <v>18</v>
      </c>
      <c r="D269" s="402">
        <f t="shared" si="30"/>
        <v>4</v>
      </c>
      <c r="E269" s="68">
        <v>300</v>
      </c>
      <c r="F269" s="69">
        <v>375</v>
      </c>
      <c r="G269" s="103">
        <v>390</v>
      </c>
      <c r="H269" s="404">
        <f t="shared" si="23"/>
        <v>1200</v>
      </c>
    </row>
    <row r="270" spans="1:8" ht="28.8">
      <c r="A270" s="163" t="s">
        <v>387</v>
      </c>
      <c r="B270" s="432" t="s">
        <v>600</v>
      </c>
      <c r="C270" s="429" t="s">
        <v>18</v>
      </c>
      <c r="D270" s="402">
        <f t="shared" si="30"/>
        <v>4</v>
      </c>
      <c r="E270" s="68">
        <v>519.79999999999995</v>
      </c>
      <c r="F270" s="69">
        <v>519</v>
      </c>
      <c r="G270" s="103">
        <v>675.74</v>
      </c>
      <c r="H270" s="404">
        <f t="shared" si="23"/>
        <v>2079.1999999999998</v>
      </c>
    </row>
    <row r="271" spans="1:8">
      <c r="A271" s="163" t="s">
        <v>388</v>
      </c>
      <c r="B271" s="432" t="s">
        <v>601</v>
      </c>
      <c r="C271" s="429" t="s">
        <v>18</v>
      </c>
      <c r="D271" s="402">
        <v>24</v>
      </c>
      <c r="E271" s="68">
        <v>29.46</v>
      </c>
      <c r="F271" s="69">
        <v>36.83</v>
      </c>
      <c r="G271" s="103">
        <v>38.299999999999997</v>
      </c>
      <c r="H271" s="404">
        <f t="shared" si="23"/>
        <v>707.04</v>
      </c>
    </row>
    <row r="272" spans="1:8" ht="28.8">
      <c r="A272" s="163" t="s">
        <v>796</v>
      </c>
      <c r="B272" s="401" t="s">
        <v>514</v>
      </c>
      <c r="C272" s="402" t="s">
        <v>15</v>
      </c>
      <c r="D272" s="495">
        <f>3*24</f>
        <v>72</v>
      </c>
      <c r="E272" s="68">
        <v>15.18</v>
      </c>
      <c r="F272" s="69">
        <v>18.899999999999999</v>
      </c>
      <c r="G272" s="103">
        <v>19.73</v>
      </c>
      <c r="H272" s="404">
        <f t="shared" si="23"/>
        <v>1092.96</v>
      </c>
    </row>
    <row r="273" spans="1:8" ht="43.2">
      <c r="A273" s="163" t="s">
        <v>797</v>
      </c>
      <c r="B273" s="401" t="s">
        <v>582</v>
      </c>
      <c r="C273" s="402" t="s">
        <v>15</v>
      </c>
      <c r="D273" s="402">
        <f>3*2</f>
        <v>6</v>
      </c>
      <c r="E273" s="68">
        <v>800</v>
      </c>
      <c r="F273" s="69"/>
      <c r="G273" s="68"/>
      <c r="H273" s="404">
        <f t="shared" si="23"/>
        <v>4800</v>
      </c>
    </row>
    <row r="274" spans="1:8" ht="28.8">
      <c r="A274" s="163" t="s">
        <v>798</v>
      </c>
      <c r="B274" s="401" t="s">
        <v>605</v>
      </c>
      <c r="C274" s="402" t="s">
        <v>417</v>
      </c>
      <c r="D274" s="402">
        <v>31</v>
      </c>
      <c r="E274" s="68">
        <v>780</v>
      </c>
      <c r="F274" s="69">
        <v>975</v>
      </c>
      <c r="G274" s="68">
        <v>1170</v>
      </c>
      <c r="H274" s="404">
        <f t="shared" si="23"/>
        <v>24180</v>
      </c>
    </row>
    <row r="275" spans="1:8" ht="28.8">
      <c r="A275" s="163" t="s">
        <v>799</v>
      </c>
      <c r="B275" s="401" t="s">
        <v>603</v>
      </c>
      <c r="C275" s="402" t="s">
        <v>110</v>
      </c>
      <c r="D275" s="402">
        <f>(100*100800/1000)/50</f>
        <v>201.6</v>
      </c>
      <c r="E275" s="68">
        <v>174</v>
      </c>
      <c r="F275" s="69">
        <v>217.5</v>
      </c>
      <c r="G275" s="68">
        <v>261</v>
      </c>
      <c r="H275" s="404">
        <f t="shared" si="23"/>
        <v>35078.400000000001</v>
      </c>
    </row>
    <row r="276" spans="1:8" ht="28.8">
      <c r="A276" s="163" t="s">
        <v>800</v>
      </c>
      <c r="B276" s="401" t="s">
        <v>604</v>
      </c>
      <c r="C276" s="402" t="s">
        <v>110</v>
      </c>
      <c r="D276" s="402">
        <f>(80*100800/1000)/50</f>
        <v>161.28</v>
      </c>
      <c r="E276" s="68">
        <v>25.8</v>
      </c>
      <c r="F276" s="69">
        <v>32.25</v>
      </c>
      <c r="G276" s="68">
        <v>38.700000000000003</v>
      </c>
      <c r="H276" s="404">
        <f t="shared" si="23"/>
        <v>4161.0240000000003</v>
      </c>
    </row>
    <row r="277" spans="1:8" ht="28.8">
      <c r="A277" s="163" t="s">
        <v>801</v>
      </c>
      <c r="B277" s="401" t="s">
        <v>602</v>
      </c>
      <c r="C277" s="402" t="s">
        <v>110</v>
      </c>
      <c r="D277" s="402">
        <f>D275</f>
        <v>201.6</v>
      </c>
      <c r="E277" s="68">
        <v>130.6</v>
      </c>
      <c r="F277" s="68">
        <v>163.25</v>
      </c>
      <c r="G277" s="68">
        <v>195.9</v>
      </c>
      <c r="H277" s="404">
        <f t="shared" si="23"/>
        <v>26328.959999999999</v>
      </c>
    </row>
    <row r="278" spans="1:8" ht="28.8">
      <c r="A278" s="163" t="s">
        <v>802</v>
      </c>
      <c r="B278" s="401" t="s">
        <v>606</v>
      </c>
      <c r="C278" s="402" t="s">
        <v>110</v>
      </c>
      <c r="D278" s="402">
        <f>(150*100800/1000)/50</f>
        <v>302.39999999999998</v>
      </c>
      <c r="E278" s="68">
        <v>131.6</v>
      </c>
      <c r="F278" s="69">
        <v>164.5</v>
      </c>
      <c r="G278" s="68">
        <v>197.4</v>
      </c>
      <c r="H278" s="404">
        <f t="shared" si="23"/>
        <v>39795.839999999997</v>
      </c>
    </row>
    <row r="279" spans="1:8" ht="28.8">
      <c r="A279" s="163" t="s">
        <v>803</v>
      </c>
      <c r="B279" s="401" t="s">
        <v>699</v>
      </c>
      <c r="C279" s="402" t="s">
        <v>68</v>
      </c>
      <c r="D279" s="495">
        <v>100</v>
      </c>
      <c r="E279" s="68">
        <v>100</v>
      </c>
      <c r="F279" s="69">
        <v>125</v>
      </c>
      <c r="G279" s="68">
        <v>150</v>
      </c>
      <c r="H279" s="404">
        <f t="shared" si="23"/>
        <v>10000</v>
      </c>
    </row>
    <row r="280" spans="1:8" ht="28.8">
      <c r="A280" s="163" t="s">
        <v>804</v>
      </c>
      <c r="B280" s="401" t="s">
        <v>700</v>
      </c>
      <c r="C280" s="402" t="s">
        <v>68</v>
      </c>
      <c r="D280" s="495">
        <v>1310</v>
      </c>
      <c r="E280" s="403">
        <v>11.4</v>
      </c>
      <c r="F280" s="404">
        <v>14.25</v>
      </c>
      <c r="G280" s="403">
        <v>17.100000000000001</v>
      </c>
      <c r="H280" s="404">
        <f t="shared" si="23"/>
        <v>14934</v>
      </c>
    </row>
    <row r="281" spans="1:8">
      <c r="A281" s="163" t="s">
        <v>805</v>
      </c>
      <c r="B281" s="401" t="s">
        <v>607</v>
      </c>
      <c r="C281" s="402" t="s">
        <v>110</v>
      </c>
      <c r="D281" s="402">
        <f>D277</f>
        <v>201.6</v>
      </c>
      <c r="E281" s="403">
        <v>24</v>
      </c>
      <c r="F281" s="404">
        <v>30</v>
      </c>
      <c r="G281" s="403">
        <v>36</v>
      </c>
      <c r="H281" s="404">
        <f t="shared" si="23"/>
        <v>4838.3999999999996</v>
      </c>
    </row>
    <row r="282" spans="1:8">
      <c r="A282" s="611" t="s">
        <v>425</v>
      </c>
      <c r="B282" s="612"/>
      <c r="C282" s="528"/>
      <c r="D282" s="528"/>
      <c r="E282" s="528"/>
      <c r="F282" s="528"/>
      <c r="G282" s="528"/>
      <c r="H282" s="531">
        <f>SUM(H182:H281)</f>
        <v>3237748.648</v>
      </c>
    </row>
    <row r="283" spans="1:8">
      <c r="A283" s="532">
        <v>3</v>
      </c>
      <c r="B283" s="533" t="s">
        <v>424</v>
      </c>
      <c r="C283" s="534" t="s">
        <v>7</v>
      </c>
      <c r="D283" s="534" t="s">
        <v>8</v>
      </c>
      <c r="E283" s="535" t="s">
        <v>410</v>
      </c>
      <c r="F283" s="535" t="s">
        <v>408</v>
      </c>
      <c r="G283" s="535" t="s">
        <v>409</v>
      </c>
      <c r="H283" s="536" t="s">
        <v>9</v>
      </c>
    </row>
    <row r="284" spans="1:8" ht="43.2">
      <c r="A284" s="400" t="s">
        <v>212</v>
      </c>
      <c r="B284" s="401" t="s">
        <v>213</v>
      </c>
      <c r="C284" s="402" t="s">
        <v>214</v>
      </c>
      <c r="D284" s="402">
        <v>520</v>
      </c>
      <c r="E284" s="403">
        <v>240</v>
      </c>
      <c r="F284" s="404">
        <v>240</v>
      </c>
      <c r="G284" s="403"/>
      <c r="H284" s="404">
        <f t="shared" ref="H284:H286" si="31">E284*D284</f>
        <v>124800</v>
      </c>
    </row>
    <row r="285" spans="1:8" ht="28.8">
      <c r="A285" s="400" t="s">
        <v>215</v>
      </c>
      <c r="B285" s="401" t="s">
        <v>216</v>
      </c>
      <c r="C285" s="402" t="s">
        <v>214</v>
      </c>
      <c r="D285" s="402">
        <v>620</v>
      </c>
      <c r="E285" s="403">
        <v>240</v>
      </c>
      <c r="F285" s="404">
        <v>240</v>
      </c>
      <c r="G285" s="403"/>
      <c r="H285" s="404">
        <f t="shared" si="31"/>
        <v>148800</v>
      </c>
    </row>
    <row r="286" spans="1:8" ht="43.2">
      <c r="A286" s="400" t="s">
        <v>217</v>
      </c>
      <c r="B286" s="401" t="s">
        <v>218</v>
      </c>
      <c r="C286" s="402" t="s">
        <v>13</v>
      </c>
      <c r="D286" s="402">
        <v>5</v>
      </c>
      <c r="E286" s="68">
        <f>(3643*97%)+3643</f>
        <v>7176.71</v>
      </c>
      <c r="F286" s="69">
        <f>(5000*97%)+5000</f>
        <v>9850</v>
      </c>
      <c r="G286" s="68">
        <f>(5801*97%)+5801</f>
        <v>11427.970000000001</v>
      </c>
      <c r="H286" s="404">
        <f t="shared" si="31"/>
        <v>35883.550000000003</v>
      </c>
    </row>
    <row r="287" spans="1:8" ht="28.8">
      <c r="A287" s="400" t="s">
        <v>219</v>
      </c>
      <c r="B287" s="401" t="s">
        <v>220</v>
      </c>
      <c r="C287" s="402" t="s">
        <v>13</v>
      </c>
      <c r="D287" s="402">
        <v>5</v>
      </c>
      <c r="E287" s="68">
        <f>(1992.99+97%)+1992.99</f>
        <v>3986.95</v>
      </c>
      <c r="F287" s="69">
        <f>(2143*97%)+2143</f>
        <v>4221.71</v>
      </c>
      <c r="G287" s="72">
        <f>(3071*97%)+3071</f>
        <v>6049.87</v>
      </c>
      <c r="H287" s="404">
        <f>E287*D287*2</f>
        <v>39869.5</v>
      </c>
    </row>
    <row r="288" spans="1:8" ht="43.2">
      <c r="A288" s="400" t="s">
        <v>256</v>
      </c>
      <c r="B288" s="401" t="s">
        <v>608</v>
      </c>
      <c r="C288" s="402" t="s">
        <v>15</v>
      </c>
      <c r="D288" s="495">
        <f>20*5*3</f>
        <v>300</v>
      </c>
      <c r="E288" s="229">
        <v>250</v>
      </c>
      <c r="F288" s="69">
        <v>450</v>
      </c>
      <c r="G288" s="68">
        <v>581</v>
      </c>
      <c r="H288" s="404">
        <f t="shared" ref="H288:H296" si="32">E288*D288</f>
        <v>75000</v>
      </c>
    </row>
    <row r="289" spans="1:8" ht="72">
      <c r="A289" s="400" t="s">
        <v>221</v>
      </c>
      <c r="B289" s="401" t="s">
        <v>564</v>
      </c>
      <c r="C289" s="402" t="s">
        <v>18</v>
      </c>
      <c r="D289" s="402">
        <v>1</v>
      </c>
      <c r="E289" s="68">
        <v>4149</v>
      </c>
      <c r="F289" s="69">
        <v>5299</v>
      </c>
      <c r="G289" s="70">
        <v>5919</v>
      </c>
      <c r="H289" s="404">
        <f t="shared" si="32"/>
        <v>4149</v>
      </c>
    </row>
    <row r="290" spans="1:8" ht="28.8">
      <c r="A290" s="400" t="s">
        <v>222</v>
      </c>
      <c r="B290" s="407" t="s">
        <v>565</v>
      </c>
      <c r="C290" s="402" t="s">
        <v>18</v>
      </c>
      <c r="D290" s="402">
        <v>2</v>
      </c>
      <c r="E290" s="68">
        <v>1849</v>
      </c>
      <c r="F290" s="69">
        <v>2199</v>
      </c>
      <c r="G290" s="68">
        <v>2919</v>
      </c>
      <c r="H290" s="404">
        <f t="shared" si="32"/>
        <v>3698</v>
      </c>
    </row>
    <row r="291" spans="1:8" ht="57.6">
      <c r="A291" s="400" t="s">
        <v>223</v>
      </c>
      <c r="B291" s="401" t="s">
        <v>609</v>
      </c>
      <c r="C291" s="402" t="s">
        <v>18</v>
      </c>
      <c r="D291" s="402">
        <v>3</v>
      </c>
      <c r="E291" s="73">
        <v>1849.77</v>
      </c>
      <c r="F291" s="232">
        <v>2891</v>
      </c>
      <c r="G291" s="68">
        <v>3199</v>
      </c>
      <c r="H291" s="404">
        <f t="shared" si="32"/>
        <v>5549.3099999999995</v>
      </c>
    </row>
    <row r="292" spans="1:8" ht="28.8">
      <c r="A292" s="400" t="s">
        <v>224</v>
      </c>
      <c r="B292" s="401" t="s">
        <v>611</v>
      </c>
      <c r="C292" s="402" t="s">
        <v>18</v>
      </c>
      <c r="D292" s="402">
        <v>3</v>
      </c>
      <c r="E292" s="73">
        <v>169.9</v>
      </c>
      <c r="F292" s="232">
        <v>189</v>
      </c>
      <c r="G292" s="68">
        <v>197</v>
      </c>
      <c r="H292" s="404">
        <f t="shared" si="32"/>
        <v>509.70000000000005</v>
      </c>
    </row>
    <row r="293" spans="1:8" ht="43.2">
      <c r="A293" s="400" t="s">
        <v>225</v>
      </c>
      <c r="B293" s="401" t="s">
        <v>610</v>
      </c>
      <c r="C293" s="402" t="s">
        <v>18</v>
      </c>
      <c r="D293" s="402">
        <v>3</v>
      </c>
      <c r="E293" s="73">
        <v>1386</v>
      </c>
      <c r="F293" s="232">
        <v>1549</v>
      </c>
      <c r="G293" s="68">
        <v>1649.9</v>
      </c>
      <c r="H293" s="404">
        <f t="shared" si="32"/>
        <v>4158</v>
      </c>
    </row>
    <row r="294" spans="1:8" ht="28.8">
      <c r="A294" s="400" t="s">
        <v>226</v>
      </c>
      <c r="B294" s="401" t="s">
        <v>462</v>
      </c>
      <c r="C294" s="402" t="s">
        <v>13</v>
      </c>
      <c r="D294" s="402">
        <v>5</v>
      </c>
      <c r="E294" s="68">
        <v>124.99</v>
      </c>
      <c r="F294" s="69">
        <v>142</v>
      </c>
      <c r="G294" s="68">
        <v>159.9</v>
      </c>
      <c r="H294" s="404">
        <f t="shared" si="32"/>
        <v>624.94999999999993</v>
      </c>
    </row>
    <row r="295" spans="1:8" ht="43.2">
      <c r="A295" s="400" t="s">
        <v>227</v>
      </c>
      <c r="B295" s="401" t="s">
        <v>701</v>
      </c>
      <c r="C295" s="402" t="s">
        <v>13</v>
      </c>
      <c r="D295" s="402">
        <v>5</v>
      </c>
      <c r="E295" s="68">
        <v>2850</v>
      </c>
      <c r="F295" s="69">
        <v>3768</v>
      </c>
      <c r="G295" s="69">
        <v>5367.02</v>
      </c>
      <c r="H295" s="404">
        <f t="shared" si="32"/>
        <v>14250</v>
      </c>
    </row>
    <row r="296" spans="1:8" ht="28.8">
      <c r="A296" s="400" t="s">
        <v>228</v>
      </c>
      <c r="B296" s="401" t="s">
        <v>702</v>
      </c>
      <c r="C296" s="402" t="s">
        <v>15</v>
      </c>
      <c r="D296" s="402">
        <v>3</v>
      </c>
      <c r="E296" s="70">
        <v>300</v>
      </c>
      <c r="F296" s="74">
        <v>600</v>
      </c>
      <c r="G296" s="70">
        <v>975</v>
      </c>
      <c r="H296" s="404">
        <f t="shared" si="32"/>
        <v>900</v>
      </c>
    </row>
    <row r="297" spans="1:8" ht="43.2">
      <c r="A297" s="400" t="s">
        <v>229</v>
      </c>
      <c r="B297" s="401" t="s">
        <v>703</v>
      </c>
      <c r="C297" s="402" t="s">
        <v>13</v>
      </c>
      <c r="D297" s="402">
        <v>5</v>
      </c>
      <c r="E297" s="403">
        <v>144.9</v>
      </c>
      <c r="F297" s="404">
        <v>0</v>
      </c>
      <c r="G297" s="403">
        <v>180</v>
      </c>
      <c r="H297" s="404">
        <f>E297*D297*3</f>
        <v>2173.5</v>
      </c>
    </row>
    <row r="298" spans="1:8" ht="28.8">
      <c r="A298" s="400" t="s">
        <v>230</v>
      </c>
      <c r="B298" s="401" t="s">
        <v>704</v>
      </c>
      <c r="C298" s="402" t="s">
        <v>15</v>
      </c>
      <c r="D298" s="402">
        <v>3</v>
      </c>
      <c r="E298" s="403">
        <v>144.9</v>
      </c>
      <c r="F298" s="404">
        <v>0</v>
      </c>
      <c r="G298" s="403">
        <v>180</v>
      </c>
      <c r="H298" s="404">
        <f t="shared" ref="H298:H326" si="33">E298*D298</f>
        <v>434.70000000000005</v>
      </c>
    </row>
    <row r="299" spans="1:8" ht="28.8">
      <c r="A299" s="400" t="s">
        <v>231</v>
      </c>
      <c r="B299" s="401" t="s">
        <v>615</v>
      </c>
      <c r="C299" s="402" t="s">
        <v>31</v>
      </c>
      <c r="D299" s="402">
        <f>55*4*5*3</f>
        <v>3300</v>
      </c>
      <c r="E299" s="445">
        <v>5.49</v>
      </c>
      <c r="F299" s="404">
        <v>6.19</v>
      </c>
      <c r="G299" s="403">
        <v>6.39</v>
      </c>
      <c r="H299" s="404">
        <f t="shared" si="33"/>
        <v>18117</v>
      </c>
    </row>
    <row r="300" spans="1:8" ht="28.8">
      <c r="A300" s="400" t="s">
        <v>233</v>
      </c>
      <c r="B300" s="427" t="s">
        <v>524</v>
      </c>
      <c r="C300" s="402" t="s">
        <v>18</v>
      </c>
      <c r="D300" s="67">
        <f>5*2</f>
        <v>10</v>
      </c>
      <c r="E300" s="68">
        <v>60</v>
      </c>
      <c r="F300" s="68">
        <v>65</v>
      </c>
      <c r="G300" s="69">
        <v>70</v>
      </c>
      <c r="H300" s="404">
        <f t="shared" si="33"/>
        <v>600</v>
      </c>
    </row>
    <row r="301" spans="1:8" ht="57.6">
      <c r="A301" s="400" t="s">
        <v>234</v>
      </c>
      <c r="B301" s="427" t="s">
        <v>705</v>
      </c>
      <c r="C301" s="402" t="s">
        <v>18</v>
      </c>
      <c r="D301" s="67">
        <v>5</v>
      </c>
      <c r="E301" s="68">
        <v>75</v>
      </c>
      <c r="F301" s="68">
        <v>90</v>
      </c>
      <c r="G301" s="69">
        <v>98</v>
      </c>
      <c r="H301" s="404">
        <f t="shared" si="33"/>
        <v>375</v>
      </c>
    </row>
    <row r="302" spans="1:8" ht="57.6">
      <c r="A302" s="400" t="s">
        <v>235</v>
      </c>
      <c r="B302" s="427" t="s">
        <v>682</v>
      </c>
      <c r="C302" s="402" t="s">
        <v>18</v>
      </c>
      <c r="D302" s="495">
        <f>3*3</f>
        <v>9</v>
      </c>
      <c r="E302" s="403">
        <v>25</v>
      </c>
      <c r="F302" s="403">
        <v>40</v>
      </c>
      <c r="G302" s="404">
        <v>43</v>
      </c>
      <c r="H302" s="404">
        <f t="shared" si="33"/>
        <v>225</v>
      </c>
    </row>
    <row r="303" spans="1:8" ht="28.8">
      <c r="A303" s="400" t="s">
        <v>236</v>
      </c>
      <c r="B303" s="401" t="s">
        <v>617</v>
      </c>
      <c r="C303" s="402" t="s">
        <v>18</v>
      </c>
      <c r="D303" s="402">
        <v>4</v>
      </c>
      <c r="E303" s="68">
        <v>122</v>
      </c>
      <c r="F303" s="74">
        <v>170.91</v>
      </c>
      <c r="G303" s="68">
        <v>185</v>
      </c>
      <c r="H303" s="404">
        <f t="shared" si="33"/>
        <v>488</v>
      </c>
    </row>
    <row r="304" spans="1:8" ht="28.8">
      <c r="A304" s="400" t="s">
        <v>237</v>
      </c>
      <c r="B304" s="431" t="s">
        <v>527</v>
      </c>
      <c r="C304" s="402" t="s">
        <v>18</v>
      </c>
      <c r="D304" s="402">
        <v>4</v>
      </c>
      <c r="E304" s="68">
        <v>21.8</v>
      </c>
      <c r="F304" s="74">
        <v>36</v>
      </c>
      <c r="G304" s="68">
        <v>46.9</v>
      </c>
      <c r="H304" s="404">
        <f t="shared" si="33"/>
        <v>87.2</v>
      </c>
    </row>
    <row r="305" spans="1:8" ht="28.8">
      <c r="A305" s="400" t="s">
        <v>238</v>
      </c>
      <c r="B305" s="431" t="s">
        <v>618</v>
      </c>
      <c r="C305" s="402" t="s">
        <v>18</v>
      </c>
      <c r="D305" s="402">
        <v>4</v>
      </c>
      <c r="E305" s="73">
        <v>13.93</v>
      </c>
      <c r="F305" s="232">
        <v>15.71</v>
      </c>
      <c r="G305" s="73">
        <v>49.9</v>
      </c>
      <c r="H305" s="404">
        <f t="shared" si="33"/>
        <v>55.72</v>
      </c>
    </row>
    <row r="306" spans="1:8" ht="28.8">
      <c r="A306" s="400" t="s">
        <v>239</v>
      </c>
      <c r="B306" s="401" t="s">
        <v>529</v>
      </c>
      <c r="C306" s="402" t="s">
        <v>18</v>
      </c>
      <c r="D306" s="495">
        <v>30</v>
      </c>
      <c r="E306" s="73">
        <v>12.4</v>
      </c>
      <c r="F306" s="232">
        <v>13.5</v>
      </c>
      <c r="G306" s="73">
        <v>20.260000000000002</v>
      </c>
      <c r="H306" s="404">
        <f t="shared" si="33"/>
        <v>372</v>
      </c>
    </row>
    <row r="307" spans="1:8" ht="28.8">
      <c r="A307" s="400" t="s">
        <v>240</v>
      </c>
      <c r="B307" s="430" t="s">
        <v>619</v>
      </c>
      <c r="C307" s="402" t="s">
        <v>18</v>
      </c>
      <c r="D307" s="402">
        <v>10</v>
      </c>
      <c r="E307" s="68">
        <v>160</v>
      </c>
      <c r="F307" s="232">
        <v>163</v>
      </c>
      <c r="G307" s="73">
        <v>193.63</v>
      </c>
      <c r="H307" s="404">
        <f t="shared" si="33"/>
        <v>1600</v>
      </c>
    </row>
    <row r="308" spans="1:8" ht="28.8">
      <c r="A308" s="400" t="s">
        <v>241</v>
      </c>
      <c r="B308" s="432" t="s">
        <v>474</v>
      </c>
      <c r="C308" s="402" t="s">
        <v>18</v>
      </c>
      <c r="D308" s="402">
        <v>3</v>
      </c>
      <c r="E308" s="70">
        <v>35</v>
      </c>
      <c r="F308" s="74">
        <v>41.4</v>
      </c>
      <c r="G308" s="68">
        <v>168.26</v>
      </c>
      <c r="H308" s="404">
        <f t="shared" si="33"/>
        <v>105</v>
      </c>
    </row>
    <row r="309" spans="1:8" ht="28.8">
      <c r="A309" s="400" t="s">
        <v>242</v>
      </c>
      <c r="B309" s="430" t="s">
        <v>475</v>
      </c>
      <c r="C309" s="402" t="s">
        <v>18</v>
      </c>
      <c r="D309" s="402">
        <v>3</v>
      </c>
      <c r="E309" s="73">
        <v>41.4</v>
      </c>
      <c r="F309" s="69">
        <v>42.23</v>
      </c>
      <c r="G309" s="70">
        <v>50</v>
      </c>
      <c r="H309" s="404">
        <f t="shared" si="33"/>
        <v>124.19999999999999</v>
      </c>
    </row>
    <row r="310" spans="1:8" ht="28.8">
      <c r="A310" s="400" t="s">
        <v>243</v>
      </c>
      <c r="B310" s="411" t="s">
        <v>620</v>
      </c>
      <c r="C310" s="402" t="s">
        <v>18</v>
      </c>
      <c r="D310" s="402">
        <v>4</v>
      </c>
      <c r="E310" s="68">
        <v>2.77</v>
      </c>
      <c r="F310" s="74">
        <v>3.75</v>
      </c>
      <c r="G310" s="73">
        <v>3.96</v>
      </c>
      <c r="H310" s="404">
        <f t="shared" si="33"/>
        <v>11.08</v>
      </c>
    </row>
    <row r="311" spans="1:8" ht="28.8">
      <c r="A311" s="624" t="s">
        <v>244</v>
      </c>
      <c r="B311" s="625" t="s">
        <v>477</v>
      </c>
      <c r="C311" s="646" t="s">
        <v>18</v>
      </c>
      <c r="D311" s="646">
        <v>3</v>
      </c>
      <c r="E311" s="636">
        <v>32.979999999999997</v>
      </c>
      <c r="F311" s="69">
        <v>58.66</v>
      </c>
      <c r="G311" s="68">
        <v>60.82</v>
      </c>
      <c r="H311" s="404">
        <f t="shared" si="33"/>
        <v>98.94</v>
      </c>
    </row>
    <row r="312" spans="1:8" ht="28.8">
      <c r="A312" s="624" t="s">
        <v>245</v>
      </c>
      <c r="B312" s="625" t="s">
        <v>621</v>
      </c>
      <c r="C312" s="646" t="s">
        <v>18</v>
      </c>
      <c r="D312" s="646">
        <v>3</v>
      </c>
      <c r="E312" s="636">
        <v>26.5</v>
      </c>
      <c r="F312" s="69">
        <v>61.9</v>
      </c>
      <c r="G312" s="68">
        <v>83.6</v>
      </c>
      <c r="H312" s="404">
        <f t="shared" si="33"/>
        <v>79.5</v>
      </c>
    </row>
    <row r="313" spans="1:8" ht="28.8">
      <c r="A313" s="626" t="s">
        <v>246</v>
      </c>
      <c r="B313" s="627" t="s">
        <v>772</v>
      </c>
      <c r="C313" s="646" t="s">
        <v>18</v>
      </c>
      <c r="D313" s="646">
        <v>12</v>
      </c>
      <c r="E313" s="650">
        <v>286</v>
      </c>
      <c r="F313" s="404">
        <v>338</v>
      </c>
      <c r="G313" s="403">
        <v>377</v>
      </c>
      <c r="H313" s="404">
        <f t="shared" si="33"/>
        <v>3432</v>
      </c>
    </row>
    <row r="314" spans="1:8" ht="28.8">
      <c r="A314" s="626" t="s">
        <v>247</v>
      </c>
      <c r="B314" s="627" t="s">
        <v>773</v>
      </c>
      <c r="C314" s="646" t="s">
        <v>18</v>
      </c>
      <c r="D314" s="646">
        <v>6</v>
      </c>
      <c r="E314" s="650">
        <v>98</v>
      </c>
      <c r="F314" s="404">
        <v>270</v>
      </c>
      <c r="G314" s="403">
        <v>279</v>
      </c>
      <c r="H314" s="404">
        <f t="shared" si="33"/>
        <v>588</v>
      </c>
    </row>
    <row r="315" spans="1:8" ht="28.8">
      <c r="A315" s="626" t="s">
        <v>248</v>
      </c>
      <c r="B315" s="627" t="s">
        <v>774</v>
      </c>
      <c r="C315" s="646" t="s">
        <v>18</v>
      </c>
      <c r="D315" s="646">
        <v>20</v>
      </c>
      <c r="E315" s="650">
        <v>35.99</v>
      </c>
      <c r="F315" s="404">
        <v>37.93</v>
      </c>
      <c r="G315" s="403">
        <v>67.900000000000006</v>
      </c>
      <c r="H315" s="404">
        <f t="shared" si="33"/>
        <v>719.80000000000007</v>
      </c>
    </row>
    <row r="316" spans="1:8" ht="28.8">
      <c r="A316" s="626" t="s">
        <v>249</v>
      </c>
      <c r="B316" s="627" t="s">
        <v>783</v>
      </c>
      <c r="C316" s="646" t="s">
        <v>18</v>
      </c>
      <c r="D316" s="646">
        <f>2*3*1</f>
        <v>6</v>
      </c>
      <c r="E316" s="650">
        <v>125</v>
      </c>
      <c r="F316" s="404">
        <v>144.41</v>
      </c>
      <c r="G316" s="403">
        <v>155.5</v>
      </c>
      <c r="H316" s="404">
        <f t="shared" si="33"/>
        <v>750</v>
      </c>
    </row>
    <row r="317" spans="1:8" ht="28.8">
      <c r="A317" s="626" t="s">
        <v>250</v>
      </c>
      <c r="B317" s="627" t="s">
        <v>775</v>
      </c>
      <c r="C317" s="646" t="s">
        <v>18</v>
      </c>
      <c r="D317" s="646">
        <v>3</v>
      </c>
      <c r="E317" s="650">
        <v>930</v>
      </c>
      <c r="F317" s="404">
        <v>1000</v>
      </c>
      <c r="G317" s="403">
        <v>1980</v>
      </c>
      <c r="H317" s="404">
        <f t="shared" si="33"/>
        <v>2790</v>
      </c>
    </row>
    <row r="318" spans="1:8" ht="28.8">
      <c r="A318" s="626" t="s">
        <v>251</v>
      </c>
      <c r="B318" s="627" t="s">
        <v>776</v>
      </c>
      <c r="C318" s="646" t="s">
        <v>18</v>
      </c>
      <c r="D318" s="646">
        <f>1*3*1</f>
        <v>3</v>
      </c>
      <c r="E318" s="650">
        <v>37.9</v>
      </c>
      <c r="F318" s="404">
        <v>41.31</v>
      </c>
      <c r="G318" s="403">
        <v>45</v>
      </c>
      <c r="H318" s="404">
        <f t="shared" si="33"/>
        <v>113.69999999999999</v>
      </c>
    </row>
    <row r="319" spans="1:8" ht="28.8">
      <c r="A319" s="626" t="s">
        <v>252</v>
      </c>
      <c r="B319" s="627" t="s">
        <v>777</v>
      </c>
      <c r="C319" s="646" t="s">
        <v>18</v>
      </c>
      <c r="D319" s="646">
        <f>1*3*1</f>
        <v>3</v>
      </c>
      <c r="E319" s="650">
        <v>73.489999999999995</v>
      </c>
      <c r="F319" s="404">
        <v>96.7</v>
      </c>
      <c r="G319" s="403">
        <v>106.76</v>
      </c>
      <c r="H319" s="404">
        <f t="shared" si="33"/>
        <v>220.46999999999997</v>
      </c>
    </row>
    <row r="320" spans="1:8" ht="28.8">
      <c r="A320" s="626" t="s">
        <v>806</v>
      </c>
      <c r="B320" s="625" t="s">
        <v>622</v>
      </c>
      <c r="C320" s="646" t="s">
        <v>68</v>
      </c>
      <c r="D320" s="646">
        <v>5</v>
      </c>
      <c r="E320" s="636">
        <v>204</v>
      </c>
      <c r="F320" s="232">
        <v>255</v>
      </c>
      <c r="G320" s="73">
        <v>280</v>
      </c>
      <c r="H320" s="404">
        <f t="shared" si="33"/>
        <v>1020</v>
      </c>
    </row>
    <row r="321" spans="1:8" ht="43.2">
      <c r="A321" s="163" t="s">
        <v>807</v>
      </c>
      <c r="B321" s="401" t="s">
        <v>623</v>
      </c>
      <c r="C321" s="402" t="s">
        <v>18</v>
      </c>
      <c r="D321" s="402">
        <v>2</v>
      </c>
      <c r="E321" s="68">
        <v>49</v>
      </c>
      <c r="F321" s="69">
        <v>64</v>
      </c>
      <c r="G321" s="68">
        <v>80</v>
      </c>
      <c r="H321" s="404">
        <f t="shared" si="33"/>
        <v>98</v>
      </c>
    </row>
    <row r="322" spans="1:8" ht="43.2">
      <c r="A322" s="163" t="s">
        <v>808</v>
      </c>
      <c r="B322" s="432" t="s">
        <v>624</v>
      </c>
      <c r="C322" s="402" t="s">
        <v>18</v>
      </c>
      <c r="D322" s="402">
        <v>2</v>
      </c>
      <c r="E322" s="68">
        <v>103.2</v>
      </c>
      <c r="F322" s="74">
        <v>129</v>
      </c>
      <c r="G322" s="68">
        <v>167.81</v>
      </c>
      <c r="H322" s="404">
        <f t="shared" si="33"/>
        <v>206.4</v>
      </c>
    </row>
    <row r="323" spans="1:8" ht="28.8">
      <c r="A323" s="163" t="s">
        <v>809</v>
      </c>
      <c r="B323" s="432" t="s">
        <v>625</v>
      </c>
      <c r="C323" s="402" t="s">
        <v>18</v>
      </c>
      <c r="D323" s="402">
        <v>2</v>
      </c>
      <c r="E323" s="68">
        <v>37.6</v>
      </c>
      <c r="F323" s="69">
        <v>54</v>
      </c>
      <c r="G323" s="68">
        <v>59.6</v>
      </c>
      <c r="H323" s="404">
        <f t="shared" si="33"/>
        <v>75.2</v>
      </c>
    </row>
    <row r="324" spans="1:8" ht="28.8">
      <c r="A324" s="163" t="s">
        <v>810</v>
      </c>
      <c r="B324" s="432" t="s">
        <v>626</v>
      </c>
      <c r="C324" s="402" t="s">
        <v>18</v>
      </c>
      <c r="D324" s="402">
        <v>2</v>
      </c>
      <c r="E324" s="68">
        <v>29.6</v>
      </c>
      <c r="F324" s="74">
        <v>53.7</v>
      </c>
      <c r="G324" s="68">
        <v>61.28</v>
      </c>
      <c r="H324" s="404">
        <f t="shared" si="33"/>
        <v>59.2</v>
      </c>
    </row>
    <row r="325" spans="1:8" ht="28.8">
      <c r="A325" s="163" t="s">
        <v>811</v>
      </c>
      <c r="B325" s="432" t="s">
        <v>627</v>
      </c>
      <c r="C325" s="402" t="s">
        <v>18</v>
      </c>
      <c r="D325" s="402">
        <v>2</v>
      </c>
      <c r="E325" s="68">
        <v>36</v>
      </c>
      <c r="F325" s="69">
        <v>50.6</v>
      </c>
      <c r="G325" s="68">
        <v>54.6</v>
      </c>
      <c r="H325" s="404">
        <f t="shared" si="33"/>
        <v>72</v>
      </c>
    </row>
    <row r="326" spans="1:8" ht="28.8">
      <c r="A326" s="163" t="s">
        <v>833</v>
      </c>
      <c r="B326" s="432" t="s">
        <v>552</v>
      </c>
      <c r="C326" s="402" t="s">
        <v>18</v>
      </c>
      <c r="D326" s="402">
        <v>2</v>
      </c>
      <c r="E326" s="68">
        <v>140.54</v>
      </c>
      <c r="F326" s="69">
        <v>186.8</v>
      </c>
      <c r="G326" s="68">
        <v>341.8</v>
      </c>
      <c r="H326" s="404">
        <f t="shared" si="33"/>
        <v>281.08</v>
      </c>
    </row>
    <row r="327" spans="1:8">
      <c r="A327" s="611" t="s">
        <v>253</v>
      </c>
      <c r="B327" s="612"/>
      <c r="C327" s="508"/>
      <c r="D327" s="508"/>
      <c r="E327" s="510"/>
      <c r="F327" s="510"/>
      <c r="G327" s="510"/>
      <c r="H327" s="519">
        <f>SUM(H284:H326)</f>
        <v>493564.70000000007</v>
      </c>
    </row>
    <row r="328" spans="1:8" ht="28.8">
      <c r="A328" s="395" t="s">
        <v>257</v>
      </c>
      <c r="B328" s="396" t="s">
        <v>258</v>
      </c>
      <c r="C328" s="397" t="s">
        <v>7</v>
      </c>
      <c r="D328" s="397" t="s">
        <v>8</v>
      </c>
      <c r="E328" s="398" t="s">
        <v>410</v>
      </c>
      <c r="F328" s="398" t="s">
        <v>408</v>
      </c>
      <c r="G328" s="398" t="s">
        <v>409</v>
      </c>
      <c r="H328" s="399" t="s">
        <v>9</v>
      </c>
    </row>
    <row r="329" spans="1:8" ht="57.6">
      <c r="A329" s="400" t="s">
        <v>259</v>
      </c>
      <c r="B329" s="401" t="s">
        <v>260</v>
      </c>
      <c r="C329" s="402" t="s">
        <v>13</v>
      </c>
      <c r="D329" s="402">
        <v>12</v>
      </c>
      <c r="E329" s="403">
        <f>(3643*97%)+3643</f>
        <v>7176.71</v>
      </c>
      <c r="F329" s="404">
        <f>(5000*97%)+5000</f>
        <v>9850</v>
      </c>
      <c r="G329" s="403">
        <f>(5801*97%)+5801</f>
        <v>11427.970000000001</v>
      </c>
      <c r="H329" s="404">
        <f t="shared" ref="H329:H330" si="34">E329*D329</f>
        <v>86120.52</v>
      </c>
    </row>
    <row r="330" spans="1:8" ht="43.2">
      <c r="A330" s="400" t="s">
        <v>261</v>
      </c>
      <c r="B330" s="401" t="s">
        <v>262</v>
      </c>
      <c r="C330" s="402" t="s">
        <v>13</v>
      </c>
      <c r="D330" s="402">
        <v>12</v>
      </c>
      <c r="E330" s="251">
        <f>(2825.54*97%)+2825.54</f>
        <v>5566.3137999999999</v>
      </c>
      <c r="F330" s="249">
        <f>(2942.99*97%)+2942.99</f>
        <v>5797.6902999999993</v>
      </c>
      <c r="G330" s="250">
        <f>(3397*97%)+3397</f>
        <v>6692.09</v>
      </c>
      <c r="H330" s="404">
        <f t="shared" si="34"/>
        <v>66795.765599999999</v>
      </c>
    </row>
    <row r="331" spans="1:8" ht="43.2">
      <c r="A331" s="400" t="s">
        <v>263</v>
      </c>
      <c r="B331" s="401" t="s">
        <v>264</v>
      </c>
      <c r="C331" s="402" t="s">
        <v>13</v>
      </c>
      <c r="D331" s="402">
        <v>12</v>
      </c>
      <c r="E331" s="68">
        <f>(1412*97%)+1412</f>
        <v>2781.64</v>
      </c>
      <c r="F331" s="69">
        <f>(1454*97%)+1454</f>
        <v>2864.38</v>
      </c>
      <c r="G331" s="68">
        <f>(1700*97%)+1700</f>
        <v>3349</v>
      </c>
      <c r="H331" s="404">
        <f>E331*D331*2</f>
        <v>66759.360000000001</v>
      </c>
    </row>
    <row r="332" spans="1:8" ht="43.2">
      <c r="A332" s="400" t="s">
        <v>265</v>
      </c>
      <c r="B332" s="401" t="s">
        <v>515</v>
      </c>
      <c r="C332" s="402" t="s">
        <v>15</v>
      </c>
      <c r="D332" s="402">
        <f t="shared" ref="D332:D333" si="35">4*20*12</f>
        <v>960</v>
      </c>
      <c r="E332" s="68">
        <v>32</v>
      </c>
      <c r="F332" s="69">
        <v>32</v>
      </c>
      <c r="G332" s="68">
        <v>35</v>
      </c>
      <c r="H332" s="404">
        <f t="shared" ref="H332:H342" si="36">E332*D332</f>
        <v>30720</v>
      </c>
    </row>
    <row r="333" spans="1:8" ht="28.8">
      <c r="A333" s="400" t="s">
        <v>266</v>
      </c>
      <c r="B333" s="401" t="s">
        <v>574</v>
      </c>
      <c r="C333" s="402" t="s">
        <v>15</v>
      </c>
      <c r="D333" s="402">
        <f t="shared" si="35"/>
        <v>960</v>
      </c>
      <c r="E333" s="68">
        <v>8</v>
      </c>
      <c r="F333" s="69">
        <v>8.6</v>
      </c>
      <c r="G333" s="68">
        <v>9</v>
      </c>
      <c r="H333" s="404">
        <f t="shared" si="36"/>
        <v>7680</v>
      </c>
    </row>
    <row r="334" spans="1:8" ht="28.8">
      <c r="A334" s="400" t="s">
        <v>268</v>
      </c>
      <c r="B334" s="407" t="s">
        <v>565</v>
      </c>
      <c r="C334" s="402" t="s">
        <v>18</v>
      </c>
      <c r="D334" s="402">
        <v>2</v>
      </c>
      <c r="E334" s="403">
        <v>1849</v>
      </c>
      <c r="F334" s="404">
        <v>2199</v>
      </c>
      <c r="G334" s="403">
        <v>2919</v>
      </c>
      <c r="H334" s="404">
        <f t="shared" si="36"/>
        <v>3698</v>
      </c>
    </row>
    <row r="335" spans="1:8" ht="57.6">
      <c r="A335" s="400" t="s">
        <v>269</v>
      </c>
      <c r="B335" s="401" t="s">
        <v>609</v>
      </c>
      <c r="C335" s="402" t="s">
        <v>18</v>
      </c>
      <c r="D335" s="402">
        <v>2</v>
      </c>
      <c r="E335" s="403">
        <v>1849.77</v>
      </c>
      <c r="F335" s="404">
        <v>2899</v>
      </c>
      <c r="G335" s="403">
        <v>3199</v>
      </c>
      <c r="H335" s="404">
        <f t="shared" si="36"/>
        <v>3699.54</v>
      </c>
    </row>
    <row r="336" spans="1:8" ht="43.2">
      <c r="A336" s="400" t="s">
        <v>270</v>
      </c>
      <c r="B336" s="401" t="s">
        <v>567</v>
      </c>
      <c r="C336" s="402" t="s">
        <v>18</v>
      </c>
      <c r="D336" s="402">
        <v>2</v>
      </c>
      <c r="E336" s="403">
        <v>169.9</v>
      </c>
      <c r="F336" s="404">
        <v>189.9</v>
      </c>
      <c r="G336" s="403">
        <v>197.59</v>
      </c>
      <c r="H336" s="404">
        <f t="shared" si="36"/>
        <v>339.8</v>
      </c>
    </row>
    <row r="337" spans="1:8" ht="43.2">
      <c r="A337" s="400" t="s">
        <v>271</v>
      </c>
      <c r="B337" s="401" t="s">
        <v>629</v>
      </c>
      <c r="C337" s="402" t="s">
        <v>18</v>
      </c>
      <c r="D337" s="402">
        <v>2</v>
      </c>
      <c r="E337" s="73">
        <v>1386</v>
      </c>
      <c r="F337" s="69">
        <v>1549</v>
      </c>
      <c r="G337" s="68">
        <v>1649.9</v>
      </c>
      <c r="H337" s="404">
        <f t="shared" si="36"/>
        <v>2772</v>
      </c>
    </row>
    <row r="338" spans="1:8" ht="28.8">
      <c r="A338" s="400" t="s">
        <v>272</v>
      </c>
      <c r="B338" s="401" t="s">
        <v>462</v>
      </c>
      <c r="C338" s="402" t="s">
        <v>13</v>
      </c>
      <c r="D338" s="402">
        <v>12</v>
      </c>
      <c r="E338" s="68">
        <v>124.99</v>
      </c>
      <c r="F338" s="69">
        <v>142</v>
      </c>
      <c r="G338" s="68">
        <v>159.99</v>
      </c>
      <c r="H338" s="404">
        <f t="shared" si="36"/>
        <v>1499.8799999999999</v>
      </c>
    </row>
    <row r="339" spans="1:8" ht="28.8">
      <c r="A339" s="400" t="s">
        <v>273</v>
      </c>
      <c r="B339" s="401" t="s">
        <v>628</v>
      </c>
      <c r="C339" s="402" t="s">
        <v>18</v>
      </c>
      <c r="D339" s="495">
        <v>1</v>
      </c>
      <c r="E339" s="73">
        <v>6459.11</v>
      </c>
      <c r="F339" s="68">
        <v>6686</v>
      </c>
      <c r="G339" s="69">
        <v>6892</v>
      </c>
      <c r="H339" s="404">
        <f t="shared" si="36"/>
        <v>6459.11</v>
      </c>
    </row>
    <row r="340" spans="1:8" ht="28.8">
      <c r="A340" s="400" t="s">
        <v>274</v>
      </c>
      <c r="B340" s="401" t="s">
        <v>706</v>
      </c>
      <c r="C340" s="402" t="s">
        <v>13</v>
      </c>
      <c r="D340" s="402">
        <v>12</v>
      </c>
      <c r="E340" s="68">
        <v>2850</v>
      </c>
      <c r="F340" s="69">
        <v>3768</v>
      </c>
      <c r="G340" s="69">
        <v>5367.02</v>
      </c>
      <c r="H340" s="404">
        <f t="shared" si="36"/>
        <v>34200</v>
      </c>
    </row>
    <row r="341" spans="1:8" ht="28.8">
      <c r="A341" s="400" t="s">
        <v>275</v>
      </c>
      <c r="B341" s="401" t="s">
        <v>707</v>
      </c>
      <c r="C341" s="402" t="s">
        <v>15</v>
      </c>
      <c r="D341" s="402">
        <v>2</v>
      </c>
      <c r="E341" s="70">
        <v>300</v>
      </c>
      <c r="F341" s="74">
        <v>600</v>
      </c>
      <c r="G341" s="70">
        <v>975</v>
      </c>
      <c r="H341" s="404">
        <f t="shared" si="36"/>
        <v>600</v>
      </c>
    </row>
    <row r="342" spans="1:8" ht="43.2">
      <c r="A342" s="400" t="s">
        <v>276</v>
      </c>
      <c r="B342" s="401" t="s">
        <v>579</v>
      </c>
      <c r="C342" s="402" t="s">
        <v>15</v>
      </c>
      <c r="D342" s="402">
        <v>2</v>
      </c>
      <c r="E342" s="68">
        <v>144.9</v>
      </c>
      <c r="F342" s="74">
        <v>0</v>
      </c>
      <c r="G342" s="68">
        <v>265</v>
      </c>
      <c r="H342" s="404">
        <f t="shared" si="36"/>
        <v>289.8</v>
      </c>
    </row>
    <row r="343" spans="1:8" ht="28.8">
      <c r="A343" s="400" t="s">
        <v>277</v>
      </c>
      <c r="B343" s="401" t="s">
        <v>632</v>
      </c>
      <c r="C343" s="402" t="s">
        <v>13</v>
      </c>
      <c r="D343" s="402">
        <v>12</v>
      </c>
      <c r="E343" s="68">
        <v>49.9</v>
      </c>
      <c r="F343" s="74">
        <v>60</v>
      </c>
      <c r="G343" s="68">
        <v>65.900000000000006</v>
      </c>
      <c r="H343" s="404">
        <f>E343*D343*2</f>
        <v>1197.5999999999999</v>
      </c>
    </row>
    <row r="344" spans="1:8" ht="43.2">
      <c r="A344" s="400" t="s">
        <v>278</v>
      </c>
      <c r="B344" s="401" t="s">
        <v>633</v>
      </c>
      <c r="C344" s="402" t="s">
        <v>108</v>
      </c>
      <c r="D344" s="402">
        <f>55*4*12*2</f>
        <v>5280</v>
      </c>
      <c r="E344" s="256">
        <v>6.08</v>
      </c>
      <c r="F344" s="69">
        <v>6.09</v>
      </c>
      <c r="G344" s="68">
        <v>6.35</v>
      </c>
      <c r="H344" s="404">
        <f t="shared" ref="H344:H386" si="37">E344*D344</f>
        <v>32102.400000000001</v>
      </c>
    </row>
    <row r="345" spans="1:8" ht="28.8">
      <c r="A345" s="400" t="s">
        <v>279</v>
      </c>
      <c r="B345" s="401" t="s">
        <v>634</v>
      </c>
      <c r="C345" s="402" t="s">
        <v>18</v>
      </c>
      <c r="D345" s="402">
        <v>2</v>
      </c>
      <c r="E345" s="68">
        <v>99.86</v>
      </c>
      <c r="F345" s="69">
        <v>109.49</v>
      </c>
      <c r="G345" s="73">
        <v>211.19</v>
      </c>
      <c r="H345" s="404">
        <f t="shared" si="37"/>
        <v>199.72</v>
      </c>
    </row>
    <row r="346" spans="1:8" ht="28.8">
      <c r="A346" s="400" t="s">
        <v>280</v>
      </c>
      <c r="B346" s="427" t="s">
        <v>469</v>
      </c>
      <c r="C346" s="402" t="s">
        <v>18</v>
      </c>
      <c r="D346" s="495">
        <f t="shared" ref="D346:D347" si="38">6*4*1</f>
        <v>24</v>
      </c>
      <c r="E346" s="68">
        <v>60</v>
      </c>
      <c r="F346" s="68">
        <v>65</v>
      </c>
      <c r="G346" s="69">
        <v>70</v>
      </c>
      <c r="H346" s="404">
        <f t="shared" si="37"/>
        <v>1440</v>
      </c>
    </row>
    <row r="347" spans="1:8" ht="57.6">
      <c r="A347" s="400" t="s">
        <v>281</v>
      </c>
      <c r="B347" s="427" t="s">
        <v>501</v>
      </c>
      <c r="C347" s="402" t="s">
        <v>18</v>
      </c>
      <c r="D347" s="495">
        <f t="shared" si="38"/>
        <v>24</v>
      </c>
      <c r="E347" s="68">
        <v>25</v>
      </c>
      <c r="F347" s="68">
        <v>40</v>
      </c>
      <c r="G347" s="69">
        <v>43</v>
      </c>
      <c r="H347" s="404">
        <f t="shared" si="37"/>
        <v>600</v>
      </c>
    </row>
    <row r="348" spans="1:8" ht="28.8">
      <c r="A348" s="400" t="s">
        <v>384</v>
      </c>
      <c r="B348" s="401" t="s">
        <v>617</v>
      </c>
      <c r="C348" s="402" t="s">
        <v>18</v>
      </c>
      <c r="D348" s="402">
        <f t="shared" ref="D348:D351" si="39">2*4</f>
        <v>8</v>
      </c>
      <c r="E348" s="73">
        <v>122</v>
      </c>
      <c r="F348" s="232">
        <v>170.91</v>
      </c>
      <c r="G348" s="73">
        <v>185</v>
      </c>
      <c r="H348" s="404">
        <f t="shared" si="37"/>
        <v>976</v>
      </c>
    </row>
    <row r="349" spans="1:8" ht="28.8">
      <c r="A349" s="400" t="s">
        <v>385</v>
      </c>
      <c r="B349" s="401" t="s">
        <v>584</v>
      </c>
      <c r="C349" s="402" t="s">
        <v>18</v>
      </c>
      <c r="D349" s="402">
        <f t="shared" si="39"/>
        <v>8</v>
      </c>
      <c r="E349" s="73">
        <v>21.8</v>
      </c>
      <c r="F349" s="232">
        <v>36</v>
      </c>
      <c r="G349" s="73">
        <v>46.9</v>
      </c>
      <c r="H349" s="404">
        <f t="shared" si="37"/>
        <v>174.4</v>
      </c>
    </row>
    <row r="350" spans="1:8" ht="43.2">
      <c r="A350" s="400" t="s">
        <v>282</v>
      </c>
      <c r="B350" s="401" t="s">
        <v>668</v>
      </c>
      <c r="C350" s="402" t="s">
        <v>18</v>
      </c>
      <c r="D350" s="402">
        <f t="shared" si="39"/>
        <v>8</v>
      </c>
      <c r="E350" s="408">
        <v>27.01</v>
      </c>
      <c r="F350" s="409">
        <v>36</v>
      </c>
      <c r="G350" s="408">
        <v>46.9</v>
      </c>
      <c r="H350" s="404">
        <f t="shared" si="37"/>
        <v>216.08</v>
      </c>
    </row>
    <row r="351" spans="1:8" ht="28.8">
      <c r="A351" s="400" t="s">
        <v>283</v>
      </c>
      <c r="B351" s="431" t="s">
        <v>528</v>
      </c>
      <c r="C351" s="402" t="s">
        <v>18</v>
      </c>
      <c r="D351" s="402">
        <f t="shared" si="39"/>
        <v>8</v>
      </c>
      <c r="E351" s="73">
        <v>13.93</v>
      </c>
      <c r="F351" s="232">
        <v>15.71</v>
      </c>
      <c r="G351" s="73">
        <v>22.5</v>
      </c>
      <c r="H351" s="404">
        <f t="shared" si="37"/>
        <v>111.44</v>
      </c>
    </row>
    <row r="352" spans="1:8" ht="28.8">
      <c r="A352" s="400" t="s">
        <v>284</v>
      </c>
      <c r="B352" s="401" t="s">
        <v>529</v>
      </c>
      <c r="C352" s="402" t="s">
        <v>18</v>
      </c>
      <c r="D352" s="402">
        <f>3*4*12</f>
        <v>144</v>
      </c>
      <c r="E352" s="73">
        <v>12.4</v>
      </c>
      <c r="F352" s="232">
        <v>13.5</v>
      </c>
      <c r="G352" s="73">
        <v>20.260000000000002</v>
      </c>
      <c r="H352" s="404">
        <f t="shared" si="37"/>
        <v>1785.6000000000001</v>
      </c>
    </row>
    <row r="353" spans="1:8" ht="28.8">
      <c r="A353" s="400" t="s">
        <v>285</v>
      </c>
      <c r="B353" s="430" t="s">
        <v>619</v>
      </c>
      <c r="C353" s="402" t="s">
        <v>18</v>
      </c>
      <c r="D353" s="402">
        <f>2*4</f>
        <v>8</v>
      </c>
      <c r="E353" s="73">
        <v>160</v>
      </c>
      <c r="F353" s="232">
        <v>163</v>
      </c>
      <c r="G353" s="73">
        <v>193.63</v>
      </c>
      <c r="H353" s="404">
        <f t="shared" si="37"/>
        <v>1280</v>
      </c>
    </row>
    <row r="354" spans="1:8" ht="28.8">
      <c r="A354" s="400" t="s">
        <v>286</v>
      </c>
      <c r="B354" s="432" t="s">
        <v>474</v>
      </c>
      <c r="C354" s="402" t="s">
        <v>18</v>
      </c>
      <c r="D354" s="402">
        <v>4</v>
      </c>
      <c r="E354" s="73">
        <v>35</v>
      </c>
      <c r="F354" s="232">
        <v>41.4</v>
      </c>
      <c r="G354" s="73">
        <v>168.26</v>
      </c>
      <c r="H354" s="404">
        <f t="shared" si="37"/>
        <v>140</v>
      </c>
    </row>
    <row r="355" spans="1:8" ht="28.8">
      <c r="A355" s="400" t="s">
        <v>287</v>
      </c>
      <c r="B355" s="430" t="s">
        <v>475</v>
      </c>
      <c r="C355" s="402" t="s">
        <v>18</v>
      </c>
      <c r="D355" s="402">
        <v>4</v>
      </c>
      <c r="E355" s="73">
        <v>41.4</v>
      </c>
      <c r="F355" s="232">
        <v>42.23</v>
      </c>
      <c r="G355" s="73">
        <v>50</v>
      </c>
      <c r="H355" s="404">
        <f t="shared" si="37"/>
        <v>165.6</v>
      </c>
    </row>
    <row r="356" spans="1:8" ht="28.8">
      <c r="A356" s="400" t="s">
        <v>288</v>
      </c>
      <c r="B356" s="401" t="s">
        <v>621</v>
      </c>
      <c r="C356" s="402" t="s">
        <v>18</v>
      </c>
      <c r="D356" s="402">
        <v>2</v>
      </c>
      <c r="E356" s="73">
        <v>26.5</v>
      </c>
      <c r="F356" s="232">
        <v>61.9</v>
      </c>
      <c r="G356" s="73">
        <v>83.6</v>
      </c>
      <c r="H356" s="404">
        <f t="shared" si="37"/>
        <v>53</v>
      </c>
    </row>
    <row r="357" spans="1:8" ht="28.8">
      <c r="A357" s="400" t="s">
        <v>289</v>
      </c>
      <c r="B357" s="401" t="s">
        <v>494</v>
      </c>
      <c r="C357" s="402" t="s">
        <v>18</v>
      </c>
      <c r="D357" s="402">
        <f t="shared" ref="D357:D358" si="40">2*2</f>
        <v>4</v>
      </c>
      <c r="E357" s="73">
        <v>27.9</v>
      </c>
      <c r="F357" s="232">
        <v>30</v>
      </c>
      <c r="G357" s="73">
        <v>32.229999999999997</v>
      </c>
      <c r="H357" s="404">
        <f t="shared" si="37"/>
        <v>111.6</v>
      </c>
    </row>
    <row r="358" spans="1:8" ht="28.8">
      <c r="A358" s="400" t="s">
        <v>290</v>
      </c>
      <c r="B358" s="401" t="s">
        <v>495</v>
      </c>
      <c r="C358" s="402" t="s">
        <v>18</v>
      </c>
      <c r="D358" s="402">
        <f t="shared" si="40"/>
        <v>4</v>
      </c>
      <c r="E358" s="68">
        <v>157.44</v>
      </c>
      <c r="F358" s="69">
        <v>184.26</v>
      </c>
      <c r="G358" s="68">
        <v>208.95</v>
      </c>
      <c r="H358" s="404">
        <f t="shared" si="37"/>
        <v>629.76</v>
      </c>
    </row>
    <row r="359" spans="1:8" ht="28.8">
      <c r="A359" s="400" t="s">
        <v>291</v>
      </c>
      <c r="B359" s="401" t="s">
        <v>496</v>
      </c>
      <c r="C359" s="402" t="s">
        <v>18</v>
      </c>
      <c r="D359" s="402">
        <f>4*2</f>
        <v>8</v>
      </c>
      <c r="E359" s="68">
        <v>33.729999999999997</v>
      </c>
      <c r="F359" s="69">
        <v>43.66</v>
      </c>
      <c r="G359" s="68">
        <v>72</v>
      </c>
      <c r="H359" s="404">
        <f t="shared" si="37"/>
        <v>269.83999999999997</v>
      </c>
    </row>
    <row r="360" spans="1:8" ht="28.8">
      <c r="A360" s="626" t="s">
        <v>292</v>
      </c>
      <c r="B360" s="627" t="s">
        <v>772</v>
      </c>
      <c r="C360" s="646" t="s">
        <v>18</v>
      </c>
      <c r="D360" s="413">
        <f>4*1</f>
        <v>4</v>
      </c>
      <c r="E360" s="412">
        <v>286</v>
      </c>
      <c r="F360" s="404">
        <v>338</v>
      </c>
      <c r="G360" s="403">
        <v>377</v>
      </c>
      <c r="H360" s="404">
        <f t="shared" si="37"/>
        <v>1144</v>
      </c>
    </row>
    <row r="361" spans="1:8" ht="28.8">
      <c r="A361" s="626" t="s">
        <v>293</v>
      </c>
      <c r="B361" s="627" t="s">
        <v>773</v>
      </c>
      <c r="C361" s="646" t="s">
        <v>18</v>
      </c>
      <c r="D361" s="413">
        <f>8*1</f>
        <v>8</v>
      </c>
      <c r="E361" s="412">
        <v>98</v>
      </c>
      <c r="F361" s="404">
        <v>270</v>
      </c>
      <c r="G361" s="403">
        <v>279</v>
      </c>
      <c r="H361" s="404">
        <f t="shared" si="37"/>
        <v>784</v>
      </c>
    </row>
    <row r="362" spans="1:8" ht="28.8">
      <c r="A362" s="626" t="s">
        <v>294</v>
      </c>
      <c r="B362" s="627" t="s">
        <v>774</v>
      </c>
      <c r="C362" s="646" t="s">
        <v>18</v>
      </c>
      <c r="D362" s="413">
        <f>2*4*12</f>
        <v>96</v>
      </c>
      <c r="E362" s="412">
        <v>35.99</v>
      </c>
      <c r="F362" s="404">
        <v>37.93</v>
      </c>
      <c r="G362" s="403">
        <v>67.900000000000006</v>
      </c>
      <c r="H362" s="404">
        <f t="shared" si="37"/>
        <v>3455.04</v>
      </c>
    </row>
    <row r="363" spans="1:8" ht="28.8">
      <c r="A363" s="626" t="s">
        <v>295</v>
      </c>
      <c r="B363" s="627" t="s">
        <v>783</v>
      </c>
      <c r="C363" s="646" t="s">
        <v>18</v>
      </c>
      <c r="D363" s="413">
        <f>2*4*1</f>
        <v>8</v>
      </c>
      <c r="E363" s="412">
        <v>125</v>
      </c>
      <c r="F363" s="404">
        <v>144.41</v>
      </c>
      <c r="G363" s="403">
        <v>155.5</v>
      </c>
      <c r="H363" s="404">
        <f t="shared" si="37"/>
        <v>1000</v>
      </c>
    </row>
    <row r="364" spans="1:8" ht="28.8">
      <c r="A364" s="626" t="s">
        <v>296</v>
      </c>
      <c r="B364" s="627" t="s">
        <v>775</v>
      </c>
      <c r="C364" s="646" t="s">
        <v>18</v>
      </c>
      <c r="D364" s="413">
        <v>2</v>
      </c>
      <c r="E364" s="412">
        <v>930</v>
      </c>
      <c r="F364" s="404">
        <v>1000</v>
      </c>
      <c r="G364" s="403">
        <v>1980</v>
      </c>
      <c r="H364" s="404">
        <f t="shared" si="37"/>
        <v>1860</v>
      </c>
    </row>
    <row r="365" spans="1:8" ht="28.8">
      <c r="A365" s="626" t="s">
        <v>297</v>
      </c>
      <c r="B365" s="639" t="s">
        <v>776</v>
      </c>
      <c r="C365" s="635" t="s">
        <v>18</v>
      </c>
      <c r="D365" s="213">
        <f>1*4*1</f>
        <v>4</v>
      </c>
      <c r="E365" s="73">
        <v>37.9</v>
      </c>
      <c r="F365" s="69">
        <v>41.31</v>
      </c>
      <c r="G365" s="68">
        <v>45</v>
      </c>
      <c r="H365" s="69">
        <f t="shared" si="37"/>
        <v>151.6</v>
      </c>
    </row>
    <row r="366" spans="1:8" ht="28.8">
      <c r="A366" s="626" t="s">
        <v>298</v>
      </c>
      <c r="B366" s="639" t="s">
        <v>777</v>
      </c>
      <c r="C366" s="635" t="s">
        <v>18</v>
      </c>
      <c r="D366" s="213">
        <f>1*4*1</f>
        <v>4</v>
      </c>
      <c r="E366" s="73">
        <v>73.489999999999995</v>
      </c>
      <c r="F366" s="69">
        <v>96.7</v>
      </c>
      <c r="G366" s="68">
        <v>106.76</v>
      </c>
      <c r="H366" s="69">
        <f t="shared" si="37"/>
        <v>293.95999999999998</v>
      </c>
    </row>
    <row r="367" spans="1:8" ht="28.8">
      <c r="A367" s="626" t="s">
        <v>299</v>
      </c>
      <c r="B367" s="639" t="s">
        <v>640</v>
      </c>
      <c r="C367" s="635" t="s">
        <v>18</v>
      </c>
      <c r="D367" s="213">
        <f t="shared" ref="D367:D369" si="41">1*4</f>
        <v>4</v>
      </c>
      <c r="E367" s="68">
        <v>197.13</v>
      </c>
      <c r="F367" s="69">
        <v>389.9</v>
      </c>
      <c r="G367" s="68">
        <v>389.9</v>
      </c>
      <c r="H367" s="69">
        <f t="shared" si="37"/>
        <v>788.52</v>
      </c>
    </row>
    <row r="368" spans="1:8" ht="28.8">
      <c r="A368" s="163" t="s">
        <v>300</v>
      </c>
      <c r="B368" s="151" t="s">
        <v>639</v>
      </c>
      <c r="C368" s="67" t="s">
        <v>18</v>
      </c>
      <c r="D368" s="67">
        <f t="shared" si="41"/>
        <v>4</v>
      </c>
      <c r="E368" s="68">
        <v>54.06</v>
      </c>
      <c r="F368" s="69">
        <v>114.99</v>
      </c>
      <c r="G368" s="68">
        <v>125</v>
      </c>
      <c r="H368" s="69">
        <f t="shared" si="37"/>
        <v>216.24</v>
      </c>
    </row>
    <row r="369" spans="1:8" ht="28.8">
      <c r="A369" s="163" t="s">
        <v>301</v>
      </c>
      <c r="B369" s="151" t="s">
        <v>638</v>
      </c>
      <c r="C369" s="75" t="s">
        <v>18</v>
      </c>
      <c r="D369" s="67">
        <f t="shared" si="41"/>
        <v>4</v>
      </c>
      <c r="E369" s="68">
        <v>5842.47</v>
      </c>
      <c r="F369" s="69">
        <v>6594.73</v>
      </c>
      <c r="G369" s="68">
        <v>7022.18</v>
      </c>
      <c r="H369" s="69">
        <f t="shared" si="37"/>
        <v>23369.88</v>
      </c>
    </row>
    <row r="370" spans="1:8" ht="28.8">
      <c r="A370" s="163" t="s">
        <v>303</v>
      </c>
      <c r="B370" s="151" t="s">
        <v>637</v>
      </c>
      <c r="C370" s="75" t="s">
        <v>18</v>
      </c>
      <c r="D370" s="67">
        <v>4</v>
      </c>
      <c r="E370" s="68">
        <v>310</v>
      </c>
      <c r="F370" s="69">
        <v>345.99</v>
      </c>
      <c r="G370" s="68">
        <v>440</v>
      </c>
      <c r="H370" s="69">
        <f t="shared" si="37"/>
        <v>1240</v>
      </c>
    </row>
    <row r="371" spans="1:8" ht="28.8">
      <c r="A371" s="163" t="s">
        <v>304</v>
      </c>
      <c r="B371" s="151" t="s">
        <v>636</v>
      </c>
      <c r="C371" s="75" t="s">
        <v>18</v>
      </c>
      <c r="D371" s="67">
        <v>4</v>
      </c>
      <c r="E371" s="68">
        <v>69</v>
      </c>
      <c r="F371" s="69">
        <v>74.2</v>
      </c>
      <c r="G371" s="68">
        <v>75.14</v>
      </c>
      <c r="H371" s="69">
        <f t="shared" si="37"/>
        <v>276</v>
      </c>
    </row>
    <row r="372" spans="1:8" ht="28.8">
      <c r="A372" s="163" t="s">
        <v>305</v>
      </c>
      <c r="B372" s="151" t="s">
        <v>635</v>
      </c>
      <c r="C372" s="75" t="s">
        <v>18</v>
      </c>
      <c r="D372" s="67">
        <v>2</v>
      </c>
      <c r="E372" s="68">
        <v>14.8</v>
      </c>
      <c r="F372" s="69">
        <v>15.18</v>
      </c>
      <c r="G372" s="68">
        <v>16.899999999999999</v>
      </c>
      <c r="H372" s="69">
        <f t="shared" si="37"/>
        <v>29.6</v>
      </c>
    </row>
    <row r="373" spans="1:8" ht="28.8">
      <c r="A373" s="163" t="s">
        <v>306</v>
      </c>
      <c r="B373" s="161" t="s">
        <v>626</v>
      </c>
      <c r="C373" s="75" t="s">
        <v>18</v>
      </c>
      <c r="D373" s="67">
        <v>4</v>
      </c>
      <c r="E373" s="68">
        <v>29.6</v>
      </c>
      <c r="F373" s="74">
        <v>53.7</v>
      </c>
      <c r="G373" s="68">
        <v>61.28</v>
      </c>
      <c r="H373" s="69">
        <f t="shared" si="37"/>
        <v>118.4</v>
      </c>
    </row>
    <row r="374" spans="1:8" ht="28.8">
      <c r="A374" s="163" t="s">
        <v>307</v>
      </c>
      <c r="B374" s="151" t="s">
        <v>641</v>
      </c>
      <c r="C374" s="67" t="s">
        <v>68</v>
      </c>
      <c r="D374" s="67">
        <v>4600</v>
      </c>
      <c r="E374" s="68">
        <v>14</v>
      </c>
      <c r="F374" s="69">
        <v>14</v>
      </c>
      <c r="G374" s="68">
        <v>18.2</v>
      </c>
      <c r="H374" s="69">
        <f t="shared" si="37"/>
        <v>64400</v>
      </c>
    </row>
    <row r="375" spans="1:8" ht="28.8">
      <c r="A375" s="163" t="s">
        <v>308</v>
      </c>
      <c r="B375" s="151" t="s">
        <v>302</v>
      </c>
      <c r="C375" s="67" t="s">
        <v>18</v>
      </c>
      <c r="D375" s="67">
        <v>1200</v>
      </c>
      <c r="E375" s="68">
        <v>29.92</v>
      </c>
      <c r="F375" s="69">
        <v>44</v>
      </c>
      <c r="G375" s="68">
        <v>73.44</v>
      </c>
      <c r="H375" s="69">
        <f t="shared" si="37"/>
        <v>35904</v>
      </c>
    </row>
    <row r="376" spans="1:8">
      <c r="A376" s="163" t="s">
        <v>309</v>
      </c>
      <c r="B376" s="161" t="s">
        <v>642</v>
      </c>
      <c r="C376" s="67" t="s">
        <v>18</v>
      </c>
      <c r="D376" s="67">
        <v>20</v>
      </c>
      <c r="E376" s="68">
        <v>20</v>
      </c>
      <c r="F376" s="69">
        <v>27.46</v>
      </c>
      <c r="G376" s="68">
        <v>35</v>
      </c>
      <c r="H376" s="69">
        <f t="shared" si="37"/>
        <v>400</v>
      </c>
    </row>
    <row r="377" spans="1:8">
      <c r="A377" s="163" t="s">
        <v>426</v>
      </c>
      <c r="B377" s="161" t="s">
        <v>643</v>
      </c>
      <c r="C377" s="67" t="s">
        <v>103</v>
      </c>
      <c r="D377" s="67">
        <v>20</v>
      </c>
      <c r="E377" s="68">
        <v>36.200000000000003</v>
      </c>
      <c r="F377" s="69">
        <v>45.25</v>
      </c>
      <c r="G377" s="68">
        <v>52.49</v>
      </c>
      <c r="H377" s="69">
        <f t="shared" si="37"/>
        <v>724</v>
      </c>
    </row>
    <row r="378" spans="1:8" ht="28.8">
      <c r="A378" s="163" t="s">
        <v>427</v>
      </c>
      <c r="B378" s="161" t="s">
        <v>644</v>
      </c>
      <c r="C378" s="67" t="s">
        <v>18</v>
      </c>
      <c r="D378" s="67">
        <v>4</v>
      </c>
      <c r="E378" s="68">
        <v>120</v>
      </c>
      <c r="F378" s="69">
        <v>150</v>
      </c>
      <c r="G378" s="68">
        <v>156</v>
      </c>
      <c r="H378" s="69">
        <f t="shared" si="37"/>
        <v>480</v>
      </c>
    </row>
    <row r="379" spans="1:8" ht="28.8">
      <c r="A379" s="163" t="s">
        <v>428</v>
      </c>
      <c r="B379" s="161" t="s">
        <v>645</v>
      </c>
      <c r="C379" s="67" t="s">
        <v>18</v>
      </c>
      <c r="D379" s="213">
        <v>4</v>
      </c>
      <c r="E379" s="68">
        <v>15.18</v>
      </c>
      <c r="F379" s="69">
        <v>18.899999999999999</v>
      </c>
      <c r="G379" s="68">
        <v>19.73</v>
      </c>
      <c r="H379" s="69">
        <f t="shared" si="37"/>
        <v>60.72</v>
      </c>
    </row>
    <row r="380" spans="1:8" ht="28.8">
      <c r="A380" s="163" t="s">
        <v>429</v>
      </c>
      <c r="B380" s="151" t="s">
        <v>497</v>
      </c>
      <c r="C380" s="67" t="s">
        <v>68</v>
      </c>
      <c r="D380" s="67">
        <v>2</v>
      </c>
      <c r="E380" s="276">
        <v>34.9</v>
      </c>
      <c r="F380" s="207">
        <v>45.9</v>
      </c>
      <c r="G380" s="70">
        <v>48.62</v>
      </c>
      <c r="H380" s="69">
        <f t="shared" si="37"/>
        <v>69.8</v>
      </c>
    </row>
    <row r="381" spans="1:8" ht="28.8">
      <c r="A381" s="163" t="s">
        <v>834</v>
      </c>
      <c r="B381" s="151" t="s">
        <v>498</v>
      </c>
      <c r="C381" s="67" t="s">
        <v>18</v>
      </c>
      <c r="D381" s="67">
        <v>8</v>
      </c>
      <c r="E381" s="68">
        <v>14.18</v>
      </c>
      <c r="F381" s="69">
        <v>17.5</v>
      </c>
      <c r="G381" s="68">
        <v>55.9</v>
      </c>
      <c r="H381" s="69">
        <f t="shared" si="37"/>
        <v>113.44</v>
      </c>
    </row>
    <row r="382" spans="1:8" ht="28.8">
      <c r="A382" s="163" t="s">
        <v>835</v>
      </c>
      <c r="B382" s="151" t="s">
        <v>646</v>
      </c>
      <c r="C382" s="67" t="s">
        <v>18</v>
      </c>
      <c r="D382" s="67">
        <v>10</v>
      </c>
      <c r="E382" s="73">
        <v>15.5</v>
      </c>
      <c r="F382" s="232">
        <v>24.2</v>
      </c>
      <c r="G382" s="73">
        <v>29.9</v>
      </c>
      <c r="H382" s="69">
        <f t="shared" si="37"/>
        <v>155</v>
      </c>
    </row>
    <row r="383" spans="1:8" ht="28.8">
      <c r="A383" s="163" t="s">
        <v>836</v>
      </c>
      <c r="B383" s="433" t="s">
        <v>647</v>
      </c>
      <c r="C383" s="443" t="s">
        <v>68</v>
      </c>
      <c r="D383" s="443">
        <v>2</v>
      </c>
      <c r="E383" s="70">
        <v>7.2</v>
      </c>
      <c r="F383" s="74">
        <v>7.36</v>
      </c>
      <c r="G383" s="73">
        <v>17.8</v>
      </c>
      <c r="H383" s="404">
        <f t="shared" si="37"/>
        <v>14.4</v>
      </c>
    </row>
    <row r="384" spans="1:8" ht="28.8">
      <c r="A384" s="163" t="s">
        <v>837</v>
      </c>
      <c r="B384" s="401" t="s">
        <v>648</v>
      </c>
      <c r="C384" s="400" t="s">
        <v>103</v>
      </c>
      <c r="D384" s="479">
        <v>10</v>
      </c>
      <c r="E384" s="68">
        <v>14.75</v>
      </c>
      <c r="F384" s="69">
        <v>17.899999999999999</v>
      </c>
      <c r="G384" s="68">
        <v>21.99</v>
      </c>
      <c r="H384" s="404">
        <f t="shared" si="37"/>
        <v>147.5</v>
      </c>
    </row>
    <row r="385" spans="1:8" ht="28.8">
      <c r="A385" s="163" t="s">
        <v>838</v>
      </c>
      <c r="B385" s="401" t="s">
        <v>649</v>
      </c>
      <c r="C385" s="400" t="s">
        <v>68</v>
      </c>
      <c r="D385" s="479">
        <v>4</v>
      </c>
      <c r="E385" s="68">
        <v>5.82</v>
      </c>
      <c r="F385" s="69">
        <v>10.039999999999999</v>
      </c>
      <c r="G385" s="68">
        <v>12.68</v>
      </c>
      <c r="H385" s="404">
        <f t="shared" si="37"/>
        <v>23.28</v>
      </c>
    </row>
    <row r="386" spans="1:8" ht="28.8">
      <c r="A386" s="163" t="s">
        <v>839</v>
      </c>
      <c r="B386" s="401" t="s">
        <v>650</v>
      </c>
      <c r="C386" s="400" t="s">
        <v>68</v>
      </c>
      <c r="D386" s="479">
        <v>8</v>
      </c>
      <c r="E386" s="68">
        <v>42.67</v>
      </c>
      <c r="F386" s="68">
        <v>48.67</v>
      </c>
      <c r="G386" s="69">
        <v>68.63</v>
      </c>
      <c r="H386" s="404">
        <f t="shared" si="37"/>
        <v>341.36</v>
      </c>
    </row>
    <row r="387" spans="1:8">
      <c r="A387" s="611" t="s">
        <v>389</v>
      </c>
      <c r="B387" s="612"/>
      <c r="C387" s="612"/>
      <c r="D387" s="537"/>
      <c r="E387" s="510"/>
      <c r="F387" s="510"/>
      <c r="G387" s="510"/>
      <c r="H387" s="538">
        <f>SUM(H329:H386)</f>
        <v>490647.55559999991</v>
      </c>
    </row>
    <row r="388" spans="1:8">
      <c r="A388" s="568" t="s">
        <v>764</v>
      </c>
      <c r="B388" s="579"/>
      <c r="C388" s="295"/>
      <c r="D388" s="295"/>
      <c r="E388" s="297"/>
      <c r="F388" s="297"/>
      <c r="G388" s="297"/>
      <c r="H388" s="349">
        <f>H387+H327+H282+H180</f>
        <v>5299058.5296</v>
      </c>
    </row>
    <row r="389" spans="1:8" ht="28.8">
      <c r="A389" s="480">
        <v>5</v>
      </c>
      <c r="B389" s="396" t="s">
        <v>312</v>
      </c>
      <c r="C389" s="397" t="s">
        <v>7</v>
      </c>
      <c r="D389" s="397" t="s">
        <v>8</v>
      </c>
      <c r="E389" s="398" t="s">
        <v>410</v>
      </c>
      <c r="F389" s="398" t="s">
        <v>408</v>
      </c>
      <c r="G389" s="398" t="s">
        <v>409</v>
      </c>
      <c r="H389" s="453" t="s">
        <v>9</v>
      </c>
    </row>
    <row r="390" spans="1:8" ht="28.8">
      <c r="A390" s="481" t="s">
        <v>313</v>
      </c>
      <c r="B390" s="401" t="s">
        <v>437</v>
      </c>
      <c r="C390" s="402" t="s">
        <v>13</v>
      </c>
      <c r="D390" s="402">
        <v>17</v>
      </c>
      <c r="E390" s="251">
        <f>(2825.54*97%)+2825.54</f>
        <v>5566.3137999999999</v>
      </c>
      <c r="F390" s="249">
        <f>(2942.99*97%)+2942.99</f>
        <v>5797.6902999999993</v>
      </c>
      <c r="G390" s="68">
        <f>(1700*97%)+1700</f>
        <v>3349</v>
      </c>
      <c r="H390" s="404">
        <f>E390*D390*2</f>
        <v>189254.6692</v>
      </c>
    </row>
    <row r="391" spans="1:8" ht="28.8">
      <c r="A391" s="481" t="s">
        <v>315</v>
      </c>
      <c r="B391" s="401" t="s">
        <v>430</v>
      </c>
      <c r="C391" s="402" t="s">
        <v>13</v>
      </c>
      <c r="D391" s="402">
        <v>17</v>
      </c>
      <c r="E391" s="68">
        <f>(1412*97%)+1412</f>
        <v>2781.64</v>
      </c>
      <c r="F391" s="69">
        <f>(1454*97%)+1454</f>
        <v>2864.38</v>
      </c>
      <c r="G391" s="68">
        <f>(1700*97%)+1700</f>
        <v>3349</v>
      </c>
      <c r="H391" s="404">
        <f>E391*D391*8</f>
        <v>378303.04</v>
      </c>
    </row>
    <row r="392" spans="1:8" ht="43.2">
      <c r="A392" s="481" t="s">
        <v>317</v>
      </c>
      <c r="B392" s="401" t="s">
        <v>515</v>
      </c>
      <c r="C392" s="402" t="s">
        <v>15</v>
      </c>
      <c r="D392" s="402">
        <f t="shared" ref="D392:D393" si="42">20*10*17</f>
        <v>3400</v>
      </c>
      <c r="E392" s="68">
        <v>32</v>
      </c>
      <c r="F392" s="69">
        <v>32</v>
      </c>
      <c r="G392" s="68">
        <v>35</v>
      </c>
      <c r="H392" s="404">
        <f t="shared" ref="H392:H397" si="43">E392*D392</f>
        <v>108800</v>
      </c>
    </row>
    <row r="393" spans="1:8" ht="28.8">
      <c r="A393" s="481" t="s">
        <v>318</v>
      </c>
      <c r="B393" s="401" t="s">
        <v>574</v>
      </c>
      <c r="C393" s="402" t="s">
        <v>15</v>
      </c>
      <c r="D393" s="402">
        <f t="shared" si="42"/>
        <v>3400</v>
      </c>
      <c r="E393" s="68">
        <v>8</v>
      </c>
      <c r="F393" s="69">
        <v>8.6</v>
      </c>
      <c r="G393" s="68">
        <v>9</v>
      </c>
      <c r="H393" s="404">
        <f t="shared" si="43"/>
        <v>27200</v>
      </c>
    </row>
    <row r="394" spans="1:8" ht="72">
      <c r="A394" s="481" t="s">
        <v>319</v>
      </c>
      <c r="B394" s="401" t="s">
        <v>651</v>
      </c>
      <c r="C394" s="402" t="s">
        <v>18</v>
      </c>
      <c r="D394" s="402">
        <v>2</v>
      </c>
      <c r="E394" s="73">
        <v>1849.77</v>
      </c>
      <c r="F394" s="232">
        <v>2899</v>
      </c>
      <c r="G394" s="68">
        <v>3199</v>
      </c>
      <c r="H394" s="404">
        <f t="shared" si="43"/>
        <v>3699.54</v>
      </c>
    </row>
    <row r="395" spans="1:8" ht="43.2">
      <c r="A395" s="481" t="s">
        <v>320</v>
      </c>
      <c r="B395" s="401" t="s">
        <v>567</v>
      </c>
      <c r="C395" s="402" t="s">
        <v>18</v>
      </c>
      <c r="D395" s="402">
        <v>2</v>
      </c>
      <c r="E395" s="73">
        <v>169.9</v>
      </c>
      <c r="F395" s="232">
        <v>189</v>
      </c>
      <c r="G395" s="68">
        <v>197.59</v>
      </c>
      <c r="H395" s="448">
        <f t="shared" si="43"/>
        <v>339.8</v>
      </c>
    </row>
    <row r="396" spans="1:8" ht="43.2">
      <c r="A396" s="481" t="s">
        <v>321</v>
      </c>
      <c r="B396" s="401" t="s">
        <v>652</v>
      </c>
      <c r="C396" s="402" t="s">
        <v>18</v>
      </c>
      <c r="D396" s="402">
        <v>2</v>
      </c>
      <c r="E396" s="73">
        <v>1386</v>
      </c>
      <c r="F396" s="232">
        <v>1549</v>
      </c>
      <c r="G396" s="68">
        <v>1649.9</v>
      </c>
      <c r="H396" s="404">
        <f t="shared" si="43"/>
        <v>2772</v>
      </c>
    </row>
    <row r="397" spans="1:8" ht="28.8">
      <c r="A397" s="481" t="s">
        <v>322</v>
      </c>
      <c r="B397" s="401" t="s">
        <v>462</v>
      </c>
      <c r="C397" s="402" t="s">
        <v>13</v>
      </c>
      <c r="D397" s="402">
        <v>17</v>
      </c>
      <c r="E397" s="73">
        <v>124.99</v>
      </c>
      <c r="F397" s="232">
        <v>142</v>
      </c>
      <c r="G397" s="68">
        <v>159.99</v>
      </c>
      <c r="H397" s="404">
        <f t="shared" si="43"/>
        <v>2124.83</v>
      </c>
    </row>
    <row r="398" spans="1:8" ht="57.6">
      <c r="A398" s="481" t="s">
        <v>323</v>
      </c>
      <c r="B398" s="401" t="s">
        <v>653</v>
      </c>
      <c r="C398" s="402" t="s">
        <v>18</v>
      </c>
      <c r="D398" s="402">
        <v>8</v>
      </c>
      <c r="E398" s="68">
        <v>125.75</v>
      </c>
      <c r="F398" s="69">
        <v>150.72999999999999</v>
      </c>
      <c r="G398" s="68">
        <v>179.39</v>
      </c>
      <c r="H398" s="404">
        <f>E398+G398</f>
        <v>305.14</v>
      </c>
    </row>
    <row r="399" spans="1:8" ht="28.8">
      <c r="A399" s="481" t="s">
        <v>324</v>
      </c>
      <c r="B399" s="401" t="s">
        <v>708</v>
      </c>
      <c r="C399" s="402" t="s">
        <v>13</v>
      </c>
      <c r="D399" s="402">
        <v>17</v>
      </c>
      <c r="E399" s="73">
        <v>7950</v>
      </c>
      <c r="F399" s="73">
        <v>8763.6</v>
      </c>
      <c r="G399" s="232">
        <v>9350</v>
      </c>
      <c r="H399" s="404">
        <f>E399*D401*2</f>
        <v>31800</v>
      </c>
    </row>
    <row r="400" spans="1:8" ht="28.8">
      <c r="A400" s="481" t="s">
        <v>325</v>
      </c>
      <c r="B400" s="401" t="s">
        <v>707</v>
      </c>
      <c r="C400" s="402" t="s">
        <v>15</v>
      </c>
      <c r="D400" s="402">
        <v>2</v>
      </c>
      <c r="E400" s="73">
        <v>300</v>
      </c>
      <c r="F400" s="232">
        <v>600</v>
      </c>
      <c r="G400" s="73">
        <v>975</v>
      </c>
      <c r="H400" s="404">
        <f>E400*D400</f>
        <v>600</v>
      </c>
    </row>
    <row r="401" spans="1:8" ht="43.2">
      <c r="A401" s="481" t="s">
        <v>326</v>
      </c>
      <c r="B401" s="401" t="s">
        <v>579</v>
      </c>
      <c r="C401" s="402" t="s">
        <v>15</v>
      </c>
      <c r="D401" s="402">
        <v>2</v>
      </c>
      <c r="E401" s="73">
        <v>144.9</v>
      </c>
      <c r="F401" s="232">
        <v>0</v>
      </c>
      <c r="G401" s="73">
        <v>265</v>
      </c>
      <c r="H401" s="404">
        <f>E401*D401</f>
        <v>289.8</v>
      </c>
    </row>
    <row r="402" spans="1:8" ht="28.8">
      <c r="A402" s="481" t="s">
        <v>327</v>
      </c>
      <c r="B402" s="401" t="s">
        <v>654</v>
      </c>
      <c r="C402" s="402" t="s">
        <v>13</v>
      </c>
      <c r="D402" s="402">
        <v>17</v>
      </c>
      <c r="E402" s="73">
        <v>49.9</v>
      </c>
      <c r="F402" s="232">
        <v>60</v>
      </c>
      <c r="G402" s="73">
        <v>65.900000000000006</v>
      </c>
      <c r="H402" s="404">
        <f>E402*D402*2</f>
        <v>1696.6</v>
      </c>
    </row>
    <row r="403" spans="1:8" ht="43.2">
      <c r="A403" s="481" t="s">
        <v>328</v>
      </c>
      <c r="B403" s="401" t="s">
        <v>655</v>
      </c>
      <c r="C403" s="402" t="s">
        <v>108</v>
      </c>
      <c r="D403" s="402">
        <f>88*4*17*2</f>
        <v>11968</v>
      </c>
      <c r="E403" s="73">
        <v>6.47</v>
      </c>
      <c r="F403" s="232">
        <v>6.48</v>
      </c>
      <c r="G403" s="73">
        <v>6.49</v>
      </c>
      <c r="H403" s="404">
        <f t="shared" ref="H403:H466" si="44">E403*D403</f>
        <v>77432.959999999992</v>
      </c>
    </row>
    <row r="404" spans="1:8" ht="28.8">
      <c r="A404" s="481" t="s">
        <v>329</v>
      </c>
      <c r="B404" s="401" t="s">
        <v>634</v>
      </c>
      <c r="C404" s="402" t="s">
        <v>18</v>
      </c>
      <c r="D404" s="402">
        <v>4</v>
      </c>
      <c r="E404" s="73">
        <v>99.86</v>
      </c>
      <c r="F404" s="232">
        <v>109.49</v>
      </c>
      <c r="G404" s="73">
        <v>211.19</v>
      </c>
      <c r="H404" s="404">
        <f t="shared" si="44"/>
        <v>399.44</v>
      </c>
    </row>
    <row r="405" spans="1:8" ht="28.8">
      <c r="A405" s="481" t="s">
        <v>330</v>
      </c>
      <c r="B405" s="427" t="s">
        <v>469</v>
      </c>
      <c r="C405" s="402" t="s">
        <v>18</v>
      </c>
      <c r="D405" s="402">
        <f t="shared" ref="D405:D406" si="45">6*10*2</f>
        <v>120</v>
      </c>
      <c r="E405" s="73">
        <v>60</v>
      </c>
      <c r="F405" s="73">
        <v>65</v>
      </c>
      <c r="G405" s="232">
        <v>70</v>
      </c>
      <c r="H405" s="404">
        <f t="shared" si="44"/>
        <v>7200</v>
      </c>
    </row>
    <row r="406" spans="1:8" ht="57.6">
      <c r="A406" s="481" t="s">
        <v>331</v>
      </c>
      <c r="B406" s="427" t="s">
        <v>501</v>
      </c>
      <c r="C406" s="402" t="s">
        <v>18</v>
      </c>
      <c r="D406" s="495">
        <f t="shared" si="45"/>
        <v>120</v>
      </c>
      <c r="E406" s="73">
        <v>25</v>
      </c>
      <c r="F406" s="73">
        <v>40</v>
      </c>
      <c r="G406" s="232">
        <v>43</v>
      </c>
      <c r="H406" s="404">
        <f t="shared" si="44"/>
        <v>3000</v>
      </c>
    </row>
    <row r="407" spans="1:8" ht="43.2">
      <c r="A407" s="481" t="s">
        <v>332</v>
      </c>
      <c r="B407" s="401" t="s">
        <v>526</v>
      </c>
      <c r="C407" s="402" t="s">
        <v>18</v>
      </c>
      <c r="D407" s="402">
        <f>2*10*2</f>
        <v>40</v>
      </c>
      <c r="E407" s="73">
        <v>77.34</v>
      </c>
      <c r="F407" s="232">
        <v>103.8</v>
      </c>
      <c r="G407" s="73">
        <v>117.95</v>
      </c>
      <c r="H407" s="404">
        <f t="shared" si="44"/>
        <v>3093.6000000000004</v>
      </c>
    </row>
    <row r="408" spans="1:8" ht="28.8">
      <c r="A408" s="481" t="s">
        <v>333</v>
      </c>
      <c r="B408" s="401" t="s">
        <v>584</v>
      </c>
      <c r="C408" s="402" t="s">
        <v>18</v>
      </c>
      <c r="D408" s="402">
        <f>2*2*2</f>
        <v>8</v>
      </c>
      <c r="E408" s="73">
        <v>22.94</v>
      </c>
      <c r="F408" s="232">
        <v>23.46</v>
      </c>
      <c r="G408" s="73">
        <v>30</v>
      </c>
      <c r="H408" s="404">
        <f t="shared" si="44"/>
        <v>183.52</v>
      </c>
    </row>
    <row r="409" spans="1:8" ht="28.8">
      <c r="A409" s="481" t="s">
        <v>334</v>
      </c>
      <c r="B409" s="401" t="s">
        <v>527</v>
      </c>
      <c r="C409" s="402" t="s">
        <v>18</v>
      </c>
      <c r="D409" s="402">
        <f>2*8*2</f>
        <v>32</v>
      </c>
      <c r="E409" s="73">
        <v>21.8</v>
      </c>
      <c r="F409" s="232">
        <v>36</v>
      </c>
      <c r="G409" s="73">
        <v>46.9</v>
      </c>
      <c r="H409" s="404">
        <f t="shared" si="44"/>
        <v>697.6</v>
      </c>
    </row>
    <row r="410" spans="1:8" ht="28.8">
      <c r="A410" s="481" t="s">
        <v>335</v>
      </c>
      <c r="B410" s="431" t="s">
        <v>528</v>
      </c>
      <c r="C410" s="402" t="s">
        <v>18</v>
      </c>
      <c r="D410" s="402">
        <f>2*10*2</f>
        <v>40</v>
      </c>
      <c r="E410" s="73">
        <v>13.93</v>
      </c>
      <c r="F410" s="74">
        <v>15.71</v>
      </c>
      <c r="G410" s="68">
        <v>22.5</v>
      </c>
      <c r="H410" s="404">
        <f t="shared" si="44"/>
        <v>557.20000000000005</v>
      </c>
    </row>
    <row r="411" spans="1:8" ht="28.8">
      <c r="A411" s="481" t="s">
        <v>336</v>
      </c>
      <c r="B411" s="401" t="s">
        <v>656</v>
      </c>
      <c r="C411" s="402" t="s">
        <v>18</v>
      </c>
      <c r="D411" s="402">
        <f>3*17*10</f>
        <v>510</v>
      </c>
      <c r="E411" s="260">
        <v>12.4</v>
      </c>
      <c r="F411" s="261">
        <v>13.5</v>
      </c>
      <c r="G411" s="68">
        <v>20.260000000000002</v>
      </c>
      <c r="H411" s="404">
        <f t="shared" si="44"/>
        <v>6324</v>
      </c>
    </row>
    <row r="412" spans="1:8" ht="28.8">
      <c r="A412" s="481" t="s">
        <v>337</v>
      </c>
      <c r="B412" s="401" t="s">
        <v>502</v>
      </c>
      <c r="C412" s="402" t="s">
        <v>18</v>
      </c>
      <c r="D412" s="402">
        <f>2*10*17</f>
        <v>340</v>
      </c>
      <c r="E412" s="68">
        <v>2.7</v>
      </c>
      <c r="F412" s="261">
        <v>2.75</v>
      </c>
      <c r="G412" s="260">
        <v>2.94</v>
      </c>
      <c r="H412" s="404">
        <f t="shared" si="44"/>
        <v>918.00000000000011</v>
      </c>
    </row>
    <row r="413" spans="1:8" ht="43.2">
      <c r="A413" s="481" t="s">
        <v>338</v>
      </c>
      <c r="B413" s="401" t="s">
        <v>585</v>
      </c>
      <c r="C413" s="402" t="s">
        <v>18</v>
      </c>
      <c r="D413" s="495">
        <f>2*2*2</f>
        <v>8</v>
      </c>
      <c r="E413" s="260">
        <v>49.99</v>
      </c>
      <c r="F413" s="261">
        <v>59.99</v>
      </c>
      <c r="G413" s="260">
        <v>96.97</v>
      </c>
      <c r="H413" s="404">
        <f t="shared" si="44"/>
        <v>399.92</v>
      </c>
    </row>
    <row r="414" spans="1:8" ht="28.8">
      <c r="A414" s="481" t="s">
        <v>339</v>
      </c>
      <c r="B414" s="401" t="s">
        <v>619</v>
      </c>
      <c r="C414" s="402" t="s">
        <v>18</v>
      </c>
      <c r="D414" s="402">
        <f>3*2*4</f>
        <v>24</v>
      </c>
      <c r="E414" s="68">
        <v>160</v>
      </c>
      <c r="F414" s="261">
        <v>163</v>
      </c>
      <c r="G414" s="260">
        <v>193.63</v>
      </c>
      <c r="H414" s="404">
        <f t="shared" si="44"/>
        <v>3840</v>
      </c>
    </row>
    <row r="415" spans="1:8" ht="28.8">
      <c r="A415" s="481" t="s">
        <v>340</v>
      </c>
      <c r="B415" s="401" t="s">
        <v>474</v>
      </c>
      <c r="C415" s="402" t="s">
        <v>18</v>
      </c>
      <c r="D415" s="402">
        <f t="shared" ref="D415:D416" si="46">1*10*2</f>
        <v>20</v>
      </c>
      <c r="E415" s="70">
        <v>35</v>
      </c>
      <c r="F415" s="74">
        <v>41.4</v>
      </c>
      <c r="G415" s="68">
        <v>168.26</v>
      </c>
      <c r="H415" s="404">
        <f t="shared" si="44"/>
        <v>700</v>
      </c>
    </row>
    <row r="416" spans="1:8" ht="28.8">
      <c r="A416" s="481" t="s">
        <v>341</v>
      </c>
      <c r="B416" s="401" t="s">
        <v>475</v>
      </c>
      <c r="C416" s="402" t="s">
        <v>18</v>
      </c>
      <c r="D416" s="402">
        <f t="shared" si="46"/>
        <v>20</v>
      </c>
      <c r="E416" s="260">
        <v>41.4</v>
      </c>
      <c r="F416" s="69">
        <v>42.23</v>
      </c>
      <c r="G416" s="70">
        <v>50</v>
      </c>
      <c r="H416" s="404">
        <f t="shared" si="44"/>
        <v>828</v>
      </c>
    </row>
    <row r="417" spans="1:8" ht="28.8">
      <c r="A417" s="481" t="s">
        <v>342</v>
      </c>
      <c r="B417" s="401" t="s">
        <v>504</v>
      </c>
      <c r="C417" s="402" t="s">
        <v>18</v>
      </c>
      <c r="D417" s="402">
        <f t="shared" ref="D417:D418" si="47">2*4</f>
        <v>8</v>
      </c>
      <c r="E417" s="260">
        <v>27.94</v>
      </c>
      <c r="F417" s="69">
        <v>35.5</v>
      </c>
      <c r="G417" s="260">
        <v>39.6</v>
      </c>
      <c r="H417" s="404">
        <f t="shared" si="44"/>
        <v>223.52</v>
      </c>
    </row>
    <row r="418" spans="1:8" ht="28.8">
      <c r="A418" s="481" t="s">
        <v>343</v>
      </c>
      <c r="B418" s="401" t="s">
        <v>505</v>
      </c>
      <c r="C418" s="402" t="s">
        <v>18</v>
      </c>
      <c r="D418" s="402">
        <f t="shared" si="47"/>
        <v>8</v>
      </c>
      <c r="E418" s="260">
        <v>28.55</v>
      </c>
      <c r="F418" s="69">
        <v>28.8</v>
      </c>
      <c r="G418" s="260">
        <v>103.4</v>
      </c>
      <c r="H418" s="404">
        <f t="shared" si="44"/>
        <v>228.4</v>
      </c>
    </row>
    <row r="419" spans="1:8">
      <c r="A419" s="481" t="s">
        <v>344</v>
      </c>
      <c r="B419" s="454" t="s">
        <v>587</v>
      </c>
      <c r="C419" s="402" t="s">
        <v>18</v>
      </c>
      <c r="D419" s="495">
        <f>2*10*12</f>
        <v>240</v>
      </c>
      <c r="E419" s="70">
        <v>1.3</v>
      </c>
      <c r="F419" s="69">
        <v>1.48</v>
      </c>
      <c r="G419" s="68">
        <v>1.75</v>
      </c>
      <c r="H419" s="404">
        <f t="shared" si="44"/>
        <v>312</v>
      </c>
    </row>
    <row r="420" spans="1:8" ht="43.2">
      <c r="A420" s="481" t="s">
        <v>345</v>
      </c>
      <c r="B420" s="401" t="s">
        <v>657</v>
      </c>
      <c r="C420" s="402" t="s">
        <v>18</v>
      </c>
      <c r="D420" s="495">
        <f t="shared" ref="D420:D421" si="48">4*4</f>
        <v>16</v>
      </c>
      <c r="E420" s="261">
        <v>286</v>
      </c>
      <c r="F420" s="69">
        <v>484</v>
      </c>
      <c r="G420" s="68">
        <v>572</v>
      </c>
      <c r="H420" s="404">
        <f t="shared" si="44"/>
        <v>4576</v>
      </c>
    </row>
    <row r="421" spans="1:8" ht="43.2">
      <c r="A421" s="481" t="s">
        <v>346</v>
      </c>
      <c r="B421" s="401" t="s">
        <v>658</v>
      </c>
      <c r="C421" s="402" t="s">
        <v>18</v>
      </c>
      <c r="D421" s="495">
        <f t="shared" si="48"/>
        <v>16</v>
      </c>
      <c r="E421" s="68">
        <v>38.700000000000003</v>
      </c>
      <c r="F421" s="69">
        <v>65.64</v>
      </c>
      <c r="G421" s="260">
        <v>156.94999999999999</v>
      </c>
      <c r="H421" s="404">
        <f t="shared" si="44"/>
        <v>619.20000000000005</v>
      </c>
    </row>
    <row r="422" spans="1:8" ht="28.8">
      <c r="A422" s="481" t="s">
        <v>347</v>
      </c>
      <c r="B422" s="401" t="s">
        <v>507</v>
      </c>
      <c r="C422" s="402" t="s">
        <v>18</v>
      </c>
      <c r="D422" s="402">
        <f t="shared" ref="D422:D423" si="49">2*4</f>
        <v>8</v>
      </c>
      <c r="E422" s="70">
        <v>133.01</v>
      </c>
      <c r="F422" s="69">
        <v>157.19999999999999</v>
      </c>
      <c r="G422" s="70">
        <v>175.33</v>
      </c>
      <c r="H422" s="404">
        <f t="shared" si="44"/>
        <v>1064.08</v>
      </c>
    </row>
    <row r="423" spans="1:8" ht="28.8">
      <c r="A423" s="481" t="s">
        <v>348</v>
      </c>
      <c r="B423" s="401" t="s">
        <v>508</v>
      </c>
      <c r="C423" s="402" t="s">
        <v>18</v>
      </c>
      <c r="D423" s="402">
        <f t="shared" si="49"/>
        <v>8</v>
      </c>
      <c r="E423" s="68">
        <v>2.77</v>
      </c>
      <c r="F423" s="74">
        <v>3.75</v>
      </c>
      <c r="G423" s="260">
        <v>3.96</v>
      </c>
      <c r="H423" s="404">
        <f t="shared" si="44"/>
        <v>22.16</v>
      </c>
    </row>
    <row r="424" spans="1:8" ht="28.8">
      <c r="A424" s="481" t="s">
        <v>349</v>
      </c>
      <c r="B424" s="401" t="s">
        <v>659</v>
      </c>
      <c r="C424" s="402" t="s">
        <v>18</v>
      </c>
      <c r="D424" s="402">
        <v>2</v>
      </c>
      <c r="E424" s="260">
        <v>26.5</v>
      </c>
      <c r="F424" s="260">
        <v>61.9</v>
      </c>
      <c r="G424" s="69">
        <v>83.6</v>
      </c>
      <c r="H424" s="404">
        <f t="shared" si="44"/>
        <v>53</v>
      </c>
    </row>
    <row r="425" spans="1:8" ht="28.8">
      <c r="A425" s="481" t="s">
        <v>350</v>
      </c>
      <c r="B425" s="401" t="s">
        <v>494</v>
      </c>
      <c r="C425" s="402" t="s">
        <v>18</v>
      </c>
      <c r="D425" s="402">
        <v>4</v>
      </c>
      <c r="E425" s="70">
        <v>27.9</v>
      </c>
      <c r="F425" s="261">
        <v>30</v>
      </c>
      <c r="G425" s="70">
        <v>32.229999999999997</v>
      </c>
      <c r="H425" s="404">
        <f t="shared" si="44"/>
        <v>111.6</v>
      </c>
    </row>
    <row r="426" spans="1:8" ht="28.8">
      <c r="A426" s="481" t="s">
        <v>351</v>
      </c>
      <c r="B426" s="401" t="s">
        <v>495</v>
      </c>
      <c r="C426" s="402" t="s">
        <v>18</v>
      </c>
      <c r="D426" s="402">
        <f>2*2</f>
        <v>4</v>
      </c>
      <c r="E426" s="68">
        <v>157.44</v>
      </c>
      <c r="F426" s="69">
        <v>184.26</v>
      </c>
      <c r="G426" s="68">
        <v>208.95</v>
      </c>
      <c r="H426" s="404">
        <f t="shared" si="44"/>
        <v>629.76</v>
      </c>
    </row>
    <row r="427" spans="1:8" ht="28.8">
      <c r="A427" s="481" t="s">
        <v>352</v>
      </c>
      <c r="B427" s="401" t="s">
        <v>496</v>
      </c>
      <c r="C427" s="402" t="s">
        <v>18</v>
      </c>
      <c r="D427" s="402">
        <f>4*2</f>
        <v>8</v>
      </c>
      <c r="E427" s="68">
        <v>33.729999999999997</v>
      </c>
      <c r="F427" s="69">
        <v>43.66</v>
      </c>
      <c r="G427" s="68">
        <v>72</v>
      </c>
      <c r="H427" s="404">
        <f t="shared" si="44"/>
        <v>269.83999999999997</v>
      </c>
    </row>
    <row r="428" spans="1:8" ht="28.8">
      <c r="A428" s="626" t="s">
        <v>353</v>
      </c>
      <c r="B428" s="627" t="s">
        <v>772</v>
      </c>
      <c r="C428" s="646" t="s">
        <v>18</v>
      </c>
      <c r="D428" s="646">
        <f>10*2</f>
        <v>20</v>
      </c>
      <c r="E428" s="650">
        <v>286</v>
      </c>
      <c r="F428" s="404">
        <v>338</v>
      </c>
      <c r="G428" s="403">
        <v>377</v>
      </c>
      <c r="H428" s="404">
        <f t="shared" si="44"/>
        <v>5720</v>
      </c>
    </row>
    <row r="429" spans="1:8" ht="28.8">
      <c r="A429" s="626" t="s">
        <v>354</v>
      </c>
      <c r="B429" s="627" t="s">
        <v>773</v>
      </c>
      <c r="C429" s="646" t="s">
        <v>18</v>
      </c>
      <c r="D429" s="646">
        <f>4*2</f>
        <v>8</v>
      </c>
      <c r="E429" s="650">
        <v>98</v>
      </c>
      <c r="F429" s="404">
        <v>270</v>
      </c>
      <c r="G429" s="403">
        <v>279</v>
      </c>
      <c r="H429" s="404">
        <f t="shared" si="44"/>
        <v>784</v>
      </c>
    </row>
    <row r="430" spans="1:8" ht="28.8">
      <c r="A430" s="626" t="s">
        <v>355</v>
      </c>
      <c r="B430" s="627" t="s">
        <v>774</v>
      </c>
      <c r="C430" s="646" t="s">
        <v>18</v>
      </c>
      <c r="D430" s="646">
        <f>2*10*17</f>
        <v>340</v>
      </c>
      <c r="E430" s="650">
        <v>35.99</v>
      </c>
      <c r="F430" s="404">
        <v>37.93</v>
      </c>
      <c r="G430" s="403">
        <v>67.900000000000006</v>
      </c>
      <c r="H430" s="404">
        <f t="shared" si="44"/>
        <v>12236.6</v>
      </c>
    </row>
    <row r="431" spans="1:8" ht="28.8">
      <c r="A431" s="626" t="s">
        <v>356</v>
      </c>
      <c r="B431" s="627" t="s">
        <v>786</v>
      </c>
      <c r="C431" s="646" t="s">
        <v>18</v>
      </c>
      <c r="D431" s="646">
        <v>2</v>
      </c>
      <c r="E431" s="650">
        <v>817.89</v>
      </c>
      <c r="F431" s="404">
        <v>897.86</v>
      </c>
      <c r="G431" s="403">
        <v>1089.9000000000001</v>
      </c>
      <c r="H431" s="404">
        <f t="shared" si="44"/>
        <v>1635.78</v>
      </c>
    </row>
    <row r="432" spans="1:8" ht="28.8">
      <c r="A432" s="626" t="s">
        <v>357</v>
      </c>
      <c r="B432" s="627" t="s">
        <v>787</v>
      </c>
      <c r="C432" s="646" t="s">
        <v>18</v>
      </c>
      <c r="D432" s="646">
        <v>2</v>
      </c>
      <c r="E432" s="650">
        <v>479.52</v>
      </c>
      <c r="F432" s="404">
        <v>559.9</v>
      </c>
      <c r="G432" s="403">
        <v>616</v>
      </c>
      <c r="H432" s="404">
        <f t="shared" si="44"/>
        <v>959.04</v>
      </c>
    </row>
    <row r="433" spans="1:8" ht="28.8">
      <c r="A433" s="626" t="s">
        <v>358</v>
      </c>
      <c r="B433" s="627" t="s">
        <v>783</v>
      </c>
      <c r="C433" s="646" t="s">
        <v>18</v>
      </c>
      <c r="D433" s="646">
        <f>2*10*1</f>
        <v>20</v>
      </c>
      <c r="E433" s="650">
        <v>125</v>
      </c>
      <c r="F433" s="404">
        <v>144.41</v>
      </c>
      <c r="G433" s="403">
        <v>155.5</v>
      </c>
      <c r="H433" s="404">
        <f t="shared" si="44"/>
        <v>2500</v>
      </c>
    </row>
    <row r="434" spans="1:8" ht="28.8">
      <c r="A434" s="626" t="s">
        <v>359</v>
      </c>
      <c r="B434" s="627" t="s">
        <v>775</v>
      </c>
      <c r="C434" s="646" t="s">
        <v>18</v>
      </c>
      <c r="D434" s="646">
        <v>2</v>
      </c>
      <c r="E434" s="650">
        <v>930</v>
      </c>
      <c r="F434" s="404">
        <v>1000</v>
      </c>
      <c r="G434" s="403">
        <v>1980</v>
      </c>
      <c r="H434" s="404">
        <f t="shared" si="44"/>
        <v>1860</v>
      </c>
    </row>
    <row r="435" spans="1:8" ht="28.8">
      <c r="A435" s="626" t="s">
        <v>360</v>
      </c>
      <c r="B435" s="627" t="s">
        <v>776</v>
      </c>
      <c r="C435" s="646" t="s">
        <v>18</v>
      </c>
      <c r="D435" s="646">
        <f>1*10*1</f>
        <v>10</v>
      </c>
      <c r="E435" s="650">
        <v>37.9</v>
      </c>
      <c r="F435" s="404">
        <v>41.31</v>
      </c>
      <c r="G435" s="403">
        <v>45</v>
      </c>
      <c r="H435" s="404">
        <f t="shared" si="44"/>
        <v>379</v>
      </c>
    </row>
    <row r="436" spans="1:8" ht="28.8">
      <c r="A436" s="626" t="s">
        <v>361</v>
      </c>
      <c r="B436" s="627" t="s">
        <v>777</v>
      </c>
      <c r="C436" s="646" t="s">
        <v>18</v>
      </c>
      <c r="D436" s="646">
        <f>1*10*1</f>
        <v>10</v>
      </c>
      <c r="E436" s="650">
        <v>73.489999999999995</v>
      </c>
      <c r="F436" s="404">
        <v>96.7</v>
      </c>
      <c r="G436" s="403">
        <v>106.76</v>
      </c>
      <c r="H436" s="404">
        <f t="shared" si="44"/>
        <v>734.9</v>
      </c>
    </row>
    <row r="437" spans="1:8" ht="28.8">
      <c r="A437" s="626" t="s">
        <v>362</v>
      </c>
      <c r="B437" s="627" t="s">
        <v>784</v>
      </c>
      <c r="C437" s="646" t="s">
        <v>18</v>
      </c>
      <c r="D437" s="646">
        <v>2</v>
      </c>
      <c r="E437" s="650">
        <v>139.9</v>
      </c>
      <c r="F437" s="404">
        <v>155</v>
      </c>
      <c r="G437" s="403">
        <v>169.92</v>
      </c>
      <c r="H437" s="404">
        <f t="shared" si="44"/>
        <v>279.8</v>
      </c>
    </row>
    <row r="438" spans="1:8" ht="28.8">
      <c r="A438" s="626" t="s">
        <v>363</v>
      </c>
      <c r="B438" s="627" t="s">
        <v>788</v>
      </c>
      <c r="C438" s="651" t="s">
        <v>18</v>
      </c>
      <c r="D438" s="646">
        <v>4</v>
      </c>
      <c r="E438" s="650">
        <v>743.68</v>
      </c>
      <c r="F438" s="404">
        <v>895</v>
      </c>
      <c r="G438" s="403">
        <v>2099.9</v>
      </c>
      <c r="H438" s="404">
        <f t="shared" si="44"/>
        <v>2974.72</v>
      </c>
    </row>
    <row r="439" spans="1:8" ht="28.8">
      <c r="A439" s="168" t="s">
        <v>364</v>
      </c>
      <c r="B439" s="401" t="s">
        <v>107</v>
      </c>
      <c r="C439" s="402" t="s">
        <v>18</v>
      </c>
      <c r="D439" s="402">
        <v>4</v>
      </c>
      <c r="E439" s="68">
        <v>3200.55</v>
      </c>
      <c r="F439" s="69">
        <v>3309</v>
      </c>
      <c r="G439" s="68">
        <v>3369</v>
      </c>
      <c r="H439" s="404">
        <f t="shared" si="44"/>
        <v>12802.2</v>
      </c>
    </row>
    <row r="440" spans="1:8" ht="43.2">
      <c r="A440" s="168" t="s">
        <v>365</v>
      </c>
      <c r="B440" s="401" t="s">
        <v>660</v>
      </c>
      <c r="C440" s="402" t="s">
        <v>108</v>
      </c>
      <c r="D440" s="402">
        <f>10*4*20*4</f>
        <v>3200</v>
      </c>
      <c r="E440" s="70">
        <v>6.08</v>
      </c>
      <c r="F440" s="74">
        <v>6.09</v>
      </c>
      <c r="G440" s="70">
        <v>6.35</v>
      </c>
      <c r="H440" s="404">
        <f t="shared" si="44"/>
        <v>19456</v>
      </c>
    </row>
    <row r="441" spans="1:8" ht="28.8">
      <c r="A441" s="168" t="s">
        <v>366</v>
      </c>
      <c r="B441" s="401" t="s">
        <v>510</v>
      </c>
      <c r="C441" s="402" t="s">
        <v>108</v>
      </c>
      <c r="D441" s="402">
        <f>20*4</f>
        <v>80</v>
      </c>
      <c r="E441" s="68">
        <v>43.98</v>
      </c>
      <c r="F441" s="69">
        <v>47.42</v>
      </c>
      <c r="G441" s="68">
        <v>47.9</v>
      </c>
      <c r="H441" s="404">
        <f t="shared" si="44"/>
        <v>3518.3999999999996</v>
      </c>
    </row>
    <row r="442" spans="1:8" ht="28.8">
      <c r="A442" s="168" t="s">
        <v>367</v>
      </c>
      <c r="B442" s="401" t="s">
        <v>511</v>
      </c>
      <c r="C442" s="402" t="s">
        <v>109</v>
      </c>
      <c r="D442" s="402">
        <f>10*4</f>
        <v>40</v>
      </c>
      <c r="E442" s="68">
        <v>26.24</v>
      </c>
      <c r="F442" s="69">
        <v>28.33</v>
      </c>
      <c r="G442" s="68">
        <v>31.98</v>
      </c>
      <c r="H442" s="404">
        <f t="shared" si="44"/>
        <v>1049.5999999999999</v>
      </c>
    </row>
    <row r="443" spans="1:8" ht="28.8">
      <c r="A443" s="168" t="s">
        <v>368</v>
      </c>
      <c r="B443" s="401" t="s">
        <v>537</v>
      </c>
      <c r="C443" s="402" t="s">
        <v>68</v>
      </c>
      <c r="D443" s="402">
        <v>30</v>
      </c>
      <c r="E443" s="68">
        <v>94.2</v>
      </c>
      <c r="F443" s="69">
        <v>108.6</v>
      </c>
      <c r="G443" s="68">
        <v>114.93</v>
      </c>
      <c r="H443" s="404">
        <f t="shared" si="44"/>
        <v>2826</v>
      </c>
    </row>
    <row r="444" spans="1:8" ht="28.8">
      <c r="A444" s="168" t="s">
        <v>369</v>
      </c>
      <c r="B444" s="401" t="s">
        <v>512</v>
      </c>
      <c r="C444" s="402" t="s">
        <v>18</v>
      </c>
      <c r="D444" s="402">
        <f>4*4</f>
        <v>16</v>
      </c>
      <c r="E444" s="232">
        <v>37.47</v>
      </c>
      <c r="F444" s="73">
        <v>43.66</v>
      </c>
      <c r="G444" s="73">
        <v>48</v>
      </c>
      <c r="H444" s="404">
        <f t="shared" si="44"/>
        <v>599.52</v>
      </c>
    </row>
    <row r="445" spans="1:8" ht="28.8">
      <c r="A445" s="168" t="s">
        <v>370</v>
      </c>
      <c r="B445" s="401" t="s">
        <v>588</v>
      </c>
      <c r="C445" s="402" t="s">
        <v>18</v>
      </c>
      <c r="D445" s="495">
        <f>3*4*17</f>
        <v>204</v>
      </c>
      <c r="E445" s="256">
        <v>23.1</v>
      </c>
      <c r="F445" s="69">
        <v>25.52</v>
      </c>
      <c r="G445" s="68">
        <v>29.6</v>
      </c>
      <c r="H445" s="404">
        <f t="shared" si="44"/>
        <v>4712.4000000000005</v>
      </c>
    </row>
    <row r="446" spans="1:8" ht="28.8">
      <c r="A446" s="168" t="s">
        <v>371</v>
      </c>
      <c r="B446" s="401" t="s">
        <v>589</v>
      </c>
      <c r="C446" s="402" t="s">
        <v>18</v>
      </c>
      <c r="D446" s="402">
        <v>32</v>
      </c>
      <c r="E446" s="256">
        <v>54.78</v>
      </c>
      <c r="F446" s="69">
        <f>35.03+39.8</f>
        <v>74.83</v>
      </c>
      <c r="G446" s="260">
        <v>82.7</v>
      </c>
      <c r="H446" s="404">
        <f t="shared" si="44"/>
        <v>1752.96</v>
      </c>
    </row>
    <row r="447" spans="1:8" ht="28.8">
      <c r="A447" s="168" t="s">
        <v>372</v>
      </c>
      <c r="B447" s="401" t="s">
        <v>590</v>
      </c>
      <c r="C447" s="402" t="s">
        <v>18</v>
      </c>
      <c r="D447" s="402">
        <v>32</v>
      </c>
      <c r="E447" s="68">
        <v>32.369999999999997</v>
      </c>
      <c r="F447" s="69">
        <v>33.74</v>
      </c>
      <c r="G447" s="68">
        <v>33.74</v>
      </c>
      <c r="H447" s="404">
        <f t="shared" si="44"/>
        <v>1035.8399999999999</v>
      </c>
    </row>
    <row r="448" spans="1:8" ht="28.8">
      <c r="A448" s="168" t="s">
        <v>373</v>
      </c>
      <c r="B448" s="401" t="s">
        <v>622</v>
      </c>
      <c r="C448" s="402" t="s">
        <v>68</v>
      </c>
      <c r="D448" s="402">
        <v>30</v>
      </c>
      <c r="E448" s="73">
        <v>204</v>
      </c>
      <c r="F448" s="232">
        <v>255</v>
      </c>
      <c r="G448" s="73">
        <v>280</v>
      </c>
      <c r="H448" s="404">
        <f t="shared" si="44"/>
        <v>6120</v>
      </c>
    </row>
    <row r="449" spans="1:8" ht="43.2">
      <c r="A449" s="168" t="s">
        <v>374</v>
      </c>
      <c r="B449" s="401" t="s">
        <v>545</v>
      </c>
      <c r="C449" s="402" t="s">
        <v>18</v>
      </c>
      <c r="D449" s="402">
        <f>2*10</f>
        <v>20</v>
      </c>
      <c r="E449" s="68">
        <v>49</v>
      </c>
      <c r="F449" s="69">
        <v>64</v>
      </c>
      <c r="G449" s="68">
        <v>80</v>
      </c>
      <c r="H449" s="404">
        <f t="shared" si="44"/>
        <v>980</v>
      </c>
    </row>
    <row r="450" spans="1:8" ht="28.8">
      <c r="A450" s="168" t="s">
        <v>375</v>
      </c>
      <c r="B450" s="432" t="s">
        <v>546</v>
      </c>
      <c r="C450" s="402" t="s">
        <v>18</v>
      </c>
      <c r="D450" s="402">
        <f>1*10</f>
        <v>10</v>
      </c>
      <c r="E450" s="68">
        <v>49.6</v>
      </c>
      <c r="F450" s="69">
        <v>62</v>
      </c>
      <c r="G450" s="68">
        <v>95.25</v>
      </c>
      <c r="H450" s="404">
        <f t="shared" si="44"/>
        <v>496</v>
      </c>
    </row>
    <row r="451" spans="1:8" ht="43.2">
      <c r="A451" s="168" t="s">
        <v>376</v>
      </c>
      <c r="B451" s="432" t="s">
        <v>591</v>
      </c>
      <c r="C451" s="402" t="s">
        <v>18</v>
      </c>
      <c r="D451" s="495">
        <f>3*10</f>
        <v>30</v>
      </c>
      <c r="E451" s="68">
        <v>103.2</v>
      </c>
      <c r="F451" s="74">
        <v>129</v>
      </c>
      <c r="G451" s="68">
        <v>167.81</v>
      </c>
      <c r="H451" s="404">
        <f t="shared" si="44"/>
        <v>3096</v>
      </c>
    </row>
    <row r="452" spans="1:8" ht="28.8">
      <c r="A452" s="168" t="s">
        <v>377</v>
      </c>
      <c r="B452" s="432" t="s">
        <v>661</v>
      </c>
      <c r="C452" s="402" t="s">
        <v>18</v>
      </c>
      <c r="D452" s="402">
        <f t="shared" ref="D452:D454" si="50">1*4</f>
        <v>4</v>
      </c>
      <c r="E452" s="68">
        <v>37.6</v>
      </c>
      <c r="F452" s="69">
        <v>54</v>
      </c>
      <c r="G452" s="68">
        <v>59.6</v>
      </c>
      <c r="H452" s="404">
        <f t="shared" si="44"/>
        <v>150.4</v>
      </c>
    </row>
    <row r="453" spans="1:8" ht="28.8">
      <c r="A453" s="168" t="s">
        <v>378</v>
      </c>
      <c r="B453" s="432" t="s">
        <v>662</v>
      </c>
      <c r="C453" s="402" t="s">
        <v>18</v>
      </c>
      <c r="D453" s="402">
        <f t="shared" si="50"/>
        <v>4</v>
      </c>
      <c r="E453" s="68">
        <v>29.6</v>
      </c>
      <c r="F453" s="74">
        <v>53.7</v>
      </c>
      <c r="G453" s="68">
        <v>61.28</v>
      </c>
      <c r="H453" s="404">
        <f t="shared" si="44"/>
        <v>118.4</v>
      </c>
    </row>
    <row r="454" spans="1:8" ht="28.8">
      <c r="A454" s="168" t="s">
        <v>379</v>
      </c>
      <c r="B454" s="432" t="s">
        <v>663</v>
      </c>
      <c r="C454" s="402" t="s">
        <v>18</v>
      </c>
      <c r="D454" s="402">
        <f t="shared" si="50"/>
        <v>4</v>
      </c>
      <c r="E454" s="68">
        <v>36</v>
      </c>
      <c r="F454" s="69">
        <v>50.6</v>
      </c>
      <c r="G454" s="103">
        <v>54.6</v>
      </c>
      <c r="H454" s="404">
        <f t="shared" si="44"/>
        <v>144</v>
      </c>
    </row>
    <row r="455" spans="1:8" ht="28.8">
      <c r="A455" s="168" t="s">
        <v>380</v>
      </c>
      <c r="B455" s="432" t="s">
        <v>664</v>
      </c>
      <c r="C455" s="402" t="s">
        <v>18</v>
      </c>
      <c r="D455" s="402">
        <f>2*1</f>
        <v>2</v>
      </c>
      <c r="E455" s="68">
        <v>45.39</v>
      </c>
      <c r="F455" s="232">
        <v>49.8</v>
      </c>
      <c r="G455" s="73">
        <v>84.64</v>
      </c>
      <c r="H455" s="404">
        <f t="shared" si="44"/>
        <v>90.78</v>
      </c>
    </row>
    <row r="456" spans="1:8" ht="28.8">
      <c r="A456" s="168" t="s">
        <v>381</v>
      </c>
      <c r="B456" s="432" t="s">
        <v>552</v>
      </c>
      <c r="C456" s="402" t="s">
        <v>18</v>
      </c>
      <c r="D456" s="402">
        <f>1*10</f>
        <v>10</v>
      </c>
      <c r="E456" s="68">
        <v>140.54</v>
      </c>
      <c r="F456" s="232">
        <v>186.8</v>
      </c>
      <c r="G456" s="73">
        <v>341.8</v>
      </c>
      <c r="H456" s="404">
        <f t="shared" si="44"/>
        <v>1405.3999999999999</v>
      </c>
    </row>
    <row r="457" spans="1:8" ht="28.8">
      <c r="A457" s="168" t="s">
        <v>812</v>
      </c>
      <c r="B457" s="432" t="s">
        <v>665</v>
      </c>
      <c r="C457" s="402" t="s">
        <v>18</v>
      </c>
      <c r="D457" s="495">
        <f>2*4*2</f>
        <v>16</v>
      </c>
      <c r="E457" s="256">
        <v>5.38</v>
      </c>
      <c r="F457" s="232">
        <v>5.65</v>
      </c>
      <c r="G457" s="73">
        <v>12.6</v>
      </c>
      <c r="H457" s="404">
        <f t="shared" si="44"/>
        <v>86.08</v>
      </c>
    </row>
    <row r="458" spans="1:8" ht="28.8">
      <c r="A458" s="168" t="s">
        <v>813</v>
      </c>
      <c r="B458" s="432" t="s">
        <v>554</v>
      </c>
      <c r="C458" s="429" t="s">
        <v>18</v>
      </c>
      <c r="D458" s="495">
        <f t="shared" ref="D458:D459" si="51">1*10*2</f>
        <v>20</v>
      </c>
      <c r="E458" s="68">
        <v>120</v>
      </c>
      <c r="F458" s="232">
        <v>150</v>
      </c>
      <c r="G458" s="73">
        <v>156</v>
      </c>
      <c r="H458" s="404">
        <f t="shared" si="44"/>
        <v>2400</v>
      </c>
    </row>
    <row r="459" spans="1:8" ht="28.8">
      <c r="A459" s="168" t="s">
        <v>814</v>
      </c>
      <c r="B459" s="450" t="s">
        <v>555</v>
      </c>
      <c r="C459" s="429" t="s">
        <v>18</v>
      </c>
      <c r="D459" s="495">
        <f t="shared" si="51"/>
        <v>20</v>
      </c>
      <c r="E459" s="68">
        <v>118</v>
      </c>
      <c r="F459" s="232">
        <v>147.5</v>
      </c>
      <c r="G459" s="73">
        <v>171.1</v>
      </c>
      <c r="H459" s="404">
        <f t="shared" si="44"/>
        <v>2360</v>
      </c>
    </row>
    <row r="460" spans="1:8" ht="28.8">
      <c r="A460" s="168" t="s">
        <v>815</v>
      </c>
      <c r="B460" s="451" t="s">
        <v>597</v>
      </c>
      <c r="C460" s="429" t="s">
        <v>18</v>
      </c>
      <c r="D460" s="402">
        <v>2</v>
      </c>
      <c r="E460" s="68">
        <v>300</v>
      </c>
      <c r="F460" s="69">
        <v>375</v>
      </c>
      <c r="G460" s="68">
        <v>435</v>
      </c>
      <c r="H460" s="404">
        <f t="shared" si="44"/>
        <v>600</v>
      </c>
    </row>
    <row r="461" spans="1:8" ht="28.8">
      <c r="A461" s="168" t="s">
        <v>816</v>
      </c>
      <c r="B461" s="432" t="s">
        <v>557</v>
      </c>
      <c r="C461" s="429" t="s">
        <v>18</v>
      </c>
      <c r="D461" s="402">
        <v>3</v>
      </c>
      <c r="E461" s="68">
        <v>1000</v>
      </c>
      <c r="F461" s="69">
        <v>1250</v>
      </c>
      <c r="G461" s="68">
        <v>1300</v>
      </c>
      <c r="H461" s="404">
        <f t="shared" si="44"/>
        <v>3000</v>
      </c>
    </row>
    <row r="462" spans="1:8" ht="28.8">
      <c r="A462" s="168" t="s">
        <v>817</v>
      </c>
      <c r="B462" s="432" t="s">
        <v>598</v>
      </c>
      <c r="C462" s="429" t="s">
        <v>18</v>
      </c>
      <c r="D462" s="402">
        <v>2</v>
      </c>
      <c r="E462" s="68">
        <v>116</v>
      </c>
      <c r="F462" s="69">
        <v>145</v>
      </c>
      <c r="G462" s="68">
        <v>150</v>
      </c>
      <c r="H462" s="404">
        <f t="shared" si="44"/>
        <v>232</v>
      </c>
    </row>
    <row r="463" spans="1:8" ht="28.8">
      <c r="A463" s="168" t="s">
        <v>818</v>
      </c>
      <c r="B463" s="432" t="s">
        <v>599</v>
      </c>
      <c r="C463" s="429" t="s">
        <v>18</v>
      </c>
      <c r="D463" s="402">
        <v>2</v>
      </c>
      <c r="E463" s="68">
        <v>300</v>
      </c>
      <c r="F463" s="69">
        <v>375</v>
      </c>
      <c r="G463" s="68">
        <v>390</v>
      </c>
      <c r="H463" s="404">
        <f t="shared" si="44"/>
        <v>600</v>
      </c>
    </row>
    <row r="464" spans="1:8" ht="28.8">
      <c r="A464" s="168" t="s">
        <v>819</v>
      </c>
      <c r="B464" s="432" t="s">
        <v>600</v>
      </c>
      <c r="C464" s="429" t="s">
        <v>18</v>
      </c>
      <c r="D464" s="402">
        <v>2</v>
      </c>
      <c r="E464" s="68">
        <v>519.79999999999995</v>
      </c>
      <c r="F464" s="69">
        <v>519</v>
      </c>
      <c r="G464" s="68">
        <v>675</v>
      </c>
      <c r="H464" s="404">
        <f t="shared" si="44"/>
        <v>1039.5999999999999</v>
      </c>
    </row>
    <row r="465" spans="1:8" ht="28.8">
      <c r="A465" s="168" t="s">
        <v>820</v>
      </c>
      <c r="B465" s="432" t="s">
        <v>666</v>
      </c>
      <c r="C465" s="429" t="s">
        <v>18</v>
      </c>
      <c r="D465" s="402">
        <v>8</v>
      </c>
      <c r="E465" s="68">
        <v>29.46</v>
      </c>
      <c r="F465" s="69">
        <v>36.83</v>
      </c>
      <c r="G465" s="68">
        <v>38.299999999999997</v>
      </c>
      <c r="H465" s="404">
        <f t="shared" si="44"/>
        <v>235.68</v>
      </c>
    </row>
    <row r="466" spans="1:8" ht="28.8">
      <c r="A466" s="168" t="s">
        <v>821</v>
      </c>
      <c r="B466" s="401" t="s">
        <v>514</v>
      </c>
      <c r="C466" s="402" t="s">
        <v>15</v>
      </c>
      <c r="D466" s="402">
        <v>8</v>
      </c>
      <c r="E466" s="68">
        <v>15.18</v>
      </c>
      <c r="F466" s="69">
        <v>18.899999999999999</v>
      </c>
      <c r="G466" s="68">
        <v>19.73</v>
      </c>
      <c r="H466" s="404">
        <f t="shared" si="44"/>
        <v>121.44</v>
      </c>
    </row>
    <row r="467" spans="1:8" ht="43.2">
      <c r="A467" s="168" t="s">
        <v>822</v>
      </c>
      <c r="B467" s="401" t="s">
        <v>582</v>
      </c>
      <c r="C467" s="402" t="s">
        <v>15</v>
      </c>
      <c r="D467" s="402">
        <v>2</v>
      </c>
      <c r="E467" s="256">
        <v>800</v>
      </c>
      <c r="F467" s="69"/>
      <c r="G467" s="68"/>
      <c r="H467" s="404">
        <f t="shared" ref="H467" si="52">E467*D467</f>
        <v>1600</v>
      </c>
    </row>
    <row r="468" spans="1:8">
      <c r="A468" s="589" t="s">
        <v>255</v>
      </c>
      <c r="B468" s="613"/>
      <c r="C468" s="508"/>
      <c r="D468" s="508"/>
      <c r="E468" s="510"/>
      <c r="F468" s="510"/>
      <c r="G468" s="510"/>
      <c r="H468" s="496">
        <f>SUM(H390:H467)</f>
        <v>963561.75919999985</v>
      </c>
    </row>
    <row r="469" spans="1:8">
      <c r="A469" s="358" t="s">
        <v>739</v>
      </c>
      <c r="B469" s="359"/>
      <c r="C469" s="359"/>
      <c r="D469" s="359"/>
      <c r="E469" s="376"/>
      <c r="F469" s="376"/>
      <c r="G469" s="376"/>
      <c r="H469" s="503">
        <f>H468</f>
        <v>963561.75919999985</v>
      </c>
    </row>
    <row r="470" spans="1:8">
      <c r="A470" s="482"/>
      <c r="B470" s="483"/>
      <c r="C470" s="392"/>
      <c r="D470" s="392"/>
      <c r="E470" s="455"/>
      <c r="F470" s="421"/>
      <c r="G470" s="421"/>
      <c r="H470" s="421"/>
    </row>
    <row r="471" spans="1:8" ht="28.8">
      <c r="A471" s="480">
        <v>6</v>
      </c>
      <c r="B471" s="396" t="s">
        <v>383</v>
      </c>
      <c r="C471" s="397" t="s">
        <v>7</v>
      </c>
      <c r="D471" s="397" t="s">
        <v>8</v>
      </c>
      <c r="E471" s="398" t="s">
        <v>410</v>
      </c>
      <c r="F471" s="398" t="s">
        <v>408</v>
      </c>
      <c r="G471" s="398" t="s">
        <v>409</v>
      </c>
      <c r="H471" s="399" t="s">
        <v>9</v>
      </c>
    </row>
    <row r="472" spans="1:8" ht="28.8">
      <c r="A472" s="484" t="s">
        <v>431</v>
      </c>
      <c r="B472" s="401" t="s">
        <v>436</v>
      </c>
      <c r="C472" s="457" t="s">
        <v>13</v>
      </c>
      <c r="D472" s="458">
        <v>36</v>
      </c>
      <c r="E472" s="68">
        <f>(3643*97%)+3643</f>
        <v>7176.71</v>
      </c>
      <c r="F472" s="69">
        <f>(5000*97%)+5000</f>
        <v>9850</v>
      </c>
      <c r="G472" s="68">
        <f>(5801*97%)+5801</f>
        <v>11427.970000000001</v>
      </c>
      <c r="H472" s="441">
        <f>E472*D472*2</f>
        <v>516723.12</v>
      </c>
    </row>
    <row r="473" spans="1:8" ht="72">
      <c r="A473" s="484" t="s">
        <v>432</v>
      </c>
      <c r="B473" s="401" t="s">
        <v>402</v>
      </c>
      <c r="C473" s="402" t="s">
        <v>15</v>
      </c>
      <c r="D473" s="402">
        <v>3</v>
      </c>
      <c r="E473" s="233">
        <v>10000</v>
      </c>
      <c r="F473" s="233">
        <v>10750</v>
      </c>
      <c r="G473" s="214">
        <v>11500</v>
      </c>
      <c r="H473" s="441">
        <f t="shared" ref="H473:H476" si="53">E473*D473</f>
        <v>30000</v>
      </c>
    </row>
    <row r="474" spans="1:8" ht="43.2">
      <c r="A474" s="484" t="s">
        <v>433</v>
      </c>
      <c r="B474" s="401" t="s">
        <v>403</v>
      </c>
      <c r="C474" s="402" t="s">
        <v>15</v>
      </c>
      <c r="D474" s="402">
        <v>3</v>
      </c>
      <c r="E474" s="233">
        <v>3500</v>
      </c>
      <c r="F474" s="233">
        <v>4000</v>
      </c>
      <c r="G474" s="214">
        <v>4200</v>
      </c>
      <c r="H474" s="441">
        <f t="shared" si="53"/>
        <v>10500</v>
      </c>
    </row>
    <row r="475" spans="1:8" ht="43.2">
      <c r="A475" s="484" t="s">
        <v>434</v>
      </c>
      <c r="B475" s="401" t="s">
        <v>406</v>
      </c>
      <c r="C475" s="402" t="s">
        <v>18</v>
      </c>
      <c r="D475" s="402">
        <v>30</v>
      </c>
      <c r="E475" s="69">
        <v>2810</v>
      </c>
      <c r="F475" s="69">
        <v>2810</v>
      </c>
      <c r="G475" s="68">
        <v>2920</v>
      </c>
      <c r="H475" s="441">
        <f t="shared" si="53"/>
        <v>84300</v>
      </c>
    </row>
    <row r="476" spans="1:8" ht="28.8">
      <c r="A476" s="484" t="s">
        <v>435</v>
      </c>
      <c r="B476" s="401" t="s">
        <v>404</v>
      </c>
      <c r="C476" s="402" t="s">
        <v>15</v>
      </c>
      <c r="D476" s="402">
        <v>1</v>
      </c>
      <c r="E476" s="69">
        <v>7000</v>
      </c>
      <c r="F476" s="69">
        <v>8300</v>
      </c>
      <c r="G476" s="68">
        <v>9500</v>
      </c>
      <c r="H476" s="441">
        <f t="shared" si="53"/>
        <v>7000</v>
      </c>
    </row>
    <row r="477" spans="1:8">
      <c r="A477" s="595" t="s">
        <v>766</v>
      </c>
      <c r="B477" s="596"/>
      <c r="C477" s="539"/>
      <c r="D477" s="539"/>
      <c r="E477" s="540"/>
      <c r="F477" s="540"/>
      <c r="G477" s="540"/>
      <c r="H477" s="503">
        <f>SUM(H472:H476)</f>
        <v>648523.12</v>
      </c>
    </row>
    <row r="478" spans="1:8">
      <c r="A478" s="609" t="s">
        <v>391</v>
      </c>
      <c r="B478" s="604"/>
      <c r="C478" s="459"/>
      <c r="D478" s="459"/>
      <c r="E478" s="460"/>
      <c r="F478" s="460"/>
      <c r="G478" s="460"/>
      <c r="H478" s="460"/>
    </row>
    <row r="479" spans="1:8" ht="43.2" hidden="1">
      <c r="A479" s="395" t="s">
        <v>5</v>
      </c>
      <c r="B479" s="396" t="s">
        <v>823</v>
      </c>
      <c r="C479" s="397" t="s">
        <v>7</v>
      </c>
      <c r="D479" s="397" t="s">
        <v>8</v>
      </c>
      <c r="E479" s="398" t="s">
        <v>410</v>
      </c>
      <c r="F479" s="398" t="s">
        <v>408</v>
      </c>
      <c r="G479" s="398" t="s">
        <v>409</v>
      </c>
      <c r="H479" s="399" t="s">
        <v>9</v>
      </c>
    </row>
    <row r="480" spans="1:8" ht="72" hidden="1">
      <c r="A480" s="461">
        <v>2</v>
      </c>
      <c r="B480" s="396" t="s">
        <v>824</v>
      </c>
      <c r="C480" s="397" t="s">
        <v>7</v>
      </c>
      <c r="D480" s="397" t="s">
        <v>8</v>
      </c>
      <c r="E480" s="398" t="s">
        <v>410</v>
      </c>
      <c r="F480" s="398" t="s">
        <v>408</v>
      </c>
      <c r="G480" s="398" t="s">
        <v>409</v>
      </c>
      <c r="H480" s="399" t="s">
        <v>9</v>
      </c>
    </row>
    <row r="481" spans="1:8">
      <c r="A481" s="383"/>
      <c r="B481" s="383"/>
      <c r="C481" s="468"/>
      <c r="D481" s="385"/>
      <c r="E481" s="386"/>
      <c r="F481" s="386"/>
      <c r="G481" s="386"/>
      <c r="H481" s="386"/>
    </row>
    <row r="482" spans="1:8">
      <c r="A482" s="383"/>
      <c r="B482" s="614" t="s">
        <v>741</v>
      </c>
      <c r="C482" s="603"/>
      <c r="D482" s="603"/>
      <c r="E482" s="603"/>
      <c r="F482" s="603"/>
      <c r="G482" s="604"/>
      <c r="H482" s="462">
        <f>H477+H469+H388+H99+H89</f>
        <v>9179688.2488000002</v>
      </c>
    </row>
    <row r="483" spans="1:8">
      <c r="A483" s="383"/>
      <c r="B483" s="602" t="s">
        <v>742</v>
      </c>
      <c r="C483" s="603"/>
      <c r="D483" s="603"/>
      <c r="E483" s="603"/>
      <c r="F483" s="603"/>
      <c r="G483" s="604"/>
      <c r="H483" s="463">
        <f>H482/100</f>
        <v>91796.882488000003</v>
      </c>
    </row>
    <row r="484" spans="1:8">
      <c r="A484" s="383"/>
      <c r="B484" s="383"/>
      <c r="C484" s="468"/>
      <c r="D484" s="385"/>
      <c r="E484" s="383"/>
      <c r="F484" s="286" t="s">
        <v>848</v>
      </c>
      <c r="G484" s="287">
        <v>0.3</v>
      </c>
      <c r="H484" s="386">
        <f>H483*G484</f>
        <v>27539.064746399999</v>
      </c>
    </row>
    <row r="485" spans="1:8">
      <c r="A485" s="383"/>
      <c r="B485" s="383"/>
      <c r="C485" s="468"/>
      <c r="D485" s="385"/>
      <c r="E485" s="383"/>
      <c r="F485" s="386"/>
      <c r="G485" s="657" t="s">
        <v>850</v>
      </c>
      <c r="H485" s="465">
        <f>H483+H484</f>
        <v>119335.9472344</v>
      </c>
    </row>
    <row r="486" spans="1:8">
      <c r="A486" s="383"/>
      <c r="B486" s="383"/>
      <c r="C486" s="468"/>
      <c r="D486" s="385"/>
      <c r="E486" s="383"/>
      <c r="F486" s="383"/>
      <c r="G486" s="383"/>
      <c r="H486" s="383"/>
    </row>
    <row r="487" spans="1:8">
      <c r="A487" s="383"/>
      <c r="B487" s="383"/>
      <c r="C487" s="468"/>
      <c r="D487" s="385"/>
      <c r="E487" s="383"/>
      <c r="F487" s="383"/>
      <c r="G487" s="383"/>
      <c r="H487" s="383"/>
    </row>
    <row r="488" spans="1:8">
      <c r="A488" s="383"/>
      <c r="B488" s="383"/>
      <c r="C488" s="468"/>
      <c r="D488" s="385"/>
      <c r="E488" s="383"/>
      <c r="F488" s="383"/>
      <c r="G488" s="383"/>
      <c r="H488" s="383"/>
    </row>
    <row r="489" spans="1:8">
      <c r="A489" s="383"/>
      <c r="B489" s="383"/>
      <c r="C489" s="468"/>
      <c r="D489" s="385"/>
      <c r="E489" s="383"/>
      <c r="F489" s="383"/>
      <c r="G489" s="383"/>
      <c r="H489" s="383"/>
    </row>
    <row r="490" spans="1:8">
      <c r="A490" s="383"/>
      <c r="B490" s="383"/>
      <c r="C490" s="468"/>
      <c r="D490" s="385"/>
      <c r="E490" s="383"/>
      <c r="F490" s="383"/>
      <c r="G490" s="383"/>
      <c r="H490" s="383"/>
    </row>
    <row r="491" spans="1:8">
      <c r="A491" s="383"/>
      <c r="B491" s="383"/>
      <c r="C491" s="468"/>
      <c r="D491" s="385"/>
      <c r="E491" s="383"/>
      <c r="F491" s="383"/>
      <c r="G491" s="383"/>
      <c r="H491" s="383"/>
    </row>
    <row r="492" spans="1:8">
      <c r="A492" s="383"/>
      <c r="B492" s="383"/>
      <c r="C492" s="468"/>
      <c r="D492" s="385"/>
      <c r="E492" s="383"/>
      <c r="F492" s="383"/>
      <c r="G492" s="383"/>
      <c r="H492" s="383"/>
    </row>
    <row r="493" spans="1:8">
      <c r="A493" s="383"/>
      <c r="B493" s="383"/>
      <c r="C493" s="468"/>
      <c r="D493" s="385"/>
      <c r="E493" s="383"/>
      <c r="F493" s="383"/>
      <c r="G493" s="383"/>
      <c r="H493" s="383"/>
    </row>
    <row r="494" spans="1:8">
      <c r="A494" s="383"/>
      <c r="B494" s="383"/>
      <c r="C494" s="468"/>
      <c r="D494" s="385"/>
      <c r="E494" s="383"/>
      <c r="F494" s="383"/>
      <c r="G494" s="383"/>
      <c r="H494" s="383"/>
    </row>
    <row r="495" spans="1:8">
      <c r="A495" s="383"/>
      <c r="B495" s="383"/>
      <c r="C495" s="468"/>
      <c r="D495" s="385"/>
      <c r="E495" s="383"/>
      <c r="F495" s="383"/>
      <c r="G495" s="383"/>
      <c r="H495" s="383"/>
    </row>
    <row r="496" spans="1:8">
      <c r="A496" s="383"/>
      <c r="B496" s="383"/>
      <c r="C496" s="468"/>
      <c r="D496" s="385"/>
      <c r="E496" s="383"/>
      <c r="F496" s="383"/>
      <c r="G496" s="383"/>
      <c r="H496" s="383"/>
    </row>
    <row r="497" spans="1:8">
      <c r="A497" s="383"/>
      <c r="B497" s="383"/>
      <c r="C497" s="468"/>
      <c r="D497" s="385"/>
      <c r="E497" s="383"/>
      <c r="F497" s="383"/>
      <c r="G497" s="383"/>
      <c r="H497" s="383"/>
    </row>
    <row r="498" spans="1:8">
      <c r="A498" s="383"/>
      <c r="B498" s="383"/>
      <c r="C498" s="468"/>
      <c r="D498" s="385"/>
      <c r="E498" s="383"/>
      <c r="F498" s="383"/>
      <c r="G498" s="383"/>
      <c r="H498" s="383"/>
    </row>
    <row r="499" spans="1:8">
      <c r="A499" s="383"/>
      <c r="B499" s="383"/>
      <c r="C499" s="468"/>
      <c r="D499" s="385"/>
      <c r="E499" s="383"/>
      <c r="F499" s="383"/>
      <c r="G499" s="383"/>
      <c r="H499" s="383"/>
    </row>
    <row r="500" spans="1:8">
      <c r="A500" s="383"/>
      <c r="B500" s="383"/>
      <c r="C500" s="468"/>
      <c r="D500" s="385"/>
      <c r="E500" s="383"/>
      <c r="F500" s="383"/>
      <c r="G500" s="383"/>
      <c r="H500" s="383"/>
    </row>
    <row r="501" spans="1:8">
      <c r="A501" s="383"/>
      <c r="B501" s="383"/>
      <c r="C501" s="468"/>
      <c r="D501" s="385"/>
      <c r="E501" s="383"/>
      <c r="F501" s="383"/>
      <c r="G501" s="383"/>
      <c r="H501" s="383"/>
    </row>
    <row r="502" spans="1:8">
      <c r="A502" s="383"/>
      <c r="B502" s="383"/>
      <c r="C502" s="468"/>
      <c r="D502" s="385"/>
      <c r="E502" s="383"/>
      <c r="F502" s="383"/>
      <c r="G502" s="383"/>
      <c r="H502" s="383"/>
    </row>
    <row r="503" spans="1:8">
      <c r="A503" s="383"/>
      <c r="B503" s="383"/>
      <c r="C503" s="468"/>
      <c r="D503" s="385"/>
      <c r="E503" s="383"/>
      <c r="F503" s="383"/>
      <c r="G503" s="383"/>
      <c r="H503" s="383"/>
    </row>
    <row r="504" spans="1:8">
      <c r="A504" s="383"/>
      <c r="B504" s="383"/>
      <c r="C504" s="468"/>
      <c r="D504" s="385"/>
      <c r="E504" s="383"/>
      <c r="F504" s="383"/>
      <c r="G504" s="383"/>
      <c r="H504" s="383"/>
    </row>
    <row r="505" spans="1:8">
      <c r="A505" s="383"/>
      <c r="B505" s="383"/>
      <c r="C505" s="468"/>
      <c r="D505" s="385"/>
      <c r="E505" s="383"/>
      <c r="F505" s="383"/>
      <c r="G505" s="383"/>
      <c r="H505" s="383"/>
    </row>
    <row r="506" spans="1:8">
      <c r="A506" s="383"/>
      <c r="B506" s="383"/>
      <c r="C506" s="468"/>
      <c r="D506" s="385"/>
      <c r="E506" s="383"/>
      <c r="F506" s="383"/>
      <c r="G506" s="383"/>
      <c r="H506" s="383"/>
    </row>
    <row r="507" spans="1:8">
      <c r="A507" s="383"/>
      <c r="B507" s="383"/>
      <c r="C507" s="468"/>
      <c r="D507" s="385"/>
      <c r="E507" s="383"/>
      <c r="F507" s="383"/>
      <c r="G507" s="383"/>
      <c r="H507" s="383"/>
    </row>
    <row r="508" spans="1:8">
      <c r="A508" s="383"/>
      <c r="B508" s="383"/>
      <c r="C508" s="383"/>
      <c r="D508" s="383"/>
      <c r="E508" s="383"/>
      <c r="F508" s="383"/>
      <c r="G508" s="383"/>
      <c r="H508" s="383"/>
    </row>
    <row r="509" spans="1:8">
      <c r="A509" s="383"/>
      <c r="B509" s="383"/>
      <c r="C509" s="383"/>
      <c r="D509" s="383"/>
      <c r="E509" s="383"/>
      <c r="F509" s="383"/>
      <c r="G509" s="383"/>
      <c r="H509" s="383"/>
    </row>
    <row r="510" spans="1:8">
      <c r="A510" s="383"/>
      <c r="B510" s="383"/>
      <c r="C510" s="383"/>
      <c r="D510" s="383"/>
      <c r="E510" s="383"/>
      <c r="F510" s="383"/>
      <c r="G510" s="383"/>
      <c r="H510" s="383"/>
    </row>
    <row r="511" spans="1:8">
      <c r="A511" s="383"/>
      <c r="B511" s="383"/>
      <c r="C511" s="383"/>
      <c r="D511" s="383"/>
      <c r="E511" s="383"/>
      <c r="F511" s="383"/>
      <c r="G511" s="383"/>
      <c r="H511" s="383"/>
    </row>
    <row r="512" spans="1:8">
      <c r="A512" s="383"/>
      <c r="B512" s="383"/>
      <c r="C512" s="383"/>
      <c r="D512" s="383"/>
      <c r="E512" s="383"/>
      <c r="F512" s="383"/>
      <c r="G512" s="383"/>
      <c r="H512" s="383"/>
    </row>
    <row r="513" spans="1:8">
      <c r="A513" s="383"/>
      <c r="B513" s="383"/>
      <c r="C513" s="383"/>
      <c r="D513" s="383"/>
      <c r="E513" s="383"/>
      <c r="F513" s="383"/>
      <c r="G513" s="383"/>
      <c r="H513" s="383"/>
    </row>
    <row r="514" spans="1:8">
      <c r="A514" s="383"/>
      <c r="B514" s="383"/>
      <c r="C514" s="383"/>
      <c r="D514" s="383"/>
      <c r="E514" s="383"/>
      <c r="F514" s="383"/>
      <c r="G514" s="383"/>
      <c r="H514" s="383"/>
    </row>
    <row r="515" spans="1:8">
      <c r="A515" s="383"/>
      <c r="B515" s="383"/>
      <c r="C515" s="383"/>
      <c r="D515" s="383"/>
      <c r="E515" s="383"/>
      <c r="F515" s="383"/>
      <c r="G515" s="383"/>
      <c r="H515" s="383"/>
    </row>
    <row r="516" spans="1:8">
      <c r="A516" s="383"/>
      <c r="B516" s="383"/>
      <c r="C516" s="383"/>
      <c r="D516" s="383"/>
      <c r="E516" s="383"/>
      <c r="F516" s="383"/>
      <c r="G516" s="383"/>
      <c r="H516" s="383"/>
    </row>
    <row r="517" spans="1:8">
      <c r="A517" s="383"/>
      <c r="B517" s="383"/>
      <c r="C517" s="383"/>
      <c r="D517" s="383"/>
      <c r="E517" s="383"/>
      <c r="F517" s="383"/>
      <c r="G517" s="383"/>
      <c r="H517" s="383"/>
    </row>
    <row r="518" spans="1:8">
      <c r="A518" s="383"/>
      <c r="B518" s="383"/>
      <c r="C518" s="383"/>
      <c r="D518" s="383"/>
      <c r="E518" s="383"/>
      <c r="F518" s="383"/>
      <c r="G518" s="383"/>
      <c r="H518" s="383"/>
    </row>
    <row r="519" spans="1:8">
      <c r="A519" s="383"/>
      <c r="B519" s="383"/>
      <c r="C519" s="383"/>
      <c r="D519" s="383"/>
      <c r="E519" s="383"/>
      <c r="F519" s="383"/>
      <c r="G519" s="383"/>
      <c r="H519" s="383"/>
    </row>
    <row r="520" spans="1:8">
      <c r="A520" s="383"/>
      <c r="B520" s="383"/>
      <c r="C520" s="383"/>
      <c r="D520" s="383"/>
      <c r="E520" s="383"/>
      <c r="F520" s="383"/>
      <c r="G520" s="383"/>
      <c r="H520" s="383"/>
    </row>
    <row r="521" spans="1:8">
      <c r="A521" s="383"/>
      <c r="B521" s="383"/>
      <c r="C521" s="383"/>
      <c r="D521" s="383"/>
      <c r="E521" s="383"/>
      <c r="F521" s="383"/>
      <c r="G521" s="383"/>
      <c r="H521" s="383"/>
    </row>
    <row r="522" spans="1:8">
      <c r="A522" s="383"/>
      <c r="B522" s="383"/>
      <c r="C522" s="383"/>
      <c r="D522" s="383"/>
      <c r="E522" s="383"/>
      <c r="F522" s="383"/>
      <c r="G522" s="383"/>
      <c r="H522" s="383"/>
    </row>
    <row r="523" spans="1:8">
      <c r="A523" s="383"/>
      <c r="B523" s="383"/>
      <c r="C523" s="383"/>
      <c r="D523" s="383"/>
      <c r="E523" s="383"/>
      <c r="F523" s="383"/>
      <c r="G523" s="383"/>
      <c r="H523" s="383"/>
    </row>
    <row r="524" spans="1:8">
      <c r="A524" s="383"/>
      <c r="B524" s="383"/>
      <c r="C524" s="383"/>
      <c r="D524" s="383"/>
      <c r="E524" s="383"/>
      <c r="F524" s="383"/>
      <c r="G524" s="383"/>
      <c r="H524" s="383"/>
    </row>
    <row r="525" spans="1:8">
      <c r="A525" s="383"/>
      <c r="B525" s="383"/>
      <c r="C525" s="383"/>
      <c r="D525" s="383"/>
      <c r="E525" s="383"/>
      <c r="F525" s="383"/>
      <c r="G525" s="383"/>
      <c r="H525" s="383"/>
    </row>
    <row r="526" spans="1:8">
      <c r="A526" s="383"/>
      <c r="B526" s="383"/>
      <c r="C526" s="383"/>
      <c r="D526" s="383"/>
      <c r="E526" s="383"/>
      <c r="F526" s="383"/>
      <c r="G526" s="383"/>
      <c r="H526" s="383"/>
    </row>
    <row r="527" spans="1:8">
      <c r="A527" s="383"/>
      <c r="B527" s="383"/>
      <c r="C527" s="383"/>
      <c r="D527" s="383"/>
      <c r="E527" s="383"/>
      <c r="F527" s="383"/>
      <c r="G527" s="383"/>
      <c r="H527" s="383"/>
    </row>
    <row r="528" spans="1:8">
      <c r="A528" s="383"/>
      <c r="B528" s="383"/>
      <c r="C528" s="383"/>
      <c r="D528" s="383"/>
      <c r="E528" s="383"/>
      <c r="F528" s="383"/>
      <c r="G528" s="383"/>
      <c r="H528" s="383"/>
    </row>
    <row r="529" spans="1:8">
      <c r="A529" s="383"/>
      <c r="B529" s="383"/>
      <c r="C529" s="383"/>
      <c r="D529" s="383"/>
      <c r="E529" s="383"/>
      <c r="F529" s="383"/>
      <c r="G529" s="383"/>
      <c r="H529" s="383"/>
    </row>
    <row r="530" spans="1:8">
      <c r="A530" s="383"/>
      <c r="B530" s="383"/>
      <c r="C530" s="383"/>
      <c r="D530" s="383"/>
      <c r="E530" s="383"/>
      <c r="F530" s="383"/>
      <c r="G530" s="383"/>
      <c r="H530" s="383"/>
    </row>
    <row r="531" spans="1:8">
      <c r="A531" s="383"/>
      <c r="B531" s="383"/>
      <c r="C531" s="383"/>
      <c r="D531" s="383"/>
      <c r="E531" s="383"/>
      <c r="F531" s="383"/>
      <c r="G531" s="383"/>
      <c r="H531" s="383"/>
    </row>
    <row r="532" spans="1:8">
      <c r="A532" s="383"/>
      <c r="B532" s="383"/>
      <c r="C532" s="383"/>
      <c r="D532" s="383"/>
      <c r="E532" s="383"/>
      <c r="F532" s="383"/>
      <c r="G532" s="383"/>
      <c r="H532" s="383"/>
    </row>
    <row r="533" spans="1:8">
      <c r="A533" s="383"/>
      <c r="B533" s="383"/>
      <c r="C533" s="383"/>
      <c r="D533" s="383"/>
      <c r="E533" s="383"/>
      <c r="F533" s="383"/>
      <c r="G533" s="383"/>
      <c r="H533" s="383"/>
    </row>
    <row r="534" spans="1:8">
      <c r="A534" s="383"/>
      <c r="B534" s="383"/>
      <c r="C534" s="383"/>
      <c r="D534" s="383"/>
      <c r="E534" s="383"/>
      <c r="F534" s="383"/>
      <c r="G534" s="383"/>
      <c r="H534" s="383"/>
    </row>
    <row r="535" spans="1:8">
      <c r="A535" s="383"/>
      <c r="B535" s="383"/>
      <c r="C535" s="383"/>
      <c r="D535" s="383"/>
      <c r="E535" s="383"/>
      <c r="F535" s="383"/>
      <c r="G535" s="383"/>
      <c r="H535" s="383"/>
    </row>
    <row r="536" spans="1:8">
      <c r="A536" s="383"/>
      <c r="B536" s="383"/>
      <c r="C536" s="383"/>
      <c r="D536" s="383"/>
      <c r="E536" s="383"/>
      <c r="F536" s="383"/>
      <c r="G536" s="383"/>
      <c r="H536" s="383"/>
    </row>
    <row r="537" spans="1:8">
      <c r="A537" s="383"/>
      <c r="B537" s="383"/>
      <c r="C537" s="383"/>
      <c r="D537" s="383"/>
      <c r="E537" s="383"/>
      <c r="F537" s="383"/>
      <c r="G537" s="383"/>
      <c r="H537" s="383"/>
    </row>
    <row r="538" spans="1:8">
      <c r="A538" s="383"/>
      <c r="B538" s="383"/>
      <c r="C538" s="383"/>
      <c r="D538" s="383"/>
      <c r="E538" s="383"/>
      <c r="F538" s="383"/>
      <c r="G538" s="383"/>
      <c r="H538" s="383"/>
    </row>
    <row r="539" spans="1:8">
      <c r="A539" s="383"/>
      <c r="B539" s="383"/>
      <c r="C539" s="383"/>
      <c r="D539" s="383"/>
      <c r="E539" s="383"/>
      <c r="F539" s="383"/>
      <c r="G539" s="383"/>
      <c r="H539" s="383"/>
    </row>
    <row r="540" spans="1:8">
      <c r="A540" s="383"/>
      <c r="B540" s="383"/>
      <c r="C540" s="383"/>
      <c r="D540" s="383"/>
      <c r="E540" s="383"/>
      <c r="F540" s="383"/>
      <c r="G540" s="383"/>
      <c r="H540" s="383"/>
    </row>
    <row r="541" spans="1:8">
      <c r="A541" s="383"/>
      <c r="B541" s="383"/>
      <c r="C541" s="383"/>
      <c r="D541" s="383"/>
      <c r="E541" s="383"/>
      <c r="F541" s="383"/>
      <c r="G541" s="383"/>
      <c r="H541" s="383"/>
    </row>
    <row r="542" spans="1:8">
      <c r="A542" s="383"/>
      <c r="B542" s="383"/>
      <c r="C542" s="383"/>
      <c r="D542" s="383"/>
      <c r="E542" s="383"/>
      <c r="F542" s="383"/>
      <c r="G542" s="383"/>
      <c r="H542" s="383"/>
    </row>
    <row r="543" spans="1:8">
      <c r="A543" s="383"/>
      <c r="B543" s="383"/>
      <c r="C543" s="383"/>
      <c r="D543" s="383"/>
      <c r="E543" s="383"/>
      <c r="F543" s="383"/>
      <c r="G543" s="383"/>
      <c r="H543" s="383"/>
    </row>
    <row r="544" spans="1:8">
      <c r="A544" s="383"/>
      <c r="B544" s="383"/>
      <c r="C544" s="383"/>
      <c r="D544" s="383"/>
      <c r="E544" s="383"/>
      <c r="F544" s="383"/>
      <c r="G544" s="383"/>
      <c r="H544" s="383"/>
    </row>
    <row r="545" spans="1:8">
      <c r="A545" s="383"/>
      <c r="B545" s="383"/>
      <c r="C545" s="383"/>
      <c r="D545" s="383"/>
      <c r="E545" s="383"/>
      <c r="F545" s="383"/>
      <c r="G545" s="383"/>
      <c r="H545" s="383"/>
    </row>
    <row r="546" spans="1:8">
      <c r="A546" s="383"/>
      <c r="B546" s="383"/>
      <c r="C546" s="383"/>
      <c r="D546" s="383"/>
      <c r="E546" s="383"/>
      <c r="F546" s="383"/>
      <c r="G546" s="383"/>
      <c r="H546" s="383"/>
    </row>
    <row r="547" spans="1:8">
      <c r="A547" s="383"/>
      <c r="B547" s="383"/>
      <c r="C547" s="383"/>
      <c r="D547" s="383"/>
      <c r="E547" s="383"/>
      <c r="F547" s="383"/>
      <c r="G547" s="383"/>
      <c r="H547" s="383"/>
    </row>
    <row r="548" spans="1:8">
      <c r="A548" s="383"/>
      <c r="B548" s="383"/>
      <c r="C548" s="383"/>
      <c r="D548" s="383"/>
      <c r="E548" s="383"/>
      <c r="F548" s="383"/>
      <c r="G548" s="383"/>
      <c r="H548" s="383"/>
    </row>
    <row r="549" spans="1:8">
      <c r="A549" s="383"/>
      <c r="B549" s="383"/>
      <c r="C549" s="383"/>
      <c r="D549" s="383"/>
      <c r="E549" s="383"/>
      <c r="F549" s="383"/>
      <c r="G549" s="383"/>
      <c r="H549" s="383"/>
    </row>
    <row r="550" spans="1:8">
      <c r="A550" s="383"/>
      <c r="B550" s="383"/>
      <c r="C550" s="383"/>
      <c r="D550" s="383"/>
      <c r="E550" s="383"/>
      <c r="F550" s="383"/>
      <c r="G550" s="383"/>
      <c r="H550" s="383"/>
    </row>
    <row r="551" spans="1:8">
      <c r="A551" s="383"/>
      <c r="B551" s="383"/>
      <c r="C551" s="383"/>
      <c r="D551" s="383"/>
      <c r="E551" s="383"/>
      <c r="F551" s="383"/>
      <c r="G551" s="383"/>
      <c r="H551" s="383"/>
    </row>
    <row r="552" spans="1:8">
      <c r="A552" s="383"/>
      <c r="B552" s="383"/>
      <c r="C552" s="383"/>
      <c r="D552" s="383"/>
      <c r="E552" s="383"/>
      <c r="F552" s="383"/>
      <c r="G552" s="383"/>
      <c r="H552" s="383"/>
    </row>
    <row r="553" spans="1:8">
      <c r="A553" s="383"/>
      <c r="B553" s="383"/>
      <c r="C553" s="383"/>
      <c r="D553" s="383"/>
      <c r="E553" s="383"/>
      <c r="F553" s="383"/>
      <c r="G553" s="383"/>
      <c r="H553" s="383"/>
    </row>
    <row r="554" spans="1:8">
      <c r="A554" s="383"/>
      <c r="B554" s="383"/>
      <c r="C554" s="383"/>
      <c r="D554" s="383"/>
      <c r="E554" s="383"/>
      <c r="F554" s="383"/>
      <c r="G554" s="383"/>
      <c r="H554" s="383"/>
    </row>
    <row r="555" spans="1:8">
      <c r="A555" s="383"/>
      <c r="B555" s="383"/>
      <c r="C555" s="383"/>
      <c r="D555" s="383"/>
      <c r="E555" s="383"/>
      <c r="F555" s="383"/>
      <c r="G555" s="383"/>
      <c r="H555" s="383"/>
    </row>
    <row r="556" spans="1:8">
      <c r="A556" s="383"/>
      <c r="B556" s="383"/>
      <c r="C556" s="383"/>
      <c r="D556" s="383"/>
      <c r="E556" s="383"/>
      <c r="F556" s="383"/>
      <c r="G556" s="383"/>
      <c r="H556" s="383"/>
    </row>
    <row r="557" spans="1:8">
      <c r="A557" s="383"/>
      <c r="B557" s="383"/>
      <c r="C557" s="383"/>
      <c r="D557" s="383"/>
      <c r="E557" s="383"/>
      <c r="F557" s="383"/>
      <c r="G557" s="383"/>
      <c r="H557" s="383"/>
    </row>
    <row r="558" spans="1:8">
      <c r="A558" s="383"/>
      <c r="B558" s="383"/>
      <c r="C558" s="383"/>
      <c r="D558" s="383"/>
      <c r="E558" s="383"/>
      <c r="F558" s="383"/>
      <c r="G558" s="383"/>
      <c r="H558" s="383"/>
    </row>
    <row r="559" spans="1:8">
      <c r="A559" s="383"/>
      <c r="B559" s="383"/>
      <c r="C559" s="383"/>
      <c r="D559" s="383"/>
      <c r="E559" s="383"/>
      <c r="F559" s="383"/>
      <c r="G559" s="383"/>
      <c r="H559" s="383"/>
    </row>
    <row r="560" spans="1:8">
      <c r="A560" s="383"/>
      <c r="B560" s="383"/>
      <c r="C560" s="383"/>
      <c r="D560" s="383"/>
      <c r="E560" s="383"/>
      <c r="F560" s="383"/>
      <c r="G560" s="383"/>
      <c r="H560" s="383"/>
    </row>
    <row r="561" spans="1:8">
      <c r="A561" s="383"/>
      <c r="B561" s="383"/>
      <c r="C561" s="383"/>
      <c r="D561" s="383"/>
      <c r="E561" s="383"/>
      <c r="F561" s="383"/>
      <c r="G561" s="383"/>
      <c r="H561" s="383"/>
    </row>
    <row r="562" spans="1:8">
      <c r="A562" s="383"/>
      <c r="B562" s="383"/>
      <c r="C562" s="383"/>
      <c r="D562" s="383"/>
      <c r="E562" s="383"/>
      <c r="F562" s="383"/>
      <c r="G562" s="383"/>
      <c r="H562" s="383"/>
    </row>
    <row r="563" spans="1:8">
      <c r="A563" s="383"/>
      <c r="B563" s="383"/>
      <c r="C563" s="383"/>
      <c r="D563" s="383"/>
      <c r="E563" s="383"/>
      <c r="F563" s="383"/>
      <c r="G563" s="383"/>
      <c r="H563" s="383"/>
    </row>
    <row r="564" spans="1:8">
      <c r="A564" s="383"/>
      <c r="B564" s="383"/>
      <c r="C564" s="383"/>
      <c r="D564" s="383"/>
      <c r="E564" s="383"/>
      <c r="F564" s="383"/>
      <c r="G564" s="383"/>
      <c r="H564" s="383"/>
    </row>
    <row r="565" spans="1:8">
      <c r="A565" s="383"/>
      <c r="B565" s="383"/>
      <c r="C565" s="383"/>
      <c r="D565" s="383"/>
      <c r="E565" s="383"/>
      <c r="F565" s="383"/>
      <c r="G565" s="383"/>
      <c r="H565" s="383"/>
    </row>
    <row r="566" spans="1:8">
      <c r="A566" s="383"/>
      <c r="B566" s="383"/>
      <c r="C566" s="383"/>
      <c r="D566" s="383"/>
      <c r="E566" s="383"/>
      <c r="F566" s="383"/>
      <c r="G566" s="383"/>
      <c r="H566" s="383"/>
    </row>
    <row r="567" spans="1:8">
      <c r="A567" s="383"/>
      <c r="B567" s="383"/>
      <c r="C567" s="383"/>
      <c r="D567" s="383"/>
      <c r="E567" s="383"/>
      <c r="F567" s="383"/>
      <c r="G567" s="383"/>
      <c r="H567" s="383"/>
    </row>
    <row r="568" spans="1:8">
      <c r="A568" s="383"/>
      <c r="B568" s="383"/>
      <c r="C568" s="383"/>
      <c r="D568" s="383"/>
      <c r="E568" s="383"/>
      <c r="F568" s="383"/>
      <c r="G568" s="383"/>
      <c r="H568" s="383"/>
    </row>
    <row r="569" spans="1:8">
      <c r="A569" s="383"/>
      <c r="B569" s="383"/>
      <c r="C569" s="383"/>
      <c r="D569" s="383"/>
      <c r="E569" s="383"/>
      <c r="F569" s="383"/>
      <c r="G569" s="383"/>
      <c r="H569" s="383"/>
    </row>
    <row r="570" spans="1:8">
      <c r="A570" s="383"/>
      <c r="B570" s="383"/>
      <c r="C570" s="383"/>
      <c r="D570" s="383"/>
      <c r="E570" s="383"/>
      <c r="F570" s="383"/>
      <c r="G570" s="383"/>
      <c r="H570" s="383"/>
    </row>
    <row r="571" spans="1:8">
      <c r="A571" s="383"/>
      <c r="B571" s="383"/>
      <c r="C571" s="383"/>
      <c r="D571" s="383"/>
      <c r="E571" s="383"/>
      <c r="F571" s="383"/>
      <c r="G571" s="383"/>
      <c r="H571" s="383"/>
    </row>
    <row r="572" spans="1:8">
      <c r="A572" s="383"/>
      <c r="B572" s="383"/>
      <c r="C572" s="383"/>
      <c r="D572" s="383"/>
      <c r="E572" s="383"/>
      <c r="F572" s="383"/>
      <c r="G572" s="383"/>
      <c r="H572" s="383"/>
    </row>
    <row r="573" spans="1:8">
      <c r="A573" s="383"/>
      <c r="B573" s="383"/>
      <c r="C573" s="383"/>
      <c r="D573" s="383"/>
      <c r="E573" s="383"/>
      <c r="F573" s="383"/>
      <c r="G573" s="383"/>
      <c r="H573" s="383"/>
    </row>
    <row r="574" spans="1:8">
      <c r="A574" s="383"/>
      <c r="B574" s="383"/>
      <c r="C574" s="383"/>
      <c r="D574" s="383"/>
      <c r="E574" s="383"/>
      <c r="F574" s="383"/>
      <c r="G574" s="383"/>
      <c r="H574" s="383"/>
    </row>
    <row r="575" spans="1:8">
      <c r="A575" s="383"/>
      <c r="B575" s="383"/>
      <c r="C575" s="383"/>
      <c r="D575" s="383"/>
      <c r="E575" s="383"/>
      <c r="F575" s="383"/>
      <c r="G575" s="383"/>
      <c r="H575" s="383"/>
    </row>
    <row r="576" spans="1:8">
      <c r="A576" s="383"/>
      <c r="B576" s="383"/>
      <c r="C576" s="383"/>
      <c r="D576" s="383"/>
      <c r="E576" s="383"/>
      <c r="F576" s="383"/>
      <c r="G576" s="383"/>
      <c r="H576" s="383"/>
    </row>
    <row r="577" spans="1:8">
      <c r="A577" s="383"/>
      <c r="B577" s="383"/>
      <c r="C577" s="383"/>
      <c r="D577" s="383"/>
      <c r="E577" s="383"/>
      <c r="F577" s="383"/>
      <c r="G577" s="383"/>
      <c r="H577" s="383"/>
    </row>
    <row r="578" spans="1:8">
      <c r="A578" s="383"/>
      <c r="B578" s="383"/>
      <c r="C578" s="383"/>
      <c r="D578" s="383"/>
      <c r="E578" s="383"/>
      <c r="F578" s="383"/>
      <c r="G578" s="383"/>
      <c r="H578" s="383"/>
    </row>
    <row r="579" spans="1:8">
      <c r="A579" s="383"/>
      <c r="B579" s="383"/>
      <c r="C579" s="383"/>
      <c r="D579" s="383"/>
      <c r="E579" s="383"/>
      <c r="F579" s="383"/>
      <c r="G579" s="383"/>
      <c r="H579" s="383"/>
    </row>
    <row r="580" spans="1:8">
      <c r="A580" s="383"/>
      <c r="B580" s="383"/>
      <c r="C580" s="383"/>
      <c r="D580" s="383"/>
      <c r="E580" s="383"/>
      <c r="F580" s="383"/>
      <c r="G580" s="383"/>
      <c r="H580" s="383"/>
    </row>
    <row r="581" spans="1:8">
      <c r="A581" s="383"/>
      <c r="B581" s="383"/>
      <c r="C581" s="383"/>
      <c r="D581" s="383"/>
      <c r="E581" s="383"/>
      <c r="F581" s="383"/>
      <c r="G581" s="383"/>
      <c r="H581" s="383"/>
    </row>
    <row r="582" spans="1:8">
      <c r="A582" s="383"/>
      <c r="B582" s="383"/>
      <c r="C582" s="383"/>
      <c r="D582" s="383"/>
      <c r="E582" s="383"/>
      <c r="F582" s="383"/>
      <c r="G582" s="383"/>
      <c r="H582" s="383"/>
    </row>
    <row r="583" spans="1:8">
      <c r="A583" s="383"/>
      <c r="B583" s="383"/>
      <c r="C583" s="383"/>
      <c r="D583" s="383"/>
      <c r="E583" s="383"/>
      <c r="F583" s="383"/>
      <c r="G583" s="383"/>
      <c r="H583" s="383"/>
    </row>
    <row r="584" spans="1:8">
      <c r="A584" s="383"/>
      <c r="B584" s="383"/>
      <c r="C584" s="383"/>
      <c r="D584" s="383"/>
      <c r="E584" s="383"/>
      <c r="F584" s="383"/>
      <c r="G584" s="383"/>
      <c r="H584" s="383"/>
    </row>
    <row r="585" spans="1:8">
      <c r="A585" s="383"/>
      <c r="B585" s="383"/>
      <c r="C585" s="383"/>
      <c r="D585" s="383"/>
      <c r="E585" s="383"/>
      <c r="F585" s="383"/>
      <c r="G585" s="383"/>
      <c r="H585" s="383"/>
    </row>
    <row r="586" spans="1:8">
      <c r="A586" s="383"/>
      <c r="B586" s="383"/>
      <c r="C586" s="383"/>
      <c r="D586" s="383"/>
      <c r="E586" s="383"/>
      <c r="F586" s="383"/>
      <c r="G586" s="383"/>
      <c r="H586" s="383"/>
    </row>
    <row r="587" spans="1:8">
      <c r="A587" s="383"/>
      <c r="B587" s="383"/>
      <c r="C587" s="383"/>
      <c r="D587" s="383"/>
      <c r="E587" s="383"/>
      <c r="F587" s="383"/>
      <c r="G587" s="383"/>
      <c r="H587" s="383"/>
    </row>
    <row r="588" spans="1:8">
      <c r="A588" s="383"/>
      <c r="B588" s="383"/>
      <c r="C588" s="383"/>
      <c r="D588" s="383"/>
      <c r="E588" s="383"/>
      <c r="F588" s="383"/>
      <c r="G588" s="383"/>
      <c r="H588" s="383"/>
    </row>
    <row r="589" spans="1:8">
      <c r="A589" s="383"/>
      <c r="B589" s="383"/>
      <c r="C589" s="383"/>
      <c r="D589" s="383"/>
      <c r="E589" s="383"/>
      <c r="F589" s="383"/>
      <c r="G589" s="383"/>
      <c r="H589" s="383"/>
    </row>
    <row r="590" spans="1:8">
      <c r="A590" s="383"/>
      <c r="B590" s="383"/>
      <c r="C590" s="383"/>
      <c r="D590" s="383"/>
      <c r="E590" s="383"/>
      <c r="F590" s="383"/>
      <c r="G590" s="383"/>
      <c r="H590" s="383"/>
    </row>
    <row r="591" spans="1:8">
      <c r="A591" s="383"/>
      <c r="B591" s="383"/>
      <c r="C591" s="383"/>
      <c r="D591" s="383"/>
      <c r="E591" s="383"/>
      <c r="F591" s="383"/>
      <c r="G591" s="383"/>
      <c r="H591" s="383"/>
    </row>
    <row r="592" spans="1:8">
      <c r="A592" s="383"/>
      <c r="B592" s="383"/>
      <c r="C592" s="383"/>
      <c r="D592" s="383"/>
      <c r="E592" s="383"/>
      <c r="F592" s="383"/>
      <c r="G592" s="383"/>
      <c r="H592" s="383"/>
    </row>
    <row r="593" spans="1:8">
      <c r="A593" s="383"/>
      <c r="B593" s="383"/>
      <c r="C593" s="383"/>
      <c r="D593" s="383"/>
      <c r="E593" s="383"/>
      <c r="F593" s="383"/>
      <c r="G593" s="383"/>
      <c r="H593" s="383"/>
    </row>
    <row r="594" spans="1:8">
      <c r="A594" s="383"/>
      <c r="B594" s="383"/>
      <c r="C594" s="383"/>
      <c r="D594" s="383"/>
      <c r="E594" s="383"/>
      <c r="F594" s="383"/>
      <c r="G594" s="383"/>
      <c r="H594" s="383"/>
    </row>
    <row r="595" spans="1:8">
      <c r="A595" s="383"/>
      <c r="B595" s="383"/>
      <c r="C595" s="383"/>
      <c r="D595" s="383"/>
      <c r="E595" s="383"/>
      <c r="F595" s="383"/>
      <c r="G595" s="383"/>
      <c r="H595" s="383"/>
    </row>
    <row r="596" spans="1:8">
      <c r="A596" s="383"/>
      <c r="B596" s="383"/>
      <c r="C596" s="383"/>
      <c r="D596" s="383"/>
      <c r="E596" s="383"/>
      <c r="F596" s="383"/>
      <c r="G596" s="383"/>
      <c r="H596" s="383"/>
    </row>
    <row r="597" spans="1:8">
      <c r="A597" s="383"/>
      <c r="B597" s="383"/>
      <c r="C597" s="383"/>
      <c r="D597" s="383"/>
      <c r="E597" s="383"/>
      <c r="F597" s="383"/>
      <c r="G597" s="383"/>
      <c r="H597" s="383"/>
    </row>
    <row r="598" spans="1:8">
      <c r="A598" s="383"/>
      <c r="B598" s="383"/>
      <c r="C598" s="383"/>
      <c r="D598" s="383"/>
      <c r="E598" s="383"/>
      <c r="F598" s="383"/>
      <c r="G598" s="383"/>
      <c r="H598" s="383"/>
    </row>
    <row r="599" spans="1:8">
      <c r="A599" s="383"/>
      <c r="B599" s="383"/>
      <c r="C599" s="383"/>
      <c r="D599" s="383"/>
      <c r="E599" s="383"/>
      <c r="F599" s="383"/>
      <c r="G599" s="383"/>
      <c r="H599" s="383"/>
    </row>
    <row r="600" spans="1:8">
      <c r="A600" s="383"/>
      <c r="B600" s="383"/>
      <c r="C600" s="383"/>
      <c r="D600" s="383"/>
      <c r="E600" s="383"/>
      <c r="F600" s="383"/>
      <c r="G600" s="383"/>
      <c r="H600" s="383"/>
    </row>
    <row r="601" spans="1:8">
      <c r="A601" s="383"/>
      <c r="B601" s="383"/>
      <c r="C601" s="383"/>
      <c r="D601" s="383"/>
      <c r="E601" s="383"/>
      <c r="F601" s="383"/>
      <c r="G601" s="383"/>
      <c r="H601" s="383"/>
    </row>
    <row r="602" spans="1:8">
      <c r="A602" s="383"/>
      <c r="B602" s="383"/>
      <c r="C602" s="383"/>
      <c r="D602" s="383"/>
      <c r="E602" s="383"/>
      <c r="F602" s="383"/>
      <c r="G602" s="383"/>
      <c r="H602" s="383"/>
    </row>
    <row r="603" spans="1:8">
      <c r="A603" s="383"/>
      <c r="B603" s="383"/>
      <c r="C603" s="383"/>
      <c r="D603" s="383"/>
      <c r="E603" s="383"/>
      <c r="F603" s="383"/>
      <c r="G603" s="383"/>
      <c r="H603" s="383"/>
    </row>
    <row r="604" spans="1:8">
      <c r="A604" s="383"/>
      <c r="B604" s="383"/>
      <c r="C604" s="383"/>
      <c r="D604" s="383"/>
      <c r="E604" s="383"/>
      <c r="F604" s="383"/>
      <c r="G604" s="383"/>
      <c r="H604" s="383"/>
    </row>
    <row r="605" spans="1:8">
      <c r="A605" s="383"/>
      <c r="B605" s="383"/>
      <c r="C605" s="383"/>
      <c r="D605" s="383"/>
      <c r="E605" s="383"/>
      <c r="F605" s="383"/>
      <c r="G605" s="383"/>
      <c r="H605" s="383"/>
    </row>
    <row r="606" spans="1:8">
      <c r="A606" s="383"/>
      <c r="B606" s="383"/>
      <c r="C606" s="383"/>
      <c r="D606" s="383"/>
      <c r="E606" s="383"/>
      <c r="F606" s="383"/>
      <c r="G606" s="383"/>
      <c r="H606" s="383"/>
    </row>
    <row r="607" spans="1:8">
      <c r="A607" s="383"/>
      <c r="B607" s="383"/>
      <c r="C607" s="383"/>
      <c r="D607" s="383"/>
      <c r="E607" s="383"/>
      <c r="F607" s="383"/>
      <c r="G607" s="383"/>
      <c r="H607" s="383"/>
    </row>
    <row r="608" spans="1:8">
      <c r="A608" s="383"/>
      <c r="B608" s="383"/>
      <c r="C608" s="383"/>
      <c r="D608" s="383"/>
      <c r="E608" s="383"/>
      <c r="F608" s="383"/>
      <c r="G608" s="383"/>
      <c r="H608" s="383"/>
    </row>
    <row r="609" spans="1:8">
      <c r="A609" s="383"/>
      <c r="B609" s="383"/>
      <c r="C609" s="383"/>
      <c r="D609" s="383"/>
      <c r="E609" s="383"/>
      <c r="F609" s="383"/>
      <c r="G609" s="383"/>
      <c r="H609" s="383"/>
    </row>
    <row r="610" spans="1:8">
      <c r="A610" s="383"/>
      <c r="B610" s="383"/>
      <c r="C610" s="383"/>
      <c r="D610" s="383"/>
      <c r="E610" s="383"/>
      <c r="F610" s="383"/>
      <c r="G610" s="383"/>
      <c r="H610" s="383"/>
    </row>
    <row r="611" spans="1:8">
      <c r="A611" s="383"/>
      <c r="B611" s="383"/>
      <c r="C611" s="383"/>
      <c r="D611" s="383"/>
      <c r="E611" s="383"/>
      <c r="F611" s="383"/>
      <c r="G611" s="383"/>
      <c r="H611" s="383"/>
    </row>
    <row r="612" spans="1:8">
      <c r="A612" s="383"/>
      <c r="B612" s="383"/>
      <c r="C612" s="383"/>
      <c r="D612" s="383"/>
      <c r="E612" s="383"/>
      <c r="F612" s="383"/>
      <c r="G612" s="383"/>
      <c r="H612" s="383"/>
    </row>
    <row r="613" spans="1:8">
      <c r="A613" s="383"/>
      <c r="B613" s="383"/>
      <c r="C613" s="383"/>
      <c r="D613" s="383"/>
      <c r="E613" s="383"/>
      <c r="F613" s="383"/>
      <c r="G613" s="383"/>
      <c r="H613" s="383"/>
    </row>
    <row r="614" spans="1:8">
      <c r="A614" s="383"/>
      <c r="B614" s="383"/>
      <c r="C614" s="383"/>
      <c r="D614" s="383"/>
      <c r="E614" s="383"/>
      <c r="F614" s="383"/>
      <c r="G614" s="383"/>
      <c r="H614" s="383"/>
    </row>
    <row r="615" spans="1:8">
      <c r="A615" s="383"/>
      <c r="B615" s="383"/>
      <c r="C615" s="383"/>
      <c r="D615" s="383"/>
      <c r="E615" s="383"/>
      <c r="F615" s="383"/>
      <c r="G615" s="383"/>
      <c r="H615" s="383"/>
    </row>
    <row r="616" spans="1:8">
      <c r="A616" s="383"/>
      <c r="B616" s="383"/>
      <c r="C616" s="383"/>
      <c r="D616" s="383"/>
      <c r="E616" s="383"/>
      <c r="F616" s="383"/>
      <c r="G616" s="383"/>
      <c r="H616" s="383"/>
    </row>
    <row r="617" spans="1:8">
      <c r="A617" s="383"/>
      <c r="B617" s="383"/>
      <c r="C617" s="383"/>
      <c r="D617" s="383"/>
      <c r="E617" s="383"/>
      <c r="F617" s="383"/>
      <c r="G617" s="383"/>
      <c r="H617" s="383"/>
    </row>
    <row r="618" spans="1:8">
      <c r="A618" s="383"/>
      <c r="B618" s="383"/>
      <c r="C618" s="383"/>
      <c r="D618" s="383"/>
      <c r="E618" s="383"/>
      <c r="F618" s="383"/>
      <c r="G618" s="383"/>
      <c r="H618" s="383"/>
    </row>
    <row r="619" spans="1:8">
      <c r="A619" s="383"/>
      <c r="B619" s="383"/>
      <c r="C619" s="383"/>
      <c r="D619" s="383"/>
      <c r="E619" s="383"/>
      <c r="F619" s="383"/>
      <c r="G619" s="383"/>
      <c r="H619" s="383"/>
    </row>
    <row r="620" spans="1:8">
      <c r="A620" s="383"/>
      <c r="B620" s="383"/>
      <c r="C620" s="383"/>
      <c r="D620" s="383"/>
      <c r="E620" s="383"/>
      <c r="F620" s="383"/>
      <c r="G620" s="383"/>
      <c r="H620" s="383"/>
    </row>
    <row r="621" spans="1:8">
      <c r="A621" s="383"/>
      <c r="B621" s="383"/>
      <c r="C621" s="383"/>
      <c r="D621" s="383"/>
      <c r="E621" s="383"/>
      <c r="F621" s="383"/>
      <c r="G621" s="383"/>
      <c r="H621" s="383"/>
    </row>
    <row r="622" spans="1:8">
      <c r="A622" s="383"/>
      <c r="B622" s="383"/>
      <c r="C622" s="383"/>
      <c r="D622" s="383"/>
      <c r="E622" s="383"/>
      <c r="F622" s="383"/>
      <c r="G622" s="383"/>
      <c r="H622" s="383"/>
    </row>
    <row r="623" spans="1:8">
      <c r="A623" s="383"/>
      <c r="B623" s="383"/>
      <c r="C623" s="383"/>
      <c r="D623" s="383"/>
      <c r="E623" s="383"/>
      <c r="F623" s="383"/>
      <c r="G623" s="383"/>
      <c r="H623" s="383"/>
    </row>
    <row r="624" spans="1:8">
      <c r="A624" s="383"/>
      <c r="B624" s="383"/>
      <c r="C624" s="383"/>
      <c r="D624" s="383"/>
      <c r="E624" s="383"/>
      <c r="F624" s="383"/>
      <c r="G624" s="383"/>
      <c r="H624" s="383"/>
    </row>
    <row r="625" spans="1:8">
      <c r="A625" s="383"/>
      <c r="B625" s="383"/>
      <c r="C625" s="383"/>
      <c r="D625" s="383"/>
      <c r="E625" s="383"/>
      <c r="F625" s="383"/>
      <c r="G625" s="383"/>
      <c r="H625" s="383"/>
    </row>
    <row r="626" spans="1:8">
      <c r="A626" s="383"/>
      <c r="B626" s="383"/>
      <c r="C626" s="383"/>
      <c r="D626" s="383"/>
      <c r="E626" s="383"/>
      <c r="F626" s="383"/>
      <c r="G626" s="383"/>
      <c r="H626" s="383"/>
    </row>
    <row r="627" spans="1:8">
      <c r="A627" s="383"/>
      <c r="B627" s="383"/>
      <c r="C627" s="383"/>
      <c r="D627" s="383"/>
      <c r="E627" s="383"/>
      <c r="F627" s="383"/>
      <c r="G627" s="383"/>
      <c r="H627" s="383"/>
    </row>
    <row r="628" spans="1:8">
      <c r="A628" s="383"/>
      <c r="B628" s="383"/>
      <c r="C628" s="383"/>
      <c r="D628" s="383"/>
      <c r="E628" s="383"/>
      <c r="F628" s="383"/>
      <c r="G628" s="383"/>
      <c r="H628" s="383"/>
    </row>
    <row r="629" spans="1:8">
      <c r="A629" s="383"/>
      <c r="B629" s="383"/>
      <c r="C629" s="383"/>
      <c r="D629" s="383"/>
      <c r="E629" s="383"/>
      <c r="F629" s="383"/>
      <c r="G629" s="383"/>
      <c r="H629" s="383"/>
    </row>
    <row r="630" spans="1:8">
      <c r="A630" s="383"/>
      <c r="B630" s="383"/>
      <c r="C630" s="383"/>
      <c r="D630" s="383"/>
      <c r="E630" s="383"/>
      <c r="F630" s="383"/>
      <c r="G630" s="383"/>
      <c r="H630" s="383"/>
    </row>
    <row r="631" spans="1:8">
      <c r="A631" s="383"/>
      <c r="B631" s="383"/>
      <c r="C631" s="383"/>
      <c r="D631" s="383"/>
      <c r="E631" s="383"/>
      <c r="F631" s="383"/>
      <c r="G631" s="383"/>
      <c r="H631" s="383"/>
    </row>
    <row r="632" spans="1:8">
      <c r="A632" s="383"/>
      <c r="B632" s="383"/>
      <c r="C632" s="383"/>
      <c r="D632" s="383"/>
      <c r="E632" s="383"/>
      <c r="F632" s="383"/>
      <c r="G632" s="383"/>
      <c r="H632" s="383"/>
    </row>
    <row r="633" spans="1:8">
      <c r="A633" s="383"/>
      <c r="B633" s="383"/>
      <c r="C633" s="383"/>
      <c r="D633" s="383"/>
      <c r="E633" s="383"/>
      <c r="F633" s="383"/>
      <c r="G633" s="383"/>
      <c r="H633" s="383"/>
    </row>
    <row r="634" spans="1:8">
      <c r="A634" s="383"/>
      <c r="B634" s="383"/>
      <c r="C634" s="383"/>
      <c r="D634" s="383"/>
      <c r="E634" s="383"/>
      <c r="F634" s="383"/>
      <c r="G634" s="383"/>
      <c r="H634" s="383"/>
    </row>
    <row r="635" spans="1:8">
      <c r="A635" s="383"/>
      <c r="B635" s="383"/>
      <c r="C635" s="383"/>
      <c r="D635" s="383"/>
      <c r="E635" s="383"/>
      <c r="F635" s="383"/>
      <c r="G635" s="383"/>
      <c r="H635" s="383"/>
    </row>
    <row r="636" spans="1:8">
      <c r="A636" s="383"/>
      <c r="B636" s="383"/>
      <c r="C636" s="383"/>
      <c r="D636" s="383"/>
      <c r="E636" s="383"/>
      <c r="F636" s="383"/>
      <c r="G636" s="383"/>
      <c r="H636" s="383"/>
    </row>
    <row r="637" spans="1:8">
      <c r="A637" s="383"/>
      <c r="B637" s="383"/>
      <c r="C637" s="383"/>
      <c r="D637" s="383"/>
      <c r="E637" s="383"/>
      <c r="F637" s="383"/>
      <c r="G637" s="383"/>
      <c r="H637" s="383"/>
    </row>
    <row r="638" spans="1:8">
      <c r="A638" s="383"/>
      <c r="B638" s="383"/>
      <c r="C638" s="383"/>
      <c r="D638" s="383"/>
      <c r="E638" s="383"/>
      <c r="F638" s="383"/>
      <c r="G638" s="383"/>
      <c r="H638" s="383"/>
    </row>
    <row r="639" spans="1:8">
      <c r="A639" s="383"/>
      <c r="B639" s="383"/>
      <c r="C639" s="383"/>
      <c r="D639" s="383"/>
      <c r="E639" s="383"/>
      <c r="F639" s="383"/>
      <c r="G639" s="383"/>
      <c r="H639" s="383"/>
    </row>
    <row r="640" spans="1:8">
      <c r="A640" s="383"/>
      <c r="B640" s="383"/>
      <c r="C640" s="383"/>
      <c r="D640" s="383"/>
      <c r="E640" s="383"/>
      <c r="F640" s="383"/>
      <c r="G640" s="383"/>
      <c r="H640" s="383"/>
    </row>
    <row r="641" spans="1:8">
      <c r="A641" s="383"/>
      <c r="B641" s="383"/>
      <c r="C641" s="383"/>
      <c r="D641" s="383"/>
      <c r="E641" s="383"/>
      <c r="F641" s="383"/>
      <c r="G641" s="383"/>
      <c r="H641" s="383"/>
    </row>
    <row r="642" spans="1:8">
      <c r="A642" s="383"/>
      <c r="B642" s="383"/>
      <c r="C642" s="383"/>
      <c r="D642" s="383"/>
      <c r="E642" s="383"/>
      <c r="F642" s="383"/>
      <c r="G642" s="383"/>
      <c r="H642" s="383"/>
    </row>
    <row r="643" spans="1:8">
      <c r="A643" s="383"/>
      <c r="B643" s="383"/>
      <c r="C643" s="383"/>
      <c r="D643" s="383"/>
      <c r="E643" s="383"/>
      <c r="F643" s="383"/>
      <c r="G643" s="383"/>
      <c r="H643" s="383"/>
    </row>
    <row r="644" spans="1:8">
      <c r="A644" s="383"/>
      <c r="B644" s="383"/>
      <c r="C644" s="383"/>
      <c r="D644" s="383"/>
      <c r="E644" s="383"/>
      <c r="F644" s="383"/>
      <c r="G644" s="383"/>
      <c r="H644" s="383"/>
    </row>
    <row r="645" spans="1:8">
      <c r="A645" s="383"/>
      <c r="B645" s="383"/>
      <c r="C645" s="383"/>
      <c r="D645" s="383"/>
      <c r="E645" s="383"/>
      <c r="F645" s="383"/>
      <c r="G645" s="383"/>
      <c r="H645" s="383"/>
    </row>
    <row r="646" spans="1:8">
      <c r="A646" s="383"/>
      <c r="B646" s="383"/>
      <c r="C646" s="383"/>
      <c r="D646" s="383"/>
      <c r="E646" s="383"/>
      <c r="F646" s="383"/>
      <c r="G646" s="383"/>
      <c r="H646" s="383"/>
    </row>
    <row r="647" spans="1:8">
      <c r="A647" s="383"/>
      <c r="B647" s="383"/>
      <c r="C647" s="383"/>
      <c r="D647" s="383"/>
      <c r="E647" s="383"/>
      <c r="F647" s="383"/>
      <c r="G647" s="383"/>
      <c r="H647" s="383"/>
    </row>
    <row r="648" spans="1:8">
      <c r="A648" s="383"/>
      <c r="B648" s="383"/>
      <c r="C648" s="383"/>
      <c r="D648" s="383"/>
      <c r="E648" s="383"/>
      <c r="F648" s="383"/>
      <c r="G648" s="383"/>
      <c r="H648" s="383"/>
    </row>
    <row r="649" spans="1:8">
      <c r="A649" s="383"/>
      <c r="B649" s="383"/>
      <c r="C649" s="383"/>
      <c r="D649" s="383"/>
      <c r="E649" s="383"/>
      <c r="F649" s="383"/>
      <c r="G649" s="383"/>
      <c r="H649" s="383"/>
    </row>
    <row r="650" spans="1:8">
      <c r="A650" s="383"/>
      <c r="B650" s="383"/>
      <c r="C650" s="383"/>
      <c r="D650" s="383"/>
      <c r="E650" s="383"/>
      <c r="F650" s="383"/>
      <c r="G650" s="383"/>
      <c r="H650" s="383"/>
    </row>
    <row r="651" spans="1:8">
      <c r="A651" s="383"/>
      <c r="B651" s="383"/>
      <c r="C651" s="383"/>
      <c r="D651" s="383"/>
      <c r="E651" s="383"/>
      <c r="F651" s="383"/>
      <c r="G651" s="383"/>
      <c r="H651" s="383"/>
    </row>
    <row r="652" spans="1:8">
      <c r="A652" s="383"/>
      <c r="B652" s="383"/>
      <c r="C652" s="383"/>
      <c r="D652" s="383"/>
      <c r="E652" s="383"/>
      <c r="F652" s="383"/>
      <c r="G652" s="383"/>
      <c r="H652" s="383"/>
    </row>
    <row r="653" spans="1:8">
      <c r="A653" s="383"/>
      <c r="B653" s="383"/>
      <c r="C653" s="383"/>
      <c r="D653" s="383"/>
      <c r="E653" s="383"/>
      <c r="F653" s="383"/>
      <c r="G653" s="383"/>
      <c r="H653" s="383"/>
    </row>
    <row r="654" spans="1:8">
      <c r="A654" s="383"/>
      <c r="B654" s="383"/>
      <c r="C654" s="383"/>
      <c r="D654" s="383"/>
      <c r="E654" s="383"/>
      <c r="F654" s="383"/>
      <c r="G654" s="383"/>
      <c r="H654" s="383"/>
    </row>
    <row r="655" spans="1:8">
      <c r="A655" s="383"/>
      <c r="B655" s="383"/>
      <c r="C655" s="383"/>
      <c r="D655" s="383"/>
      <c r="E655" s="383"/>
      <c r="F655" s="383"/>
      <c r="G655" s="383"/>
      <c r="H655" s="383"/>
    </row>
    <row r="656" spans="1:8">
      <c r="A656" s="383"/>
      <c r="B656" s="383"/>
      <c r="C656" s="383"/>
      <c r="D656" s="383"/>
      <c r="E656" s="383"/>
      <c r="F656" s="383"/>
      <c r="G656" s="383"/>
      <c r="H656" s="383"/>
    </row>
    <row r="657" spans="1:8">
      <c r="A657" s="383"/>
      <c r="B657" s="383"/>
      <c r="C657" s="383"/>
      <c r="D657" s="383"/>
      <c r="E657" s="383"/>
      <c r="F657" s="383"/>
      <c r="G657" s="383"/>
      <c r="H657" s="383"/>
    </row>
    <row r="658" spans="1:8">
      <c r="A658" s="383"/>
      <c r="B658" s="383"/>
      <c r="C658" s="383"/>
      <c r="D658" s="383"/>
      <c r="E658" s="383"/>
      <c r="F658" s="383"/>
      <c r="G658" s="383"/>
      <c r="H658" s="383"/>
    </row>
    <row r="659" spans="1:8">
      <c r="A659" s="383"/>
      <c r="B659" s="383"/>
      <c r="C659" s="383"/>
      <c r="D659" s="383"/>
      <c r="E659" s="383"/>
      <c r="F659" s="383"/>
      <c r="G659" s="383"/>
      <c r="H659" s="383"/>
    </row>
    <row r="660" spans="1:8">
      <c r="A660" s="383"/>
      <c r="B660" s="383"/>
      <c r="C660" s="383"/>
      <c r="D660" s="383"/>
      <c r="E660" s="383"/>
      <c r="F660" s="383"/>
      <c r="G660" s="383"/>
      <c r="H660" s="383"/>
    </row>
    <row r="661" spans="1:8">
      <c r="A661" s="383"/>
      <c r="B661" s="383"/>
      <c r="C661" s="383"/>
      <c r="D661" s="383"/>
      <c r="E661" s="383"/>
      <c r="F661" s="383"/>
      <c r="G661" s="383"/>
      <c r="H661" s="383"/>
    </row>
    <row r="662" spans="1:8">
      <c r="A662" s="383"/>
      <c r="B662" s="383"/>
      <c r="C662" s="383"/>
      <c r="D662" s="383"/>
      <c r="E662" s="383"/>
      <c r="F662" s="383"/>
      <c r="G662" s="383"/>
      <c r="H662" s="383"/>
    </row>
    <row r="663" spans="1:8">
      <c r="A663" s="383"/>
      <c r="B663" s="383"/>
      <c r="C663" s="383"/>
      <c r="D663" s="383"/>
      <c r="E663" s="383"/>
      <c r="F663" s="383"/>
      <c r="G663" s="383"/>
      <c r="H663" s="383"/>
    </row>
    <row r="664" spans="1:8">
      <c r="A664" s="383"/>
      <c r="B664" s="383"/>
      <c r="C664" s="383"/>
      <c r="D664" s="383"/>
      <c r="E664" s="383"/>
      <c r="F664" s="383"/>
      <c r="G664" s="383"/>
      <c r="H664" s="383"/>
    </row>
    <row r="665" spans="1:8">
      <c r="A665" s="383"/>
      <c r="B665" s="383"/>
      <c r="C665" s="383"/>
      <c r="D665" s="383"/>
      <c r="E665" s="383"/>
      <c r="F665" s="383"/>
      <c r="G665" s="383"/>
      <c r="H665" s="383"/>
    </row>
    <row r="666" spans="1:8">
      <c r="A666" s="383"/>
      <c r="B666" s="383"/>
      <c r="C666" s="383"/>
      <c r="D666" s="383"/>
      <c r="E666" s="383"/>
      <c r="F666" s="383"/>
      <c r="G666" s="383"/>
      <c r="H666" s="383"/>
    </row>
    <row r="667" spans="1:8">
      <c r="A667" s="383"/>
      <c r="B667" s="383"/>
      <c r="C667" s="383"/>
      <c r="D667" s="383"/>
      <c r="E667" s="383"/>
      <c r="F667" s="383"/>
      <c r="G667" s="383"/>
      <c r="H667" s="383"/>
    </row>
    <row r="668" spans="1:8">
      <c r="A668" s="383"/>
      <c r="B668" s="383"/>
      <c r="C668" s="383"/>
      <c r="D668" s="383"/>
      <c r="E668" s="383"/>
      <c r="F668" s="383"/>
      <c r="G668" s="383"/>
      <c r="H668" s="383"/>
    </row>
    <row r="669" spans="1:8">
      <c r="A669" s="383"/>
      <c r="B669" s="383"/>
      <c r="C669" s="383"/>
      <c r="D669" s="383"/>
      <c r="E669" s="383"/>
      <c r="F669" s="383"/>
      <c r="G669" s="383"/>
      <c r="H669" s="383"/>
    </row>
    <row r="670" spans="1:8">
      <c r="A670" s="383"/>
      <c r="B670" s="383"/>
      <c r="C670" s="383"/>
      <c r="D670" s="383"/>
      <c r="E670" s="383"/>
      <c r="F670" s="383"/>
      <c r="G670" s="383"/>
      <c r="H670" s="383"/>
    </row>
    <row r="671" spans="1:8">
      <c r="A671" s="383"/>
      <c r="B671" s="383"/>
      <c r="C671" s="383"/>
      <c r="D671" s="383"/>
      <c r="E671" s="383"/>
      <c r="F671" s="383"/>
      <c r="G671" s="383"/>
      <c r="H671" s="383"/>
    </row>
    <row r="672" spans="1:8">
      <c r="A672" s="383"/>
      <c r="B672" s="383"/>
      <c r="C672" s="383"/>
      <c r="D672" s="383"/>
      <c r="E672" s="383"/>
      <c r="F672" s="383"/>
      <c r="G672" s="383"/>
      <c r="H672" s="383"/>
    </row>
    <row r="673" spans="1:8">
      <c r="A673" s="383"/>
      <c r="B673" s="383"/>
      <c r="C673" s="383"/>
      <c r="D673" s="383"/>
      <c r="E673" s="383"/>
      <c r="F673" s="383"/>
      <c r="G673" s="383"/>
      <c r="H673" s="383"/>
    </row>
    <row r="674" spans="1:8">
      <c r="A674" s="383"/>
      <c r="B674" s="383"/>
      <c r="C674" s="383"/>
      <c r="D674" s="383"/>
      <c r="E674" s="383"/>
      <c r="F674" s="383"/>
      <c r="G674" s="383"/>
      <c r="H674" s="383"/>
    </row>
    <row r="675" spans="1:8">
      <c r="A675" s="383"/>
      <c r="B675" s="383"/>
      <c r="C675" s="383"/>
      <c r="D675" s="383"/>
      <c r="E675" s="383"/>
      <c r="F675" s="383"/>
      <c r="G675" s="383"/>
      <c r="H675" s="383"/>
    </row>
    <row r="676" spans="1:8">
      <c r="A676" s="383"/>
      <c r="B676" s="383"/>
      <c r="C676" s="383"/>
      <c r="D676" s="383"/>
      <c r="E676" s="383"/>
      <c r="F676" s="383"/>
      <c r="G676" s="383"/>
      <c r="H676" s="383"/>
    </row>
    <row r="677" spans="1:8">
      <c r="A677" s="383"/>
      <c r="B677" s="383"/>
      <c r="C677" s="383"/>
      <c r="D677" s="383"/>
      <c r="E677" s="383"/>
      <c r="F677" s="383"/>
      <c r="G677" s="383"/>
      <c r="H677" s="383"/>
    </row>
    <row r="678" spans="1:8">
      <c r="A678" s="383"/>
      <c r="B678" s="383"/>
      <c r="C678" s="383"/>
      <c r="D678" s="383"/>
      <c r="E678" s="383"/>
      <c r="F678" s="383"/>
      <c r="G678" s="383"/>
      <c r="H678" s="383"/>
    </row>
    <row r="679" spans="1:8">
      <c r="A679" s="383"/>
      <c r="B679" s="383"/>
      <c r="C679" s="383"/>
      <c r="D679" s="383"/>
      <c r="E679" s="383"/>
      <c r="F679" s="383"/>
      <c r="G679" s="383"/>
      <c r="H679" s="383"/>
    </row>
    <row r="680" spans="1:8">
      <c r="A680" s="383"/>
      <c r="B680" s="383"/>
      <c r="C680" s="383"/>
      <c r="D680" s="383"/>
      <c r="E680" s="383"/>
      <c r="F680" s="383"/>
      <c r="G680" s="383"/>
      <c r="H680" s="383"/>
    </row>
    <row r="681" spans="1:8">
      <c r="A681" s="383"/>
      <c r="B681" s="383"/>
      <c r="C681" s="383"/>
      <c r="D681" s="383"/>
      <c r="E681" s="383"/>
      <c r="F681" s="383"/>
      <c r="G681" s="383"/>
      <c r="H681" s="383"/>
    </row>
    <row r="682" spans="1:8">
      <c r="A682" s="383"/>
      <c r="B682" s="383"/>
      <c r="C682" s="383"/>
      <c r="D682" s="383"/>
      <c r="E682" s="383"/>
      <c r="F682" s="383"/>
      <c r="G682" s="383"/>
      <c r="H682" s="383"/>
    </row>
    <row r="683" spans="1:8">
      <c r="A683" s="383"/>
      <c r="B683" s="383"/>
      <c r="C683" s="383"/>
      <c r="D683" s="383"/>
      <c r="E683" s="383"/>
      <c r="F683" s="383"/>
      <c r="G683" s="383"/>
      <c r="H683" s="383"/>
    </row>
    <row r="684" spans="1:8">
      <c r="A684" s="383"/>
      <c r="B684" s="383"/>
      <c r="C684" s="383"/>
      <c r="D684" s="383"/>
      <c r="E684" s="383"/>
      <c r="F684" s="383"/>
      <c r="G684" s="383"/>
      <c r="H684" s="383"/>
    </row>
    <row r="685" spans="1:8">
      <c r="A685" s="383"/>
      <c r="B685" s="383"/>
      <c r="C685" s="383"/>
      <c r="D685" s="383"/>
      <c r="E685" s="383"/>
      <c r="F685" s="383"/>
      <c r="G685" s="383"/>
      <c r="H685" s="383"/>
    </row>
    <row r="686" spans="1:8">
      <c r="A686" s="383"/>
      <c r="B686" s="383"/>
      <c r="C686" s="383"/>
      <c r="D686" s="383"/>
      <c r="E686" s="383"/>
      <c r="F686" s="383"/>
      <c r="G686" s="383"/>
      <c r="H686" s="383"/>
    </row>
    <row r="687" spans="1:8">
      <c r="A687" s="383"/>
      <c r="B687" s="383"/>
      <c r="C687" s="383"/>
      <c r="D687" s="383"/>
      <c r="E687" s="383"/>
      <c r="F687" s="383"/>
      <c r="G687" s="383"/>
      <c r="H687" s="383"/>
    </row>
    <row r="688" spans="1:8">
      <c r="A688" s="383"/>
      <c r="B688" s="383"/>
      <c r="C688" s="383"/>
      <c r="D688" s="383"/>
      <c r="E688" s="383"/>
      <c r="F688" s="383"/>
      <c r="G688" s="383"/>
      <c r="H688" s="383"/>
    </row>
    <row r="689" spans="1:8">
      <c r="A689" s="383"/>
      <c r="B689" s="383"/>
      <c r="C689" s="383"/>
      <c r="D689" s="383"/>
      <c r="E689" s="383"/>
      <c r="F689" s="383"/>
      <c r="G689" s="383"/>
      <c r="H689" s="383"/>
    </row>
    <row r="690" spans="1:8">
      <c r="A690" s="383"/>
      <c r="B690" s="383"/>
      <c r="C690" s="383"/>
      <c r="D690" s="383"/>
      <c r="E690" s="383"/>
      <c r="F690" s="383"/>
      <c r="G690" s="383"/>
      <c r="H690" s="383"/>
    </row>
    <row r="691" spans="1:8">
      <c r="A691" s="383"/>
      <c r="B691" s="383"/>
      <c r="C691" s="383"/>
      <c r="D691" s="383"/>
      <c r="E691" s="383"/>
      <c r="F691" s="383"/>
      <c r="G691" s="383"/>
      <c r="H691" s="383"/>
    </row>
    <row r="692" spans="1:8">
      <c r="A692" s="383"/>
      <c r="B692" s="383"/>
      <c r="C692" s="383"/>
      <c r="D692" s="383"/>
      <c r="E692" s="383"/>
      <c r="F692" s="383"/>
      <c r="G692" s="383"/>
      <c r="H692" s="383"/>
    </row>
    <row r="693" spans="1:8">
      <c r="A693" s="383"/>
      <c r="B693" s="383"/>
      <c r="C693" s="383"/>
      <c r="D693" s="383"/>
      <c r="E693" s="383"/>
      <c r="F693" s="383"/>
      <c r="G693" s="383"/>
      <c r="H693" s="383"/>
    </row>
    <row r="694" spans="1:8">
      <c r="A694" s="383"/>
      <c r="B694" s="383"/>
      <c r="C694" s="383"/>
      <c r="D694" s="383"/>
      <c r="E694" s="383"/>
      <c r="F694" s="383"/>
      <c r="G694" s="383"/>
      <c r="H694" s="383"/>
    </row>
    <row r="695" spans="1:8">
      <c r="A695" s="383"/>
      <c r="B695" s="383"/>
      <c r="C695" s="383"/>
      <c r="D695" s="383"/>
      <c r="E695" s="383"/>
      <c r="F695" s="383"/>
      <c r="G695" s="383"/>
      <c r="H695" s="383"/>
    </row>
    <row r="696" spans="1:8">
      <c r="A696" s="383"/>
      <c r="B696" s="383"/>
      <c r="C696" s="383"/>
      <c r="D696" s="383"/>
      <c r="E696" s="383"/>
      <c r="F696" s="383"/>
      <c r="G696" s="383"/>
      <c r="H696" s="383"/>
    </row>
    <row r="697" spans="1:8">
      <c r="A697" s="383"/>
      <c r="B697" s="383"/>
      <c r="C697" s="383"/>
      <c r="D697" s="383"/>
      <c r="E697" s="383"/>
      <c r="F697" s="383"/>
      <c r="G697" s="383"/>
      <c r="H697" s="383"/>
    </row>
    <row r="698" spans="1:8">
      <c r="A698" s="383"/>
      <c r="B698" s="383"/>
      <c r="C698" s="383"/>
      <c r="D698" s="383"/>
      <c r="E698" s="383"/>
      <c r="F698" s="383"/>
      <c r="G698" s="383"/>
      <c r="H698" s="383"/>
    </row>
    <row r="699" spans="1:8">
      <c r="A699" s="383"/>
      <c r="B699" s="383"/>
      <c r="C699" s="383"/>
      <c r="D699" s="383"/>
      <c r="E699" s="383"/>
      <c r="F699" s="383"/>
      <c r="G699" s="383"/>
      <c r="H699" s="383"/>
    </row>
    <row r="700" spans="1:8">
      <c r="A700" s="383"/>
      <c r="B700" s="383"/>
      <c r="C700" s="383"/>
      <c r="D700" s="383"/>
      <c r="E700" s="383"/>
      <c r="F700" s="383"/>
      <c r="G700" s="383"/>
      <c r="H700" s="383"/>
    </row>
    <row r="701" spans="1:8">
      <c r="A701" s="383"/>
      <c r="B701" s="383"/>
      <c r="C701" s="383"/>
      <c r="D701" s="383"/>
      <c r="E701" s="383"/>
      <c r="F701" s="383"/>
      <c r="G701" s="383"/>
      <c r="H701" s="383"/>
    </row>
    <row r="702" spans="1:8">
      <c r="A702" s="383"/>
      <c r="B702" s="383"/>
      <c r="C702" s="383"/>
      <c r="D702" s="383"/>
      <c r="E702" s="383"/>
      <c r="F702" s="383"/>
      <c r="G702" s="383"/>
      <c r="H702" s="383"/>
    </row>
    <row r="703" spans="1:8">
      <c r="A703" s="383"/>
      <c r="B703" s="383"/>
      <c r="C703" s="383"/>
      <c r="D703" s="383"/>
      <c r="E703" s="383"/>
      <c r="F703" s="383"/>
      <c r="G703" s="383"/>
      <c r="H703" s="383"/>
    </row>
    <row r="704" spans="1:8">
      <c r="A704" s="383"/>
      <c r="B704" s="383"/>
      <c r="C704" s="383"/>
      <c r="D704" s="383"/>
      <c r="E704" s="383"/>
      <c r="F704" s="383"/>
      <c r="G704" s="383"/>
      <c r="H704" s="383"/>
    </row>
    <row r="705" spans="1:8">
      <c r="A705" s="383"/>
      <c r="B705" s="383"/>
      <c r="C705" s="383"/>
      <c r="D705" s="383"/>
      <c r="E705" s="383"/>
      <c r="F705" s="383"/>
      <c r="G705" s="383"/>
      <c r="H705" s="383"/>
    </row>
    <row r="706" spans="1:8">
      <c r="A706" s="383"/>
      <c r="B706" s="383"/>
      <c r="C706" s="383"/>
      <c r="D706" s="383"/>
      <c r="E706" s="383"/>
      <c r="F706" s="383"/>
      <c r="G706" s="383"/>
      <c r="H706" s="383"/>
    </row>
    <row r="707" spans="1:8">
      <c r="A707" s="383"/>
      <c r="B707" s="383"/>
      <c r="C707" s="383"/>
      <c r="D707" s="383"/>
      <c r="E707" s="383"/>
      <c r="F707" s="383"/>
      <c r="G707" s="383"/>
      <c r="H707" s="383"/>
    </row>
    <row r="708" spans="1:8">
      <c r="A708" s="383"/>
      <c r="B708" s="383"/>
      <c r="C708" s="383"/>
      <c r="D708" s="383"/>
      <c r="E708" s="383"/>
      <c r="F708" s="383"/>
      <c r="G708" s="383"/>
      <c r="H708" s="383"/>
    </row>
    <row r="709" spans="1:8">
      <c r="A709" s="383"/>
      <c r="B709" s="383"/>
      <c r="C709" s="383"/>
      <c r="D709" s="383"/>
      <c r="E709" s="383"/>
      <c r="F709" s="383"/>
      <c r="G709" s="383"/>
      <c r="H709" s="383"/>
    </row>
    <row r="710" spans="1:8">
      <c r="A710" s="383"/>
      <c r="B710" s="383"/>
      <c r="C710" s="383"/>
      <c r="D710" s="383"/>
      <c r="E710" s="383"/>
      <c r="F710" s="383"/>
      <c r="G710" s="383"/>
      <c r="H710" s="383"/>
    </row>
    <row r="711" spans="1:8">
      <c r="A711" s="383"/>
      <c r="B711" s="383"/>
      <c r="C711" s="383"/>
      <c r="D711" s="383"/>
      <c r="E711" s="383"/>
      <c r="F711" s="383"/>
      <c r="G711" s="383"/>
      <c r="H711" s="383"/>
    </row>
    <row r="712" spans="1:8">
      <c r="A712" s="383"/>
      <c r="B712" s="383"/>
      <c r="C712" s="383"/>
      <c r="D712" s="383"/>
      <c r="E712" s="383"/>
      <c r="F712" s="383"/>
      <c r="G712" s="383"/>
      <c r="H712" s="383"/>
    </row>
    <row r="713" spans="1:8">
      <c r="A713" s="383"/>
      <c r="B713" s="383"/>
      <c r="C713" s="383"/>
      <c r="D713" s="383"/>
      <c r="E713" s="383"/>
      <c r="F713" s="383"/>
      <c r="G713" s="383"/>
      <c r="H713" s="383"/>
    </row>
    <row r="714" spans="1:8">
      <c r="A714" s="383"/>
      <c r="B714" s="383"/>
      <c r="C714" s="383"/>
      <c r="D714" s="383"/>
      <c r="E714" s="383"/>
      <c r="F714" s="383"/>
      <c r="G714" s="383"/>
      <c r="H714" s="383"/>
    </row>
    <row r="715" spans="1:8">
      <c r="A715" s="383"/>
      <c r="B715" s="383"/>
      <c r="C715" s="383"/>
      <c r="D715" s="383"/>
      <c r="E715" s="383"/>
      <c r="F715" s="383"/>
      <c r="G715" s="383"/>
      <c r="H715" s="383"/>
    </row>
    <row r="716" spans="1:8">
      <c r="A716" s="383"/>
      <c r="B716" s="383"/>
      <c r="C716" s="383"/>
      <c r="D716" s="383"/>
      <c r="E716" s="383"/>
      <c r="F716" s="383"/>
      <c r="G716" s="383"/>
      <c r="H716" s="383"/>
    </row>
    <row r="717" spans="1:8">
      <c r="A717" s="383"/>
      <c r="B717" s="383"/>
      <c r="C717" s="383"/>
      <c r="D717" s="383"/>
      <c r="E717" s="383"/>
      <c r="F717" s="383"/>
      <c r="G717" s="383"/>
      <c r="H717" s="383"/>
    </row>
    <row r="718" spans="1:8">
      <c r="A718" s="383"/>
      <c r="B718" s="383"/>
      <c r="C718" s="383"/>
      <c r="D718" s="383"/>
      <c r="E718" s="383"/>
      <c r="F718" s="383"/>
      <c r="G718" s="383"/>
      <c r="H718" s="383"/>
    </row>
    <row r="719" spans="1:8">
      <c r="A719" s="383"/>
      <c r="B719" s="383"/>
      <c r="C719" s="383"/>
      <c r="D719" s="383"/>
      <c r="E719" s="383"/>
      <c r="F719" s="383"/>
      <c r="G719" s="383"/>
      <c r="H719" s="383"/>
    </row>
    <row r="720" spans="1:8">
      <c r="A720" s="383"/>
      <c r="B720" s="383"/>
      <c r="C720" s="383"/>
      <c r="D720" s="383"/>
      <c r="E720" s="383"/>
      <c r="F720" s="383"/>
      <c r="G720" s="383"/>
      <c r="H720" s="383"/>
    </row>
    <row r="721" spans="1:8">
      <c r="A721" s="383"/>
      <c r="B721" s="383"/>
      <c r="C721" s="383"/>
      <c r="D721" s="383"/>
      <c r="E721" s="383"/>
      <c r="F721" s="383"/>
      <c r="G721" s="383"/>
      <c r="H721" s="383"/>
    </row>
    <row r="722" spans="1:8">
      <c r="A722" s="383"/>
      <c r="B722" s="383"/>
      <c r="C722" s="383"/>
      <c r="D722" s="383"/>
      <c r="E722" s="383"/>
      <c r="F722" s="383"/>
      <c r="G722" s="383"/>
      <c r="H722" s="383"/>
    </row>
    <row r="723" spans="1:8">
      <c r="A723" s="383"/>
      <c r="B723" s="383"/>
      <c r="C723" s="383"/>
      <c r="D723" s="383"/>
      <c r="E723" s="383"/>
      <c r="F723" s="383"/>
      <c r="G723" s="383"/>
      <c r="H723" s="383"/>
    </row>
    <row r="724" spans="1:8">
      <c r="A724" s="383"/>
      <c r="B724" s="383"/>
      <c r="C724" s="383"/>
      <c r="D724" s="383"/>
      <c r="E724" s="383"/>
      <c r="F724" s="383"/>
      <c r="G724" s="383"/>
      <c r="H724" s="383"/>
    </row>
    <row r="725" spans="1:8">
      <c r="A725" s="383"/>
      <c r="B725" s="383"/>
      <c r="C725" s="383"/>
      <c r="D725" s="383"/>
      <c r="E725" s="383"/>
      <c r="F725" s="383"/>
      <c r="G725" s="383"/>
      <c r="H725" s="383"/>
    </row>
    <row r="726" spans="1:8">
      <c r="A726" s="383"/>
      <c r="B726" s="383"/>
      <c r="C726" s="383"/>
      <c r="D726" s="383"/>
      <c r="E726" s="383"/>
      <c r="F726" s="383"/>
      <c r="G726" s="383"/>
      <c r="H726" s="383"/>
    </row>
    <row r="727" spans="1:8">
      <c r="A727" s="383"/>
      <c r="B727" s="383"/>
      <c r="C727" s="383"/>
      <c r="D727" s="383"/>
      <c r="E727" s="383"/>
      <c r="F727" s="383"/>
      <c r="G727" s="383"/>
      <c r="H727" s="383"/>
    </row>
    <row r="728" spans="1:8">
      <c r="A728" s="383"/>
      <c r="B728" s="383"/>
      <c r="C728" s="383"/>
      <c r="D728" s="383"/>
      <c r="E728" s="383"/>
      <c r="F728" s="383"/>
      <c r="G728" s="383"/>
      <c r="H728" s="383"/>
    </row>
    <row r="729" spans="1:8">
      <c r="A729" s="383"/>
      <c r="B729" s="383"/>
      <c r="C729" s="383"/>
      <c r="D729" s="383"/>
      <c r="E729" s="383"/>
      <c r="F729" s="383"/>
      <c r="G729" s="383"/>
      <c r="H729" s="383"/>
    </row>
    <row r="730" spans="1:8">
      <c r="A730" s="383"/>
      <c r="B730" s="383"/>
      <c r="C730" s="383"/>
      <c r="D730" s="383"/>
      <c r="E730" s="383"/>
      <c r="F730" s="383"/>
      <c r="G730" s="383"/>
      <c r="H730" s="383"/>
    </row>
    <row r="731" spans="1:8">
      <c r="A731" s="383"/>
      <c r="B731" s="383"/>
      <c r="C731" s="383"/>
      <c r="D731" s="383"/>
      <c r="E731" s="383"/>
      <c r="F731" s="383"/>
      <c r="G731" s="383"/>
      <c r="H731" s="383"/>
    </row>
    <row r="732" spans="1:8">
      <c r="A732" s="383"/>
      <c r="B732" s="383"/>
      <c r="C732" s="383"/>
      <c r="D732" s="383"/>
      <c r="E732" s="383"/>
      <c r="F732" s="383"/>
      <c r="G732" s="383"/>
      <c r="H732" s="383"/>
    </row>
    <row r="733" spans="1:8">
      <c r="A733" s="383"/>
      <c r="B733" s="383"/>
      <c r="C733" s="383"/>
      <c r="D733" s="383"/>
      <c r="E733" s="383"/>
      <c r="F733" s="383"/>
      <c r="G733" s="383"/>
      <c r="H733" s="383"/>
    </row>
    <row r="734" spans="1:8">
      <c r="A734" s="383"/>
      <c r="B734" s="383"/>
      <c r="C734" s="383"/>
      <c r="D734" s="383"/>
      <c r="E734" s="383"/>
      <c r="F734" s="383"/>
      <c r="G734" s="383"/>
      <c r="H734" s="383"/>
    </row>
    <row r="735" spans="1:8">
      <c r="A735" s="383"/>
      <c r="B735" s="383"/>
      <c r="C735" s="383"/>
      <c r="D735" s="383"/>
      <c r="E735" s="383"/>
      <c r="F735" s="383"/>
      <c r="G735" s="383"/>
      <c r="H735" s="383"/>
    </row>
    <row r="736" spans="1:8">
      <c r="A736" s="383"/>
      <c r="B736" s="383"/>
      <c r="C736" s="383"/>
      <c r="D736" s="383"/>
      <c r="E736" s="383"/>
      <c r="F736" s="383"/>
      <c r="G736" s="383"/>
      <c r="H736" s="383"/>
    </row>
    <row r="737" spans="1:8">
      <c r="A737" s="383"/>
      <c r="B737" s="383"/>
      <c r="C737" s="383"/>
      <c r="D737" s="383"/>
      <c r="E737" s="383"/>
      <c r="F737" s="383"/>
      <c r="G737" s="383"/>
      <c r="H737" s="383"/>
    </row>
    <row r="738" spans="1:8">
      <c r="A738" s="383"/>
      <c r="B738" s="383"/>
      <c r="C738" s="383"/>
      <c r="D738" s="383"/>
      <c r="E738" s="383"/>
      <c r="F738" s="383"/>
      <c r="G738" s="383"/>
      <c r="H738" s="383"/>
    </row>
    <row r="739" spans="1:8">
      <c r="A739" s="383"/>
      <c r="B739" s="383"/>
      <c r="C739" s="383"/>
      <c r="D739" s="383"/>
      <c r="E739" s="383"/>
      <c r="F739" s="383"/>
      <c r="G739" s="383"/>
      <c r="H739" s="383"/>
    </row>
    <row r="740" spans="1:8">
      <c r="A740" s="383"/>
      <c r="B740" s="383"/>
      <c r="C740" s="383"/>
      <c r="D740" s="383"/>
      <c r="E740" s="383"/>
      <c r="F740" s="383"/>
      <c r="G740" s="383"/>
      <c r="H740" s="383"/>
    </row>
    <row r="741" spans="1:8">
      <c r="A741" s="383"/>
      <c r="B741" s="383"/>
      <c r="C741" s="383"/>
      <c r="D741" s="383"/>
      <c r="E741" s="383"/>
      <c r="F741" s="383"/>
      <c r="G741" s="383"/>
      <c r="H741" s="383"/>
    </row>
    <row r="742" spans="1:8">
      <c r="A742" s="383"/>
      <c r="B742" s="383"/>
      <c r="C742" s="383"/>
      <c r="D742" s="383"/>
      <c r="E742" s="383"/>
      <c r="F742" s="383"/>
      <c r="G742" s="383"/>
      <c r="H742" s="383"/>
    </row>
    <row r="743" spans="1:8">
      <c r="A743" s="383"/>
      <c r="B743" s="383"/>
      <c r="C743" s="383"/>
      <c r="D743" s="383"/>
      <c r="E743" s="383"/>
      <c r="F743" s="383"/>
      <c r="G743" s="383"/>
      <c r="H743" s="383"/>
    </row>
    <row r="744" spans="1:8">
      <c r="A744" s="383"/>
      <c r="B744" s="383"/>
      <c r="C744" s="383"/>
      <c r="D744" s="383"/>
      <c r="E744" s="383"/>
      <c r="F744" s="383"/>
      <c r="G744" s="383"/>
      <c r="H744" s="383"/>
    </row>
    <row r="745" spans="1:8">
      <c r="A745" s="383"/>
      <c r="B745" s="383"/>
      <c r="C745" s="383"/>
      <c r="D745" s="383"/>
      <c r="E745" s="383"/>
      <c r="F745" s="383"/>
      <c r="G745" s="383"/>
      <c r="H745" s="383"/>
    </row>
    <row r="746" spans="1:8">
      <c r="A746" s="383"/>
      <c r="B746" s="383"/>
      <c r="C746" s="383"/>
      <c r="D746" s="383"/>
      <c r="E746" s="383"/>
      <c r="F746" s="383"/>
      <c r="G746" s="383"/>
      <c r="H746" s="383"/>
    </row>
    <row r="747" spans="1:8">
      <c r="A747" s="383"/>
      <c r="B747" s="383"/>
      <c r="C747" s="383"/>
      <c r="D747" s="383"/>
      <c r="E747" s="383"/>
      <c r="F747" s="383"/>
      <c r="G747" s="383"/>
      <c r="H747" s="383"/>
    </row>
    <row r="748" spans="1:8">
      <c r="A748" s="383"/>
      <c r="B748" s="383"/>
      <c r="C748" s="383"/>
      <c r="D748" s="383"/>
      <c r="E748" s="383"/>
      <c r="F748" s="383"/>
      <c r="G748" s="383"/>
      <c r="H748" s="383"/>
    </row>
    <row r="749" spans="1:8">
      <c r="A749" s="383"/>
      <c r="B749" s="383"/>
      <c r="C749" s="383"/>
      <c r="D749" s="383"/>
      <c r="E749" s="383"/>
      <c r="F749" s="383"/>
      <c r="G749" s="383"/>
      <c r="H749" s="383"/>
    </row>
    <row r="750" spans="1:8">
      <c r="A750" s="383"/>
      <c r="B750" s="383"/>
      <c r="C750" s="383"/>
      <c r="D750" s="383"/>
      <c r="E750" s="383"/>
      <c r="F750" s="383"/>
      <c r="G750" s="383"/>
      <c r="H750" s="383"/>
    </row>
    <row r="751" spans="1:8">
      <c r="A751" s="383"/>
      <c r="B751" s="383"/>
      <c r="C751" s="383"/>
      <c r="D751" s="383"/>
      <c r="E751" s="383"/>
      <c r="F751" s="383"/>
      <c r="G751" s="383"/>
      <c r="H751" s="383"/>
    </row>
    <row r="752" spans="1:8">
      <c r="A752" s="383"/>
      <c r="B752" s="383"/>
      <c r="C752" s="383"/>
      <c r="D752" s="383"/>
      <c r="E752" s="383"/>
      <c r="F752" s="383"/>
      <c r="G752" s="383"/>
      <c r="H752" s="383"/>
    </row>
    <row r="753" spans="1:8">
      <c r="A753" s="383"/>
      <c r="B753" s="383"/>
      <c r="C753" s="383"/>
      <c r="D753" s="383"/>
      <c r="E753" s="383"/>
      <c r="F753" s="383"/>
      <c r="G753" s="383"/>
      <c r="H753" s="383"/>
    </row>
    <row r="754" spans="1:8">
      <c r="A754" s="383"/>
      <c r="B754" s="383"/>
      <c r="C754" s="383"/>
      <c r="D754" s="383"/>
      <c r="E754" s="383"/>
      <c r="F754" s="383"/>
      <c r="G754" s="383"/>
      <c r="H754" s="383"/>
    </row>
    <row r="755" spans="1:8">
      <c r="A755" s="383"/>
      <c r="B755" s="383"/>
      <c r="C755" s="383"/>
      <c r="D755" s="383"/>
      <c r="E755" s="383"/>
      <c r="F755" s="383"/>
      <c r="G755" s="383"/>
      <c r="H755" s="383"/>
    </row>
    <row r="756" spans="1:8">
      <c r="A756" s="383"/>
      <c r="B756" s="383"/>
      <c r="C756" s="383"/>
      <c r="D756" s="383"/>
      <c r="E756" s="383"/>
      <c r="F756" s="383"/>
      <c r="G756" s="383"/>
      <c r="H756" s="383"/>
    </row>
    <row r="757" spans="1:8">
      <c r="A757" s="383"/>
      <c r="B757" s="383"/>
      <c r="C757" s="383"/>
      <c r="D757" s="383"/>
      <c r="E757" s="383"/>
      <c r="F757" s="383"/>
      <c r="G757" s="383"/>
      <c r="H757" s="383"/>
    </row>
    <row r="758" spans="1:8">
      <c r="A758" s="383"/>
      <c r="B758" s="383"/>
      <c r="C758" s="383"/>
      <c r="D758" s="383"/>
      <c r="E758" s="383"/>
      <c r="F758" s="383"/>
      <c r="G758" s="383"/>
      <c r="H758" s="383"/>
    </row>
    <row r="759" spans="1:8">
      <c r="A759" s="383"/>
      <c r="B759" s="383"/>
      <c r="C759" s="383"/>
      <c r="D759" s="383"/>
      <c r="E759" s="383"/>
      <c r="F759" s="383"/>
      <c r="G759" s="383"/>
      <c r="H759" s="383"/>
    </row>
    <row r="760" spans="1:8">
      <c r="A760" s="383"/>
      <c r="B760" s="383"/>
      <c r="C760" s="383"/>
      <c r="D760" s="383"/>
      <c r="E760" s="383"/>
      <c r="F760" s="383"/>
      <c r="G760" s="383"/>
      <c r="H760" s="383"/>
    </row>
    <row r="761" spans="1:8">
      <c r="A761" s="383"/>
      <c r="B761" s="383"/>
      <c r="C761" s="383"/>
      <c r="D761" s="383"/>
      <c r="E761" s="383"/>
      <c r="F761" s="383"/>
      <c r="G761" s="383"/>
      <c r="H761" s="383"/>
    </row>
    <row r="762" spans="1:8">
      <c r="A762" s="383"/>
      <c r="B762" s="383"/>
      <c r="C762" s="383"/>
      <c r="D762" s="383"/>
      <c r="E762" s="383"/>
      <c r="F762" s="383"/>
      <c r="G762" s="383"/>
      <c r="H762" s="383"/>
    </row>
    <row r="763" spans="1:8">
      <c r="A763" s="383"/>
      <c r="B763" s="383"/>
      <c r="C763" s="383"/>
      <c r="D763" s="383"/>
      <c r="E763" s="383"/>
      <c r="F763" s="383"/>
      <c r="G763" s="383"/>
      <c r="H763" s="383"/>
    </row>
    <row r="764" spans="1:8">
      <c r="A764" s="383"/>
      <c r="B764" s="383"/>
      <c r="C764" s="383"/>
      <c r="D764" s="383"/>
      <c r="E764" s="383"/>
      <c r="F764" s="383"/>
      <c r="G764" s="383"/>
      <c r="H764" s="383"/>
    </row>
    <row r="765" spans="1:8">
      <c r="A765" s="383"/>
      <c r="B765" s="383"/>
      <c r="C765" s="383"/>
      <c r="D765" s="383"/>
      <c r="E765" s="383"/>
      <c r="F765" s="383"/>
      <c r="G765" s="383"/>
      <c r="H765" s="383"/>
    </row>
    <row r="766" spans="1:8">
      <c r="A766" s="383"/>
      <c r="B766" s="383"/>
      <c r="C766" s="383"/>
      <c r="D766" s="383"/>
      <c r="E766" s="383"/>
      <c r="F766" s="383"/>
      <c r="G766" s="383"/>
      <c r="H766" s="383"/>
    </row>
    <row r="767" spans="1:8">
      <c r="A767" s="383"/>
      <c r="B767" s="383"/>
      <c r="C767" s="383"/>
      <c r="D767" s="383"/>
      <c r="E767" s="383"/>
      <c r="F767" s="383"/>
      <c r="G767" s="383"/>
      <c r="H767" s="383"/>
    </row>
    <row r="768" spans="1:8">
      <c r="A768" s="383"/>
      <c r="B768" s="383"/>
      <c r="C768" s="383"/>
      <c r="D768" s="383"/>
      <c r="E768" s="383"/>
      <c r="F768" s="383"/>
      <c r="G768" s="383"/>
      <c r="H768" s="383"/>
    </row>
    <row r="769" spans="1:8">
      <c r="A769" s="383"/>
      <c r="B769" s="383"/>
      <c r="C769" s="383"/>
      <c r="D769" s="383"/>
      <c r="E769" s="383"/>
      <c r="F769" s="383"/>
      <c r="G769" s="383"/>
      <c r="H769" s="383"/>
    </row>
    <row r="770" spans="1:8">
      <c r="A770" s="383"/>
      <c r="B770" s="383"/>
      <c r="C770" s="383"/>
      <c r="D770" s="383"/>
      <c r="E770" s="383"/>
      <c r="F770" s="383"/>
      <c r="G770" s="383"/>
      <c r="H770" s="383"/>
    </row>
    <row r="771" spans="1:8">
      <c r="A771" s="383"/>
      <c r="B771" s="383"/>
      <c r="C771" s="383"/>
      <c r="D771" s="383"/>
      <c r="E771" s="383"/>
      <c r="F771" s="383"/>
      <c r="G771" s="383"/>
      <c r="H771" s="383"/>
    </row>
    <row r="772" spans="1:8">
      <c r="A772" s="383"/>
      <c r="B772" s="383"/>
      <c r="C772" s="383"/>
      <c r="D772" s="383"/>
      <c r="E772" s="383"/>
      <c r="F772" s="383"/>
      <c r="G772" s="383"/>
      <c r="H772" s="383"/>
    </row>
    <row r="773" spans="1:8">
      <c r="A773" s="383"/>
      <c r="B773" s="383"/>
      <c r="C773" s="383"/>
      <c r="D773" s="383"/>
      <c r="E773" s="383"/>
      <c r="F773" s="383"/>
      <c r="G773" s="383"/>
      <c r="H773" s="383"/>
    </row>
    <row r="774" spans="1:8">
      <c r="A774" s="383"/>
      <c r="B774" s="383"/>
      <c r="C774" s="383"/>
      <c r="D774" s="383"/>
      <c r="E774" s="383"/>
      <c r="F774" s="383"/>
      <c r="G774" s="383"/>
      <c r="H774" s="383"/>
    </row>
    <row r="775" spans="1:8">
      <c r="A775" s="383"/>
      <c r="B775" s="383"/>
      <c r="C775" s="383"/>
      <c r="D775" s="383"/>
      <c r="E775" s="383"/>
      <c r="F775" s="383"/>
      <c r="G775" s="383"/>
      <c r="H775" s="383"/>
    </row>
    <row r="776" spans="1:8">
      <c r="A776" s="383"/>
      <c r="B776" s="383"/>
      <c r="C776" s="383"/>
      <c r="D776" s="383"/>
      <c r="E776" s="383"/>
      <c r="F776" s="383"/>
      <c r="G776" s="383"/>
      <c r="H776" s="383"/>
    </row>
    <row r="777" spans="1:8">
      <c r="A777" s="383"/>
      <c r="B777" s="383"/>
      <c r="C777" s="383"/>
      <c r="D777" s="383"/>
      <c r="E777" s="383"/>
      <c r="F777" s="383"/>
      <c r="G777" s="383"/>
      <c r="H777" s="383"/>
    </row>
    <row r="778" spans="1:8">
      <c r="A778" s="383"/>
      <c r="B778" s="383"/>
      <c r="C778" s="383"/>
      <c r="D778" s="383"/>
      <c r="E778" s="383"/>
      <c r="F778" s="383"/>
      <c r="G778" s="383"/>
      <c r="H778" s="383"/>
    </row>
    <row r="779" spans="1:8">
      <c r="A779" s="383"/>
      <c r="B779" s="383"/>
      <c r="C779" s="383"/>
      <c r="D779" s="383"/>
      <c r="E779" s="383"/>
      <c r="F779" s="383"/>
      <c r="G779" s="383"/>
      <c r="H779" s="383"/>
    </row>
    <row r="780" spans="1:8">
      <c r="A780" s="383"/>
      <c r="B780" s="383"/>
      <c r="C780" s="383"/>
      <c r="D780" s="383"/>
      <c r="E780" s="383"/>
      <c r="F780" s="383"/>
      <c r="G780" s="383"/>
      <c r="H780" s="383"/>
    </row>
    <row r="781" spans="1:8">
      <c r="A781" s="383"/>
      <c r="B781" s="383"/>
      <c r="C781" s="383"/>
      <c r="D781" s="383"/>
      <c r="E781" s="383"/>
      <c r="F781" s="383"/>
      <c r="G781" s="383"/>
      <c r="H781" s="383"/>
    </row>
    <row r="782" spans="1:8">
      <c r="A782" s="383"/>
      <c r="B782" s="383"/>
      <c r="C782" s="383"/>
      <c r="D782" s="383"/>
      <c r="E782" s="383"/>
      <c r="F782" s="383"/>
      <c r="G782" s="383"/>
      <c r="H782" s="383"/>
    </row>
    <row r="783" spans="1:8">
      <c r="A783" s="383"/>
      <c r="B783" s="383"/>
      <c r="C783" s="383"/>
      <c r="D783" s="383"/>
      <c r="E783" s="383"/>
      <c r="F783" s="383"/>
      <c r="G783" s="383"/>
      <c r="H783" s="383"/>
    </row>
    <row r="784" spans="1:8">
      <c r="A784" s="383"/>
      <c r="B784" s="383"/>
      <c r="C784" s="383"/>
      <c r="D784" s="383"/>
      <c r="E784" s="383"/>
      <c r="F784" s="383"/>
      <c r="G784" s="383"/>
      <c r="H784" s="383"/>
    </row>
    <row r="785" spans="1:8">
      <c r="A785" s="383"/>
      <c r="B785" s="383"/>
      <c r="C785" s="383"/>
      <c r="D785" s="383"/>
      <c r="E785" s="383"/>
      <c r="F785" s="383"/>
      <c r="G785" s="383"/>
      <c r="H785" s="383"/>
    </row>
    <row r="786" spans="1:8">
      <c r="A786" s="383"/>
      <c r="B786" s="383"/>
      <c r="C786" s="383"/>
      <c r="D786" s="383"/>
      <c r="E786" s="383"/>
      <c r="F786" s="383"/>
      <c r="G786" s="383"/>
      <c r="H786" s="383"/>
    </row>
    <row r="787" spans="1:8">
      <c r="A787" s="383"/>
      <c r="B787" s="383"/>
      <c r="C787" s="383"/>
      <c r="D787" s="383"/>
      <c r="E787" s="383"/>
      <c r="F787" s="383"/>
      <c r="G787" s="383"/>
      <c r="H787" s="383"/>
    </row>
    <row r="788" spans="1:8">
      <c r="A788" s="383"/>
      <c r="B788" s="383"/>
      <c r="C788" s="383"/>
      <c r="D788" s="383"/>
      <c r="E788" s="383"/>
      <c r="F788" s="383"/>
      <c r="G788" s="383"/>
      <c r="H788" s="383"/>
    </row>
    <row r="789" spans="1:8">
      <c r="A789" s="383"/>
      <c r="B789" s="383"/>
      <c r="C789" s="383"/>
      <c r="D789" s="383"/>
      <c r="E789" s="383"/>
      <c r="F789" s="383"/>
      <c r="G789" s="383"/>
      <c r="H789" s="383"/>
    </row>
    <row r="790" spans="1:8">
      <c r="A790" s="383"/>
      <c r="B790" s="383"/>
      <c r="C790" s="383"/>
      <c r="D790" s="383"/>
      <c r="E790" s="383"/>
      <c r="F790" s="383"/>
      <c r="G790" s="383"/>
      <c r="H790" s="383"/>
    </row>
    <row r="791" spans="1:8">
      <c r="A791" s="383"/>
      <c r="B791" s="383"/>
      <c r="C791" s="383"/>
      <c r="D791" s="383"/>
      <c r="E791" s="383"/>
      <c r="F791" s="383"/>
      <c r="G791" s="383"/>
      <c r="H791" s="383"/>
    </row>
    <row r="792" spans="1:8">
      <c r="A792" s="383"/>
      <c r="B792" s="383"/>
      <c r="C792" s="383"/>
      <c r="D792" s="383"/>
      <c r="E792" s="383"/>
      <c r="F792" s="383"/>
      <c r="G792" s="383"/>
      <c r="H792" s="383"/>
    </row>
    <row r="793" spans="1:8">
      <c r="A793" s="383"/>
      <c r="B793" s="383"/>
      <c r="C793" s="383"/>
      <c r="D793" s="383"/>
      <c r="E793" s="383"/>
      <c r="F793" s="383"/>
      <c r="G793" s="383"/>
      <c r="H793" s="383"/>
    </row>
    <row r="794" spans="1:8">
      <c r="A794" s="383"/>
      <c r="B794" s="383"/>
      <c r="C794" s="383"/>
      <c r="D794" s="383"/>
      <c r="E794" s="383"/>
      <c r="F794" s="383"/>
      <c r="G794" s="383"/>
      <c r="H794" s="383"/>
    </row>
    <row r="795" spans="1:8">
      <c r="A795" s="383"/>
      <c r="B795" s="383"/>
      <c r="C795" s="383"/>
      <c r="D795" s="383"/>
      <c r="E795" s="383"/>
      <c r="F795" s="383"/>
      <c r="G795" s="383"/>
      <c r="H795" s="383"/>
    </row>
    <row r="796" spans="1:8">
      <c r="A796" s="383"/>
      <c r="B796" s="383"/>
      <c r="C796" s="383"/>
      <c r="D796" s="383"/>
      <c r="E796" s="383"/>
      <c r="F796" s="383"/>
      <c r="G796" s="383"/>
      <c r="H796" s="383"/>
    </row>
    <row r="797" spans="1:8">
      <c r="A797" s="383"/>
      <c r="B797" s="383"/>
      <c r="C797" s="383"/>
      <c r="D797" s="383"/>
      <c r="E797" s="383"/>
      <c r="F797" s="383"/>
      <c r="G797" s="383"/>
      <c r="H797" s="383"/>
    </row>
    <row r="798" spans="1:8">
      <c r="A798" s="383"/>
      <c r="B798" s="383"/>
      <c r="C798" s="383"/>
      <c r="D798" s="383"/>
      <c r="E798" s="383"/>
      <c r="F798" s="383"/>
      <c r="G798" s="383"/>
      <c r="H798" s="383"/>
    </row>
    <row r="799" spans="1:8">
      <c r="A799" s="383"/>
      <c r="B799" s="383"/>
      <c r="C799" s="383"/>
      <c r="D799" s="383"/>
      <c r="E799" s="383"/>
      <c r="F799" s="383"/>
      <c r="G799" s="383"/>
      <c r="H799" s="383"/>
    </row>
    <row r="800" spans="1:8">
      <c r="A800" s="383"/>
      <c r="B800" s="383"/>
      <c r="C800" s="383"/>
      <c r="D800" s="383"/>
      <c r="E800" s="383"/>
      <c r="F800" s="383"/>
      <c r="G800" s="383"/>
      <c r="H800" s="383"/>
    </row>
    <row r="801" spans="1:8">
      <c r="A801" s="383"/>
      <c r="B801" s="383"/>
      <c r="C801" s="383"/>
      <c r="D801" s="383"/>
      <c r="E801" s="383"/>
      <c r="F801" s="383"/>
      <c r="G801" s="383"/>
      <c r="H801" s="383"/>
    </row>
    <row r="802" spans="1:8">
      <c r="A802" s="383"/>
      <c r="B802" s="383"/>
      <c r="C802" s="383"/>
      <c r="D802" s="383"/>
      <c r="E802" s="383"/>
      <c r="F802" s="383"/>
      <c r="G802" s="383"/>
      <c r="H802" s="383"/>
    </row>
    <row r="803" spans="1:8">
      <c r="A803" s="383"/>
      <c r="B803" s="383"/>
      <c r="C803" s="383"/>
      <c r="D803" s="383"/>
      <c r="E803" s="383"/>
      <c r="F803" s="383"/>
      <c r="G803" s="383"/>
      <c r="H803" s="383"/>
    </row>
    <row r="804" spans="1:8">
      <c r="A804" s="383"/>
      <c r="B804" s="383"/>
      <c r="C804" s="383"/>
      <c r="D804" s="383"/>
      <c r="E804" s="383"/>
      <c r="F804" s="383"/>
      <c r="G804" s="383"/>
      <c r="H804" s="383"/>
    </row>
    <row r="805" spans="1:8">
      <c r="A805" s="383"/>
      <c r="B805" s="383"/>
      <c r="C805" s="383"/>
      <c r="D805" s="383"/>
      <c r="E805" s="383"/>
      <c r="F805" s="383"/>
      <c r="G805" s="383"/>
      <c r="H805" s="383"/>
    </row>
    <row r="806" spans="1:8">
      <c r="A806" s="383"/>
      <c r="B806" s="383"/>
      <c r="C806" s="383"/>
      <c r="D806" s="383"/>
      <c r="E806" s="383"/>
      <c r="F806" s="383"/>
      <c r="G806" s="383"/>
      <c r="H806" s="383"/>
    </row>
    <row r="807" spans="1:8">
      <c r="A807" s="383"/>
      <c r="B807" s="383"/>
      <c r="C807" s="383"/>
      <c r="D807" s="383"/>
      <c r="E807" s="383"/>
      <c r="F807" s="383"/>
      <c r="G807" s="383"/>
      <c r="H807" s="383"/>
    </row>
    <row r="808" spans="1:8">
      <c r="A808" s="383"/>
      <c r="B808" s="383"/>
      <c r="C808" s="383"/>
      <c r="D808" s="383"/>
      <c r="E808" s="383"/>
      <c r="F808" s="383"/>
      <c r="G808" s="383"/>
      <c r="H808" s="383"/>
    </row>
    <row r="809" spans="1:8">
      <c r="A809" s="383"/>
      <c r="B809" s="383"/>
      <c r="C809" s="383"/>
      <c r="D809" s="383"/>
      <c r="E809" s="383"/>
      <c r="F809" s="383"/>
      <c r="G809" s="383"/>
      <c r="H809" s="383"/>
    </row>
    <row r="810" spans="1:8">
      <c r="A810" s="383"/>
      <c r="B810" s="383"/>
      <c r="C810" s="383"/>
      <c r="D810" s="383"/>
      <c r="E810" s="383"/>
      <c r="F810" s="383"/>
      <c r="G810" s="383"/>
      <c r="H810" s="383"/>
    </row>
    <row r="811" spans="1:8">
      <c r="A811" s="383"/>
      <c r="B811" s="383"/>
      <c r="C811" s="383"/>
      <c r="D811" s="383"/>
      <c r="E811" s="383"/>
      <c r="F811" s="383"/>
      <c r="G811" s="383"/>
      <c r="H811" s="383"/>
    </row>
    <row r="812" spans="1:8">
      <c r="A812" s="383"/>
      <c r="B812" s="383"/>
      <c r="C812" s="383"/>
      <c r="D812" s="383"/>
      <c r="E812" s="383"/>
      <c r="F812" s="383"/>
      <c r="G812" s="383"/>
      <c r="H812" s="383"/>
    </row>
    <row r="813" spans="1:8">
      <c r="A813" s="383"/>
      <c r="B813" s="383"/>
      <c r="C813" s="383"/>
      <c r="D813" s="383"/>
      <c r="E813" s="383"/>
      <c r="F813" s="383"/>
      <c r="G813" s="383"/>
      <c r="H813" s="383"/>
    </row>
    <row r="814" spans="1:8">
      <c r="A814" s="383"/>
      <c r="B814" s="383"/>
      <c r="C814" s="383"/>
      <c r="D814" s="383"/>
      <c r="E814" s="383"/>
      <c r="F814" s="383"/>
      <c r="G814" s="383"/>
      <c r="H814" s="383"/>
    </row>
    <row r="815" spans="1:8">
      <c r="A815" s="383"/>
      <c r="B815" s="383"/>
      <c r="C815" s="383"/>
      <c r="D815" s="383"/>
      <c r="E815" s="383"/>
      <c r="F815" s="383"/>
      <c r="G815" s="383"/>
      <c r="H815" s="383"/>
    </row>
    <row r="816" spans="1:8">
      <c r="A816" s="383"/>
      <c r="B816" s="383"/>
      <c r="C816" s="383"/>
      <c r="D816" s="383"/>
      <c r="E816" s="383"/>
      <c r="F816" s="383"/>
      <c r="G816" s="383"/>
      <c r="H816" s="383"/>
    </row>
    <row r="817" spans="1:8">
      <c r="A817" s="383"/>
      <c r="B817" s="383"/>
      <c r="C817" s="383"/>
      <c r="D817" s="383"/>
      <c r="E817" s="383"/>
      <c r="F817" s="383"/>
      <c r="G817" s="383"/>
      <c r="H817" s="383"/>
    </row>
    <row r="818" spans="1:8">
      <c r="A818" s="383"/>
      <c r="B818" s="383"/>
      <c r="C818" s="383"/>
      <c r="D818" s="383"/>
      <c r="E818" s="383"/>
      <c r="F818" s="383"/>
      <c r="G818" s="383"/>
      <c r="H818" s="383"/>
    </row>
    <row r="819" spans="1:8">
      <c r="A819" s="383"/>
      <c r="B819" s="383"/>
      <c r="C819" s="383"/>
      <c r="D819" s="383"/>
      <c r="E819" s="383"/>
      <c r="F819" s="383"/>
      <c r="G819" s="383"/>
      <c r="H819" s="383"/>
    </row>
    <row r="820" spans="1:8">
      <c r="A820" s="383"/>
      <c r="B820" s="383"/>
      <c r="C820" s="383"/>
      <c r="D820" s="383"/>
      <c r="E820" s="383"/>
      <c r="F820" s="383"/>
      <c r="G820" s="383"/>
      <c r="H820" s="383"/>
    </row>
    <row r="821" spans="1:8">
      <c r="A821" s="383"/>
      <c r="B821" s="383"/>
      <c r="C821" s="383"/>
      <c r="D821" s="383"/>
      <c r="E821" s="383"/>
      <c r="F821" s="383"/>
      <c r="G821" s="383"/>
      <c r="H821" s="383"/>
    </row>
    <row r="822" spans="1:8">
      <c r="A822" s="383"/>
      <c r="B822" s="383"/>
      <c r="C822" s="383"/>
      <c r="D822" s="383"/>
      <c r="E822" s="383"/>
      <c r="F822" s="383"/>
      <c r="G822" s="383"/>
      <c r="H822" s="383"/>
    </row>
    <row r="823" spans="1:8">
      <c r="A823" s="383"/>
      <c r="B823" s="383"/>
      <c r="C823" s="383"/>
      <c r="D823" s="383"/>
      <c r="E823" s="383"/>
      <c r="F823" s="383"/>
      <c r="G823" s="383"/>
      <c r="H823" s="383"/>
    </row>
    <row r="824" spans="1:8">
      <c r="A824" s="383"/>
      <c r="B824" s="383"/>
      <c r="C824" s="383"/>
      <c r="D824" s="383"/>
      <c r="E824" s="383"/>
      <c r="F824" s="383"/>
      <c r="G824" s="383"/>
      <c r="H824" s="383"/>
    </row>
    <row r="825" spans="1:8">
      <c r="A825" s="383"/>
      <c r="B825" s="383"/>
      <c r="C825" s="383"/>
      <c r="D825" s="383"/>
      <c r="E825" s="383"/>
      <c r="F825" s="383"/>
      <c r="G825" s="383"/>
      <c r="H825" s="383"/>
    </row>
    <row r="826" spans="1:8">
      <c r="A826" s="383"/>
      <c r="B826" s="383"/>
      <c r="C826" s="383"/>
      <c r="D826" s="383"/>
      <c r="E826" s="383"/>
      <c r="F826" s="383"/>
      <c r="G826" s="383"/>
      <c r="H826" s="383"/>
    </row>
    <row r="827" spans="1:8">
      <c r="A827" s="383"/>
      <c r="B827" s="383"/>
      <c r="C827" s="383"/>
      <c r="D827" s="383"/>
      <c r="E827" s="383"/>
      <c r="F827" s="383"/>
      <c r="G827" s="383"/>
      <c r="H827" s="383"/>
    </row>
    <row r="828" spans="1:8">
      <c r="A828" s="383"/>
      <c r="B828" s="383"/>
      <c r="C828" s="383"/>
      <c r="D828" s="383"/>
      <c r="E828" s="383"/>
      <c r="F828" s="383"/>
      <c r="G828" s="383"/>
      <c r="H828" s="383"/>
    </row>
    <row r="829" spans="1:8">
      <c r="A829" s="383"/>
      <c r="B829" s="383"/>
      <c r="C829" s="383"/>
      <c r="D829" s="383"/>
      <c r="E829" s="383"/>
      <c r="F829" s="383"/>
      <c r="G829" s="383"/>
      <c r="H829" s="383"/>
    </row>
    <row r="830" spans="1:8">
      <c r="A830" s="383"/>
      <c r="B830" s="383"/>
      <c r="C830" s="383"/>
      <c r="D830" s="383"/>
      <c r="E830" s="383"/>
      <c r="F830" s="383"/>
      <c r="G830" s="383"/>
      <c r="H830" s="383"/>
    </row>
    <row r="831" spans="1:8">
      <c r="A831" s="383"/>
      <c r="B831" s="383"/>
      <c r="C831" s="383"/>
      <c r="D831" s="383"/>
      <c r="E831" s="383"/>
      <c r="F831" s="383"/>
      <c r="G831" s="383"/>
      <c r="H831" s="383"/>
    </row>
    <row r="832" spans="1:8">
      <c r="A832" s="383"/>
      <c r="B832" s="383"/>
      <c r="C832" s="383"/>
      <c r="D832" s="383"/>
      <c r="E832" s="383"/>
      <c r="F832" s="383"/>
      <c r="G832" s="383"/>
      <c r="H832" s="383"/>
    </row>
    <row r="833" spans="1:8">
      <c r="A833" s="383"/>
      <c r="B833" s="383"/>
      <c r="C833" s="383"/>
      <c r="D833" s="383"/>
      <c r="E833" s="383"/>
      <c r="F833" s="383"/>
      <c r="G833" s="383"/>
      <c r="H833" s="383"/>
    </row>
    <row r="834" spans="1:8">
      <c r="A834" s="383"/>
      <c r="B834" s="383"/>
      <c r="C834" s="383"/>
      <c r="D834" s="383"/>
      <c r="E834" s="383"/>
      <c r="F834" s="383"/>
      <c r="G834" s="383"/>
      <c r="H834" s="383"/>
    </row>
    <row r="835" spans="1:8">
      <c r="A835" s="383"/>
      <c r="B835" s="383"/>
      <c r="C835" s="383"/>
      <c r="D835" s="383"/>
      <c r="E835" s="383"/>
      <c r="F835" s="383"/>
      <c r="G835" s="383"/>
      <c r="H835" s="383"/>
    </row>
    <row r="836" spans="1:8">
      <c r="A836" s="383"/>
      <c r="B836" s="383"/>
      <c r="C836" s="383"/>
      <c r="D836" s="383"/>
      <c r="E836" s="383"/>
      <c r="F836" s="383"/>
      <c r="G836" s="383"/>
      <c r="H836" s="383"/>
    </row>
    <row r="837" spans="1:8">
      <c r="A837" s="383"/>
      <c r="B837" s="383"/>
      <c r="C837" s="383"/>
      <c r="D837" s="383"/>
      <c r="E837" s="383"/>
      <c r="F837" s="383"/>
      <c r="G837" s="383"/>
      <c r="H837" s="383"/>
    </row>
    <row r="838" spans="1:8">
      <c r="A838" s="383"/>
      <c r="B838" s="383"/>
      <c r="C838" s="383"/>
      <c r="D838" s="383"/>
      <c r="E838" s="383"/>
      <c r="F838" s="383"/>
      <c r="G838" s="383"/>
      <c r="H838" s="383"/>
    </row>
    <row r="839" spans="1:8">
      <c r="A839" s="383"/>
      <c r="B839" s="383"/>
      <c r="C839" s="383"/>
      <c r="D839" s="383"/>
      <c r="E839" s="383"/>
      <c r="F839" s="383"/>
      <c r="G839" s="383"/>
      <c r="H839" s="383"/>
    </row>
    <row r="840" spans="1:8">
      <c r="A840" s="383"/>
      <c r="B840" s="383"/>
      <c r="C840" s="383"/>
      <c r="D840" s="383"/>
      <c r="E840" s="383"/>
      <c r="F840" s="383"/>
      <c r="G840" s="383"/>
      <c r="H840" s="383"/>
    </row>
    <row r="841" spans="1:8">
      <c r="A841" s="383"/>
      <c r="B841" s="383"/>
      <c r="C841" s="383"/>
      <c r="D841" s="383"/>
      <c r="E841" s="383"/>
      <c r="F841" s="383"/>
      <c r="G841" s="383"/>
      <c r="H841" s="383"/>
    </row>
    <row r="842" spans="1:8">
      <c r="A842" s="383"/>
      <c r="B842" s="383"/>
      <c r="C842" s="383"/>
      <c r="D842" s="383"/>
      <c r="E842" s="383"/>
      <c r="F842" s="383"/>
      <c r="G842" s="383"/>
      <c r="H842" s="383"/>
    </row>
    <row r="843" spans="1:8">
      <c r="A843" s="383"/>
      <c r="B843" s="383"/>
      <c r="C843" s="383"/>
      <c r="D843" s="383"/>
      <c r="E843" s="383"/>
      <c r="F843" s="383"/>
      <c r="G843" s="383"/>
      <c r="H843" s="383"/>
    </row>
    <row r="844" spans="1:8">
      <c r="A844" s="383"/>
      <c r="B844" s="383"/>
      <c r="C844" s="383"/>
      <c r="D844" s="383"/>
      <c r="E844" s="383"/>
      <c r="F844" s="383"/>
      <c r="G844" s="383"/>
      <c r="H844" s="383"/>
    </row>
    <row r="845" spans="1:8">
      <c r="A845" s="383"/>
      <c r="B845" s="383"/>
      <c r="C845" s="383"/>
      <c r="D845" s="383"/>
      <c r="E845" s="383"/>
      <c r="F845" s="383"/>
      <c r="G845" s="383"/>
      <c r="H845" s="383"/>
    </row>
    <row r="846" spans="1:8">
      <c r="A846" s="383"/>
      <c r="B846" s="383"/>
      <c r="C846" s="383"/>
      <c r="D846" s="383"/>
      <c r="E846" s="383"/>
      <c r="F846" s="383"/>
      <c r="G846" s="383"/>
      <c r="H846" s="383"/>
    </row>
    <row r="847" spans="1:8">
      <c r="A847" s="383"/>
      <c r="B847" s="383"/>
      <c r="C847" s="383"/>
      <c r="D847" s="383"/>
      <c r="E847" s="383"/>
      <c r="F847" s="383"/>
      <c r="G847" s="383"/>
      <c r="H847" s="383"/>
    </row>
    <row r="848" spans="1:8">
      <c r="A848" s="383"/>
      <c r="B848" s="383"/>
      <c r="C848" s="383"/>
      <c r="D848" s="383"/>
      <c r="E848" s="383"/>
      <c r="F848" s="383"/>
      <c r="G848" s="383"/>
      <c r="H848" s="383"/>
    </row>
    <row r="849" spans="1:8">
      <c r="A849" s="383"/>
      <c r="B849" s="383"/>
      <c r="C849" s="383"/>
      <c r="D849" s="383"/>
      <c r="E849" s="383"/>
      <c r="F849" s="383"/>
      <c r="G849" s="383"/>
      <c r="H849" s="383"/>
    </row>
    <row r="850" spans="1:8">
      <c r="A850" s="383"/>
      <c r="B850" s="383"/>
      <c r="C850" s="383"/>
      <c r="D850" s="383"/>
      <c r="E850" s="383"/>
      <c r="F850" s="383"/>
      <c r="G850" s="383"/>
      <c r="H850" s="383"/>
    </row>
    <row r="851" spans="1:8">
      <c r="A851" s="383"/>
      <c r="B851" s="383"/>
      <c r="C851" s="383"/>
      <c r="D851" s="383"/>
      <c r="E851" s="383"/>
      <c r="F851" s="383"/>
      <c r="G851" s="383"/>
      <c r="H851" s="383"/>
    </row>
    <row r="852" spans="1:8">
      <c r="A852" s="383"/>
      <c r="B852" s="383"/>
      <c r="C852" s="383"/>
      <c r="D852" s="383"/>
      <c r="E852" s="383"/>
      <c r="F852" s="383"/>
      <c r="G852" s="383"/>
      <c r="H852" s="383"/>
    </row>
    <row r="853" spans="1:8">
      <c r="A853" s="383"/>
      <c r="B853" s="383"/>
      <c r="C853" s="383"/>
      <c r="D853" s="383"/>
      <c r="E853" s="383"/>
      <c r="F853" s="383"/>
      <c r="G853" s="383"/>
      <c r="H853" s="383"/>
    </row>
    <row r="854" spans="1:8">
      <c r="A854" s="383"/>
      <c r="B854" s="383"/>
      <c r="C854" s="383"/>
      <c r="D854" s="383"/>
      <c r="E854" s="383"/>
      <c r="F854" s="383"/>
      <c r="G854" s="383"/>
      <c r="H854" s="383"/>
    </row>
    <row r="855" spans="1:8">
      <c r="A855" s="383"/>
      <c r="B855" s="383"/>
      <c r="C855" s="383"/>
      <c r="D855" s="383"/>
      <c r="E855" s="383"/>
      <c r="F855" s="383"/>
      <c r="G855" s="383"/>
      <c r="H855" s="383"/>
    </row>
    <row r="856" spans="1:8">
      <c r="A856" s="383"/>
      <c r="B856" s="383"/>
      <c r="C856" s="383"/>
      <c r="D856" s="383"/>
      <c r="E856" s="383"/>
      <c r="F856" s="383"/>
      <c r="G856" s="383"/>
      <c r="H856" s="383"/>
    </row>
    <row r="857" spans="1:8">
      <c r="A857" s="383"/>
      <c r="B857" s="383"/>
      <c r="C857" s="383"/>
      <c r="D857" s="383"/>
      <c r="E857" s="383"/>
      <c r="F857" s="383"/>
      <c r="G857" s="383"/>
      <c r="H857" s="383"/>
    </row>
    <row r="858" spans="1:8">
      <c r="A858" s="383"/>
      <c r="B858" s="383"/>
      <c r="C858" s="383"/>
      <c r="D858" s="383"/>
      <c r="E858" s="383"/>
      <c r="F858" s="383"/>
      <c r="G858" s="383"/>
      <c r="H858" s="383"/>
    </row>
    <row r="859" spans="1:8">
      <c r="A859" s="383"/>
      <c r="B859" s="383"/>
      <c r="C859" s="383"/>
      <c r="D859" s="383"/>
      <c r="E859" s="383"/>
      <c r="F859" s="383"/>
      <c r="G859" s="383"/>
      <c r="H859" s="383"/>
    </row>
    <row r="860" spans="1:8">
      <c r="A860" s="383"/>
      <c r="B860" s="383"/>
      <c r="C860" s="383"/>
      <c r="D860" s="383"/>
      <c r="E860" s="383"/>
      <c r="F860" s="383"/>
      <c r="G860" s="383"/>
      <c r="H860" s="383"/>
    </row>
    <row r="861" spans="1:8">
      <c r="A861" s="383"/>
      <c r="B861" s="383"/>
      <c r="C861" s="383"/>
      <c r="D861" s="383"/>
      <c r="E861" s="383"/>
      <c r="F861" s="383"/>
      <c r="G861" s="383"/>
      <c r="H861" s="383"/>
    </row>
    <row r="862" spans="1:8">
      <c r="A862" s="383"/>
      <c r="B862" s="383"/>
      <c r="C862" s="383"/>
      <c r="D862" s="383"/>
      <c r="E862" s="383"/>
      <c r="F862" s="383"/>
      <c r="G862" s="383"/>
      <c r="H862" s="383"/>
    </row>
    <row r="863" spans="1:8">
      <c r="A863" s="383"/>
      <c r="B863" s="383"/>
      <c r="C863" s="383"/>
      <c r="D863" s="383"/>
      <c r="E863" s="383"/>
      <c r="F863" s="383"/>
      <c r="G863" s="383"/>
      <c r="H863" s="383"/>
    </row>
    <row r="864" spans="1:8">
      <c r="A864" s="383"/>
      <c r="B864" s="383"/>
      <c r="C864" s="383"/>
      <c r="D864" s="383"/>
      <c r="E864" s="383"/>
      <c r="F864" s="383"/>
      <c r="G864" s="383"/>
      <c r="H864" s="383"/>
    </row>
    <row r="865" spans="1:8">
      <c r="A865" s="383"/>
      <c r="B865" s="383"/>
      <c r="C865" s="383"/>
      <c r="D865" s="383"/>
      <c r="E865" s="383"/>
      <c r="F865" s="383"/>
      <c r="G865" s="383"/>
      <c r="H865" s="383"/>
    </row>
    <row r="866" spans="1:8">
      <c r="A866" s="383"/>
      <c r="B866" s="383"/>
      <c r="C866" s="383"/>
      <c r="D866" s="383"/>
      <c r="E866" s="383"/>
      <c r="F866" s="383"/>
      <c r="G866" s="383"/>
      <c r="H866" s="383"/>
    </row>
    <row r="867" spans="1:8">
      <c r="A867" s="383"/>
      <c r="B867" s="383"/>
      <c r="C867" s="383"/>
      <c r="D867" s="383"/>
      <c r="E867" s="383"/>
      <c r="F867" s="383"/>
      <c r="G867" s="383"/>
      <c r="H867" s="383"/>
    </row>
    <row r="868" spans="1:8">
      <c r="A868" s="383"/>
      <c r="B868" s="383"/>
      <c r="C868" s="383"/>
      <c r="D868" s="383"/>
      <c r="E868" s="383"/>
      <c r="F868" s="383"/>
      <c r="G868" s="383"/>
      <c r="H868" s="383"/>
    </row>
    <row r="869" spans="1:8">
      <c r="A869" s="383"/>
      <c r="B869" s="383"/>
      <c r="C869" s="383"/>
      <c r="D869" s="383"/>
      <c r="E869" s="383"/>
      <c r="F869" s="383"/>
      <c r="G869" s="383"/>
      <c r="H869" s="383"/>
    </row>
    <row r="870" spans="1:8">
      <c r="A870" s="383"/>
      <c r="B870" s="383"/>
      <c r="C870" s="383"/>
      <c r="D870" s="383"/>
      <c r="E870" s="383"/>
      <c r="F870" s="383"/>
      <c r="G870" s="383"/>
      <c r="H870" s="383"/>
    </row>
    <row r="871" spans="1:8">
      <c r="A871" s="383"/>
      <c r="B871" s="383"/>
      <c r="C871" s="383"/>
      <c r="D871" s="383"/>
      <c r="E871" s="383"/>
      <c r="F871" s="383"/>
      <c r="G871" s="383"/>
      <c r="H871" s="383"/>
    </row>
    <row r="872" spans="1:8">
      <c r="A872" s="383"/>
      <c r="B872" s="383"/>
      <c r="C872" s="383"/>
      <c r="D872" s="383"/>
      <c r="E872" s="383"/>
      <c r="F872" s="383"/>
      <c r="G872" s="383"/>
      <c r="H872" s="383"/>
    </row>
    <row r="873" spans="1:8">
      <c r="A873" s="383"/>
      <c r="B873" s="383"/>
      <c r="C873" s="383"/>
      <c r="D873" s="383"/>
      <c r="E873" s="383"/>
      <c r="F873" s="383"/>
      <c r="G873" s="383"/>
      <c r="H873" s="383"/>
    </row>
    <row r="874" spans="1:8">
      <c r="A874" s="383"/>
      <c r="B874" s="383"/>
      <c r="C874" s="383"/>
      <c r="D874" s="383"/>
      <c r="E874" s="383"/>
      <c r="F874" s="383"/>
      <c r="G874" s="383"/>
      <c r="H874" s="383"/>
    </row>
    <row r="875" spans="1:8">
      <c r="A875" s="383"/>
      <c r="B875" s="383"/>
      <c r="C875" s="383"/>
      <c r="D875" s="383"/>
      <c r="E875" s="383"/>
      <c r="F875" s="383"/>
      <c r="G875" s="383"/>
      <c r="H875" s="383"/>
    </row>
    <row r="876" spans="1:8">
      <c r="A876" s="383"/>
      <c r="B876" s="383"/>
      <c r="C876" s="383"/>
      <c r="D876" s="383"/>
      <c r="E876" s="383"/>
      <c r="F876" s="383"/>
      <c r="G876" s="383"/>
      <c r="H876" s="383"/>
    </row>
    <row r="877" spans="1:8">
      <c r="A877" s="383"/>
      <c r="B877" s="383"/>
      <c r="C877" s="383"/>
      <c r="D877" s="383"/>
      <c r="E877" s="383"/>
      <c r="F877" s="383"/>
      <c r="G877" s="383"/>
      <c r="H877" s="383"/>
    </row>
    <row r="878" spans="1:8">
      <c r="A878" s="383"/>
      <c r="B878" s="383"/>
      <c r="C878" s="383"/>
      <c r="D878" s="383"/>
      <c r="E878" s="383"/>
      <c r="F878" s="383"/>
      <c r="G878" s="383"/>
      <c r="H878" s="383"/>
    </row>
    <row r="879" spans="1:8">
      <c r="A879" s="383"/>
      <c r="B879" s="383"/>
      <c r="C879" s="383"/>
      <c r="D879" s="383"/>
      <c r="E879" s="383"/>
      <c r="F879" s="383"/>
      <c r="G879" s="383"/>
      <c r="H879" s="383"/>
    </row>
    <row r="880" spans="1:8">
      <c r="A880" s="383"/>
      <c r="B880" s="383"/>
      <c r="C880" s="383"/>
      <c r="D880" s="383"/>
      <c r="E880" s="383"/>
      <c r="F880" s="383"/>
      <c r="G880" s="383"/>
      <c r="H880" s="383"/>
    </row>
    <row r="881" spans="1:8">
      <c r="A881" s="383"/>
      <c r="B881" s="383"/>
      <c r="C881" s="383"/>
      <c r="D881" s="383"/>
      <c r="E881" s="383"/>
      <c r="F881" s="383"/>
      <c r="G881" s="383"/>
      <c r="H881" s="383"/>
    </row>
    <row r="882" spans="1:8">
      <c r="A882" s="383"/>
      <c r="B882" s="383"/>
      <c r="C882" s="383"/>
      <c r="D882" s="383"/>
      <c r="E882" s="383"/>
      <c r="F882" s="383"/>
      <c r="G882" s="383"/>
      <c r="H882" s="383"/>
    </row>
    <row r="883" spans="1:8">
      <c r="A883" s="383"/>
      <c r="B883" s="383"/>
      <c r="C883" s="383"/>
      <c r="D883" s="383"/>
      <c r="E883" s="383"/>
      <c r="F883" s="383"/>
      <c r="G883" s="383"/>
      <c r="H883" s="383"/>
    </row>
    <row r="884" spans="1:8">
      <c r="A884" s="383"/>
      <c r="B884" s="383"/>
      <c r="C884" s="383"/>
      <c r="D884" s="383"/>
      <c r="E884" s="383"/>
      <c r="F884" s="383"/>
      <c r="G884" s="383"/>
      <c r="H884" s="383"/>
    </row>
    <row r="885" spans="1:8">
      <c r="A885" s="383"/>
      <c r="B885" s="383"/>
      <c r="C885" s="383"/>
      <c r="D885" s="383"/>
      <c r="E885" s="383"/>
      <c r="F885" s="383"/>
      <c r="G885" s="383"/>
      <c r="H885" s="383"/>
    </row>
    <row r="886" spans="1:8">
      <c r="A886" s="383"/>
      <c r="B886" s="383"/>
      <c r="C886" s="383"/>
      <c r="D886" s="383"/>
      <c r="E886" s="383"/>
      <c r="F886" s="383"/>
      <c r="G886" s="383"/>
      <c r="H886" s="383"/>
    </row>
    <row r="887" spans="1:8">
      <c r="A887" s="383"/>
      <c r="B887" s="383"/>
      <c r="C887" s="383"/>
      <c r="D887" s="383"/>
      <c r="E887" s="383"/>
      <c r="F887" s="383"/>
      <c r="G887" s="383"/>
      <c r="H887" s="383"/>
    </row>
    <row r="888" spans="1:8">
      <c r="A888" s="383"/>
      <c r="B888" s="383"/>
      <c r="C888" s="383"/>
      <c r="D888" s="383"/>
      <c r="E888" s="383"/>
      <c r="F888" s="383"/>
      <c r="G888" s="383"/>
      <c r="H888" s="383"/>
    </row>
    <row r="889" spans="1:8">
      <c r="A889" s="383"/>
      <c r="B889" s="383"/>
      <c r="C889" s="383"/>
      <c r="D889" s="383"/>
      <c r="E889" s="383"/>
      <c r="F889" s="383"/>
      <c r="G889" s="383"/>
      <c r="H889" s="383"/>
    </row>
    <row r="890" spans="1:8">
      <c r="A890" s="383"/>
      <c r="B890" s="383"/>
      <c r="C890" s="383"/>
      <c r="D890" s="383"/>
      <c r="E890" s="383"/>
      <c r="F890" s="383"/>
      <c r="G890" s="383"/>
      <c r="H890" s="383"/>
    </row>
    <row r="891" spans="1:8">
      <c r="A891" s="383"/>
      <c r="B891" s="383"/>
      <c r="C891" s="383"/>
      <c r="D891" s="383"/>
      <c r="E891" s="383"/>
      <c r="F891" s="383"/>
      <c r="G891" s="383"/>
      <c r="H891" s="383"/>
    </row>
    <row r="892" spans="1:8">
      <c r="A892" s="383"/>
      <c r="B892" s="383"/>
      <c r="C892" s="383"/>
      <c r="D892" s="383"/>
      <c r="E892" s="383"/>
      <c r="F892" s="383"/>
      <c r="G892" s="383"/>
      <c r="H892" s="383"/>
    </row>
  </sheetData>
  <mergeCells count="17">
    <mergeCell ref="A90:B90"/>
    <mergeCell ref="A10:B10"/>
    <mergeCell ref="A12:B12"/>
    <mergeCell ref="A66:B66"/>
    <mergeCell ref="A88:B88"/>
    <mergeCell ref="A89:B89"/>
    <mergeCell ref="B483:G483"/>
    <mergeCell ref="A100:B100"/>
    <mergeCell ref="A180:B180"/>
    <mergeCell ref="A282:B282"/>
    <mergeCell ref="A327:B327"/>
    <mergeCell ref="A387:C387"/>
    <mergeCell ref="A388:B388"/>
    <mergeCell ref="A477:B477"/>
    <mergeCell ref="A468:B468"/>
    <mergeCell ref="A478:B478"/>
    <mergeCell ref="B482:G48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9135C-2419-4D73-B731-D502A02FA359}">
  <dimension ref="A1:H891"/>
  <sheetViews>
    <sheetView topLeftCell="A472" workbookViewId="0">
      <selection activeCell="F493" sqref="F493"/>
    </sheetView>
  </sheetViews>
  <sheetFormatPr defaultRowHeight="14.4"/>
  <cols>
    <col min="1" max="1" width="7.33203125" customWidth="1"/>
    <col min="2" max="2" width="35.5546875" customWidth="1"/>
    <col min="3" max="3" width="7.33203125" customWidth="1"/>
    <col min="4" max="4" width="8" customWidth="1"/>
    <col min="5" max="5" width="14.44140625" customWidth="1"/>
    <col min="6" max="6" width="13.33203125" customWidth="1"/>
    <col min="7" max="7" width="13.44140625" customWidth="1"/>
    <col min="8" max="8" width="18" customWidth="1"/>
  </cols>
  <sheetData>
    <row r="1" spans="1:8">
      <c r="A1" s="383"/>
      <c r="B1" s="467" t="s">
        <v>1</v>
      </c>
      <c r="C1" s="468"/>
      <c r="D1" s="385"/>
      <c r="E1" s="383"/>
      <c r="F1" s="383"/>
      <c r="G1" s="383"/>
      <c r="H1" s="383"/>
    </row>
    <row r="2" spans="1:8">
      <c r="A2" s="383"/>
      <c r="B2" s="383" t="s">
        <v>2</v>
      </c>
      <c r="C2" s="468"/>
      <c r="D2" s="385"/>
      <c r="E2" s="383"/>
      <c r="F2" s="383"/>
      <c r="G2" s="383"/>
      <c r="H2" s="383"/>
    </row>
    <row r="3" spans="1:8">
      <c r="A3" s="383"/>
      <c r="B3" s="469" t="s">
        <v>447</v>
      </c>
      <c r="C3" s="468"/>
      <c r="D3" s="470"/>
      <c r="E3" s="383"/>
      <c r="F3" s="383"/>
      <c r="G3" s="383"/>
      <c r="H3" s="383"/>
    </row>
    <row r="4" spans="1:8">
      <c r="A4" s="383"/>
      <c r="B4" s="383" t="s">
        <v>448</v>
      </c>
      <c r="C4" s="468"/>
      <c r="D4" s="385"/>
      <c r="E4" s="383"/>
      <c r="F4" s="383"/>
      <c r="G4" s="383"/>
      <c r="H4" s="383"/>
    </row>
    <row r="5" spans="1:8">
      <c r="A5" s="383"/>
      <c r="B5" s="383" t="s">
        <v>449</v>
      </c>
      <c r="C5" s="468"/>
      <c r="D5" s="385"/>
      <c r="E5" s="383"/>
      <c r="F5" s="383"/>
      <c r="G5" s="383"/>
      <c r="H5" s="383"/>
    </row>
    <row r="6" spans="1:8">
      <c r="A6" s="383"/>
      <c r="B6" s="383" t="s">
        <v>453</v>
      </c>
      <c r="C6" s="468"/>
      <c r="D6" s="385"/>
      <c r="E6" s="389"/>
      <c r="F6" s="389"/>
      <c r="G6" s="389"/>
      <c r="H6" s="383"/>
    </row>
    <row r="7" spans="1:8">
      <c r="A7" s="383"/>
      <c r="B7" s="383" t="s">
        <v>450</v>
      </c>
      <c r="C7" s="468"/>
      <c r="D7" s="385"/>
      <c r="E7" s="389"/>
      <c r="F7" s="389"/>
      <c r="G7" s="389"/>
      <c r="H7" s="383"/>
    </row>
    <row r="8" spans="1:8">
      <c r="A8" s="383"/>
      <c r="B8" s="383" t="s">
        <v>709</v>
      </c>
      <c r="C8" s="468"/>
      <c r="D8" s="385"/>
      <c r="E8" s="389"/>
      <c r="F8" s="389"/>
      <c r="G8" s="389"/>
      <c r="H8" s="383"/>
    </row>
    <row r="9" spans="1:8">
      <c r="A9" s="383"/>
      <c r="B9" s="2" t="s">
        <v>846</v>
      </c>
      <c r="C9" s="468"/>
      <c r="D9" s="385"/>
      <c r="E9" s="389"/>
      <c r="F9" s="389"/>
      <c r="G9" s="389"/>
      <c r="H9" s="383"/>
    </row>
    <row r="10" spans="1:8">
      <c r="A10" s="609" t="s">
        <v>4</v>
      </c>
      <c r="B10" s="604"/>
      <c r="C10" s="392"/>
      <c r="D10" s="392"/>
      <c r="E10" s="485"/>
      <c r="F10" s="485"/>
      <c r="G10" s="485"/>
      <c r="H10" s="486"/>
    </row>
    <row r="11" spans="1:8" ht="28.8">
      <c r="A11" s="395" t="s">
        <v>5</v>
      </c>
      <c r="B11" s="396" t="s">
        <v>6</v>
      </c>
      <c r="C11" s="397" t="s">
        <v>7</v>
      </c>
      <c r="D11" s="397" t="s">
        <v>8</v>
      </c>
      <c r="E11" s="487" t="s">
        <v>410</v>
      </c>
      <c r="F11" s="487" t="s">
        <v>408</v>
      </c>
      <c r="G11" s="487" t="s">
        <v>409</v>
      </c>
      <c r="H11" s="487" t="s">
        <v>9</v>
      </c>
    </row>
    <row r="12" spans="1:8">
      <c r="A12" s="609" t="s">
        <v>10</v>
      </c>
      <c r="B12" s="604"/>
      <c r="C12" s="392"/>
      <c r="D12" s="392"/>
      <c r="E12" s="485"/>
      <c r="F12" s="485"/>
      <c r="G12" s="485"/>
      <c r="H12" s="486"/>
    </row>
    <row r="13" spans="1:8" ht="57.6">
      <c r="A13" s="395" t="s">
        <v>5</v>
      </c>
      <c r="B13" s="396" t="s">
        <v>11</v>
      </c>
      <c r="C13" s="397" t="s">
        <v>7</v>
      </c>
      <c r="D13" s="397" t="s">
        <v>8</v>
      </c>
      <c r="E13" s="487" t="s">
        <v>410</v>
      </c>
      <c r="F13" s="487" t="s">
        <v>408</v>
      </c>
      <c r="G13" s="487" t="s">
        <v>409</v>
      </c>
      <c r="H13" s="487" t="s">
        <v>9</v>
      </c>
    </row>
    <row r="14" spans="1:8" ht="43.2">
      <c r="A14" s="400" t="s">
        <v>12</v>
      </c>
      <c r="B14" s="401" t="s">
        <v>710</v>
      </c>
      <c r="C14" s="402" t="s">
        <v>13</v>
      </c>
      <c r="D14" s="402">
        <v>36</v>
      </c>
      <c r="E14" s="403">
        <f t="shared" ref="E14:E15" si="0">(3643*97%)+3643</f>
        <v>7176.71</v>
      </c>
      <c r="F14" s="69">
        <f>(5000*97%)+5000</f>
        <v>9850</v>
      </c>
      <c r="G14" s="403">
        <f t="shared" ref="G14:G15" si="1">(5801*97%)+5801</f>
        <v>11427.970000000001</v>
      </c>
      <c r="H14" s="403">
        <f>E14*D14*2</f>
        <v>516723.12</v>
      </c>
    </row>
    <row r="15" spans="1:8" ht="43.2">
      <c r="A15" s="400" t="s">
        <v>14</v>
      </c>
      <c r="B15" s="401" t="s">
        <v>711</v>
      </c>
      <c r="C15" s="402" t="s">
        <v>13</v>
      </c>
      <c r="D15" s="402">
        <v>9</v>
      </c>
      <c r="E15" s="403">
        <f t="shared" si="0"/>
        <v>7176.71</v>
      </c>
      <c r="F15" s="69">
        <f>(5000*97%)+5000</f>
        <v>9850</v>
      </c>
      <c r="G15" s="403">
        <f t="shared" si="1"/>
        <v>11427.970000000001</v>
      </c>
      <c r="H15" s="403">
        <f>E15*D15*3</f>
        <v>193771.16999999998</v>
      </c>
    </row>
    <row r="16" spans="1:8" ht="43.2">
      <c r="A16" s="400" t="s">
        <v>16</v>
      </c>
      <c r="B16" s="401" t="s">
        <v>487</v>
      </c>
      <c r="C16" s="402" t="s">
        <v>15</v>
      </c>
      <c r="D16" s="402">
        <f>3*4*36*2</f>
        <v>864</v>
      </c>
      <c r="E16" s="405">
        <v>250</v>
      </c>
      <c r="F16" s="404">
        <v>450</v>
      </c>
      <c r="G16" s="403">
        <v>581</v>
      </c>
      <c r="H16" s="403">
        <f t="shared" ref="H16:H25" si="2">E16*D16</f>
        <v>216000</v>
      </c>
    </row>
    <row r="17" spans="1:8" ht="43.2">
      <c r="A17" s="400" t="s">
        <v>19</v>
      </c>
      <c r="B17" s="401" t="s">
        <v>488</v>
      </c>
      <c r="C17" s="402" t="s">
        <v>15</v>
      </c>
      <c r="D17" s="402">
        <f>4*4*9*3</f>
        <v>432</v>
      </c>
      <c r="E17" s="405">
        <v>250</v>
      </c>
      <c r="F17" s="404">
        <v>450</v>
      </c>
      <c r="G17" s="403">
        <v>581</v>
      </c>
      <c r="H17" s="403">
        <f t="shared" si="2"/>
        <v>108000</v>
      </c>
    </row>
    <row r="18" spans="1:8" ht="72">
      <c r="A18" s="400" t="s">
        <v>20</v>
      </c>
      <c r="B18" s="401" t="s">
        <v>569</v>
      </c>
      <c r="C18" s="402" t="s">
        <v>18</v>
      </c>
      <c r="D18" s="402">
        <v>5</v>
      </c>
      <c r="E18" s="68">
        <v>4149</v>
      </c>
      <c r="F18" s="69">
        <v>5299</v>
      </c>
      <c r="G18" s="70">
        <v>5919</v>
      </c>
      <c r="H18" s="403">
        <f t="shared" si="2"/>
        <v>20745</v>
      </c>
    </row>
    <row r="19" spans="1:8" ht="28.8">
      <c r="A19" s="400" t="s">
        <v>21</v>
      </c>
      <c r="B19" s="407" t="s">
        <v>570</v>
      </c>
      <c r="C19" s="402" t="s">
        <v>18</v>
      </c>
      <c r="D19" s="402">
        <v>3</v>
      </c>
      <c r="E19" s="68">
        <v>1849</v>
      </c>
      <c r="F19" s="69">
        <v>2199</v>
      </c>
      <c r="G19" s="68">
        <v>2919</v>
      </c>
      <c r="H19" s="403">
        <f t="shared" si="2"/>
        <v>5547</v>
      </c>
    </row>
    <row r="20" spans="1:8" ht="57.6">
      <c r="A20" s="400" t="s">
        <v>22</v>
      </c>
      <c r="B20" s="401" t="s">
        <v>571</v>
      </c>
      <c r="C20" s="402" t="s">
        <v>18</v>
      </c>
      <c r="D20" s="402">
        <v>3</v>
      </c>
      <c r="E20" s="73">
        <v>1849.77</v>
      </c>
      <c r="F20" s="232">
        <v>2899</v>
      </c>
      <c r="G20" s="68">
        <v>3199</v>
      </c>
      <c r="H20" s="403">
        <f t="shared" si="2"/>
        <v>5549.3099999999995</v>
      </c>
    </row>
    <row r="21" spans="1:8" ht="43.2">
      <c r="A21" s="400" t="s">
        <v>23</v>
      </c>
      <c r="B21" s="401" t="s">
        <v>572</v>
      </c>
      <c r="C21" s="402" t="s">
        <v>18</v>
      </c>
      <c r="D21" s="402">
        <v>3</v>
      </c>
      <c r="E21" s="70">
        <v>169.9</v>
      </c>
      <c r="F21" s="69">
        <v>189.9</v>
      </c>
      <c r="G21" s="68">
        <v>197.59</v>
      </c>
      <c r="H21" s="403">
        <f t="shared" si="2"/>
        <v>509.70000000000005</v>
      </c>
    </row>
    <row r="22" spans="1:8" ht="43.2">
      <c r="A22" s="400" t="s">
        <v>24</v>
      </c>
      <c r="B22" s="401" t="s">
        <v>461</v>
      </c>
      <c r="C22" s="402" t="s">
        <v>18</v>
      </c>
      <c r="D22" s="402">
        <v>3</v>
      </c>
      <c r="E22" s="73">
        <v>6459.11</v>
      </c>
      <c r="F22" s="68">
        <v>6686</v>
      </c>
      <c r="G22" s="69">
        <v>6892.17</v>
      </c>
      <c r="H22" s="403">
        <f t="shared" si="2"/>
        <v>19377.329999999998</v>
      </c>
    </row>
    <row r="23" spans="1:8" ht="57.6">
      <c r="A23" s="400" t="s">
        <v>25</v>
      </c>
      <c r="B23" s="401" t="s">
        <v>489</v>
      </c>
      <c r="C23" s="402" t="s">
        <v>18</v>
      </c>
      <c r="D23" s="402">
        <v>2</v>
      </c>
      <c r="E23" s="70">
        <v>3598</v>
      </c>
      <c r="F23" s="68">
        <v>3790</v>
      </c>
      <c r="G23" s="68">
        <v>5049</v>
      </c>
      <c r="H23" s="403">
        <f t="shared" si="2"/>
        <v>7196</v>
      </c>
    </row>
    <row r="24" spans="1:8" ht="43.2">
      <c r="A24" s="400" t="s">
        <v>27</v>
      </c>
      <c r="B24" s="401" t="s">
        <v>573</v>
      </c>
      <c r="C24" s="402" t="s">
        <v>18</v>
      </c>
      <c r="D24" s="402">
        <v>5</v>
      </c>
      <c r="E24" s="73">
        <v>1386</v>
      </c>
      <c r="F24" s="68">
        <v>1549</v>
      </c>
      <c r="G24" s="68">
        <v>1649.9</v>
      </c>
      <c r="H24" s="403">
        <f t="shared" si="2"/>
        <v>6930</v>
      </c>
    </row>
    <row r="25" spans="1:8" ht="28.8">
      <c r="A25" s="400" t="s">
        <v>28</v>
      </c>
      <c r="B25" s="401" t="s">
        <v>462</v>
      </c>
      <c r="C25" s="402" t="s">
        <v>13</v>
      </c>
      <c r="D25" s="402">
        <v>36</v>
      </c>
      <c r="E25" s="68">
        <v>124.99</v>
      </c>
      <c r="F25" s="69">
        <v>142</v>
      </c>
      <c r="G25" s="68">
        <v>159.9</v>
      </c>
      <c r="H25" s="403">
        <f t="shared" si="2"/>
        <v>4499.6399999999994</v>
      </c>
    </row>
    <row r="26" spans="1:8" ht="28.8">
      <c r="A26" s="400" t="s">
        <v>29</v>
      </c>
      <c r="B26" s="401" t="s">
        <v>462</v>
      </c>
      <c r="C26" s="402" t="s">
        <v>13</v>
      </c>
      <c r="D26" s="402">
        <v>9</v>
      </c>
      <c r="E26" s="68"/>
      <c r="F26" s="69"/>
      <c r="G26" s="68"/>
      <c r="H26" s="403">
        <f t="shared" ref="H26" si="3">E26*D26</f>
        <v>0</v>
      </c>
    </row>
    <row r="27" spans="1:8" ht="43.2">
      <c r="A27" s="400" t="s">
        <v>30</v>
      </c>
      <c r="B27" s="401" t="s">
        <v>717</v>
      </c>
      <c r="C27" s="402" t="s">
        <v>13</v>
      </c>
      <c r="D27" s="402">
        <v>36</v>
      </c>
      <c r="E27" s="68">
        <v>3168.69</v>
      </c>
      <c r="F27" s="74">
        <v>3297.51</v>
      </c>
      <c r="G27" s="68">
        <v>3622.3</v>
      </c>
      <c r="H27" s="403">
        <f>E27*D27*2</f>
        <v>228145.68</v>
      </c>
    </row>
    <row r="28" spans="1:8" ht="43.2">
      <c r="A28" s="400" t="s">
        <v>32</v>
      </c>
      <c r="B28" s="401" t="s">
        <v>716</v>
      </c>
      <c r="C28" s="402" t="s">
        <v>13</v>
      </c>
      <c r="D28" s="402">
        <f>9</f>
        <v>9</v>
      </c>
      <c r="E28" s="68">
        <v>3168.69</v>
      </c>
      <c r="F28" s="74">
        <v>3297.51</v>
      </c>
      <c r="G28" s="68">
        <v>3622.3</v>
      </c>
      <c r="H28" s="403">
        <f>E28*D28*3</f>
        <v>85554.63</v>
      </c>
    </row>
    <row r="29" spans="1:8" ht="28.8">
      <c r="A29" s="400" t="s">
        <v>33</v>
      </c>
      <c r="B29" s="401" t="s">
        <v>463</v>
      </c>
      <c r="C29" s="402" t="s">
        <v>15</v>
      </c>
      <c r="D29" s="402">
        <v>5</v>
      </c>
      <c r="E29" s="68">
        <v>300</v>
      </c>
      <c r="F29" s="69">
        <v>600</v>
      </c>
      <c r="G29" s="68">
        <v>975</v>
      </c>
      <c r="H29" s="403">
        <f>E29*D29</f>
        <v>1500</v>
      </c>
    </row>
    <row r="30" spans="1:8" ht="28.8">
      <c r="A30" s="400" t="s">
        <v>34</v>
      </c>
      <c r="B30" s="401" t="s">
        <v>465</v>
      </c>
      <c r="C30" s="402" t="s">
        <v>13</v>
      </c>
      <c r="D30" s="402">
        <v>36</v>
      </c>
      <c r="E30" s="68">
        <v>49.9</v>
      </c>
      <c r="F30" s="69">
        <v>60</v>
      </c>
      <c r="G30" s="70">
        <v>65.900000000000006</v>
      </c>
      <c r="H30" s="403">
        <f>E30*D30*2</f>
        <v>3592.7999999999997</v>
      </c>
    </row>
    <row r="31" spans="1:8" ht="43.2">
      <c r="A31" s="400" t="s">
        <v>37</v>
      </c>
      <c r="B31" s="401" t="s">
        <v>718</v>
      </c>
      <c r="C31" s="402" t="s">
        <v>13</v>
      </c>
      <c r="D31" s="402">
        <f>9</f>
        <v>9</v>
      </c>
      <c r="E31" s="68">
        <v>49.9</v>
      </c>
      <c r="F31" s="69">
        <v>60</v>
      </c>
      <c r="G31" s="70">
        <v>65.900000000000006</v>
      </c>
      <c r="H31" s="403">
        <f>E31*D31*3</f>
        <v>1347.3</v>
      </c>
    </row>
    <row r="32" spans="1:8" ht="28.8">
      <c r="A32" s="400" t="s">
        <v>39</v>
      </c>
      <c r="B32" s="401" t="s">
        <v>667</v>
      </c>
      <c r="C32" s="402" t="s">
        <v>15</v>
      </c>
      <c r="D32" s="402">
        <v>5</v>
      </c>
      <c r="E32" s="68">
        <v>144.9</v>
      </c>
      <c r="F32" s="69">
        <v>0</v>
      </c>
      <c r="G32" s="68">
        <v>265</v>
      </c>
      <c r="H32" s="403">
        <f t="shared" ref="H32:H66" si="4">E32*D32</f>
        <v>724.5</v>
      </c>
    </row>
    <row r="33" spans="1:8" ht="43.2">
      <c r="A33" s="400" t="s">
        <v>40</v>
      </c>
      <c r="B33" s="401" t="s">
        <v>466</v>
      </c>
      <c r="C33" s="402" t="s">
        <v>31</v>
      </c>
      <c r="D33" s="402">
        <f>55*4*36*2</f>
        <v>15840</v>
      </c>
      <c r="E33" s="68">
        <v>6.08</v>
      </c>
      <c r="F33" s="69">
        <v>6.09</v>
      </c>
      <c r="G33" s="70">
        <v>6.35</v>
      </c>
      <c r="H33" s="403">
        <f t="shared" si="4"/>
        <v>96307.199999999997</v>
      </c>
    </row>
    <row r="34" spans="1:8" ht="43.2">
      <c r="A34" s="400" t="s">
        <v>42</v>
      </c>
      <c r="B34" s="401" t="s">
        <v>467</v>
      </c>
      <c r="C34" s="402" t="s">
        <v>31</v>
      </c>
      <c r="D34" s="402">
        <f>55*4*9*3</f>
        <v>5940</v>
      </c>
      <c r="E34" s="68">
        <v>6.08</v>
      </c>
      <c r="F34" s="69">
        <v>6.09</v>
      </c>
      <c r="G34" s="70">
        <v>6.35</v>
      </c>
      <c r="H34" s="403">
        <f t="shared" si="4"/>
        <v>36115.199999999997</v>
      </c>
    </row>
    <row r="35" spans="1:8" ht="28.8">
      <c r="A35" s="400" t="s">
        <v>46</v>
      </c>
      <c r="B35" s="411" t="s">
        <v>469</v>
      </c>
      <c r="C35" s="402" t="s">
        <v>18</v>
      </c>
      <c r="D35" s="402">
        <f t="shared" ref="D35:D36" si="5">(2*3*3)+(3*3*1)</f>
        <v>27</v>
      </c>
      <c r="E35" s="68">
        <v>60</v>
      </c>
      <c r="F35" s="68">
        <v>65</v>
      </c>
      <c r="G35" s="69">
        <v>70</v>
      </c>
      <c r="H35" s="403">
        <f t="shared" si="4"/>
        <v>1620</v>
      </c>
    </row>
    <row r="36" spans="1:8" ht="43.2">
      <c r="A36" s="400" t="s">
        <v>48</v>
      </c>
      <c r="B36" s="411" t="s">
        <v>470</v>
      </c>
      <c r="C36" s="402" t="s">
        <v>18</v>
      </c>
      <c r="D36" s="402">
        <f t="shared" si="5"/>
        <v>27</v>
      </c>
      <c r="E36" s="68">
        <v>75</v>
      </c>
      <c r="F36" s="68">
        <v>90</v>
      </c>
      <c r="G36" s="69">
        <v>98</v>
      </c>
      <c r="H36" s="403">
        <f t="shared" si="4"/>
        <v>2025</v>
      </c>
    </row>
    <row r="37" spans="1:8" ht="28.8">
      <c r="A37" s="400" t="s">
        <v>49</v>
      </c>
      <c r="B37" s="411" t="s">
        <v>38</v>
      </c>
      <c r="C37" s="402" t="s">
        <v>18</v>
      </c>
      <c r="D37" s="402">
        <f>5*3*3</f>
        <v>45</v>
      </c>
      <c r="E37" s="68">
        <v>25</v>
      </c>
      <c r="F37" s="68">
        <v>40</v>
      </c>
      <c r="G37" s="69">
        <v>43</v>
      </c>
      <c r="H37" s="403">
        <f t="shared" si="4"/>
        <v>1125</v>
      </c>
    </row>
    <row r="38" spans="1:8" ht="28.8">
      <c r="A38" s="400" t="s">
        <v>51</v>
      </c>
      <c r="B38" s="411" t="s">
        <v>677</v>
      </c>
      <c r="C38" s="402" t="s">
        <v>18</v>
      </c>
      <c r="D38" s="402">
        <f>(4*2*3)+(4*3*1)</f>
        <v>36</v>
      </c>
      <c r="E38" s="68">
        <v>2.77</v>
      </c>
      <c r="F38" s="74">
        <v>3.75</v>
      </c>
      <c r="G38" s="73">
        <v>3.96</v>
      </c>
      <c r="H38" s="403">
        <f t="shared" si="4"/>
        <v>99.72</v>
      </c>
    </row>
    <row r="39" spans="1:8" ht="28.8">
      <c r="A39" s="400" t="s">
        <v>53</v>
      </c>
      <c r="B39" s="401" t="s">
        <v>471</v>
      </c>
      <c r="C39" s="402" t="s">
        <v>18</v>
      </c>
      <c r="D39" s="402">
        <f t="shared" ref="D39:D40" si="6">(2*3*3)+(3*2*1)</f>
        <v>24</v>
      </c>
      <c r="E39" s="68">
        <v>122</v>
      </c>
      <c r="F39" s="74">
        <v>170.91</v>
      </c>
      <c r="G39" s="68">
        <v>185</v>
      </c>
      <c r="H39" s="403">
        <f t="shared" si="4"/>
        <v>2928</v>
      </c>
    </row>
    <row r="40" spans="1:8" ht="28.8">
      <c r="A40" s="400" t="s">
        <v>55</v>
      </c>
      <c r="B40" s="401" t="s">
        <v>472</v>
      </c>
      <c r="C40" s="402" t="s">
        <v>18</v>
      </c>
      <c r="D40" s="402">
        <f t="shared" si="6"/>
        <v>24</v>
      </c>
      <c r="E40" s="68">
        <v>21.8</v>
      </c>
      <c r="F40" s="74">
        <v>36</v>
      </c>
      <c r="G40" s="68">
        <v>46.9</v>
      </c>
      <c r="H40" s="403">
        <f t="shared" si="4"/>
        <v>523.20000000000005</v>
      </c>
    </row>
    <row r="41" spans="1:8" ht="28.8">
      <c r="A41" s="400" t="s">
        <v>56</v>
      </c>
      <c r="B41" s="401" t="s">
        <v>485</v>
      </c>
      <c r="C41" s="402" t="s">
        <v>18</v>
      </c>
      <c r="D41" s="402">
        <f>5*3</f>
        <v>15</v>
      </c>
      <c r="E41" s="73">
        <v>13.93</v>
      </c>
      <c r="F41" s="74">
        <v>15.71</v>
      </c>
      <c r="G41" s="68">
        <v>22.5</v>
      </c>
      <c r="H41" s="403">
        <f t="shared" si="4"/>
        <v>208.95</v>
      </c>
    </row>
    <row r="42" spans="1:8" ht="28.8">
      <c r="A42" s="400" t="s">
        <v>57</v>
      </c>
      <c r="B42" s="401" t="s">
        <v>473</v>
      </c>
      <c r="C42" s="402" t="s">
        <v>18</v>
      </c>
      <c r="D42" s="402">
        <f>(2*2*3)+(3*2*1)</f>
        <v>18</v>
      </c>
      <c r="E42" s="70">
        <v>12.4</v>
      </c>
      <c r="F42" s="74">
        <v>13.5</v>
      </c>
      <c r="G42" s="68">
        <v>20.260000000000002</v>
      </c>
      <c r="H42" s="403">
        <f t="shared" si="4"/>
        <v>223.20000000000002</v>
      </c>
    </row>
    <row r="43" spans="1:8" ht="28.8">
      <c r="A43" s="400" t="s">
        <v>58</v>
      </c>
      <c r="B43" s="401" t="s">
        <v>476</v>
      </c>
      <c r="C43" s="402" t="s">
        <v>18</v>
      </c>
      <c r="D43" s="402">
        <v>10</v>
      </c>
      <c r="E43" s="68">
        <v>160</v>
      </c>
      <c r="F43" s="74">
        <v>163</v>
      </c>
      <c r="G43" s="73">
        <v>193.63</v>
      </c>
      <c r="H43" s="403">
        <f t="shared" si="4"/>
        <v>1600</v>
      </c>
    </row>
    <row r="44" spans="1:8" ht="28.8">
      <c r="A44" s="400" t="s">
        <v>59</v>
      </c>
      <c r="B44" s="401" t="s">
        <v>474</v>
      </c>
      <c r="C44" s="402" t="s">
        <v>18</v>
      </c>
      <c r="D44" s="402">
        <v>10</v>
      </c>
      <c r="E44" s="70">
        <v>35</v>
      </c>
      <c r="F44" s="74">
        <v>41.4</v>
      </c>
      <c r="G44" s="68">
        <v>168.26</v>
      </c>
      <c r="H44" s="403">
        <f t="shared" si="4"/>
        <v>350</v>
      </c>
    </row>
    <row r="45" spans="1:8" ht="28.8">
      <c r="A45" s="400" t="s">
        <v>60</v>
      </c>
      <c r="B45" s="401" t="s">
        <v>475</v>
      </c>
      <c r="C45" s="402" t="s">
        <v>18</v>
      </c>
      <c r="D45" s="402">
        <v>5</v>
      </c>
      <c r="E45" s="73">
        <v>41.4</v>
      </c>
      <c r="F45" s="73">
        <v>42.23</v>
      </c>
      <c r="G45" s="73">
        <v>50</v>
      </c>
      <c r="H45" s="403">
        <f t="shared" si="4"/>
        <v>207</v>
      </c>
    </row>
    <row r="46" spans="1:8" ht="28.8">
      <c r="A46" s="400" t="s">
        <v>62</v>
      </c>
      <c r="B46" s="401" t="s">
        <v>477</v>
      </c>
      <c r="C46" s="402" t="s">
        <v>18</v>
      </c>
      <c r="D46" s="402">
        <v>5</v>
      </c>
      <c r="E46" s="68">
        <v>32.979999999999997</v>
      </c>
      <c r="F46" s="69">
        <v>58.66</v>
      </c>
      <c r="G46" s="68">
        <v>60.82</v>
      </c>
      <c r="H46" s="403">
        <f t="shared" si="4"/>
        <v>164.89999999999998</v>
      </c>
    </row>
    <row r="47" spans="1:8" ht="28.8">
      <c r="A47" s="400" t="s">
        <v>64</v>
      </c>
      <c r="B47" s="401" t="s">
        <v>478</v>
      </c>
      <c r="C47" s="402" t="s">
        <v>18</v>
      </c>
      <c r="D47" s="402">
        <v>5</v>
      </c>
      <c r="E47" s="73">
        <v>26.5</v>
      </c>
      <c r="F47" s="73">
        <v>61.9</v>
      </c>
      <c r="G47" s="69">
        <v>83.6</v>
      </c>
      <c r="H47" s="403">
        <f t="shared" si="4"/>
        <v>132.5</v>
      </c>
    </row>
    <row r="48" spans="1:8" ht="28.8">
      <c r="A48" s="420" t="s">
        <v>66</v>
      </c>
      <c r="B48" s="123" t="s">
        <v>772</v>
      </c>
      <c r="C48" s="402" t="s">
        <v>18</v>
      </c>
      <c r="D48" s="413">
        <f>1*5*3</f>
        <v>15</v>
      </c>
      <c r="E48" s="412">
        <v>286</v>
      </c>
      <c r="F48" s="404">
        <v>338</v>
      </c>
      <c r="G48" s="403">
        <v>377</v>
      </c>
      <c r="H48" s="404">
        <f t="shared" si="4"/>
        <v>4290</v>
      </c>
    </row>
    <row r="49" spans="1:8" ht="28.8">
      <c r="A49" s="420" t="s">
        <v>69</v>
      </c>
      <c r="B49" s="123" t="s">
        <v>773</v>
      </c>
      <c r="C49" s="402" t="s">
        <v>18</v>
      </c>
      <c r="D49" s="413">
        <f>4*5*3</f>
        <v>60</v>
      </c>
      <c r="E49" s="412">
        <v>98</v>
      </c>
      <c r="F49" s="404">
        <v>270</v>
      </c>
      <c r="G49" s="403">
        <v>279</v>
      </c>
      <c r="H49" s="404">
        <f t="shared" si="4"/>
        <v>5880</v>
      </c>
    </row>
    <row r="50" spans="1:8" ht="28.8">
      <c r="A50" s="420" t="s">
        <v>71</v>
      </c>
      <c r="B50" s="123" t="s">
        <v>774</v>
      </c>
      <c r="C50" s="402" t="s">
        <v>18</v>
      </c>
      <c r="D50" s="413">
        <f>2*5*36</f>
        <v>360</v>
      </c>
      <c r="E50" s="412">
        <v>35.99</v>
      </c>
      <c r="F50" s="404">
        <v>37.93</v>
      </c>
      <c r="G50" s="403">
        <v>67.900000000000006</v>
      </c>
      <c r="H50" s="404">
        <f t="shared" si="4"/>
        <v>12956.400000000001</v>
      </c>
    </row>
    <row r="51" spans="1:8" ht="28.8">
      <c r="A51" s="420" t="s">
        <v>73</v>
      </c>
      <c r="B51" s="123" t="s">
        <v>775</v>
      </c>
      <c r="C51" s="402" t="s">
        <v>18</v>
      </c>
      <c r="D51" s="413">
        <f>5*3</f>
        <v>15</v>
      </c>
      <c r="E51" s="412">
        <v>930</v>
      </c>
      <c r="F51" s="404">
        <v>1000</v>
      </c>
      <c r="G51" s="403">
        <v>1980</v>
      </c>
      <c r="H51" s="404">
        <f t="shared" si="4"/>
        <v>13950</v>
      </c>
    </row>
    <row r="52" spans="1:8" ht="28.8">
      <c r="A52" s="420" t="s">
        <v>75</v>
      </c>
      <c r="B52" s="123" t="s">
        <v>776</v>
      </c>
      <c r="C52" s="402" t="s">
        <v>18</v>
      </c>
      <c r="D52" s="413">
        <f>1*5*3</f>
        <v>15</v>
      </c>
      <c r="E52" s="412">
        <v>37.9</v>
      </c>
      <c r="F52" s="404">
        <v>41.31</v>
      </c>
      <c r="G52" s="403">
        <v>45</v>
      </c>
      <c r="H52" s="404">
        <f t="shared" si="4"/>
        <v>568.5</v>
      </c>
    </row>
    <row r="53" spans="1:8" ht="28.8">
      <c r="A53" s="420" t="s">
        <v>77</v>
      </c>
      <c r="B53" s="123" t="s">
        <v>777</v>
      </c>
      <c r="C53" s="402" t="s">
        <v>18</v>
      </c>
      <c r="D53" s="413">
        <f>1*5*3</f>
        <v>15</v>
      </c>
      <c r="E53" s="412">
        <v>73.489999999999995</v>
      </c>
      <c r="F53" s="404">
        <v>96.7</v>
      </c>
      <c r="G53" s="403">
        <v>106.76</v>
      </c>
      <c r="H53" s="404">
        <f t="shared" si="4"/>
        <v>1102.3499999999999</v>
      </c>
    </row>
    <row r="54" spans="1:8">
      <c r="A54" s="163" t="s">
        <v>78</v>
      </c>
      <c r="B54" s="401" t="s">
        <v>411</v>
      </c>
      <c r="C54" s="402" t="s">
        <v>18</v>
      </c>
      <c r="D54" s="402">
        <v>500</v>
      </c>
      <c r="E54" s="260">
        <v>16.47</v>
      </c>
      <c r="F54" s="260">
        <v>16.899999999999999</v>
      </c>
      <c r="G54" s="260">
        <v>31</v>
      </c>
      <c r="H54" s="403">
        <f t="shared" si="4"/>
        <v>8235</v>
      </c>
    </row>
    <row r="55" spans="1:8">
      <c r="A55" s="163" t="s">
        <v>79</v>
      </c>
      <c r="B55" s="430" t="s">
        <v>412</v>
      </c>
      <c r="C55" s="402" t="s">
        <v>18</v>
      </c>
      <c r="D55" s="402">
        <v>500</v>
      </c>
      <c r="E55" s="260">
        <v>1.64</v>
      </c>
      <c r="F55" s="261">
        <v>17.5</v>
      </c>
      <c r="G55" s="261">
        <v>25.9</v>
      </c>
      <c r="H55" s="403">
        <f t="shared" si="4"/>
        <v>820</v>
      </c>
    </row>
    <row r="56" spans="1:8">
      <c r="A56" s="163" t="s">
        <v>116</v>
      </c>
      <c r="B56" s="401" t="s">
        <v>413</v>
      </c>
      <c r="C56" s="402" t="s">
        <v>18</v>
      </c>
      <c r="D56" s="402">
        <v>200</v>
      </c>
      <c r="E56" s="260">
        <v>1.5</v>
      </c>
      <c r="F56" s="260">
        <v>2.5</v>
      </c>
      <c r="G56" s="260">
        <v>3.74</v>
      </c>
      <c r="H56" s="403">
        <f t="shared" si="4"/>
        <v>300</v>
      </c>
    </row>
    <row r="57" spans="1:8">
      <c r="A57" s="163" t="s">
        <v>118</v>
      </c>
      <c r="B57" s="430" t="s">
        <v>414</v>
      </c>
      <c r="C57" s="402" t="s">
        <v>18</v>
      </c>
      <c r="D57" s="402">
        <v>1800</v>
      </c>
      <c r="E57" s="260">
        <v>0.17</v>
      </c>
      <c r="F57" s="261">
        <v>1</v>
      </c>
      <c r="G57" s="260">
        <v>1.89</v>
      </c>
      <c r="H57" s="403">
        <f t="shared" si="4"/>
        <v>306</v>
      </c>
    </row>
    <row r="58" spans="1:8" ht="28.8">
      <c r="A58" s="163" t="s">
        <v>119</v>
      </c>
      <c r="B58" s="416" t="s">
        <v>65</v>
      </c>
      <c r="C58" s="402" t="s">
        <v>18</v>
      </c>
      <c r="D58" s="402">
        <v>4</v>
      </c>
      <c r="E58" s="68">
        <v>320</v>
      </c>
      <c r="F58" s="73">
        <v>480</v>
      </c>
      <c r="G58" s="68">
        <v>614.4</v>
      </c>
      <c r="H58" s="403">
        <f t="shared" si="4"/>
        <v>1280</v>
      </c>
    </row>
    <row r="59" spans="1:8">
      <c r="A59" s="163" t="s">
        <v>120</v>
      </c>
      <c r="B59" s="401" t="s">
        <v>67</v>
      </c>
      <c r="C59" s="402" t="s">
        <v>68</v>
      </c>
      <c r="D59" s="402">
        <v>2</v>
      </c>
      <c r="E59" s="276">
        <v>34.9</v>
      </c>
      <c r="F59" s="207">
        <v>45.9</v>
      </c>
      <c r="G59" s="70">
        <v>48.62</v>
      </c>
      <c r="H59" s="403">
        <f t="shared" si="4"/>
        <v>69.8</v>
      </c>
    </row>
    <row r="60" spans="1:8">
      <c r="A60" s="163" t="s">
        <v>121</v>
      </c>
      <c r="B60" s="401" t="s">
        <v>70</v>
      </c>
      <c r="C60" s="402" t="s">
        <v>18</v>
      </c>
      <c r="D60" s="402">
        <v>15</v>
      </c>
      <c r="E60" s="68">
        <v>14.18</v>
      </c>
      <c r="F60" s="69">
        <v>17.5</v>
      </c>
      <c r="G60" s="68">
        <v>55.99</v>
      </c>
      <c r="H60" s="403">
        <f t="shared" si="4"/>
        <v>212.7</v>
      </c>
    </row>
    <row r="61" spans="1:8">
      <c r="A61" s="163" t="s">
        <v>122</v>
      </c>
      <c r="B61" s="401" t="s">
        <v>72</v>
      </c>
      <c r="C61" s="402" t="s">
        <v>68</v>
      </c>
      <c r="D61" s="402">
        <v>4</v>
      </c>
      <c r="E61" s="68">
        <v>19.989999999999998</v>
      </c>
      <c r="F61" s="69">
        <v>22.2</v>
      </c>
      <c r="G61" s="70">
        <v>24.9</v>
      </c>
      <c r="H61" s="403">
        <f t="shared" si="4"/>
        <v>79.959999999999994</v>
      </c>
    </row>
    <row r="62" spans="1:8">
      <c r="A62" s="163" t="s">
        <v>123</v>
      </c>
      <c r="B62" s="401" t="s">
        <v>74</v>
      </c>
      <c r="C62" s="402" t="s">
        <v>18</v>
      </c>
      <c r="D62" s="402">
        <v>40</v>
      </c>
      <c r="E62" s="68">
        <v>14.9</v>
      </c>
      <c r="F62" s="69">
        <v>15.2</v>
      </c>
      <c r="G62" s="68">
        <v>24.99</v>
      </c>
      <c r="H62" s="403">
        <f t="shared" si="4"/>
        <v>596</v>
      </c>
    </row>
    <row r="63" spans="1:8" ht="28.8">
      <c r="A63" s="163" t="s">
        <v>124</v>
      </c>
      <c r="B63" s="416" t="s">
        <v>76</v>
      </c>
      <c r="C63" s="402" t="s">
        <v>68</v>
      </c>
      <c r="D63" s="402">
        <v>5</v>
      </c>
      <c r="E63" s="70">
        <v>7.2</v>
      </c>
      <c r="F63" s="74">
        <v>7.36</v>
      </c>
      <c r="G63" s="73">
        <v>17.8</v>
      </c>
      <c r="H63" s="403">
        <f t="shared" si="4"/>
        <v>36</v>
      </c>
    </row>
    <row r="64" spans="1:8" ht="28.8">
      <c r="A64" s="163" t="s">
        <v>125</v>
      </c>
      <c r="B64" s="416" t="s">
        <v>680</v>
      </c>
      <c r="C64" s="402" t="s">
        <v>15</v>
      </c>
      <c r="D64" s="402">
        <v>6</v>
      </c>
      <c r="E64" s="68">
        <v>600</v>
      </c>
      <c r="F64" s="69"/>
      <c r="G64" s="68"/>
      <c r="H64" s="403">
        <f t="shared" si="4"/>
        <v>3600</v>
      </c>
    </row>
    <row r="65" spans="1:8" ht="43.2">
      <c r="A65" s="163" t="s">
        <v>126</v>
      </c>
      <c r="B65" s="417" t="s">
        <v>678</v>
      </c>
      <c r="C65" s="402" t="s">
        <v>18</v>
      </c>
      <c r="D65" s="402">
        <v>10</v>
      </c>
      <c r="E65" s="68">
        <v>500</v>
      </c>
      <c r="F65" s="69"/>
      <c r="G65" s="68"/>
      <c r="H65" s="403">
        <f t="shared" si="4"/>
        <v>5000</v>
      </c>
    </row>
    <row r="66" spans="1:8" ht="28.8">
      <c r="A66" s="163" t="s">
        <v>127</v>
      </c>
      <c r="B66" s="417" t="s">
        <v>679</v>
      </c>
      <c r="C66" s="402" t="s">
        <v>18</v>
      </c>
      <c r="D66" s="402">
        <v>10</v>
      </c>
      <c r="E66" s="68">
        <v>980</v>
      </c>
      <c r="F66" s="69"/>
      <c r="G66" s="68"/>
      <c r="H66" s="403">
        <f t="shared" si="4"/>
        <v>9800</v>
      </c>
    </row>
    <row r="67" spans="1:8">
      <c r="A67" s="611" t="s">
        <v>418</v>
      </c>
      <c r="B67" s="612"/>
      <c r="C67" s="518"/>
      <c r="D67" s="518"/>
      <c r="E67" s="518"/>
      <c r="F67" s="518"/>
      <c r="G67" s="518"/>
      <c r="H67" s="542">
        <f>SUM(H14:H66)</f>
        <v>1638425.7599999998</v>
      </c>
    </row>
    <row r="68" spans="1:8" ht="43.2">
      <c r="A68" s="395" t="s">
        <v>80</v>
      </c>
      <c r="B68" s="418" t="s">
        <v>394</v>
      </c>
      <c r="C68" s="397" t="s">
        <v>7</v>
      </c>
      <c r="D68" s="397" t="s">
        <v>8</v>
      </c>
      <c r="E68" s="487" t="s">
        <v>410</v>
      </c>
      <c r="F68" s="487" t="s">
        <v>408</v>
      </c>
      <c r="G68" s="487" t="s">
        <v>409</v>
      </c>
      <c r="H68" s="488" t="s">
        <v>9</v>
      </c>
    </row>
    <row r="69" spans="1:8" ht="43.2">
      <c r="A69" s="400" t="s">
        <v>81</v>
      </c>
      <c r="B69" s="401" t="s">
        <v>82</v>
      </c>
      <c r="C69" s="402" t="s">
        <v>13</v>
      </c>
      <c r="D69" s="402">
        <v>18</v>
      </c>
      <c r="E69" s="68">
        <f>(3643*97%)+3643</f>
        <v>7176.71</v>
      </c>
      <c r="F69" s="69">
        <f>(5000*97%)+5000</f>
        <v>9850</v>
      </c>
      <c r="G69" s="68">
        <f>(5801*97%)+5801</f>
        <v>11427.970000000001</v>
      </c>
      <c r="H69" s="403">
        <f>E69*D69*2</f>
        <v>258361.56</v>
      </c>
    </row>
    <row r="70" spans="1:8" ht="28.8">
      <c r="A70" s="400" t="s">
        <v>83</v>
      </c>
      <c r="B70" s="401" t="s">
        <v>479</v>
      </c>
      <c r="C70" s="402" t="s">
        <v>15</v>
      </c>
      <c r="D70" s="402">
        <f>8*2</f>
        <v>16</v>
      </c>
      <c r="E70" s="229">
        <v>250</v>
      </c>
      <c r="F70" s="69">
        <v>450</v>
      </c>
      <c r="G70" s="68">
        <v>581</v>
      </c>
      <c r="H70" s="403">
        <f t="shared" ref="H70:H88" si="7">E70*D70</f>
        <v>4000</v>
      </c>
    </row>
    <row r="71" spans="1:8" ht="72">
      <c r="A71" s="400" t="s">
        <v>84</v>
      </c>
      <c r="B71" s="401" t="s">
        <v>480</v>
      </c>
      <c r="C71" s="402" t="s">
        <v>18</v>
      </c>
      <c r="D71" s="402">
        <v>2</v>
      </c>
      <c r="E71" s="68">
        <v>4149</v>
      </c>
      <c r="F71" s="69">
        <v>5299</v>
      </c>
      <c r="G71" s="70">
        <v>5919</v>
      </c>
      <c r="H71" s="403">
        <f t="shared" si="7"/>
        <v>8298</v>
      </c>
    </row>
    <row r="72" spans="1:8" ht="43.2">
      <c r="A72" s="400" t="s">
        <v>85</v>
      </c>
      <c r="B72" s="401" t="s">
        <v>481</v>
      </c>
      <c r="C72" s="402" t="s">
        <v>18</v>
      </c>
      <c r="D72" s="402">
        <v>2</v>
      </c>
      <c r="E72" s="73">
        <v>1386</v>
      </c>
      <c r="F72" s="69">
        <v>1549</v>
      </c>
      <c r="G72" s="68">
        <v>1649.9</v>
      </c>
      <c r="H72" s="403">
        <f t="shared" si="7"/>
        <v>2772</v>
      </c>
    </row>
    <row r="73" spans="1:8" ht="28.8">
      <c r="A73" s="400" t="s">
        <v>86</v>
      </c>
      <c r="B73" s="401" t="s">
        <v>462</v>
      </c>
      <c r="C73" s="402" t="s">
        <v>13</v>
      </c>
      <c r="D73" s="402">
        <v>18</v>
      </c>
      <c r="E73" s="68">
        <v>124.99</v>
      </c>
      <c r="F73" s="69">
        <v>142</v>
      </c>
      <c r="G73" s="68">
        <v>159.9</v>
      </c>
      <c r="H73" s="403">
        <f t="shared" si="7"/>
        <v>2249.8199999999997</v>
      </c>
    </row>
    <row r="74" spans="1:8" ht="28.8">
      <c r="A74" s="400" t="s">
        <v>87</v>
      </c>
      <c r="B74" s="411" t="s">
        <v>482</v>
      </c>
      <c r="C74" s="402" t="s">
        <v>18</v>
      </c>
      <c r="D74" s="402">
        <f t="shared" ref="D74:D76" si="8">3*2</f>
        <v>6</v>
      </c>
      <c r="E74" s="68">
        <v>60</v>
      </c>
      <c r="F74" s="68">
        <v>65</v>
      </c>
      <c r="G74" s="69">
        <v>70</v>
      </c>
      <c r="H74" s="403">
        <f t="shared" si="7"/>
        <v>360</v>
      </c>
    </row>
    <row r="75" spans="1:8" ht="43.2">
      <c r="A75" s="400" t="s">
        <v>88</v>
      </c>
      <c r="B75" s="411" t="s">
        <v>483</v>
      </c>
      <c r="C75" s="402" t="s">
        <v>18</v>
      </c>
      <c r="D75" s="402">
        <f t="shared" si="8"/>
        <v>6</v>
      </c>
      <c r="E75" s="68">
        <v>75</v>
      </c>
      <c r="F75" s="68">
        <v>90</v>
      </c>
      <c r="G75" s="69">
        <v>98</v>
      </c>
      <c r="H75" s="403">
        <f t="shared" si="7"/>
        <v>450</v>
      </c>
    </row>
    <row r="76" spans="1:8" ht="57.6">
      <c r="A76" s="400" t="s">
        <v>89</v>
      </c>
      <c r="B76" s="411" t="s">
        <v>484</v>
      </c>
      <c r="C76" s="402" t="s">
        <v>18</v>
      </c>
      <c r="D76" s="402">
        <f t="shared" si="8"/>
        <v>6</v>
      </c>
      <c r="E76" s="68">
        <v>25</v>
      </c>
      <c r="F76" s="68">
        <v>40</v>
      </c>
      <c r="G76" s="69">
        <v>43</v>
      </c>
      <c r="H76" s="403">
        <f t="shared" si="7"/>
        <v>150</v>
      </c>
    </row>
    <row r="77" spans="1:8" ht="28.8">
      <c r="A77" s="400" t="s">
        <v>91</v>
      </c>
      <c r="B77" s="401" t="s">
        <v>471</v>
      </c>
      <c r="C77" s="402" t="s">
        <v>18</v>
      </c>
      <c r="D77" s="402">
        <v>4</v>
      </c>
      <c r="E77" s="68">
        <v>122</v>
      </c>
      <c r="F77" s="232">
        <v>170.91</v>
      </c>
      <c r="G77" s="68">
        <v>185</v>
      </c>
      <c r="H77" s="403">
        <f t="shared" si="7"/>
        <v>488</v>
      </c>
    </row>
    <row r="78" spans="1:8" ht="28.8">
      <c r="A78" s="400" t="s">
        <v>92</v>
      </c>
      <c r="B78" s="401" t="s">
        <v>472</v>
      </c>
      <c r="C78" s="402" t="s">
        <v>18</v>
      </c>
      <c r="D78" s="402">
        <v>4</v>
      </c>
      <c r="E78" s="68">
        <v>21.8</v>
      </c>
      <c r="F78" s="74">
        <v>36</v>
      </c>
      <c r="G78" s="68">
        <v>46.9</v>
      </c>
      <c r="H78" s="403">
        <f t="shared" si="7"/>
        <v>87.2</v>
      </c>
    </row>
    <row r="79" spans="1:8" ht="28.8">
      <c r="A79" s="400" t="s">
        <v>93</v>
      </c>
      <c r="B79" s="401" t="s">
        <v>485</v>
      </c>
      <c r="C79" s="402" t="s">
        <v>18</v>
      </c>
      <c r="D79" s="402">
        <v>4</v>
      </c>
      <c r="E79" s="73">
        <v>13.93</v>
      </c>
      <c r="F79" s="74">
        <v>15.71</v>
      </c>
      <c r="G79" s="68">
        <v>22.5</v>
      </c>
      <c r="H79" s="403">
        <f t="shared" si="7"/>
        <v>55.72</v>
      </c>
    </row>
    <row r="80" spans="1:8" ht="28.8">
      <c r="A80" s="400" t="s">
        <v>94</v>
      </c>
      <c r="B80" s="401" t="s">
        <v>486</v>
      </c>
      <c r="C80" s="402" t="s">
        <v>18</v>
      </c>
      <c r="D80" s="402">
        <v>4</v>
      </c>
      <c r="E80" s="68">
        <v>12.4</v>
      </c>
      <c r="F80" s="69">
        <v>13.5</v>
      </c>
      <c r="G80" s="68">
        <v>20.260000000000002</v>
      </c>
      <c r="H80" s="403">
        <f t="shared" si="7"/>
        <v>49.6</v>
      </c>
    </row>
    <row r="81" spans="1:8" ht="28.8">
      <c r="A81" s="400" t="s">
        <v>95</v>
      </c>
      <c r="B81" s="401" t="s">
        <v>491</v>
      </c>
      <c r="C81" s="402" t="s">
        <v>18</v>
      </c>
      <c r="D81" s="402">
        <v>4</v>
      </c>
      <c r="E81" s="73">
        <v>160</v>
      </c>
      <c r="F81" s="232">
        <v>163</v>
      </c>
      <c r="G81" s="73">
        <v>193.63</v>
      </c>
      <c r="H81" s="403">
        <f t="shared" si="7"/>
        <v>640</v>
      </c>
    </row>
    <row r="82" spans="1:8" ht="28.8">
      <c r="A82" s="400" t="s">
        <v>97</v>
      </c>
      <c r="B82" s="401" t="s">
        <v>474</v>
      </c>
      <c r="C82" s="402" t="s">
        <v>18</v>
      </c>
      <c r="D82" s="402">
        <v>2</v>
      </c>
      <c r="E82" s="73">
        <v>35</v>
      </c>
      <c r="F82" s="69">
        <v>41.4</v>
      </c>
      <c r="G82" s="68">
        <v>168.26</v>
      </c>
      <c r="H82" s="403">
        <f t="shared" si="7"/>
        <v>70</v>
      </c>
    </row>
    <row r="83" spans="1:8" ht="28.8">
      <c r="A83" s="400" t="s">
        <v>98</v>
      </c>
      <c r="B83" s="401" t="s">
        <v>475</v>
      </c>
      <c r="C83" s="402" t="s">
        <v>18</v>
      </c>
      <c r="D83" s="402">
        <v>2</v>
      </c>
      <c r="E83" s="73">
        <v>41.4</v>
      </c>
      <c r="F83" s="69">
        <v>42.23</v>
      </c>
      <c r="G83" s="70">
        <v>50</v>
      </c>
      <c r="H83" s="403">
        <f t="shared" si="7"/>
        <v>82.8</v>
      </c>
    </row>
    <row r="84" spans="1:8" ht="28.8">
      <c r="A84" s="400" t="s">
        <v>99</v>
      </c>
      <c r="B84" s="401" t="s">
        <v>477</v>
      </c>
      <c r="C84" s="402" t="s">
        <v>18</v>
      </c>
      <c r="D84" s="402">
        <v>2</v>
      </c>
      <c r="E84" s="68">
        <v>32.979999999999997</v>
      </c>
      <c r="F84" s="69">
        <v>58.66</v>
      </c>
      <c r="G84" s="68">
        <v>60.82</v>
      </c>
      <c r="H84" s="403">
        <f t="shared" si="7"/>
        <v>65.959999999999994</v>
      </c>
    </row>
    <row r="85" spans="1:8" ht="28.8">
      <c r="A85" s="420" t="s">
        <v>140</v>
      </c>
      <c r="B85" s="123" t="s">
        <v>772</v>
      </c>
      <c r="C85" s="402" t="s">
        <v>18</v>
      </c>
      <c r="D85" s="413">
        <v>2</v>
      </c>
      <c r="E85" s="412">
        <v>286</v>
      </c>
      <c r="F85" s="404">
        <v>338</v>
      </c>
      <c r="G85" s="403">
        <v>377</v>
      </c>
      <c r="H85" s="404">
        <f t="shared" si="7"/>
        <v>572</v>
      </c>
    </row>
    <row r="86" spans="1:8" ht="28.8">
      <c r="A86" s="420" t="s">
        <v>141</v>
      </c>
      <c r="B86" s="123" t="s">
        <v>774</v>
      </c>
      <c r="C86" s="402" t="s">
        <v>18</v>
      </c>
      <c r="D86" s="413">
        <v>4</v>
      </c>
      <c r="E86" s="412">
        <v>35.99</v>
      </c>
      <c r="F86" s="404">
        <v>37.93</v>
      </c>
      <c r="G86" s="403">
        <v>67.900000000000006</v>
      </c>
      <c r="H86" s="404">
        <f t="shared" si="7"/>
        <v>143.96</v>
      </c>
    </row>
    <row r="87" spans="1:8" ht="28.8">
      <c r="A87" s="420" t="s">
        <v>142</v>
      </c>
      <c r="B87" s="123" t="s">
        <v>776</v>
      </c>
      <c r="C87" s="402" t="s">
        <v>18</v>
      </c>
      <c r="D87" s="413">
        <v>2</v>
      </c>
      <c r="E87" s="412">
        <v>37.9</v>
      </c>
      <c r="F87" s="404">
        <v>41.31</v>
      </c>
      <c r="G87" s="403">
        <v>45</v>
      </c>
      <c r="H87" s="404">
        <f t="shared" si="7"/>
        <v>75.8</v>
      </c>
    </row>
    <row r="88" spans="1:8" ht="28.8">
      <c r="A88" s="420" t="s">
        <v>143</v>
      </c>
      <c r="B88" s="123" t="s">
        <v>777</v>
      </c>
      <c r="C88" s="402" t="s">
        <v>18</v>
      </c>
      <c r="D88" s="413">
        <f>D86</f>
        <v>4</v>
      </c>
      <c r="E88" s="412">
        <v>73.489999999999995</v>
      </c>
      <c r="F88" s="404">
        <v>96.7</v>
      </c>
      <c r="G88" s="403">
        <v>106.76</v>
      </c>
      <c r="H88" s="404">
        <f t="shared" si="7"/>
        <v>293.95999999999998</v>
      </c>
    </row>
    <row r="89" spans="1:8">
      <c r="A89" s="611" t="s">
        <v>392</v>
      </c>
      <c r="B89" s="612"/>
      <c r="C89" s="518"/>
      <c r="D89" s="518"/>
      <c r="E89" s="518"/>
      <c r="F89" s="518"/>
      <c r="G89" s="518"/>
      <c r="H89" s="543">
        <f>SUM(H69:H88)</f>
        <v>279266.38</v>
      </c>
    </row>
    <row r="90" spans="1:8">
      <c r="A90" s="607" t="s">
        <v>393</v>
      </c>
      <c r="B90" s="608"/>
      <c r="C90" s="521"/>
      <c r="D90" s="521"/>
      <c r="E90" s="521"/>
      <c r="F90" s="521"/>
      <c r="G90" s="521"/>
      <c r="H90" s="544">
        <f>H89+H67</f>
        <v>1917692.1399999997</v>
      </c>
    </row>
    <row r="91" spans="1:8">
      <c r="A91" s="615" t="s">
        <v>100</v>
      </c>
      <c r="B91" s="604"/>
      <c r="C91" s="392"/>
      <c r="D91" s="392"/>
      <c r="E91" s="489"/>
      <c r="F91" s="489"/>
      <c r="G91" s="489"/>
      <c r="H91" s="489"/>
    </row>
    <row r="92" spans="1:8" ht="28.8">
      <c r="A92" s="471">
        <v>1</v>
      </c>
      <c r="B92" s="396" t="s">
        <v>101</v>
      </c>
      <c r="C92" s="397" t="s">
        <v>7</v>
      </c>
      <c r="D92" s="397" t="s">
        <v>8</v>
      </c>
      <c r="E92" s="487" t="s">
        <v>410</v>
      </c>
      <c r="F92" s="487" t="s">
        <v>408</v>
      </c>
      <c r="G92" s="487" t="s">
        <v>409</v>
      </c>
      <c r="H92" s="488" t="s">
        <v>9</v>
      </c>
    </row>
    <row r="93" spans="1:8" ht="43.2">
      <c r="A93" s="545" t="s">
        <v>12</v>
      </c>
      <c r="B93" s="546" t="s">
        <v>840</v>
      </c>
      <c r="C93" s="546"/>
      <c r="D93" s="547"/>
      <c r="E93" s="546"/>
      <c r="F93" s="546"/>
      <c r="G93" s="546"/>
      <c r="H93" s="546"/>
    </row>
    <row r="94" spans="1:8" ht="43.2">
      <c r="A94" s="522" t="s">
        <v>14</v>
      </c>
      <c r="B94" s="523" t="s">
        <v>841</v>
      </c>
      <c r="C94" s="523"/>
      <c r="D94" s="524"/>
      <c r="E94" s="523"/>
      <c r="F94" s="523"/>
      <c r="G94" s="523"/>
      <c r="H94" s="523"/>
    </row>
    <row r="95" spans="1:8">
      <c r="A95" s="522" t="s">
        <v>16</v>
      </c>
      <c r="B95" s="523" t="s">
        <v>104</v>
      </c>
      <c r="C95" s="525"/>
      <c r="D95" s="526"/>
      <c r="E95" s="525"/>
      <c r="F95" s="525"/>
      <c r="G95" s="525"/>
      <c r="H95" s="523"/>
    </row>
    <row r="96" spans="1:8" ht="43.2">
      <c r="A96" s="400" t="s">
        <v>105</v>
      </c>
      <c r="B96" s="527" t="s">
        <v>752</v>
      </c>
      <c r="C96" s="439" t="s">
        <v>18</v>
      </c>
      <c r="D96" s="474">
        <f>1200*140*1.2</f>
        <v>201600</v>
      </c>
      <c r="E96" s="440">
        <v>10</v>
      </c>
      <c r="F96" s="440"/>
      <c r="G96" s="440"/>
      <c r="H96" s="490">
        <f t="shared" ref="H96:H97" si="9">E96*D96</f>
        <v>2016000</v>
      </c>
    </row>
    <row r="97" spans="1:8">
      <c r="A97" s="400" t="s">
        <v>419</v>
      </c>
      <c r="B97" s="438" t="s">
        <v>407</v>
      </c>
      <c r="C97" s="439" t="s">
        <v>15</v>
      </c>
      <c r="D97" s="439">
        <v>10</v>
      </c>
      <c r="E97" s="440">
        <v>6000</v>
      </c>
      <c r="F97" s="440"/>
      <c r="G97" s="440"/>
      <c r="H97" s="490">
        <f t="shared" si="9"/>
        <v>60000</v>
      </c>
    </row>
    <row r="98" spans="1:8">
      <c r="A98" s="497" t="s">
        <v>102</v>
      </c>
      <c r="B98" s="528"/>
      <c r="C98" s="528"/>
      <c r="D98" s="528"/>
      <c r="E98" s="528"/>
      <c r="F98" s="528"/>
      <c r="G98" s="528"/>
      <c r="H98" s="548">
        <f>SUM(H96:H97)</f>
        <v>2076000</v>
      </c>
    </row>
    <row r="99" spans="1:8" ht="43.2">
      <c r="A99" s="472" t="s">
        <v>19</v>
      </c>
      <c r="B99" s="473" t="s">
        <v>842</v>
      </c>
      <c r="C99" s="473"/>
      <c r="D99" s="475"/>
      <c r="E99" s="476"/>
      <c r="F99" s="476"/>
      <c r="G99" s="473"/>
      <c r="H99" s="473"/>
    </row>
    <row r="100" spans="1:8">
      <c r="A100" s="549" t="s">
        <v>111</v>
      </c>
      <c r="B100" s="550"/>
      <c r="C100" s="550"/>
      <c r="D100" s="550"/>
      <c r="E100" s="550"/>
      <c r="F100" s="550"/>
      <c r="G100" s="550"/>
      <c r="H100" s="551">
        <f>H98</f>
        <v>2076000</v>
      </c>
    </row>
    <row r="101" spans="1:8">
      <c r="A101" s="609" t="s">
        <v>112</v>
      </c>
      <c r="B101" s="604"/>
      <c r="C101" s="392"/>
      <c r="D101" s="392"/>
      <c r="E101" s="489"/>
      <c r="F101" s="489"/>
      <c r="G101" s="489"/>
      <c r="H101" s="489"/>
    </row>
    <row r="102" spans="1:8">
      <c r="A102" s="395" t="s">
        <v>5</v>
      </c>
      <c r="B102" s="396" t="s">
        <v>113</v>
      </c>
      <c r="C102" s="397" t="s">
        <v>7</v>
      </c>
      <c r="D102" s="397" t="s">
        <v>8</v>
      </c>
      <c r="E102" s="487" t="s">
        <v>410</v>
      </c>
      <c r="F102" s="487" t="s">
        <v>408</v>
      </c>
      <c r="G102" s="487" t="s">
        <v>409</v>
      </c>
      <c r="H102" s="488" t="s">
        <v>9</v>
      </c>
    </row>
    <row r="103" spans="1:8" ht="43.2">
      <c r="A103" s="400" t="s">
        <v>12</v>
      </c>
      <c r="B103" s="401" t="s">
        <v>451</v>
      </c>
      <c r="C103" s="402" t="s">
        <v>13</v>
      </c>
      <c r="D103" s="402">
        <v>10</v>
      </c>
      <c r="E103" s="251">
        <f>(2825.54*97%)+2825.54</f>
        <v>5566.3137999999999</v>
      </c>
      <c r="F103" s="249">
        <f>(2942.99*97%)+2942.99</f>
        <v>5797.6902999999993</v>
      </c>
      <c r="G103" s="250">
        <f>(3397*97%)+3397</f>
        <v>6692.09</v>
      </c>
      <c r="H103" s="403">
        <f>E103*D103*4</f>
        <v>222652.552</v>
      </c>
    </row>
    <row r="104" spans="1:8" ht="43.2">
      <c r="A104" s="400" t="s">
        <v>14</v>
      </c>
      <c r="B104" s="401" t="s">
        <v>452</v>
      </c>
      <c r="C104" s="402" t="s">
        <v>13</v>
      </c>
      <c r="D104" s="402">
        <v>10</v>
      </c>
      <c r="E104" s="68">
        <f>(1412*97%)+1412</f>
        <v>2781.64</v>
      </c>
      <c r="F104" s="69">
        <f>(1454*97%)+1454</f>
        <v>2864.38</v>
      </c>
      <c r="G104" s="68">
        <f>(1700*97%)+1700</f>
        <v>3349</v>
      </c>
      <c r="H104" s="403">
        <f>E104*D104*16</f>
        <v>445062.39999999997</v>
      </c>
    </row>
    <row r="105" spans="1:8" ht="43.2">
      <c r="A105" s="400" t="s">
        <v>16</v>
      </c>
      <c r="B105" s="401" t="s">
        <v>521</v>
      </c>
      <c r="C105" s="402" t="s">
        <v>18</v>
      </c>
      <c r="D105" s="402">
        <v>4</v>
      </c>
      <c r="E105" s="68">
        <v>1386</v>
      </c>
      <c r="F105" s="69">
        <v>1549</v>
      </c>
      <c r="G105" s="68">
        <v>1649.9</v>
      </c>
      <c r="H105" s="403">
        <f t="shared" ref="H105:H110" si="10">E105*D105</f>
        <v>5544</v>
      </c>
    </row>
    <row r="106" spans="1:8" ht="28.8">
      <c r="A106" s="400" t="s">
        <v>19</v>
      </c>
      <c r="B106" s="401" t="s">
        <v>462</v>
      </c>
      <c r="C106" s="402" t="s">
        <v>13</v>
      </c>
      <c r="D106" s="402">
        <v>10</v>
      </c>
      <c r="E106" s="68">
        <v>124.99</v>
      </c>
      <c r="F106" s="69">
        <v>142</v>
      </c>
      <c r="G106" s="68">
        <v>159.9</v>
      </c>
      <c r="H106" s="403">
        <f t="shared" si="10"/>
        <v>1249.8999999999999</v>
      </c>
    </row>
    <row r="107" spans="1:8" ht="43.2">
      <c r="A107" s="400" t="s">
        <v>20</v>
      </c>
      <c r="B107" s="401" t="s">
        <v>515</v>
      </c>
      <c r="C107" s="402" t="s">
        <v>15</v>
      </c>
      <c r="D107" s="402">
        <f t="shared" ref="D107:D108" si="11">20*20*10</f>
        <v>4000</v>
      </c>
      <c r="E107" s="68">
        <v>32</v>
      </c>
      <c r="F107" s="69">
        <v>32</v>
      </c>
      <c r="G107" s="68">
        <v>35</v>
      </c>
      <c r="H107" s="403">
        <f t="shared" si="10"/>
        <v>128000</v>
      </c>
    </row>
    <row r="108" spans="1:8" ht="28.8">
      <c r="A108" s="400" t="s">
        <v>21</v>
      </c>
      <c r="B108" s="401" t="s">
        <v>516</v>
      </c>
      <c r="C108" s="402" t="s">
        <v>15</v>
      </c>
      <c r="D108" s="402">
        <f t="shared" si="11"/>
        <v>4000</v>
      </c>
      <c r="E108" s="68">
        <v>8</v>
      </c>
      <c r="F108" s="69">
        <v>8.6</v>
      </c>
      <c r="G108" s="68">
        <v>9</v>
      </c>
      <c r="H108" s="403">
        <f t="shared" si="10"/>
        <v>32000</v>
      </c>
    </row>
    <row r="109" spans="1:8" ht="28.8">
      <c r="A109" s="400" t="s">
        <v>22</v>
      </c>
      <c r="B109" s="401" t="s">
        <v>522</v>
      </c>
      <c r="C109" s="402" t="s">
        <v>13</v>
      </c>
      <c r="D109" s="402">
        <v>4</v>
      </c>
      <c r="E109" s="68">
        <v>7950</v>
      </c>
      <c r="F109" s="68">
        <v>8763.6</v>
      </c>
      <c r="G109" s="102">
        <v>9350</v>
      </c>
      <c r="H109" s="403">
        <f t="shared" si="10"/>
        <v>31800</v>
      </c>
    </row>
    <row r="110" spans="1:8" ht="28.8">
      <c r="A110" s="400" t="s">
        <v>23</v>
      </c>
      <c r="B110" s="401" t="s">
        <v>674</v>
      </c>
      <c r="C110" s="402" t="s">
        <v>15</v>
      </c>
      <c r="D110" s="402">
        <v>10</v>
      </c>
      <c r="E110" s="403">
        <v>300</v>
      </c>
      <c r="F110" s="404">
        <v>600</v>
      </c>
      <c r="G110" s="403">
        <v>975</v>
      </c>
      <c r="H110" s="403">
        <f t="shared" si="10"/>
        <v>3000</v>
      </c>
    </row>
    <row r="111" spans="1:8" ht="28.8">
      <c r="A111" s="400" t="s">
        <v>24</v>
      </c>
      <c r="B111" s="401" t="s">
        <v>672</v>
      </c>
      <c r="C111" s="402" t="s">
        <v>13</v>
      </c>
      <c r="D111" s="402">
        <v>10</v>
      </c>
      <c r="E111" s="403">
        <v>49.9</v>
      </c>
      <c r="F111" s="404">
        <v>60</v>
      </c>
      <c r="G111" s="403">
        <v>65</v>
      </c>
      <c r="H111" s="403">
        <f>E111*D111*2</f>
        <v>998</v>
      </c>
    </row>
    <row r="112" spans="1:8">
      <c r="A112" s="400" t="s">
        <v>25</v>
      </c>
      <c r="B112" s="401" t="s">
        <v>673</v>
      </c>
      <c r="C112" s="402" t="s">
        <v>15</v>
      </c>
      <c r="D112" s="402">
        <v>20</v>
      </c>
      <c r="E112" s="403">
        <v>114</v>
      </c>
      <c r="F112" s="404">
        <v>180</v>
      </c>
      <c r="G112" s="403">
        <v>265</v>
      </c>
      <c r="H112" s="403">
        <f>E112*D112*4</f>
        <v>9120</v>
      </c>
    </row>
    <row r="113" spans="1:8" ht="28.8">
      <c r="A113" s="400" t="s">
        <v>27</v>
      </c>
      <c r="B113" s="401" t="s">
        <v>523</v>
      </c>
      <c r="C113" s="402" t="s">
        <v>108</v>
      </c>
      <c r="D113" s="402">
        <f>88*4*10*4</f>
        <v>14080</v>
      </c>
      <c r="E113" s="403">
        <v>6.47</v>
      </c>
      <c r="F113" s="404">
        <v>6.48</v>
      </c>
      <c r="G113" s="403">
        <v>6.49</v>
      </c>
      <c r="H113" s="403">
        <f t="shared" ref="H113:H180" si="12">E113*D113</f>
        <v>91097.599999999991</v>
      </c>
    </row>
    <row r="114" spans="1:8" ht="28.8">
      <c r="A114" s="400" t="s">
        <v>28</v>
      </c>
      <c r="B114" s="401" t="s">
        <v>500</v>
      </c>
      <c r="C114" s="402" t="s">
        <v>18</v>
      </c>
      <c r="D114" s="402">
        <v>4</v>
      </c>
      <c r="E114" s="403">
        <v>109</v>
      </c>
      <c r="F114" s="404">
        <v>211.19</v>
      </c>
      <c r="G114" s="408">
        <v>330</v>
      </c>
      <c r="H114" s="403">
        <f t="shared" si="12"/>
        <v>436</v>
      </c>
    </row>
    <row r="115" spans="1:8" ht="28.8">
      <c r="A115" s="400" t="s">
        <v>29</v>
      </c>
      <c r="B115" s="427" t="s">
        <v>681</v>
      </c>
      <c r="C115" s="402" t="s">
        <v>18</v>
      </c>
      <c r="D115" s="402">
        <f t="shared" ref="D115:D116" si="13">3*20</f>
        <v>60</v>
      </c>
      <c r="E115" s="68">
        <v>60</v>
      </c>
      <c r="F115" s="68">
        <v>65</v>
      </c>
      <c r="G115" s="69">
        <v>70</v>
      </c>
      <c r="H115" s="403">
        <f t="shared" si="12"/>
        <v>3600</v>
      </c>
    </row>
    <row r="116" spans="1:8" ht="57.6">
      <c r="A116" s="400" t="s">
        <v>30</v>
      </c>
      <c r="B116" s="428" t="s">
        <v>682</v>
      </c>
      <c r="C116" s="402" t="s">
        <v>18</v>
      </c>
      <c r="D116" s="402">
        <f t="shared" si="13"/>
        <v>60</v>
      </c>
      <c r="E116" s="68">
        <v>25</v>
      </c>
      <c r="F116" s="68">
        <v>40</v>
      </c>
      <c r="G116" s="69">
        <v>43</v>
      </c>
      <c r="H116" s="403">
        <f t="shared" si="12"/>
        <v>1500</v>
      </c>
    </row>
    <row r="117" spans="1:8" ht="28.8">
      <c r="A117" s="400" t="s">
        <v>32</v>
      </c>
      <c r="B117" s="401" t="s">
        <v>690</v>
      </c>
      <c r="C117" s="402" t="s">
        <v>18</v>
      </c>
      <c r="D117" s="402">
        <f>1*4</f>
        <v>4</v>
      </c>
      <c r="E117" s="68">
        <v>122</v>
      </c>
      <c r="F117" s="74">
        <v>170.91</v>
      </c>
      <c r="G117" s="68">
        <v>296.93</v>
      </c>
      <c r="H117" s="403">
        <f t="shared" si="12"/>
        <v>488</v>
      </c>
    </row>
    <row r="118" spans="1:8" ht="28.8">
      <c r="A118" s="400" t="s">
        <v>33</v>
      </c>
      <c r="B118" s="430" t="s">
        <v>689</v>
      </c>
      <c r="C118" s="402" t="s">
        <v>18</v>
      </c>
      <c r="D118" s="402">
        <f>1*16</f>
        <v>16</v>
      </c>
      <c r="E118" s="68">
        <v>77.34</v>
      </c>
      <c r="F118" s="74">
        <v>103.8</v>
      </c>
      <c r="G118" s="70">
        <v>117.95</v>
      </c>
      <c r="H118" s="403">
        <f t="shared" si="12"/>
        <v>1237.44</v>
      </c>
    </row>
    <row r="119" spans="1:8" ht="28.8">
      <c r="A119" s="400" t="s">
        <v>34</v>
      </c>
      <c r="B119" s="431" t="s">
        <v>691</v>
      </c>
      <c r="C119" s="402" t="s">
        <v>18</v>
      </c>
      <c r="D119" s="402">
        <f>4*1</f>
        <v>4</v>
      </c>
      <c r="E119" s="68">
        <v>21.8</v>
      </c>
      <c r="F119" s="74">
        <v>36</v>
      </c>
      <c r="G119" s="68">
        <v>46.9</v>
      </c>
      <c r="H119" s="403">
        <f t="shared" si="12"/>
        <v>87.2</v>
      </c>
    </row>
    <row r="120" spans="1:8" ht="28.8">
      <c r="A120" s="400" t="s">
        <v>37</v>
      </c>
      <c r="B120" s="431" t="s">
        <v>692</v>
      </c>
      <c r="C120" s="402" t="s">
        <v>18</v>
      </c>
      <c r="D120" s="402">
        <f>16*1</f>
        <v>16</v>
      </c>
      <c r="E120" s="73">
        <v>22.94</v>
      </c>
      <c r="F120" s="232">
        <v>23.46</v>
      </c>
      <c r="G120" s="73">
        <v>30</v>
      </c>
      <c r="H120" s="403">
        <f t="shared" si="12"/>
        <v>367.04</v>
      </c>
    </row>
    <row r="121" spans="1:8" ht="28.8">
      <c r="A121" s="400" t="s">
        <v>39</v>
      </c>
      <c r="B121" s="431" t="s">
        <v>685</v>
      </c>
      <c r="C121" s="402" t="s">
        <v>18</v>
      </c>
      <c r="D121" s="402">
        <f>20*1</f>
        <v>20</v>
      </c>
      <c r="E121" s="73">
        <v>13.93</v>
      </c>
      <c r="F121" s="74">
        <v>15.71</v>
      </c>
      <c r="G121" s="68">
        <v>49.9</v>
      </c>
      <c r="H121" s="403">
        <f t="shared" si="12"/>
        <v>278.60000000000002</v>
      </c>
    </row>
    <row r="122" spans="1:8" ht="28.8">
      <c r="A122" s="400" t="s">
        <v>40</v>
      </c>
      <c r="B122" s="401" t="s">
        <v>529</v>
      </c>
      <c r="C122" s="402" t="s">
        <v>18</v>
      </c>
      <c r="D122" s="402">
        <f>3*20*10</f>
        <v>600</v>
      </c>
      <c r="E122" s="73">
        <v>12.4</v>
      </c>
      <c r="F122" s="232">
        <v>13.5</v>
      </c>
      <c r="G122" s="68">
        <v>20.260000000000002</v>
      </c>
      <c r="H122" s="403">
        <f t="shared" si="12"/>
        <v>7440</v>
      </c>
    </row>
    <row r="123" spans="1:8" ht="28.8">
      <c r="A123" s="400" t="s">
        <v>42</v>
      </c>
      <c r="B123" s="401" t="s">
        <v>530</v>
      </c>
      <c r="C123" s="402" t="s">
        <v>18</v>
      </c>
      <c r="D123" s="402">
        <f>2*20*10</f>
        <v>400</v>
      </c>
      <c r="E123" s="68">
        <v>2.7</v>
      </c>
      <c r="F123" s="68">
        <v>2.75</v>
      </c>
      <c r="G123" s="232">
        <v>2.94</v>
      </c>
      <c r="H123" s="403">
        <f t="shared" si="12"/>
        <v>1080</v>
      </c>
    </row>
    <row r="124" spans="1:8" ht="28.8">
      <c r="A124" s="400" t="s">
        <v>44</v>
      </c>
      <c r="B124" s="401" t="s">
        <v>531</v>
      </c>
      <c r="C124" s="402" t="s">
        <v>18</v>
      </c>
      <c r="D124" s="402">
        <f>1*2*4</f>
        <v>8</v>
      </c>
      <c r="E124" s="68">
        <v>38.700000000000003</v>
      </c>
      <c r="F124" s="69">
        <v>65.64</v>
      </c>
      <c r="G124" s="73">
        <v>176</v>
      </c>
      <c r="H124" s="403">
        <f t="shared" si="12"/>
        <v>309.60000000000002</v>
      </c>
    </row>
    <row r="125" spans="1:8">
      <c r="A125" s="400" t="s">
        <v>46</v>
      </c>
      <c r="B125" s="430" t="s">
        <v>503</v>
      </c>
      <c r="C125" s="402" t="s">
        <v>18</v>
      </c>
      <c r="D125" s="402">
        <f>4*2</f>
        <v>8</v>
      </c>
      <c r="E125" s="68">
        <v>160</v>
      </c>
      <c r="F125" s="232">
        <v>163</v>
      </c>
      <c r="G125" s="73">
        <v>193.63</v>
      </c>
      <c r="H125" s="403">
        <f t="shared" si="12"/>
        <v>1280</v>
      </c>
    </row>
    <row r="126" spans="1:8" ht="28.8">
      <c r="A126" s="400" t="s">
        <v>48</v>
      </c>
      <c r="B126" s="432" t="s">
        <v>474</v>
      </c>
      <c r="C126" s="402" t="s">
        <v>18</v>
      </c>
      <c r="D126" s="402">
        <v>20</v>
      </c>
      <c r="E126" s="70">
        <v>35</v>
      </c>
      <c r="F126" s="74">
        <v>41.4</v>
      </c>
      <c r="G126" s="68">
        <v>168.26</v>
      </c>
      <c r="H126" s="403">
        <f t="shared" si="12"/>
        <v>700</v>
      </c>
    </row>
    <row r="127" spans="1:8" ht="28.8">
      <c r="A127" s="400" t="s">
        <v>49</v>
      </c>
      <c r="B127" s="430" t="s">
        <v>492</v>
      </c>
      <c r="C127" s="402" t="s">
        <v>18</v>
      </c>
      <c r="D127" s="402">
        <v>20</v>
      </c>
      <c r="E127" s="73">
        <v>41.4</v>
      </c>
      <c r="F127" s="69">
        <v>42.23</v>
      </c>
      <c r="G127" s="70">
        <v>50</v>
      </c>
      <c r="H127" s="403">
        <f t="shared" si="12"/>
        <v>828</v>
      </c>
    </row>
    <row r="128" spans="1:8" ht="28.8">
      <c r="A128" s="400" t="s">
        <v>51</v>
      </c>
      <c r="B128" s="401" t="s">
        <v>532</v>
      </c>
      <c r="C128" s="402" t="s">
        <v>18</v>
      </c>
      <c r="D128" s="402">
        <f>8*2*2</f>
        <v>32</v>
      </c>
      <c r="E128" s="68">
        <v>2.77</v>
      </c>
      <c r="F128" s="74">
        <v>3.75</v>
      </c>
      <c r="G128" s="73">
        <v>3.96</v>
      </c>
      <c r="H128" s="403">
        <f t="shared" si="12"/>
        <v>88.64</v>
      </c>
    </row>
    <row r="129" spans="1:8" ht="43.2">
      <c r="A129" s="400" t="s">
        <v>53</v>
      </c>
      <c r="B129" s="401" t="s">
        <v>533</v>
      </c>
      <c r="C129" s="402" t="s">
        <v>18</v>
      </c>
      <c r="D129" s="402">
        <f t="shared" ref="D129:D131" si="14">4*2</f>
        <v>8</v>
      </c>
      <c r="E129" s="73">
        <v>27.94</v>
      </c>
      <c r="F129" s="232">
        <v>35.5</v>
      </c>
      <c r="G129" s="73">
        <v>36.9</v>
      </c>
      <c r="H129" s="403">
        <f t="shared" si="12"/>
        <v>223.52</v>
      </c>
    </row>
    <row r="130" spans="1:8" ht="43.2">
      <c r="A130" s="400" t="s">
        <v>55</v>
      </c>
      <c r="B130" s="416" t="s">
        <v>534</v>
      </c>
      <c r="C130" s="402" t="s">
        <v>18</v>
      </c>
      <c r="D130" s="402">
        <f t="shared" si="14"/>
        <v>8</v>
      </c>
      <c r="E130" s="73">
        <v>28.55</v>
      </c>
      <c r="F130" s="232">
        <v>28.8</v>
      </c>
      <c r="G130" s="73">
        <v>103.4</v>
      </c>
      <c r="H130" s="403">
        <f t="shared" si="12"/>
        <v>228.4</v>
      </c>
    </row>
    <row r="131" spans="1:8" ht="57.6">
      <c r="A131" s="400" t="s">
        <v>56</v>
      </c>
      <c r="B131" s="430" t="s">
        <v>535</v>
      </c>
      <c r="C131" s="402" t="s">
        <v>18</v>
      </c>
      <c r="D131" s="402">
        <f t="shared" si="14"/>
        <v>8</v>
      </c>
      <c r="E131" s="232">
        <v>286</v>
      </c>
      <c r="F131" s="69">
        <v>484</v>
      </c>
      <c r="G131" s="68">
        <v>572</v>
      </c>
      <c r="H131" s="403">
        <f t="shared" si="12"/>
        <v>2288</v>
      </c>
    </row>
    <row r="132" spans="1:8" ht="28.8">
      <c r="A132" s="400" t="s">
        <v>57</v>
      </c>
      <c r="B132" s="416" t="s">
        <v>507</v>
      </c>
      <c r="C132" s="402" t="s">
        <v>18</v>
      </c>
      <c r="D132" s="402">
        <f>2*4</f>
        <v>8</v>
      </c>
      <c r="E132" s="70">
        <v>133.01</v>
      </c>
      <c r="F132" s="69">
        <v>157.19999999999999</v>
      </c>
      <c r="G132" s="70">
        <v>175.33</v>
      </c>
      <c r="H132" s="403">
        <f t="shared" si="12"/>
        <v>1064.08</v>
      </c>
    </row>
    <row r="133" spans="1:8" ht="28.8">
      <c r="A133" s="400" t="s">
        <v>58</v>
      </c>
      <c r="B133" s="430" t="s">
        <v>536</v>
      </c>
      <c r="C133" s="402" t="s">
        <v>18</v>
      </c>
      <c r="D133" s="402">
        <v>4</v>
      </c>
      <c r="E133" s="70">
        <v>73.900000000000006</v>
      </c>
      <c r="F133" s="69">
        <v>76.5</v>
      </c>
      <c r="G133" s="73">
        <v>78.849999999999994</v>
      </c>
      <c r="H133" s="403">
        <f t="shared" si="12"/>
        <v>295.60000000000002</v>
      </c>
    </row>
    <row r="134" spans="1:8" ht="28.8">
      <c r="A134" s="400" t="s">
        <v>59</v>
      </c>
      <c r="B134" s="416" t="s">
        <v>493</v>
      </c>
      <c r="C134" s="402" t="s">
        <v>18</v>
      </c>
      <c r="D134" s="402">
        <v>4</v>
      </c>
      <c r="E134" s="73">
        <v>26.5</v>
      </c>
      <c r="F134" s="69">
        <v>61.9</v>
      </c>
      <c r="G134" s="68">
        <v>83.6</v>
      </c>
      <c r="H134" s="403">
        <f t="shared" si="12"/>
        <v>106</v>
      </c>
    </row>
    <row r="135" spans="1:8" ht="28.8">
      <c r="A135" s="400" t="s">
        <v>60</v>
      </c>
      <c r="B135" s="416" t="s">
        <v>494</v>
      </c>
      <c r="C135" s="402" t="s">
        <v>18</v>
      </c>
      <c r="D135" s="402">
        <f>4*2</f>
        <v>8</v>
      </c>
      <c r="E135" s="70">
        <v>27.9</v>
      </c>
      <c r="F135" s="232">
        <v>30</v>
      </c>
      <c r="G135" s="70">
        <v>32.229999999999997</v>
      </c>
      <c r="H135" s="403">
        <f t="shared" si="12"/>
        <v>223.2</v>
      </c>
    </row>
    <row r="136" spans="1:8" ht="28.8">
      <c r="A136" s="400" t="s">
        <v>62</v>
      </c>
      <c r="B136" s="449" t="s">
        <v>495</v>
      </c>
      <c r="C136" s="402" t="s">
        <v>18</v>
      </c>
      <c r="D136" s="402">
        <f>2*4</f>
        <v>8</v>
      </c>
      <c r="E136" s="68">
        <v>157.44</v>
      </c>
      <c r="F136" s="69">
        <v>184.26</v>
      </c>
      <c r="G136" s="68">
        <v>208.95</v>
      </c>
      <c r="H136" s="403">
        <f t="shared" si="12"/>
        <v>1259.52</v>
      </c>
    </row>
    <row r="137" spans="1:8" ht="28.8">
      <c r="A137" s="400" t="s">
        <v>64</v>
      </c>
      <c r="B137" s="401" t="s">
        <v>496</v>
      </c>
      <c r="C137" s="402" t="s">
        <v>18</v>
      </c>
      <c r="D137" s="402">
        <f>4*4</f>
        <v>16</v>
      </c>
      <c r="E137" s="68">
        <v>33.729999999999997</v>
      </c>
      <c r="F137" s="69">
        <v>43.66</v>
      </c>
      <c r="G137" s="68">
        <v>72</v>
      </c>
      <c r="H137" s="403">
        <f t="shared" si="12"/>
        <v>539.67999999999995</v>
      </c>
    </row>
    <row r="138" spans="1:8" ht="28.8">
      <c r="A138" s="420" t="s">
        <v>66</v>
      </c>
      <c r="B138" s="123" t="s">
        <v>772</v>
      </c>
      <c r="C138" s="402" t="s">
        <v>18</v>
      </c>
      <c r="D138" s="413">
        <f>20*1</f>
        <v>20</v>
      </c>
      <c r="E138" s="412">
        <v>286</v>
      </c>
      <c r="F138" s="404">
        <v>338</v>
      </c>
      <c r="G138" s="403">
        <v>377</v>
      </c>
      <c r="H138" s="404">
        <f t="shared" si="12"/>
        <v>5720</v>
      </c>
    </row>
    <row r="139" spans="1:8" ht="28.8">
      <c r="A139" s="420" t="s">
        <v>69</v>
      </c>
      <c r="B139" s="123" t="s">
        <v>773</v>
      </c>
      <c r="C139" s="402" t="s">
        <v>18</v>
      </c>
      <c r="D139" s="413">
        <f>16*1</f>
        <v>16</v>
      </c>
      <c r="E139" s="412">
        <v>98</v>
      </c>
      <c r="F139" s="404">
        <v>270</v>
      </c>
      <c r="G139" s="403">
        <v>279</v>
      </c>
      <c r="H139" s="404">
        <f t="shared" si="12"/>
        <v>1568</v>
      </c>
    </row>
    <row r="140" spans="1:8" ht="28.8">
      <c r="A140" s="420" t="s">
        <v>71</v>
      </c>
      <c r="B140" s="123" t="s">
        <v>774</v>
      </c>
      <c r="C140" s="402" t="s">
        <v>18</v>
      </c>
      <c r="D140" s="413">
        <f>2*20*10</f>
        <v>400</v>
      </c>
      <c r="E140" s="412">
        <v>35.99</v>
      </c>
      <c r="F140" s="404">
        <v>37.93</v>
      </c>
      <c r="G140" s="403">
        <v>67.900000000000006</v>
      </c>
      <c r="H140" s="404">
        <f t="shared" si="12"/>
        <v>14396</v>
      </c>
    </row>
    <row r="141" spans="1:8" ht="28.8">
      <c r="A141" s="420" t="s">
        <v>73</v>
      </c>
      <c r="B141" s="123" t="s">
        <v>786</v>
      </c>
      <c r="C141" s="402" t="s">
        <v>18</v>
      </c>
      <c r="D141" s="413">
        <v>4</v>
      </c>
      <c r="E141" s="412">
        <v>817.89</v>
      </c>
      <c r="F141" s="404">
        <v>897.86</v>
      </c>
      <c r="G141" s="403">
        <v>1089.9000000000001</v>
      </c>
      <c r="H141" s="404">
        <f t="shared" si="12"/>
        <v>3271.56</v>
      </c>
    </row>
    <row r="142" spans="1:8" ht="28.8">
      <c r="A142" s="420" t="s">
        <v>75</v>
      </c>
      <c r="B142" s="123" t="s">
        <v>787</v>
      </c>
      <c r="C142" s="402" t="s">
        <v>18</v>
      </c>
      <c r="D142" s="413">
        <v>4</v>
      </c>
      <c r="E142" s="412">
        <v>479.52</v>
      </c>
      <c r="F142" s="404">
        <v>559.9</v>
      </c>
      <c r="G142" s="403">
        <v>616</v>
      </c>
      <c r="H142" s="404">
        <f t="shared" si="12"/>
        <v>1918.08</v>
      </c>
    </row>
    <row r="143" spans="1:8" ht="28.8">
      <c r="A143" s="420" t="s">
        <v>77</v>
      </c>
      <c r="B143" s="123" t="s">
        <v>783</v>
      </c>
      <c r="C143" s="402" t="s">
        <v>18</v>
      </c>
      <c r="D143" s="413">
        <f>2*20*1</f>
        <v>40</v>
      </c>
      <c r="E143" s="412">
        <v>125</v>
      </c>
      <c r="F143" s="404">
        <v>144.41</v>
      </c>
      <c r="G143" s="403">
        <v>155.5</v>
      </c>
      <c r="H143" s="404">
        <f t="shared" si="12"/>
        <v>5000</v>
      </c>
    </row>
    <row r="144" spans="1:8" ht="28.8">
      <c r="A144" s="420" t="s">
        <v>78</v>
      </c>
      <c r="B144" s="123" t="s">
        <v>775</v>
      </c>
      <c r="C144" s="402" t="s">
        <v>18</v>
      </c>
      <c r="D144" s="413">
        <v>4</v>
      </c>
      <c r="E144" s="412">
        <v>930</v>
      </c>
      <c r="F144" s="404">
        <v>1000</v>
      </c>
      <c r="G144" s="403">
        <v>1980</v>
      </c>
      <c r="H144" s="404">
        <f t="shared" si="12"/>
        <v>3720</v>
      </c>
    </row>
    <row r="145" spans="1:8" ht="28.8">
      <c r="A145" s="420" t="s">
        <v>79</v>
      </c>
      <c r="B145" s="123" t="s">
        <v>776</v>
      </c>
      <c r="C145" s="402" t="s">
        <v>18</v>
      </c>
      <c r="D145" s="413">
        <f>1*20*1</f>
        <v>20</v>
      </c>
      <c r="E145" s="412">
        <v>37.9</v>
      </c>
      <c r="F145" s="404">
        <v>41.31</v>
      </c>
      <c r="G145" s="403">
        <v>45</v>
      </c>
      <c r="H145" s="404">
        <f t="shared" si="12"/>
        <v>758</v>
      </c>
    </row>
    <row r="146" spans="1:8" ht="28.8">
      <c r="A146" s="420" t="s">
        <v>116</v>
      </c>
      <c r="B146" s="123" t="s">
        <v>777</v>
      </c>
      <c r="C146" s="402" t="s">
        <v>18</v>
      </c>
      <c r="D146" s="413">
        <f>1*20*1</f>
        <v>20</v>
      </c>
      <c r="E146" s="412">
        <v>73.489999999999995</v>
      </c>
      <c r="F146" s="404">
        <v>96.7</v>
      </c>
      <c r="G146" s="403">
        <v>106.76</v>
      </c>
      <c r="H146" s="404">
        <f t="shared" si="12"/>
        <v>1469.8</v>
      </c>
    </row>
    <row r="147" spans="1:8" ht="28.8">
      <c r="A147" s="420" t="s">
        <v>118</v>
      </c>
      <c r="B147" s="123" t="s">
        <v>784</v>
      </c>
      <c r="C147" s="402" t="s">
        <v>18</v>
      </c>
      <c r="D147" s="495">
        <v>4</v>
      </c>
      <c r="E147" s="412">
        <v>139.9</v>
      </c>
      <c r="F147" s="404">
        <v>155</v>
      </c>
      <c r="G147" s="403">
        <v>169.92</v>
      </c>
      <c r="H147" s="404">
        <f t="shared" si="12"/>
        <v>559.6</v>
      </c>
    </row>
    <row r="148" spans="1:8" ht="28.8">
      <c r="A148" s="420" t="s">
        <v>119</v>
      </c>
      <c r="B148" s="123" t="s">
        <v>788</v>
      </c>
      <c r="C148" s="10" t="s">
        <v>18</v>
      </c>
      <c r="D148" s="495">
        <v>8</v>
      </c>
      <c r="E148" s="412">
        <v>743.68</v>
      </c>
      <c r="F148" s="404">
        <v>895</v>
      </c>
      <c r="G148" s="403">
        <v>2099.9</v>
      </c>
      <c r="H148" s="404">
        <f t="shared" si="12"/>
        <v>5949.44</v>
      </c>
    </row>
    <row r="149" spans="1:8" ht="43.2">
      <c r="A149" s="400" t="s">
        <v>66</v>
      </c>
      <c r="B149" s="401" t="s">
        <v>541</v>
      </c>
      <c r="C149" s="402" t="s">
        <v>18</v>
      </c>
      <c r="D149" s="402">
        <v>4</v>
      </c>
      <c r="E149" s="256">
        <v>3200.55</v>
      </c>
      <c r="F149" s="69">
        <v>3309</v>
      </c>
      <c r="G149" s="68">
        <v>3369</v>
      </c>
      <c r="H149" s="403">
        <f t="shared" si="12"/>
        <v>12802.2</v>
      </c>
    </row>
    <row r="150" spans="1:8" ht="43.2">
      <c r="A150" s="400" t="s">
        <v>69</v>
      </c>
      <c r="B150" s="401" t="s">
        <v>509</v>
      </c>
      <c r="C150" s="402" t="s">
        <v>108</v>
      </c>
      <c r="D150" s="402">
        <f>10*4*8*4</f>
        <v>1280</v>
      </c>
      <c r="E150" s="256">
        <v>6.8</v>
      </c>
      <c r="F150" s="69">
        <v>6.9</v>
      </c>
      <c r="G150" s="68">
        <v>6.35</v>
      </c>
      <c r="H150" s="403">
        <f t="shared" si="12"/>
        <v>8704</v>
      </c>
    </row>
    <row r="151" spans="1:8" ht="28.8">
      <c r="A151" s="400" t="s">
        <v>71</v>
      </c>
      <c r="B151" s="401" t="s">
        <v>510</v>
      </c>
      <c r="C151" s="402" t="s">
        <v>108</v>
      </c>
      <c r="D151" s="402">
        <f>20*2</f>
        <v>40</v>
      </c>
      <c r="E151" s="256">
        <v>43.98</v>
      </c>
      <c r="F151" s="69">
        <v>47.42</v>
      </c>
      <c r="G151" s="68">
        <v>47.9</v>
      </c>
      <c r="H151" s="403">
        <f t="shared" si="12"/>
        <v>1759.1999999999998</v>
      </c>
    </row>
    <row r="152" spans="1:8" ht="28.8">
      <c r="A152" s="400" t="s">
        <v>73</v>
      </c>
      <c r="B152" s="401" t="s">
        <v>511</v>
      </c>
      <c r="C152" s="402" t="s">
        <v>109</v>
      </c>
      <c r="D152" s="495">
        <f>10*4</f>
        <v>40</v>
      </c>
      <c r="E152" s="256">
        <v>26.24</v>
      </c>
      <c r="F152" s="69">
        <v>28.33</v>
      </c>
      <c r="G152" s="68">
        <v>31.98</v>
      </c>
      <c r="H152" s="403">
        <f t="shared" si="12"/>
        <v>1049.5999999999999</v>
      </c>
    </row>
    <row r="153" spans="1:8" ht="28.8">
      <c r="A153" s="400" t="s">
        <v>75</v>
      </c>
      <c r="B153" s="401" t="s">
        <v>537</v>
      </c>
      <c r="C153" s="402" t="s">
        <v>675</v>
      </c>
      <c r="D153" s="402">
        <f>10*2</f>
        <v>20</v>
      </c>
      <c r="E153" s="256">
        <v>94.2</v>
      </c>
      <c r="F153" s="69">
        <v>108.06</v>
      </c>
      <c r="G153" s="68">
        <v>114.93</v>
      </c>
      <c r="H153" s="403">
        <f t="shared" si="12"/>
        <v>1884</v>
      </c>
    </row>
    <row r="154" spans="1:8" ht="28.8">
      <c r="A154" s="400" t="s">
        <v>77</v>
      </c>
      <c r="B154" s="401" t="s">
        <v>512</v>
      </c>
      <c r="C154" s="402" t="s">
        <v>18</v>
      </c>
      <c r="D154" s="402">
        <f>2*4</f>
        <v>8</v>
      </c>
      <c r="E154" s="68">
        <v>37.47</v>
      </c>
      <c r="F154" s="198">
        <v>43.66</v>
      </c>
      <c r="G154" s="73">
        <v>48</v>
      </c>
      <c r="H154" s="403">
        <f t="shared" si="12"/>
        <v>299.76</v>
      </c>
    </row>
    <row r="155" spans="1:8" ht="28.8">
      <c r="A155" s="400" t="s">
        <v>78</v>
      </c>
      <c r="B155" s="401" t="s">
        <v>538</v>
      </c>
      <c r="C155" s="402" t="s">
        <v>18</v>
      </c>
      <c r="D155" s="402">
        <f>3*8*4</f>
        <v>96</v>
      </c>
      <c r="E155" s="68">
        <v>23.1</v>
      </c>
      <c r="F155" s="232">
        <v>25.52</v>
      </c>
      <c r="G155" s="73">
        <v>29.6</v>
      </c>
      <c r="H155" s="403">
        <f t="shared" si="12"/>
        <v>2217.6000000000004</v>
      </c>
    </row>
    <row r="156" spans="1:8" ht="28.8">
      <c r="A156" s="400" t="s">
        <v>79</v>
      </c>
      <c r="B156" s="401" t="s">
        <v>540</v>
      </c>
      <c r="C156" s="402" t="s">
        <v>18</v>
      </c>
      <c r="D156" s="402">
        <f t="shared" ref="D156:D157" si="15">3*4</f>
        <v>12</v>
      </c>
      <c r="E156" s="256">
        <v>54.78</v>
      </c>
      <c r="F156" s="232">
        <v>74.83</v>
      </c>
      <c r="G156" s="73">
        <v>82.7</v>
      </c>
      <c r="H156" s="403">
        <f t="shared" si="12"/>
        <v>657.36</v>
      </c>
    </row>
    <row r="157" spans="1:8" ht="28.8">
      <c r="A157" s="400" t="s">
        <v>116</v>
      </c>
      <c r="B157" s="401" t="s">
        <v>539</v>
      </c>
      <c r="C157" s="402" t="s">
        <v>18</v>
      </c>
      <c r="D157" s="402">
        <f t="shared" si="15"/>
        <v>12</v>
      </c>
      <c r="E157" s="68">
        <v>27.82</v>
      </c>
      <c r="F157" s="69">
        <v>32.369999999999997</v>
      </c>
      <c r="G157" s="68">
        <v>33.74</v>
      </c>
      <c r="H157" s="403">
        <f t="shared" si="12"/>
        <v>333.84000000000003</v>
      </c>
    </row>
    <row r="158" spans="1:8" ht="28.8">
      <c r="A158" s="400" t="s">
        <v>118</v>
      </c>
      <c r="B158" s="401" t="s">
        <v>117</v>
      </c>
      <c r="C158" s="402" t="s">
        <v>18</v>
      </c>
      <c r="D158" s="402">
        <f>2*4</f>
        <v>8</v>
      </c>
      <c r="E158" s="68">
        <v>3647.05</v>
      </c>
      <c r="F158" s="69">
        <v>4061.93</v>
      </c>
      <c r="G158" s="68">
        <v>4274.5</v>
      </c>
      <c r="H158" s="403">
        <f t="shared" si="12"/>
        <v>29176.400000000001</v>
      </c>
    </row>
    <row r="159" spans="1:8" ht="28.8">
      <c r="A159" s="400" t="s">
        <v>119</v>
      </c>
      <c r="B159" s="401" t="s">
        <v>542</v>
      </c>
      <c r="C159" s="402" t="s">
        <v>18</v>
      </c>
      <c r="D159" s="402">
        <f>4*4</f>
        <v>16</v>
      </c>
      <c r="E159" s="68">
        <v>1123.6400000000001</v>
      </c>
      <c r="F159" s="69">
        <v>1285.6300000000001</v>
      </c>
      <c r="G159" s="68">
        <v>1502.31</v>
      </c>
      <c r="H159" s="403">
        <f t="shared" si="12"/>
        <v>17978.240000000002</v>
      </c>
    </row>
    <row r="160" spans="1:8" ht="28.8">
      <c r="A160" s="400" t="s">
        <v>120</v>
      </c>
      <c r="B160" s="401" t="s">
        <v>543</v>
      </c>
      <c r="C160" s="402" t="s">
        <v>18</v>
      </c>
      <c r="D160" s="213">
        <f>16*10</f>
        <v>160</v>
      </c>
      <c r="E160" s="256">
        <v>456.51</v>
      </c>
      <c r="F160" s="69">
        <v>465</v>
      </c>
      <c r="G160" s="68">
        <v>480.54</v>
      </c>
      <c r="H160" s="403">
        <f t="shared" si="12"/>
        <v>73041.600000000006</v>
      </c>
    </row>
    <row r="161" spans="1:8" ht="28.8">
      <c r="A161" s="400" t="s">
        <v>121</v>
      </c>
      <c r="B161" s="401" t="s">
        <v>544</v>
      </c>
      <c r="C161" s="402" t="s">
        <v>18</v>
      </c>
      <c r="D161" s="67">
        <v>4</v>
      </c>
      <c r="E161" s="68">
        <v>822.41</v>
      </c>
      <c r="F161" s="69">
        <v>835.91</v>
      </c>
      <c r="G161" s="68">
        <v>852.9</v>
      </c>
      <c r="H161" s="403">
        <f t="shared" si="12"/>
        <v>3289.64</v>
      </c>
    </row>
    <row r="162" spans="1:8" ht="28.8">
      <c r="A162" s="400" t="s">
        <v>122</v>
      </c>
      <c r="B162" s="401" t="s">
        <v>513</v>
      </c>
      <c r="C162" s="402" t="s">
        <v>68</v>
      </c>
      <c r="D162" s="67">
        <f>5*4</f>
        <v>20</v>
      </c>
      <c r="E162" s="73">
        <v>204</v>
      </c>
      <c r="F162" s="232">
        <v>255</v>
      </c>
      <c r="G162" s="73">
        <v>280</v>
      </c>
      <c r="H162" s="403">
        <f t="shared" si="12"/>
        <v>4080</v>
      </c>
    </row>
    <row r="163" spans="1:8" ht="43.2">
      <c r="A163" s="400" t="s">
        <v>123</v>
      </c>
      <c r="B163" s="401" t="s">
        <v>623</v>
      </c>
      <c r="C163" s="402" t="s">
        <v>18</v>
      </c>
      <c r="D163" s="402">
        <f>4*4</f>
        <v>16</v>
      </c>
      <c r="E163" s="68">
        <v>49</v>
      </c>
      <c r="F163" s="69">
        <v>64</v>
      </c>
      <c r="G163" s="68">
        <v>80</v>
      </c>
      <c r="H163" s="403">
        <f t="shared" si="12"/>
        <v>784</v>
      </c>
    </row>
    <row r="164" spans="1:8" ht="28.8">
      <c r="A164" s="400" t="s">
        <v>124</v>
      </c>
      <c r="B164" s="432" t="s">
        <v>546</v>
      </c>
      <c r="C164" s="402" t="s">
        <v>18</v>
      </c>
      <c r="D164" s="402">
        <v>16</v>
      </c>
      <c r="E164" s="70">
        <v>46.6</v>
      </c>
      <c r="F164" s="69">
        <v>62</v>
      </c>
      <c r="G164" s="68">
        <v>95.25</v>
      </c>
      <c r="H164" s="403">
        <f t="shared" si="12"/>
        <v>745.6</v>
      </c>
    </row>
    <row r="165" spans="1:8" ht="43.2">
      <c r="A165" s="400" t="s">
        <v>125</v>
      </c>
      <c r="B165" s="432" t="s">
        <v>547</v>
      </c>
      <c r="C165" s="402" t="s">
        <v>18</v>
      </c>
      <c r="D165" s="402">
        <f>8*4</f>
        <v>32</v>
      </c>
      <c r="E165" s="68">
        <v>103.2</v>
      </c>
      <c r="F165" s="74">
        <v>129</v>
      </c>
      <c r="G165" s="68">
        <v>167.81</v>
      </c>
      <c r="H165" s="403">
        <f t="shared" si="12"/>
        <v>3302.4</v>
      </c>
    </row>
    <row r="166" spans="1:8" ht="28.8">
      <c r="A166" s="400" t="s">
        <v>126</v>
      </c>
      <c r="B166" s="432" t="s">
        <v>548</v>
      </c>
      <c r="C166" s="402" t="s">
        <v>18</v>
      </c>
      <c r="D166" s="402">
        <f>2*4</f>
        <v>8</v>
      </c>
      <c r="E166" s="68">
        <v>37.6</v>
      </c>
      <c r="F166" s="69">
        <v>54</v>
      </c>
      <c r="G166" s="68">
        <v>59.6</v>
      </c>
      <c r="H166" s="403">
        <f t="shared" si="12"/>
        <v>300.8</v>
      </c>
    </row>
    <row r="167" spans="1:8" ht="28.8">
      <c r="A167" s="400" t="s">
        <v>127</v>
      </c>
      <c r="B167" s="432" t="s">
        <v>549</v>
      </c>
      <c r="C167" s="402" t="s">
        <v>18</v>
      </c>
      <c r="D167" s="402">
        <v>16</v>
      </c>
      <c r="E167" s="68">
        <v>29.6</v>
      </c>
      <c r="F167" s="74">
        <v>53.7</v>
      </c>
      <c r="G167" s="68">
        <v>61.28</v>
      </c>
      <c r="H167" s="403">
        <f t="shared" si="12"/>
        <v>473.6</v>
      </c>
    </row>
    <row r="168" spans="1:8" ht="28.8">
      <c r="A168" s="400" t="s">
        <v>128</v>
      </c>
      <c r="B168" s="432" t="s">
        <v>550</v>
      </c>
      <c r="C168" s="402" t="s">
        <v>18</v>
      </c>
      <c r="D168" s="402">
        <v>16</v>
      </c>
      <c r="E168" s="68">
        <v>36</v>
      </c>
      <c r="F168" s="69">
        <v>50.6</v>
      </c>
      <c r="G168" s="68">
        <v>54.6</v>
      </c>
      <c r="H168" s="403">
        <f t="shared" si="12"/>
        <v>576</v>
      </c>
    </row>
    <row r="169" spans="1:8" ht="28.8">
      <c r="A169" s="400" t="s">
        <v>129</v>
      </c>
      <c r="B169" s="432" t="s">
        <v>551</v>
      </c>
      <c r="C169" s="402" t="s">
        <v>18</v>
      </c>
      <c r="D169" s="402">
        <v>4</v>
      </c>
      <c r="E169" s="68">
        <v>45.39</v>
      </c>
      <c r="F169" s="232">
        <v>49.8</v>
      </c>
      <c r="G169" s="73">
        <v>84.64</v>
      </c>
      <c r="H169" s="403">
        <f t="shared" si="12"/>
        <v>181.56</v>
      </c>
    </row>
    <row r="170" spans="1:8" ht="28.8">
      <c r="A170" s="400" t="s">
        <v>130</v>
      </c>
      <c r="B170" s="432" t="s">
        <v>552</v>
      </c>
      <c r="C170" s="402" t="s">
        <v>18</v>
      </c>
      <c r="D170" s="402">
        <f>2*4</f>
        <v>8</v>
      </c>
      <c r="E170" s="68">
        <v>140.54</v>
      </c>
      <c r="F170" s="232">
        <v>186.8</v>
      </c>
      <c r="G170" s="73">
        <v>341.8</v>
      </c>
      <c r="H170" s="403">
        <f t="shared" si="12"/>
        <v>1124.32</v>
      </c>
    </row>
    <row r="171" spans="1:8" ht="28.8">
      <c r="A171" s="400" t="s">
        <v>131</v>
      </c>
      <c r="B171" s="432" t="s">
        <v>553</v>
      </c>
      <c r="C171" s="402" t="s">
        <v>18</v>
      </c>
      <c r="D171" s="402">
        <v>4</v>
      </c>
      <c r="E171" s="256">
        <v>5.38</v>
      </c>
      <c r="F171" s="232">
        <v>5.65</v>
      </c>
      <c r="G171" s="73">
        <v>12.6</v>
      </c>
      <c r="H171" s="403">
        <f t="shared" si="12"/>
        <v>21.52</v>
      </c>
    </row>
    <row r="172" spans="1:8" ht="43.2">
      <c r="A172" s="400" t="s">
        <v>132</v>
      </c>
      <c r="B172" s="432" t="s">
        <v>562</v>
      </c>
      <c r="C172" s="402" t="s">
        <v>15</v>
      </c>
      <c r="D172" s="402">
        <v>2</v>
      </c>
      <c r="E172" s="68">
        <v>800</v>
      </c>
      <c r="F172" s="69"/>
      <c r="G172" s="68"/>
      <c r="H172" s="403">
        <f t="shared" si="12"/>
        <v>1600</v>
      </c>
    </row>
    <row r="173" spans="1:8" ht="28.8">
      <c r="A173" s="400" t="s">
        <v>133</v>
      </c>
      <c r="B173" s="432" t="s">
        <v>554</v>
      </c>
      <c r="C173" s="429" t="s">
        <v>18</v>
      </c>
      <c r="D173" s="402">
        <v>20</v>
      </c>
      <c r="E173" s="68">
        <v>120</v>
      </c>
      <c r="F173" s="69">
        <v>150</v>
      </c>
      <c r="G173" s="68">
        <v>156</v>
      </c>
      <c r="H173" s="403">
        <f t="shared" si="12"/>
        <v>2400</v>
      </c>
    </row>
    <row r="174" spans="1:8" ht="28.8">
      <c r="A174" s="400" t="s">
        <v>134</v>
      </c>
      <c r="B174" s="450" t="s">
        <v>555</v>
      </c>
      <c r="C174" s="429" t="s">
        <v>18</v>
      </c>
      <c r="D174" s="402">
        <v>20</v>
      </c>
      <c r="E174" s="68">
        <v>118</v>
      </c>
      <c r="F174" s="69">
        <v>147.5</v>
      </c>
      <c r="G174" s="68">
        <v>171.1</v>
      </c>
      <c r="H174" s="403">
        <f t="shared" si="12"/>
        <v>2360</v>
      </c>
    </row>
    <row r="175" spans="1:8" ht="28.8">
      <c r="A175" s="400" t="s">
        <v>135</v>
      </c>
      <c r="B175" s="451" t="s">
        <v>556</v>
      </c>
      <c r="C175" s="429" t="s">
        <v>18</v>
      </c>
      <c r="D175" s="402">
        <v>4</v>
      </c>
      <c r="E175" s="68">
        <v>300</v>
      </c>
      <c r="F175" s="69">
        <v>375</v>
      </c>
      <c r="G175" s="68">
        <v>435</v>
      </c>
      <c r="H175" s="403">
        <f t="shared" si="12"/>
        <v>1200</v>
      </c>
    </row>
    <row r="176" spans="1:8" ht="28.8">
      <c r="A176" s="400" t="s">
        <v>136</v>
      </c>
      <c r="B176" s="432" t="s">
        <v>557</v>
      </c>
      <c r="C176" s="429" t="s">
        <v>18</v>
      </c>
      <c r="D176" s="402">
        <v>4</v>
      </c>
      <c r="E176" s="68">
        <v>1000</v>
      </c>
      <c r="F176" s="69">
        <v>1250</v>
      </c>
      <c r="G176" s="68">
        <v>1300</v>
      </c>
      <c r="H176" s="403">
        <f t="shared" si="12"/>
        <v>4000</v>
      </c>
    </row>
    <row r="177" spans="1:8" ht="28.8">
      <c r="A177" s="400" t="s">
        <v>137</v>
      </c>
      <c r="B177" s="401" t="s">
        <v>558</v>
      </c>
      <c r="C177" s="402" t="s">
        <v>18</v>
      </c>
      <c r="D177" s="402">
        <f>340*40</f>
        <v>13600</v>
      </c>
      <c r="E177" s="68">
        <v>28</v>
      </c>
      <c r="F177" s="69">
        <v>44</v>
      </c>
      <c r="G177" s="68">
        <v>44</v>
      </c>
      <c r="H177" s="403">
        <f t="shared" si="12"/>
        <v>380800</v>
      </c>
    </row>
    <row r="178" spans="1:8" ht="28.8">
      <c r="A178" s="400" t="s">
        <v>732</v>
      </c>
      <c r="B178" s="401" t="s">
        <v>559</v>
      </c>
      <c r="C178" s="402" t="s">
        <v>103</v>
      </c>
      <c r="D178" s="495">
        <f>18*40</f>
        <v>720</v>
      </c>
      <c r="E178" s="68">
        <v>400</v>
      </c>
      <c r="F178" s="69">
        <v>553.34</v>
      </c>
      <c r="G178" s="68">
        <v>553.34</v>
      </c>
      <c r="H178" s="403">
        <f t="shared" si="12"/>
        <v>288000</v>
      </c>
    </row>
    <row r="179" spans="1:8" ht="28.8">
      <c r="A179" s="400" t="s">
        <v>733</v>
      </c>
      <c r="B179" s="401" t="s">
        <v>560</v>
      </c>
      <c r="C179" s="402" t="s">
        <v>138</v>
      </c>
      <c r="D179" s="495">
        <f>17*40</f>
        <v>680</v>
      </c>
      <c r="E179" s="68">
        <v>20</v>
      </c>
      <c r="F179" s="69">
        <v>42.9</v>
      </c>
      <c r="G179" s="68">
        <v>42.92</v>
      </c>
      <c r="H179" s="403">
        <f t="shared" si="12"/>
        <v>13600</v>
      </c>
    </row>
    <row r="180" spans="1:8" ht="28.8">
      <c r="A180" s="400" t="s">
        <v>734</v>
      </c>
      <c r="B180" s="401" t="s">
        <v>561</v>
      </c>
      <c r="C180" s="402" t="s">
        <v>18</v>
      </c>
      <c r="D180" s="402">
        <f>20*40</f>
        <v>800</v>
      </c>
      <c r="E180" s="403">
        <v>251.5</v>
      </c>
      <c r="F180" s="404">
        <v>251.5</v>
      </c>
      <c r="G180" s="403">
        <v>326.95</v>
      </c>
      <c r="H180" s="403">
        <f t="shared" si="12"/>
        <v>201200</v>
      </c>
    </row>
    <row r="181" spans="1:8">
      <c r="A181" s="611" t="s">
        <v>139</v>
      </c>
      <c r="B181" s="612"/>
      <c r="C181" s="528"/>
      <c r="D181" s="528"/>
      <c r="E181" s="528"/>
      <c r="F181" s="528"/>
      <c r="G181" s="528"/>
      <c r="H181" s="552">
        <f>SUM(H103:H180)</f>
        <v>2100746.6920000003</v>
      </c>
    </row>
    <row r="182" spans="1:8" ht="28.8">
      <c r="A182" s="395" t="s">
        <v>80</v>
      </c>
      <c r="B182" s="396" t="s">
        <v>395</v>
      </c>
      <c r="C182" s="397" t="s">
        <v>7</v>
      </c>
      <c r="D182" s="397" t="s">
        <v>8</v>
      </c>
      <c r="E182" s="487" t="s">
        <v>410</v>
      </c>
      <c r="F182" s="487" t="s">
        <v>408</v>
      </c>
      <c r="G182" s="487" t="s">
        <v>409</v>
      </c>
      <c r="H182" s="491" t="s">
        <v>9</v>
      </c>
    </row>
    <row r="183" spans="1:8" ht="43.2">
      <c r="A183" s="400" t="s">
        <v>81</v>
      </c>
      <c r="B183" s="401" t="s">
        <v>712</v>
      </c>
      <c r="C183" s="402" t="s">
        <v>13</v>
      </c>
      <c r="D183" s="402">
        <v>16</v>
      </c>
      <c r="E183" s="68">
        <f>(3643*97%)+3643</f>
        <v>7176.71</v>
      </c>
      <c r="F183" s="69">
        <f>(5000*97%)+5000</f>
        <v>9850</v>
      </c>
      <c r="G183" s="68">
        <f>(5801*97%)+5801</f>
        <v>11427.970000000001</v>
      </c>
      <c r="H183" s="403">
        <f t="shared" ref="H183:H184" si="16">E183*D183*2</f>
        <v>229654.72</v>
      </c>
    </row>
    <row r="184" spans="1:8" ht="28.8">
      <c r="A184" s="400" t="s">
        <v>83</v>
      </c>
      <c r="B184" s="401" t="s">
        <v>416</v>
      </c>
      <c r="C184" s="402" t="s">
        <v>13</v>
      </c>
      <c r="D184" s="402">
        <v>15</v>
      </c>
      <c r="E184" s="251">
        <f>(2825.54*97%)+2825.54</f>
        <v>5566.3137999999999</v>
      </c>
      <c r="F184" s="249">
        <f>(2942.99*97%)+2942.99</f>
        <v>5797.6902999999993</v>
      </c>
      <c r="G184" s="250">
        <f>(3397*97%)+3397</f>
        <v>6692.09</v>
      </c>
      <c r="H184" s="403">
        <f t="shared" si="16"/>
        <v>166989.41399999999</v>
      </c>
    </row>
    <row r="185" spans="1:8" ht="28.8">
      <c r="A185" s="400" t="s">
        <v>84</v>
      </c>
      <c r="B185" s="401" t="s">
        <v>438</v>
      </c>
      <c r="C185" s="402" t="s">
        <v>13</v>
      </c>
      <c r="D185" s="402">
        <v>15</v>
      </c>
      <c r="E185" s="343">
        <f>(1992.99+97%)+1992.99</f>
        <v>3986.95</v>
      </c>
      <c r="F185" s="258">
        <f>(2143*97%)+2143</f>
        <v>4221.71</v>
      </c>
      <c r="G185" s="72">
        <f>(3071-97%)+3071</f>
        <v>6141.0300000000007</v>
      </c>
      <c r="H185" s="403">
        <f>E185*D185*4</f>
        <v>239217</v>
      </c>
    </row>
    <row r="186" spans="1:8" ht="43.2">
      <c r="A186" s="400" t="s">
        <v>85</v>
      </c>
      <c r="B186" s="401" t="s">
        <v>455</v>
      </c>
      <c r="C186" s="402" t="s">
        <v>13</v>
      </c>
      <c r="D186" s="402">
        <v>15</v>
      </c>
      <c r="E186" s="68">
        <f>(1412*97%)+1412</f>
        <v>2781.64</v>
      </c>
      <c r="F186" s="69">
        <f>(1454*97%)+1454</f>
        <v>2864.38</v>
      </c>
      <c r="G186" s="68">
        <f>(1700*97%)+1700</f>
        <v>3349</v>
      </c>
      <c r="H186" s="403">
        <f>E186*D186*48</f>
        <v>2002780.7999999998</v>
      </c>
    </row>
    <row r="187" spans="1:8" ht="28.8">
      <c r="A187" s="400" t="s">
        <v>86</v>
      </c>
      <c r="B187" s="401" t="s">
        <v>563</v>
      </c>
      <c r="C187" s="402" t="s">
        <v>15</v>
      </c>
      <c r="D187" s="402">
        <f>1*20*16*2</f>
        <v>640</v>
      </c>
      <c r="E187" s="229">
        <v>250</v>
      </c>
      <c r="F187" s="69">
        <v>450</v>
      </c>
      <c r="G187" s="68">
        <v>581</v>
      </c>
      <c r="H187" s="403">
        <f t="shared" ref="H187:H196" si="17">E187*D187</f>
        <v>160000</v>
      </c>
    </row>
    <row r="188" spans="1:8" ht="43.2">
      <c r="A188" s="400" t="s">
        <v>87</v>
      </c>
      <c r="B188" s="401" t="s">
        <v>515</v>
      </c>
      <c r="C188" s="402" t="s">
        <v>15</v>
      </c>
      <c r="D188" s="402">
        <f t="shared" ref="D188:D189" si="18">20*54*15</f>
        <v>16200</v>
      </c>
      <c r="E188" s="311">
        <v>32</v>
      </c>
      <c r="F188" s="312">
        <v>32</v>
      </c>
      <c r="G188" s="311">
        <v>35</v>
      </c>
      <c r="H188" s="403">
        <f t="shared" si="17"/>
        <v>518400</v>
      </c>
    </row>
    <row r="189" spans="1:8" ht="28.8">
      <c r="A189" s="400" t="s">
        <v>88</v>
      </c>
      <c r="B189" s="401" t="s">
        <v>574</v>
      </c>
      <c r="C189" s="402" t="s">
        <v>15</v>
      </c>
      <c r="D189" s="402">
        <f t="shared" si="18"/>
        <v>16200</v>
      </c>
      <c r="E189" s="68">
        <v>8</v>
      </c>
      <c r="F189" s="69">
        <v>8.6</v>
      </c>
      <c r="G189" s="68">
        <v>9</v>
      </c>
      <c r="H189" s="403">
        <f t="shared" si="17"/>
        <v>129600</v>
      </c>
    </row>
    <row r="190" spans="1:8" ht="72">
      <c r="A190" s="400" t="s">
        <v>89</v>
      </c>
      <c r="B190" s="401" t="s">
        <v>564</v>
      </c>
      <c r="C190" s="402" t="s">
        <v>18</v>
      </c>
      <c r="D190" s="402">
        <v>2</v>
      </c>
      <c r="E190" s="68">
        <v>4149</v>
      </c>
      <c r="F190" s="69">
        <v>5299</v>
      </c>
      <c r="G190" s="70">
        <v>5919</v>
      </c>
      <c r="H190" s="403">
        <f t="shared" si="17"/>
        <v>8298</v>
      </c>
    </row>
    <row r="191" spans="1:8" ht="28.8">
      <c r="A191" s="400" t="s">
        <v>91</v>
      </c>
      <c r="B191" s="407" t="s">
        <v>565</v>
      </c>
      <c r="C191" s="402" t="s">
        <v>18</v>
      </c>
      <c r="D191" s="402">
        <v>4</v>
      </c>
      <c r="E191" s="68">
        <v>1849</v>
      </c>
      <c r="F191" s="69">
        <v>2199</v>
      </c>
      <c r="G191" s="68">
        <v>2919</v>
      </c>
      <c r="H191" s="403">
        <f t="shared" si="17"/>
        <v>7396</v>
      </c>
    </row>
    <row r="192" spans="1:8" ht="72">
      <c r="A192" s="400" t="s">
        <v>92</v>
      </c>
      <c r="B192" s="401" t="s">
        <v>566</v>
      </c>
      <c r="C192" s="402" t="s">
        <v>18</v>
      </c>
      <c r="D192" s="402">
        <v>4</v>
      </c>
      <c r="E192" s="73">
        <v>1849.77</v>
      </c>
      <c r="F192" s="232">
        <v>2891</v>
      </c>
      <c r="G192" s="68">
        <v>3199</v>
      </c>
      <c r="H192" s="403">
        <f t="shared" si="17"/>
        <v>7399.08</v>
      </c>
    </row>
    <row r="193" spans="1:8" ht="43.2">
      <c r="A193" s="400" t="s">
        <v>93</v>
      </c>
      <c r="B193" s="401" t="s">
        <v>567</v>
      </c>
      <c r="C193" s="402" t="s">
        <v>18</v>
      </c>
      <c r="D193" s="402">
        <v>4</v>
      </c>
      <c r="E193" s="70">
        <v>169.9</v>
      </c>
      <c r="F193" s="69">
        <v>189</v>
      </c>
      <c r="G193" s="68">
        <v>197.59</v>
      </c>
      <c r="H193" s="403">
        <f t="shared" si="17"/>
        <v>679.6</v>
      </c>
    </row>
    <row r="194" spans="1:8" ht="72">
      <c r="A194" s="400" t="s">
        <v>94</v>
      </c>
      <c r="B194" s="401" t="s">
        <v>693</v>
      </c>
      <c r="C194" s="402" t="s">
        <v>18</v>
      </c>
      <c r="D194" s="402">
        <v>8</v>
      </c>
      <c r="E194" s="73">
        <v>1386</v>
      </c>
      <c r="F194" s="69">
        <v>1549</v>
      </c>
      <c r="G194" s="68">
        <v>1649.9</v>
      </c>
      <c r="H194" s="403">
        <f t="shared" si="17"/>
        <v>11088</v>
      </c>
    </row>
    <row r="195" spans="1:8" ht="28.8">
      <c r="A195" s="400" t="s">
        <v>95</v>
      </c>
      <c r="B195" s="401" t="s">
        <v>462</v>
      </c>
      <c r="C195" s="402" t="s">
        <v>13</v>
      </c>
      <c r="D195" s="402">
        <v>15</v>
      </c>
      <c r="E195" s="68">
        <v>124.99</v>
      </c>
      <c r="F195" s="69">
        <v>142</v>
      </c>
      <c r="G195" s="103">
        <v>159.99</v>
      </c>
      <c r="H195" s="403">
        <f t="shared" si="17"/>
        <v>1874.85</v>
      </c>
    </row>
    <row r="196" spans="1:8" ht="43.2">
      <c r="A196" s="400" t="s">
        <v>97</v>
      </c>
      <c r="B196" s="401" t="s">
        <v>575</v>
      </c>
      <c r="C196" s="402" t="s">
        <v>18</v>
      </c>
      <c r="D196" s="402">
        <v>24</v>
      </c>
      <c r="E196" s="68">
        <v>125.75</v>
      </c>
      <c r="F196" s="69">
        <v>150.72999999999999</v>
      </c>
      <c r="G196" s="103">
        <v>179.39</v>
      </c>
      <c r="H196" s="403">
        <f t="shared" si="17"/>
        <v>3018</v>
      </c>
    </row>
    <row r="197" spans="1:8" ht="28.8">
      <c r="A197" s="400" t="s">
        <v>98</v>
      </c>
      <c r="B197" s="401" t="s">
        <v>694</v>
      </c>
      <c r="C197" s="402" t="s">
        <v>13</v>
      </c>
      <c r="D197" s="402">
        <v>15</v>
      </c>
      <c r="E197" s="68">
        <v>7950</v>
      </c>
      <c r="F197" s="68">
        <v>8763.6</v>
      </c>
      <c r="G197" s="102">
        <v>9350</v>
      </c>
      <c r="H197" s="403">
        <f t="shared" ref="H197:H198" si="19">E197*D197*2</f>
        <v>238500</v>
      </c>
    </row>
    <row r="198" spans="1:8" ht="28.8">
      <c r="A198" s="400" t="s">
        <v>99</v>
      </c>
      <c r="B198" s="401" t="s">
        <v>695</v>
      </c>
      <c r="C198" s="402" t="s">
        <v>13</v>
      </c>
      <c r="D198" s="402">
        <v>16</v>
      </c>
      <c r="E198" s="68">
        <v>2850</v>
      </c>
      <c r="F198" s="69">
        <v>3768</v>
      </c>
      <c r="G198" s="69">
        <v>5367.02</v>
      </c>
      <c r="H198" s="403">
        <f t="shared" si="19"/>
        <v>91200</v>
      </c>
    </row>
    <row r="199" spans="1:8" ht="28.8">
      <c r="A199" s="400" t="s">
        <v>140</v>
      </c>
      <c r="B199" s="401" t="s">
        <v>578</v>
      </c>
      <c r="C199" s="402" t="s">
        <v>15</v>
      </c>
      <c r="D199" s="402">
        <v>4</v>
      </c>
      <c r="E199" s="70">
        <v>300</v>
      </c>
      <c r="F199" s="74">
        <v>600</v>
      </c>
      <c r="G199" s="70">
        <v>975</v>
      </c>
      <c r="H199" s="403">
        <f t="shared" ref="H199:H200" si="20">E199*D199</f>
        <v>1200</v>
      </c>
    </row>
    <row r="200" spans="1:8" ht="43.2">
      <c r="A200" s="400" t="s">
        <v>141</v>
      </c>
      <c r="B200" s="401" t="s">
        <v>579</v>
      </c>
      <c r="C200" s="402" t="s">
        <v>15</v>
      </c>
      <c r="D200" s="402">
        <v>4</v>
      </c>
      <c r="E200" s="68">
        <v>144.9</v>
      </c>
      <c r="F200" s="69">
        <v>0</v>
      </c>
      <c r="G200" s="68">
        <v>265</v>
      </c>
      <c r="H200" s="403">
        <f t="shared" si="20"/>
        <v>579.6</v>
      </c>
    </row>
    <row r="201" spans="1:8" ht="28.8">
      <c r="A201" s="400" t="s">
        <v>142</v>
      </c>
      <c r="B201" s="401" t="s">
        <v>464</v>
      </c>
      <c r="C201" s="402" t="s">
        <v>13</v>
      </c>
      <c r="D201" s="402">
        <v>15</v>
      </c>
      <c r="E201" s="68">
        <v>49.9</v>
      </c>
      <c r="F201" s="74">
        <v>60</v>
      </c>
      <c r="G201" s="68">
        <v>65.900000000000006</v>
      </c>
      <c r="H201" s="403">
        <f>E201*D201*4</f>
        <v>2994</v>
      </c>
    </row>
    <row r="202" spans="1:8" ht="28.8">
      <c r="A202" s="400" t="s">
        <v>142</v>
      </c>
      <c r="B202" s="401" t="s">
        <v>464</v>
      </c>
      <c r="C202" s="402" t="s">
        <v>13</v>
      </c>
      <c r="D202" s="402">
        <v>16</v>
      </c>
      <c r="E202" s="403">
        <v>49.9</v>
      </c>
      <c r="F202" s="410">
        <v>60</v>
      </c>
      <c r="G202" s="403">
        <v>65.900000000000006</v>
      </c>
      <c r="H202" s="404">
        <f>E202*D202*3</f>
        <v>2395.1999999999998</v>
      </c>
    </row>
    <row r="203" spans="1:8" ht="43.2">
      <c r="A203" s="400" t="s">
        <v>143</v>
      </c>
      <c r="B203" s="401" t="s">
        <v>580</v>
      </c>
      <c r="C203" s="402" t="s">
        <v>108</v>
      </c>
      <c r="D203" s="402">
        <f>55*4*16*2</f>
        <v>7040</v>
      </c>
      <c r="E203" s="403">
        <v>6.08</v>
      </c>
      <c r="F203" s="404">
        <v>6.09</v>
      </c>
      <c r="G203" s="406">
        <v>6.35</v>
      </c>
      <c r="H203" s="403">
        <f>E203*D203</f>
        <v>42803.199999999997</v>
      </c>
    </row>
    <row r="204" spans="1:8" ht="43.2">
      <c r="A204" s="400" t="s">
        <v>144</v>
      </c>
      <c r="B204" s="401" t="s">
        <v>696</v>
      </c>
      <c r="C204" s="402" t="s">
        <v>108</v>
      </c>
      <c r="D204" s="402">
        <f>(88*4*15)*2</f>
        <v>10560</v>
      </c>
      <c r="E204" s="403">
        <v>6.47</v>
      </c>
      <c r="F204" s="404">
        <v>6.48</v>
      </c>
      <c r="G204" s="403">
        <v>6.49</v>
      </c>
      <c r="H204" s="403">
        <f>E204*D204</f>
        <v>68323.199999999997</v>
      </c>
    </row>
    <row r="205" spans="1:8">
      <c r="A205" s="400" t="s">
        <v>146</v>
      </c>
      <c r="B205" s="401" t="s">
        <v>398</v>
      </c>
      <c r="C205" s="402" t="s">
        <v>13</v>
      </c>
      <c r="D205" s="402">
        <v>15</v>
      </c>
      <c r="E205" s="403">
        <v>14000</v>
      </c>
      <c r="F205" s="404"/>
      <c r="G205" s="403"/>
      <c r="H205" s="403">
        <f>E205*D205*4</f>
        <v>840000</v>
      </c>
    </row>
    <row r="206" spans="1:8" ht="28.8">
      <c r="A206" s="400" t="s">
        <v>148</v>
      </c>
      <c r="B206" s="427" t="s">
        <v>469</v>
      </c>
      <c r="C206" s="402" t="s">
        <v>18</v>
      </c>
      <c r="D206" s="495">
        <f>56*6</f>
        <v>336</v>
      </c>
      <c r="E206" s="403">
        <v>60</v>
      </c>
      <c r="F206" s="403">
        <v>65</v>
      </c>
      <c r="G206" s="447">
        <v>70</v>
      </c>
      <c r="H206" s="403">
        <f>E206*D206</f>
        <v>20160</v>
      </c>
    </row>
    <row r="207" spans="1:8" ht="57.6">
      <c r="A207" s="400" t="s">
        <v>149</v>
      </c>
      <c r="B207" s="427" t="s">
        <v>519</v>
      </c>
      <c r="C207" s="402" t="s">
        <v>18</v>
      </c>
      <c r="D207" s="495">
        <v>3</v>
      </c>
      <c r="E207" s="403">
        <v>75</v>
      </c>
      <c r="F207" s="403">
        <v>90</v>
      </c>
      <c r="G207" s="404">
        <v>98</v>
      </c>
      <c r="H207" s="403">
        <f>E207*D207</f>
        <v>225</v>
      </c>
    </row>
    <row r="208" spans="1:8" ht="57.6">
      <c r="A208" s="400" t="s">
        <v>150</v>
      </c>
      <c r="B208" s="428" t="s">
        <v>501</v>
      </c>
      <c r="C208" s="402" t="s">
        <v>18</v>
      </c>
      <c r="D208" s="495">
        <f>54*6</f>
        <v>324</v>
      </c>
      <c r="E208" s="403">
        <v>25</v>
      </c>
      <c r="F208" s="403">
        <v>40</v>
      </c>
      <c r="G208" s="404">
        <v>43</v>
      </c>
      <c r="H208" s="403">
        <f>E208*D208</f>
        <v>8100</v>
      </c>
    </row>
    <row r="209" spans="1:8" ht="28.8">
      <c r="A209" s="400" t="s">
        <v>151</v>
      </c>
      <c r="B209" s="401" t="s">
        <v>471</v>
      </c>
      <c r="C209" s="402" t="s">
        <v>18</v>
      </c>
      <c r="D209" s="402">
        <f>54*2</f>
        <v>108</v>
      </c>
      <c r="E209" s="68">
        <v>122</v>
      </c>
      <c r="F209" s="74">
        <v>170.91</v>
      </c>
      <c r="G209" s="68">
        <v>185</v>
      </c>
      <c r="H209" s="403">
        <f>E209*D209</f>
        <v>13176</v>
      </c>
    </row>
    <row r="210" spans="1:8" ht="28.8">
      <c r="A210" s="163" t="s">
        <v>150</v>
      </c>
      <c r="B210" s="430" t="s">
        <v>526</v>
      </c>
      <c r="C210" s="402" t="s">
        <v>18</v>
      </c>
      <c r="D210" s="213">
        <v>52</v>
      </c>
      <c r="E210" s="68">
        <v>77.34</v>
      </c>
      <c r="F210" s="74">
        <v>103.8</v>
      </c>
      <c r="G210" s="70">
        <v>117.95</v>
      </c>
      <c r="H210" s="404">
        <f t="shared" ref="H210" si="21">E210*D210</f>
        <v>4021.6800000000003</v>
      </c>
    </row>
    <row r="211" spans="1:8" ht="43.2">
      <c r="A211" s="400" t="s">
        <v>152</v>
      </c>
      <c r="B211" s="431" t="s">
        <v>697</v>
      </c>
      <c r="C211" s="402" t="s">
        <v>18</v>
      </c>
      <c r="D211" s="402">
        <f>3*4</f>
        <v>12</v>
      </c>
      <c r="E211" s="68">
        <v>21.8</v>
      </c>
      <c r="F211" s="74">
        <v>36</v>
      </c>
      <c r="G211" s="68">
        <v>46.9</v>
      </c>
      <c r="H211" s="403">
        <f t="shared" ref="H211:H242" si="22">E211*D211</f>
        <v>261.60000000000002</v>
      </c>
    </row>
    <row r="212" spans="1:8" ht="28.8">
      <c r="A212" s="400" t="s">
        <v>153</v>
      </c>
      <c r="B212" s="431" t="s">
        <v>584</v>
      </c>
      <c r="C212" s="402" t="s">
        <v>18</v>
      </c>
      <c r="D212" s="402">
        <f>52*3</f>
        <v>156</v>
      </c>
      <c r="E212" s="73">
        <v>22.94</v>
      </c>
      <c r="F212" s="232">
        <v>23.46</v>
      </c>
      <c r="G212" s="73">
        <v>30</v>
      </c>
      <c r="H212" s="403">
        <f t="shared" si="22"/>
        <v>3578.6400000000003</v>
      </c>
    </row>
    <row r="213" spans="1:8" ht="28.8">
      <c r="A213" s="400" t="s">
        <v>154</v>
      </c>
      <c r="B213" s="431" t="s">
        <v>528</v>
      </c>
      <c r="C213" s="402" t="s">
        <v>18</v>
      </c>
      <c r="D213" s="402">
        <f>54*3</f>
        <v>162</v>
      </c>
      <c r="E213" s="73">
        <v>13.93</v>
      </c>
      <c r="F213" s="232">
        <v>15.71</v>
      </c>
      <c r="G213" s="73">
        <v>22.5</v>
      </c>
      <c r="H213" s="403">
        <f t="shared" si="22"/>
        <v>2256.66</v>
      </c>
    </row>
    <row r="214" spans="1:8" ht="28.8">
      <c r="A214" s="400" t="s">
        <v>155</v>
      </c>
      <c r="B214" s="401" t="s">
        <v>529</v>
      </c>
      <c r="C214" s="402" t="s">
        <v>18</v>
      </c>
      <c r="D214" s="402">
        <f>54*3*15</f>
        <v>2430</v>
      </c>
      <c r="E214" s="73">
        <v>12.4</v>
      </c>
      <c r="F214" s="232">
        <v>13.5</v>
      </c>
      <c r="G214" s="73">
        <v>20.260000000000002</v>
      </c>
      <c r="H214" s="403">
        <f t="shared" si="22"/>
        <v>30132</v>
      </c>
    </row>
    <row r="215" spans="1:8" ht="28.8">
      <c r="A215" s="400" t="s">
        <v>156</v>
      </c>
      <c r="B215" s="401" t="s">
        <v>502</v>
      </c>
      <c r="C215" s="402" t="s">
        <v>18</v>
      </c>
      <c r="D215" s="402">
        <f>54*2*15</f>
        <v>1620</v>
      </c>
      <c r="E215" s="68">
        <v>2.7</v>
      </c>
      <c r="F215" s="232">
        <v>2.75</v>
      </c>
      <c r="G215" s="73">
        <v>2.94</v>
      </c>
      <c r="H215" s="403">
        <f t="shared" si="22"/>
        <v>4374</v>
      </c>
    </row>
    <row r="216" spans="1:8" ht="43.2">
      <c r="A216" s="400" t="s">
        <v>157</v>
      </c>
      <c r="B216" s="401" t="s">
        <v>698</v>
      </c>
      <c r="C216" s="402" t="s">
        <v>18</v>
      </c>
      <c r="D216" s="402">
        <f>8*15</f>
        <v>120</v>
      </c>
      <c r="E216" s="73">
        <v>49.99</v>
      </c>
      <c r="F216" s="232">
        <v>59.99</v>
      </c>
      <c r="G216" s="73">
        <v>96.97</v>
      </c>
      <c r="H216" s="403">
        <f t="shared" si="22"/>
        <v>5998.8</v>
      </c>
    </row>
    <row r="217" spans="1:8" ht="28.8">
      <c r="A217" s="400" t="s">
        <v>158</v>
      </c>
      <c r="B217" s="430" t="s">
        <v>586</v>
      </c>
      <c r="C217" s="402" t="s">
        <v>18</v>
      </c>
      <c r="D217" s="495">
        <f>3*15*4</f>
        <v>180</v>
      </c>
      <c r="E217" s="73">
        <v>160</v>
      </c>
      <c r="F217" s="232">
        <v>163</v>
      </c>
      <c r="G217" s="73">
        <v>193.63</v>
      </c>
      <c r="H217" s="403">
        <f t="shared" si="22"/>
        <v>28800</v>
      </c>
    </row>
    <row r="218" spans="1:8" ht="28.8">
      <c r="A218" s="400" t="s">
        <v>159</v>
      </c>
      <c r="B218" s="432" t="s">
        <v>474</v>
      </c>
      <c r="C218" s="402" t="s">
        <v>18</v>
      </c>
      <c r="D218" s="495">
        <f t="shared" ref="D218:D219" si="23">56*1</f>
        <v>56</v>
      </c>
      <c r="E218" s="73">
        <v>35</v>
      </c>
      <c r="F218" s="232">
        <v>41.4</v>
      </c>
      <c r="G218" s="73">
        <v>168.26</v>
      </c>
      <c r="H218" s="403">
        <f t="shared" si="22"/>
        <v>1960</v>
      </c>
    </row>
    <row r="219" spans="1:8" ht="28.8">
      <c r="A219" s="400" t="s">
        <v>160</v>
      </c>
      <c r="B219" s="430" t="s">
        <v>475</v>
      </c>
      <c r="C219" s="402" t="s">
        <v>18</v>
      </c>
      <c r="D219" s="495">
        <f t="shared" si="23"/>
        <v>56</v>
      </c>
      <c r="E219" s="73">
        <v>41.4</v>
      </c>
      <c r="F219" s="232">
        <v>42.23</v>
      </c>
      <c r="G219" s="73">
        <v>50</v>
      </c>
      <c r="H219" s="403">
        <f t="shared" si="22"/>
        <v>2318.4</v>
      </c>
    </row>
    <row r="220" spans="1:8" ht="28.8">
      <c r="A220" s="400" t="s">
        <v>161</v>
      </c>
      <c r="B220" s="401" t="s">
        <v>504</v>
      </c>
      <c r="C220" s="402" t="s">
        <v>18</v>
      </c>
      <c r="D220" s="402">
        <f>6*2</f>
        <v>12</v>
      </c>
      <c r="E220" s="73">
        <v>27.64</v>
      </c>
      <c r="F220" s="232">
        <v>35.5</v>
      </c>
      <c r="G220" s="73">
        <v>36.9</v>
      </c>
      <c r="H220" s="403">
        <f t="shared" si="22"/>
        <v>331.68</v>
      </c>
    </row>
    <row r="221" spans="1:8" ht="43.2">
      <c r="A221" s="400" t="s">
        <v>162</v>
      </c>
      <c r="B221" s="416" t="s">
        <v>534</v>
      </c>
      <c r="C221" s="402" t="s">
        <v>18</v>
      </c>
      <c r="D221" s="402">
        <v>12</v>
      </c>
      <c r="E221" s="73">
        <v>28.55</v>
      </c>
      <c r="F221" s="232">
        <v>28.8</v>
      </c>
      <c r="G221" s="73">
        <v>103.4</v>
      </c>
      <c r="H221" s="403">
        <f t="shared" si="22"/>
        <v>342.6</v>
      </c>
    </row>
    <row r="222" spans="1:8" ht="28.8">
      <c r="A222" s="400" t="s">
        <v>163</v>
      </c>
      <c r="B222" s="416" t="s">
        <v>587</v>
      </c>
      <c r="C222" s="402" t="s">
        <v>18</v>
      </c>
      <c r="D222" s="402">
        <f>2*56*15</f>
        <v>1680</v>
      </c>
      <c r="E222" s="73">
        <v>1.29</v>
      </c>
      <c r="F222" s="232">
        <v>1.48</v>
      </c>
      <c r="G222" s="73">
        <v>1.75</v>
      </c>
      <c r="H222" s="403">
        <f t="shared" si="22"/>
        <v>2167.2000000000003</v>
      </c>
    </row>
    <row r="223" spans="1:8" ht="57.6">
      <c r="A223" s="400" t="s">
        <v>164</v>
      </c>
      <c r="B223" s="430" t="s">
        <v>535</v>
      </c>
      <c r="C223" s="402" t="s">
        <v>18</v>
      </c>
      <c r="D223" s="495">
        <f t="shared" ref="D223:D224" si="24">12*4</f>
        <v>48</v>
      </c>
      <c r="E223" s="232">
        <v>286</v>
      </c>
      <c r="F223" s="232">
        <v>484</v>
      </c>
      <c r="G223" s="73">
        <v>572</v>
      </c>
      <c r="H223" s="403">
        <f t="shared" si="22"/>
        <v>13728</v>
      </c>
    </row>
    <row r="224" spans="1:8" ht="28.8">
      <c r="A224" s="400" t="s">
        <v>165</v>
      </c>
      <c r="B224" s="432" t="s">
        <v>506</v>
      </c>
      <c r="C224" s="402" t="s">
        <v>18</v>
      </c>
      <c r="D224" s="495">
        <f t="shared" si="24"/>
        <v>48</v>
      </c>
      <c r="E224" s="73">
        <v>38.700000000000003</v>
      </c>
      <c r="F224" s="232">
        <v>65.64</v>
      </c>
      <c r="G224" s="73">
        <v>156.94999999999999</v>
      </c>
      <c r="H224" s="403">
        <f t="shared" si="22"/>
        <v>1857.6000000000001</v>
      </c>
    </row>
    <row r="225" spans="1:8" ht="28.8">
      <c r="A225" s="400" t="s">
        <v>166</v>
      </c>
      <c r="B225" s="416" t="s">
        <v>507</v>
      </c>
      <c r="C225" s="402" t="s">
        <v>18</v>
      </c>
      <c r="D225" s="402">
        <v>24</v>
      </c>
      <c r="E225" s="73">
        <v>133.01</v>
      </c>
      <c r="F225" s="232">
        <v>157.19999999999999</v>
      </c>
      <c r="G225" s="73">
        <v>175.33</v>
      </c>
      <c r="H225" s="403">
        <f t="shared" si="22"/>
        <v>3192.24</v>
      </c>
    </row>
    <row r="226" spans="1:8" ht="28.8">
      <c r="A226" s="400" t="s">
        <v>167</v>
      </c>
      <c r="B226" s="416" t="s">
        <v>508</v>
      </c>
      <c r="C226" s="402" t="s">
        <v>18</v>
      </c>
      <c r="D226" s="495">
        <f>2*12</f>
        <v>24</v>
      </c>
      <c r="E226" s="68">
        <v>2.77</v>
      </c>
      <c r="F226" s="74">
        <v>3.75</v>
      </c>
      <c r="G226" s="73">
        <v>3.96</v>
      </c>
      <c r="H226" s="403">
        <f t="shared" si="22"/>
        <v>66.48</v>
      </c>
    </row>
    <row r="227" spans="1:8" ht="28.8">
      <c r="A227" s="400" t="s">
        <v>168</v>
      </c>
      <c r="B227" s="430" t="s">
        <v>536</v>
      </c>
      <c r="C227" s="402" t="s">
        <v>103</v>
      </c>
      <c r="D227" s="495">
        <f>2*4</f>
        <v>8</v>
      </c>
      <c r="E227" s="73">
        <v>73.900000000000006</v>
      </c>
      <c r="F227" s="232">
        <v>76.5</v>
      </c>
      <c r="G227" s="73">
        <v>78.849999999999994</v>
      </c>
      <c r="H227" s="403">
        <f t="shared" si="22"/>
        <v>591.20000000000005</v>
      </c>
    </row>
    <row r="228" spans="1:8" ht="28.8">
      <c r="A228" s="481" t="s">
        <v>169</v>
      </c>
      <c r="B228" s="401" t="s">
        <v>493</v>
      </c>
      <c r="C228" s="429" t="s">
        <v>18</v>
      </c>
      <c r="D228" s="402">
        <v>4</v>
      </c>
      <c r="E228" s="73">
        <v>26.5</v>
      </c>
      <c r="F228" s="232">
        <v>61.9</v>
      </c>
      <c r="G228" s="73">
        <v>83.6</v>
      </c>
      <c r="H228" s="403">
        <f t="shared" si="22"/>
        <v>106</v>
      </c>
    </row>
    <row r="229" spans="1:8" ht="28.8">
      <c r="A229" s="400" t="s">
        <v>170</v>
      </c>
      <c r="B229" s="416" t="s">
        <v>494</v>
      </c>
      <c r="C229" s="402" t="s">
        <v>18</v>
      </c>
      <c r="D229" s="402">
        <f t="shared" ref="D229:D230" si="25">4*2</f>
        <v>8</v>
      </c>
      <c r="E229" s="70">
        <v>27.9</v>
      </c>
      <c r="F229" s="232">
        <v>30</v>
      </c>
      <c r="G229" s="70">
        <v>32.229999999999997</v>
      </c>
      <c r="H229" s="403">
        <f t="shared" si="22"/>
        <v>223.2</v>
      </c>
    </row>
    <row r="230" spans="1:8" ht="28.8">
      <c r="A230" s="400" t="s">
        <v>172</v>
      </c>
      <c r="B230" s="449" t="s">
        <v>495</v>
      </c>
      <c r="C230" s="402" t="s">
        <v>18</v>
      </c>
      <c r="D230" s="402">
        <f t="shared" si="25"/>
        <v>8</v>
      </c>
      <c r="E230" s="68">
        <v>157.44</v>
      </c>
      <c r="F230" s="69">
        <v>184.26</v>
      </c>
      <c r="G230" s="68">
        <v>208.95</v>
      </c>
      <c r="H230" s="403">
        <f t="shared" si="22"/>
        <v>1259.52</v>
      </c>
    </row>
    <row r="231" spans="1:8" ht="28.8">
      <c r="A231" s="400" t="s">
        <v>171</v>
      </c>
      <c r="B231" s="401" t="s">
        <v>496</v>
      </c>
      <c r="C231" s="402" t="s">
        <v>18</v>
      </c>
      <c r="D231" s="402">
        <f>4*4</f>
        <v>16</v>
      </c>
      <c r="E231" s="68">
        <v>33.729999999999997</v>
      </c>
      <c r="F231" s="69">
        <v>43.66</v>
      </c>
      <c r="G231" s="68">
        <v>72</v>
      </c>
      <c r="H231" s="403">
        <f t="shared" si="22"/>
        <v>539.67999999999995</v>
      </c>
    </row>
    <row r="232" spans="1:8" ht="28.8">
      <c r="A232" s="420" t="s">
        <v>66</v>
      </c>
      <c r="B232" s="123" t="s">
        <v>772</v>
      </c>
      <c r="C232" s="402" t="s">
        <v>18</v>
      </c>
      <c r="D232" s="495">
        <f>56*1</f>
        <v>56</v>
      </c>
      <c r="E232" s="412">
        <v>286</v>
      </c>
      <c r="F232" s="404">
        <v>338</v>
      </c>
      <c r="G232" s="403">
        <v>377</v>
      </c>
      <c r="H232" s="404">
        <f t="shared" si="22"/>
        <v>16016</v>
      </c>
    </row>
    <row r="233" spans="1:8" ht="28.8">
      <c r="A233" s="420" t="s">
        <v>69</v>
      </c>
      <c r="B233" s="123" t="s">
        <v>773</v>
      </c>
      <c r="C233" s="402" t="s">
        <v>18</v>
      </c>
      <c r="D233" s="495">
        <f>12*1</f>
        <v>12</v>
      </c>
      <c r="E233" s="412">
        <v>98</v>
      </c>
      <c r="F233" s="404">
        <v>270</v>
      </c>
      <c r="G233" s="403">
        <v>279</v>
      </c>
      <c r="H233" s="404">
        <f t="shared" si="22"/>
        <v>1176</v>
      </c>
    </row>
    <row r="234" spans="1:8" ht="28.8">
      <c r="A234" s="420" t="s">
        <v>71</v>
      </c>
      <c r="B234" s="123" t="s">
        <v>774</v>
      </c>
      <c r="C234" s="402" t="s">
        <v>18</v>
      </c>
      <c r="D234" s="495">
        <f>2*56*10</f>
        <v>1120</v>
      </c>
      <c r="E234" s="412">
        <v>35.99</v>
      </c>
      <c r="F234" s="404">
        <v>37.93</v>
      </c>
      <c r="G234" s="403">
        <v>67.900000000000006</v>
      </c>
      <c r="H234" s="404">
        <f t="shared" si="22"/>
        <v>40308.800000000003</v>
      </c>
    </row>
    <row r="235" spans="1:8" ht="28.8">
      <c r="A235" s="420" t="s">
        <v>73</v>
      </c>
      <c r="B235" s="123" t="s">
        <v>786</v>
      </c>
      <c r="C235" s="402" t="s">
        <v>18</v>
      </c>
      <c r="D235" s="495">
        <v>4</v>
      </c>
      <c r="E235" s="412">
        <v>817.89</v>
      </c>
      <c r="F235" s="404">
        <v>897.86</v>
      </c>
      <c r="G235" s="403">
        <v>1089.9000000000001</v>
      </c>
      <c r="H235" s="404">
        <f t="shared" si="22"/>
        <v>3271.56</v>
      </c>
    </row>
    <row r="236" spans="1:8" ht="28.8">
      <c r="A236" s="420" t="s">
        <v>75</v>
      </c>
      <c r="B236" s="123" t="s">
        <v>787</v>
      </c>
      <c r="C236" s="402" t="s">
        <v>18</v>
      </c>
      <c r="D236" s="495">
        <v>4</v>
      </c>
      <c r="E236" s="412">
        <v>479.52</v>
      </c>
      <c r="F236" s="404">
        <v>559.9</v>
      </c>
      <c r="G236" s="403">
        <v>616</v>
      </c>
      <c r="H236" s="404">
        <f t="shared" si="22"/>
        <v>1918.08</v>
      </c>
    </row>
    <row r="237" spans="1:8" ht="28.8">
      <c r="A237" s="420" t="s">
        <v>77</v>
      </c>
      <c r="B237" s="123" t="s">
        <v>783</v>
      </c>
      <c r="C237" s="402" t="s">
        <v>18</v>
      </c>
      <c r="D237" s="413">
        <f>2*56*1</f>
        <v>112</v>
      </c>
      <c r="E237" s="412">
        <v>125</v>
      </c>
      <c r="F237" s="404">
        <v>144.41</v>
      </c>
      <c r="G237" s="403">
        <v>155.5</v>
      </c>
      <c r="H237" s="404">
        <f t="shared" si="22"/>
        <v>14000</v>
      </c>
    </row>
    <row r="238" spans="1:8" ht="28.8">
      <c r="A238" s="420" t="s">
        <v>78</v>
      </c>
      <c r="B238" s="123" t="s">
        <v>775</v>
      </c>
      <c r="C238" s="402" t="s">
        <v>18</v>
      </c>
      <c r="D238" s="413">
        <v>2</v>
      </c>
      <c r="E238" s="412">
        <v>930</v>
      </c>
      <c r="F238" s="404">
        <v>1000</v>
      </c>
      <c r="G238" s="403">
        <v>1980</v>
      </c>
      <c r="H238" s="404">
        <f t="shared" si="22"/>
        <v>1860</v>
      </c>
    </row>
    <row r="239" spans="1:8" ht="28.8">
      <c r="A239" s="420" t="s">
        <v>79</v>
      </c>
      <c r="B239" s="123" t="s">
        <v>776</v>
      </c>
      <c r="C239" s="402" t="s">
        <v>18</v>
      </c>
      <c r="D239" s="413">
        <f>1*56*1</f>
        <v>56</v>
      </c>
      <c r="E239" s="412">
        <v>37.9</v>
      </c>
      <c r="F239" s="404">
        <v>41.31</v>
      </c>
      <c r="G239" s="403">
        <v>45</v>
      </c>
      <c r="H239" s="404">
        <f t="shared" si="22"/>
        <v>2122.4</v>
      </c>
    </row>
    <row r="240" spans="1:8" ht="28.8">
      <c r="A240" s="420" t="s">
        <v>116</v>
      </c>
      <c r="B240" s="123" t="s">
        <v>777</v>
      </c>
      <c r="C240" s="402" t="s">
        <v>18</v>
      </c>
      <c r="D240" s="413">
        <f>1*56*1</f>
        <v>56</v>
      </c>
      <c r="E240" s="412">
        <v>73.489999999999995</v>
      </c>
      <c r="F240" s="404">
        <v>96.7</v>
      </c>
      <c r="G240" s="403">
        <v>106.76</v>
      </c>
      <c r="H240" s="404">
        <f t="shared" si="22"/>
        <v>4115.4399999999996</v>
      </c>
    </row>
    <row r="241" spans="1:8" ht="28.8">
      <c r="A241" s="420" t="s">
        <v>118</v>
      </c>
      <c r="B241" s="123" t="s">
        <v>784</v>
      </c>
      <c r="C241" s="402" t="s">
        <v>18</v>
      </c>
      <c r="D241" s="413">
        <v>4</v>
      </c>
      <c r="E241" s="412">
        <v>139.9</v>
      </c>
      <c r="F241" s="404">
        <v>155</v>
      </c>
      <c r="G241" s="403">
        <v>169.92</v>
      </c>
      <c r="H241" s="404">
        <f t="shared" si="22"/>
        <v>559.6</v>
      </c>
    </row>
    <row r="242" spans="1:8" ht="28.8">
      <c r="A242" s="420" t="s">
        <v>119</v>
      </c>
      <c r="B242" s="123" t="s">
        <v>788</v>
      </c>
      <c r="C242" s="10" t="s">
        <v>18</v>
      </c>
      <c r="D242" s="413">
        <v>8</v>
      </c>
      <c r="E242" s="412">
        <v>743.68</v>
      </c>
      <c r="F242" s="404">
        <v>895</v>
      </c>
      <c r="G242" s="403">
        <v>2099.9</v>
      </c>
      <c r="H242" s="404">
        <f t="shared" si="22"/>
        <v>5949.44</v>
      </c>
    </row>
    <row r="243" spans="1:8" ht="28.8">
      <c r="A243" s="400" t="s">
        <v>173</v>
      </c>
      <c r="B243" s="401" t="s">
        <v>107</v>
      </c>
      <c r="C243" s="402" t="s">
        <v>18</v>
      </c>
      <c r="D243" s="402">
        <v>12</v>
      </c>
      <c r="E243" s="256">
        <v>3200.55</v>
      </c>
      <c r="F243" s="69">
        <v>3309</v>
      </c>
      <c r="G243" s="103">
        <v>3369</v>
      </c>
      <c r="H243" s="403">
        <f t="shared" ref="H243:H274" si="26">E243*D243</f>
        <v>38406.600000000006</v>
      </c>
    </row>
    <row r="244" spans="1:8" ht="43.2">
      <c r="A244" s="400" t="s">
        <v>174</v>
      </c>
      <c r="B244" s="401" t="s">
        <v>509</v>
      </c>
      <c r="C244" s="402" t="s">
        <v>108</v>
      </c>
      <c r="D244" s="402">
        <f>10*4*15*12</f>
        <v>7200</v>
      </c>
      <c r="E244" s="256">
        <v>6.08</v>
      </c>
      <c r="F244" s="69">
        <v>6.09</v>
      </c>
      <c r="G244" s="68">
        <v>6.35</v>
      </c>
      <c r="H244" s="403">
        <f t="shared" si="26"/>
        <v>43776</v>
      </c>
    </row>
    <row r="245" spans="1:8" ht="28.8">
      <c r="A245" s="400" t="s">
        <v>175</v>
      </c>
      <c r="B245" s="401" t="s">
        <v>510</v>
      </c>
      <c r="C245" s="402" t="s">
        <v>108</v>
      </c>
      <c r="D245" s="402">
        <f>12*20</f>
        <v>240</v>
      </c>
      <c r="E245" s="256">
        <v>43.98</v>
      </c>
      <c r="F245" s="69">
        <v>47.42</v>
      </c>
      <c r="G245" s="68">
        <v>47.9</v>
      </c>
      <c r="H245" s="403">
        <f t="shared" si="26"/>
        <v>10555.199999999999</v>
      </c>
    </row>
    <row r="246" spans="1:8" ht="28.8">
      <c r="A246" s="400" t="s">
        <v>176</v>
      </c>
      <c r="B246" s="401" t="s">
        <v>511</v>
      </c>
      <c r="C246" s="402" t="s">
        <v>109</v>
      </c>
      <c r="D246" s="402">
        <v>120</v>
      </c>
      <c r="E246" s="275">
        <v>26.24</v>
      </c>
      <c r="F246" s="232">
        <v>28.33</v>
      </c>
      <c r="G246" s="73">
        <v>31.98</v>
      </c>
      <c r="H246" s="403">
        <f t="shared" si="26"/>
        <v>3148.7999999999997</v>
      </c>
    </row>
    <row r="247" spans="1:8" ht="28.8">
      <c r="A247" s="400" t="s">
        <v>177</v>
      </c>
      <c r="B247" s="401" t="s">
        <v>537</v>
      </c>
      <c r="C247" s="402" t="s">
        <v>18</v>
      </c>
      <c r="D247" s="402">
        <f>12*3*15</f>
        <v>540</v>
      </c>
      <c r="E247" s="275">
        <v>94.2</v>
      </c>
      <c r="F247" s="232">
        <v>108.06</v>
      </c>
      <c r="G247" s="73">
        <v>114.93</v>
      </c>
      <c r="H247" s="403">
        <f t="shared" si="26"/>
        <v>50868</v>
      </c>
    </row>
    <row r="248" spans="1:8" ht="28.8">
      <c r="A248" s="400" t="s">
        <v>178</v>
      </c>
      <c r="B248" s="401" t="s">
        <v>512</v>
      </c>
      <c r="C248" s="402" t="s">
        <v>18</v>
      </c>
      <c r="D248" s="402">
        <f>12*2</f>
        <v>24</v>
      </c>
      <c r="E248" s="232">
        <v>37.47</v>
      </c>
      <c r="F248" s="73">
        <v>43.66</v>
      </c>
      <c r="G248" s="73">
        <v>48</v>
      </c>
      <c r="H248" s="403">
        <f t="shared" si="26"/>
        <v>899.28</v>
      </c>
    </row>
    <row r="249" spans="1:8" ht="28.8">
      <c r="A249" s="400" t="s">
        <v>179</v>
      </c>
      <c r="B249" s="401" t="s">
        <v>588</v>
      </c>
      <c r="C249" s="402" t="s">
        <v>18</v>
      </c>
      <c r="D249" s="402">
        <f>3*15*12</f>
        <v>540</v>
      </c>
      <c r="E249" s="275">
        <v>23.1</v>
      </c>
      <c r="F249" s="232">
        <v>25.52</v>
      </c>
      <c r="G249" s="104">
        <v>29.6</v>
      </c>
      <c r="H249" s="403">
        <f t="shared" si="26"/>
        <v>12474</v>
      </c>
    </row>
    <row r="250" spans="1:8" ht="28.8">
      <c r="A250" s="400" t="s">
        <v>180</v>
      </c>
      <c r="B250" s="401" t="s">
        <v>589</v>
      </c>
      <c r="C250" s="402" t="s">
        <v>18</v>
      </c>
      <c r="D250" s="402">
        <f t="shared" ref="D250:D251" si="27">1*12*7.5</f>
        <v>90</v>
      </c>
      <c r="E250" s="275">
        <v>54.78</v>
      </c>
      <c r="F250" s="232">
        <f>35.03+39.8</f>
        <v>74.83</v>
      </c>
      <c r="G250" s="73">
        <v>82.7</v>
      </c>
      <c r="H250" s="403">
        <f t="shared" si="26"/>
        <v>4930.2</v>
      </c>
    </row>
    <row r="251" spans="1:8" ht="28.8">
      <c r="A251" s="400" t="s">
        <v>181</v>
      </c>
      <c r="B251" s="401" t="s">
        <v>590</v>
      </c>
      <c r="C251" s="402" t="s">
        <v>18</v>
      </c>
      <c r="D251" s="402">
        <f t="shared" si="27"/>
        <v>90</v>
      </c>
      <c r="E251" s="275">
        <v>27.82</v>
      </c>
      <c r="F251" s="232">
        <v>32.369999999999997</v>
      </c>
      <c r="G251" s="104">
        <v>33.74</v>
      </c>
      <c r="H251" s="403">
        <f t="shared" si="26"/>
        <v>2503.8000000000002</v>
      </c>
    </row>
    <row r="252" spans="1:8" ht="28.8">
      <c r="A252" s="400" t="s">
        <v>182</v>
      </c>
      <c r="B252" s="401" t="s">
        <v>117</v>
      </c>
      <c r="C252" s="402" t="s">
        <v>18</v>
      </c>
      <c r="D252" s="402">
        <f t="shared" ref="D252:D253" si="28">3*4</f>
        <v>12</v>
      </c>
      <c r="E252" s="256">
        <v>3647.05</v>
      </c>
      <c r="F252" s="69">
        <v>4061.63</v>
      </c>
      <c r="G252" s="103">
        <v>4274.5</v>
      </c>
      <c r="H252" s="403">
        <f t="shared" si="26"/>
        <v>43764.600000000006</v>
      </c>
    </row>
    <row r="253" spans="1:8" ht="28.8">
      <c r="A253" s="400" t="s">
        <v>183</v>
      </c>
      <c r="B253" s="401" t="s">
        <v>542</v>
      </c>
      <c r="C253" s="402" t="s">
        <v>18</v>
      </c>
      <c r="D253" s="402">
        <f t="shared" si="28"/>
        <v>12</v>
      </c>
      <c r="E253" s="256">
        <v>1123.6400000000001</v>
      </c>
      <c r="F253" s="69">
        <v>1285.6300000000001</v>
      </c>
      <c r="G253" s="103">
        <v>1502.31</v>
      </c>
      <c r="H253" s="403">
        <f t="shared" si="26"/>
        <v>13483.68</v>
      </c>
    </row>
    <row r="254" spans="1:8" ht="28.8">
      <c r="A254" s="400" t="s">
        <v>184</v>
      </c>
      <c r="B254" s="401" t="s">
        <v>543</v>
      </c>
      <c r="C254" s="402" t="s">
        <v>18</v>
      </c>
      <c r="D254" s="402">
        <f>12*15</f>
        <v>180</v>
      </c>
      <c r="E254" s="256">
        <v>456.51</v>
      </c>
      <c r="F254" s="69">
        <v>465</v>
      </c>
      <c r="G254" s="103">
        <v>480.54</v>
      </c>
      <c r="H254" s="403">
        <f t="shared" si="26"/>
        <v>82171.8</v>
      </c>
    </row>
    <row r="255" spans="1:8" ht="28.8">
      <c r="A255" s="400" t="s">
        <v>185</v>
      </c>
      <c r="B255" s="401" t="s">
        <v>513</v>
      </c>
      <c r="C255" s="402" t="s">
        <v>68</v>
      </c>
      <c r="D255" s="402">
        <f>4*15</f>
        <v>60</v>
      </c>
      <c r="E255" s="73">
        <v>204</v>
      </c>
      <c r="F255" s="232">
        <v>25</v>
      </c>
      <c r="G255" s="73">
        <v>280</v>
      </c>
      <c r="H255" s="403">
        <f t="shared" si="26"/>
        <v>12240</v>
      </c>
    </row>
    <row r="256" spans="1:8" ht="43.2">
      <c r="A256" s="400" t="s">
        <v>186</v>
      </c>
      <c r="B256" s="401" t="s">
        <v>545</v>
      </c>
      <c r="C256" s="402" t="s">
        <v>18</v>
      </c>
      <c r="D256" s="495">
        <f>54*2</f>
        <v>108</v>
      </c>
      <c r="E256" s="68">
        <v>49</v>
      </c>
      <c r="F256" s="69">
        <v>64</v>
      </c>
      <c r="G256" s="103">
        <v>80</v>
      </c>
      <c r="H256" s="403">
        <f t="shared" si="26"/>
        <v>5292</v>
      </c>
    </row>
    <row r="257" spans="1:8" ht="43.2">
      <c r="A257" s="400" t="s">
        <v>187</v>
      </c>
      <c r="B257" s="432" t="s">
        <v>591</v>
      </c>
      <c r="C257" s="402" t="s">
        <v>18</v>
      </c>
      <c r="D257" s="495">
        <f>54*3</f>
        <v>162</v>
      </c>
      <c r="E257" s="68">
        <v>103.2</v>
      </c>
      <c r="F257" s="74">
        <v>129</v>
      </c>
      <c r="G257" s="68">
        <v>167.81</v>
      </c>
      <c r="H257" s="403">
        <f t="shared" si="26"/>
        <v>16718.400000000001</v>
      </c>
    </row>
    <row r="258" spans="1:8" ht="28.8">
      <c r="A258" s="400" t="s">
        <v>188</v>
      </c>
      <c r="B258" s="432" t="s">
        <v>592</v>
      </c>
      <c r="C258" s="402" t="s">
        <v>18</v>
      </c>
      <c r="D258" s="402">
        <f t="shared" ref="D258:D261" si="29">4*4</f>
        <v>16</v>
      </c>
      <c r="E258" s="68">
        <v>37.6</v>
      </c>
      <c r="F258" s="69">
        <v>54</v>
      </c>
      <c r="G258" s="103">
        <v>59.6</v>
      </c>
      <c r="H258" s="403">
        <f t="shared" si="26"/>
        <v>601.6</v>
      </c>
    </row>
    <row r="259" spans="1:8" ht="28.8">
      <c r="A259" s="400" t="s">
        <v>189</v>
      </c>
      <c r="B259" s="432" t="s">
        <v>594</v>
      </c>
      <c r="C259" s="402" t="s">
        <v>18</v>
      </c>
      <c r="D259" s="402">
        <f t="shared" si="29"/>
        <v>16</v>
      </c>
      <c r="E259" s="68">
        <v>29.6</v>
      </c>
      <c r="F259" s="74">
        <v>53.7</v>
      </c>
      <c r="G259" s="68">
        <v>61.28</v>
      </c>
      <c r="H259" s="403">
        <f t="shared" si="26"/>
        <v>473.6</v>
      </c>
    </row>
    <row r="260" spans="1:8" ht="28.8">
      <c r="A260" s="400" t="s">
        <v>190</v>
      </c>
      <c r="B260" s="432" t="s">
        <v>593</v>
      </c>
      <c r="C260" s="402" t="s">
        <v>18</v>
      </c>
      <c r="D260" s="402">
        <f t="shared" si="29"/>
        <v>16</v>
      </c>
      <c r="E260" s="68">
        <v>36</v>
      </c>
      <c r="F260" s="69">
        <v>50.6</v>
      </c>
      <c r="G260" s="103">
        <v>54.6</v>
      </c>
      <c r="H260" s="403">
        <f t="shared" si="26"/>
        <v>576</v>
      </c>
    </row>
    <row r="261" spans="1:8" ht="28.8">
      <c r="A261" s="400" t="s">
        <v>191</v>
      </c>
      <c r="B261" s="432" t="s">
        <v>595</v>
      </c>
      <c r="C261" s="402" t="s">
        <v>18</v>
      </c>
      <c r="D261" s="402">
        <f t="shared" si="29"/>
        <v>16</v>
      </c>
      <c r="E261" s="68">
        <v>45.39</v>
      </c>
      <c r="F261" s="232">
        <v>49.8</v>
      </c>
      <c r="G261" s="73">
        <v>84.64</v>
      </c>
      <c r="H261" s="403">
        <f t="shared" si="26"/>
        <v>726.24</v>
      </c>
    </row>
    <row r="262" spans="1:8" ht="28.8">
      <c r="A262" s="400" t="s">
        <v>192</v>
      </c>
      <c r="B262" s="432" t="s">
        <v>552</v>
      </c>
      <c r="C262" s="402" t="s">
        <v>18</v>
      </c>
      <c r="D262" s="402">
        <f>1*27</f>
        <v>27</v>
      </c>
      <c r="E262" s="68">
        <v>140.54</v>
      </c>
      <c r="F262" s="232">
        <v>186.8</v>
      </c>
      <c r="G262" s="73">
        <v>341.8</v>
      </c>
      <c r="H262" s="403">
        <f t="shared" si="26"/>
        <v>3794.58</v>
      </c>
    </row>
    <row r="263" spans="1:8" ht="28.8">
      <c r="A263" s="400" t="s">
        <v>193</v>
      </c>
      <c r="B263" s="432" t="s">
        <v>596</v>
      </c>
      <c r="C263" s="402" t="s">
        <v>18</v>
      </c>
      <c r="D263" s="402">
        <v>10</v>
      </c>
      <c r="E263" s="256">
        <v>5.38</v>
      </c>
      <c r="F263" s="232">
        <v>5.65</v>
      </c>
      <c r="G263" s="73">
        <v>12.6</v>
      </c>
      <c r="H263" s="403">
        <f t="shared" si="26"/>
        <v>53.8</v>
      </c>
    </row>
    <row r="264" spans="1:8" ht="28.8">
      <c r="A264" s="400" t="s">
        <v>194</v>
      </c>
      <c r="B264" s="432" t="s">
        <v>554</v>
      </c>
      <c r="C264" s="429" t="s">
        <v>18</v>
      </c>
      <c r="D264" s="402">
        <v>56</v>
      </c>
      <c r="E264" s="68">
        <v>120</v>
      </c>
      <c r="F264" s="232">
        <v>150</v>
      </c>
      <c r="G264" s="73">
        <v>156</v>
      </c>
      <c r="H264" s="403">
        <f t="shared" si="26"/>
        <v>6720</v>
      </c>
    </row>
    <row r="265" spans="1:8" ht="28.8">
      <c r="A265" s="400" t="s">
        <v>195</v>
      </c>
      <c r="B265" s="450" t="s">
        <v>555</v>
      </c>
      <c r="C265" s="429" t="s">
        <v>18</v>
      </c>
      <c r="D265" s="402">
        <v>56</v>
      </c>
      <c r="E265" s="68">
        <v>118</v>
      </c>
      <c r="F265" s="69">
        <v>147.5</v>
      </c>
      <c r="G265" s="68">
        <v>171.1</v>
      </c>
      <c r="H265" s="403">
        <f t="shared" si="26"/>
        <v>6608</v>
      </c>
    </row>
    <row r="266" spans="1:8" ht="28.8">
      <c r="A266" s="400" t="s">
        <v>196</v>
      </c>
      <c r="B266" s="451" t="s">
        <v>597</v>
      </c>
      <c r="C266" s="429" t="s">
        <v>18</v>
      </c>
      <c r="D266" s="402">
        <v>8</v>
      </c>
      <c r="E266" s="68">
        <v>300</v>
      </c>
      <c r="F266" s="69">
        <v>375</v>
      </c>
      <c r="G266" s="68">
        <v>435</v>
      </c>
      <c r="H266" s="403">
        <f t="shared" si="26"/>
        <v>2400</v>
      </c>
    </row>
    <row r="267" spans="1:8" ht="28.8">
      <c r="A267" s="400" t="s">
        <v>197</v>
      </c>
      <c r="B267" s="432" t="s">
        <v>557</v>
      </c>
      <c r="C267" s="429" t="s">
        <v>18</v>
      </c>
      <c r="D267" s="402">
        <v>8</v>
      </c>
      <c r="E267" s="68">
        <v>1000</v>
      </c>
      <c r="F267" s="69">
        <v>1250</v>
      </c>
      <c r="G267" s="68">
        <v>1300</v>
      </c>
      <c r="H267" s="403">
        <f t="shared" si="26"/>
        <v>8000</v>
      </c>
    </row>
    <row r="268" spans="1:8" ht="28.8">
      <c r="A268" s="400" t="s">
        <v>198</v>
      </c>
      <c r="B268" s="432" t="s">
        <v>598</v>
      </c>
      <c r="C268" s="429" t="s">
        <v>18</v>
      </c>
      <c r="D268" s="402">
        <v>8</v>
      </c>
      <c r="E268" s="68">
        <v>116</v>
      </c>
      <c r="F268" s="69">
        <v>145</v>
      </c>
      <c r="G268" s="103">
        <v>150.80000000000001</v>
      </c>
      <c r="H268" s="403">
        <f t="shared" si="26"/>
        <v>928</v>
      </c>
    </row>
    <row r="269" spans="1:8" ht="28.8">
      <c r="A269" s="400" t="s">
        <v>199</v>
      </c>
      <c r="B269" s="432" t="s">
        <v>599</v>
      </c>
      <c r="C269" s="429" t="s">
        <v>18</v>
      </c>
      <c r="D269" s="402">
        <v>8</v>
      </c>
      <c r="E269" s="68">
        <v>300</v>
      </c>
      <c r="F269" s="69">
        <v>375</v>
      </c>
      <c r="G269" s="103">
        <v>390</v>
      </c>
      <c r="H269" s="403">
        <f t="shared" si="26"/>
        <v>2400</v>
      </c>
    </row>
    <row r="270" spans="1:8" ht="28.8">
      <c r="A270" s="400" t="s">
        <v>200</v>
      </c>
      <c r="B270" s="432" t="s">
        <v>600</v>
      </c>
      <c r="C270" s="429" t="s">
        <v>18</v>
      </c>
      <c r="D270" s="402">
        <v>8</v>
      </c>
      <c r="E270" s="68">
        <v>519.79999999999995</v>
      </c>
      <c r="F270" s="69">
        <v>519</v>
      </c>
      <c r="G270" s="103">
        <v>675.74</v>
      </c>
      <c r="H270" s="403">
        <f t="shared" si="26"/>
        <v>4158.3999999999996</v>
      </c>
    </row>
    <row r="271" spans="1:8">
      <c r="A271" s="400" t="s">
        <v>201</v>
      </c>
      <c r="B271" s="432" t="s">
        <v>601</v>
      </c>
      <c r="C271" s="429" t="s">
        <v>18</v>
      </c>
      <c r="D271" s="402">
        <v>54</v>
      </c>
      <c r="E271" s="68">
        <v>29.46</v>
      </c>
      <c r="F271" s="69">
        <v>36.83</v>
      </c>
      <c r="G271" s="103">
        <v>38.299999999999997</v>
      </c>
      <c r="H271" s="403">
        <f t="shared" si="26"/>
        <v>1590.8400000000001</v>
      </c>
    </row>
    <row r="272" spans="1:8" ht="28.8">
      <c r="A272" s="400" t="s">
        <v>202</v>
      </c>
      <c r="B272" s="401" t="s">
        <v>514</v>
      </c>
      <c r="C272" s="402" t="s">
        <v>18</v>
      </c>
      <c r="D272" s="402">
        <v>54</v>
      </c>
      <c r="E272" s="68">
        <v>15.18</v>
      </c>
      <c r="F272" s="69">
        <v>18.899999999999999</v>
      </c>
      <c r="G272" s="103">
        <v>19.73</v>
      </c>
      <c r="H272" s="403">
        <f t="shared" si="26"/>
        <v>819.72</v>
      </c>
    </row>
    <row r="273" spans="1:8" ht="43.2">
      <c r="A273" s="400" t="s">
        <v>203</v>
      </c>
      <c r="B273" s="401" t="s">
        <v>582</v>
      </c>
      <c r="C273" s="402" t="s">
        <v>15</v>
      </c>
      <c r="D273" s="402">
        <f>3*2</f>
        <v>6</v>
      </c>
      <c r="E273" s="68">
        <v>800</v>
      </c>
      <c r="F273" s="69"/>
      <c r="G273" s="68"/>
      <c r="H273" s="403">
        <f t="shared" si="26"/>
        <v>4800</v>
      </c>
    </row>
    <row r="274" spans="1:8" ht="28.8">
      <c r="A274" s="400" t="s">
        <v>204</v>
      </c>
      <c r="B274" s="401" t="s">
        <v>605</v>
      </c>
      <c r="C274" s="402" t="s">
        <v>417</v>
      </c>
      <c r="D274" s="402">
        <v>33</v>
      </c>
      <c r="E274" s="68">
        <v>780</v>
      </c>
      <c r="F274" s="69">
        <v>975</v>
      </c>
      <c r="G274" s="68">
        <v>1170</v>
      </c>
      <c r="H274" s="403">
        <f t="shared" si="26"/>
        <v>25740</v>
      </c>
    </row>
    <row r="275" spans="1:8" ht="28.8">
      <c r="A275" s="400" t="s">
        <v>205</v>
      </c>
      <c r="B275" s="401" t="s">
        <v>603</v>
      </c>
      <c r="C275" s="402" t="s">
        <v>110</v>
      </c>
      <c r="D275" s="402">
        <f>(100*D96/1000)/50</f>
        <v>403.2</v>
      </c>
      <c r="E275" s="68">
        <v>174</v>
      </c>
      <c r="F275" s="69">
        <v>217.5</v>
      </c>
      <c r="G275" s="68">
        <v>261</v>
      </c>
      <c r="H275" s="403">
        <f t="shared" ref="H275:H281" si="30">E275*D275</f>
        <v>70156.800000000003</v>
      </c>
    </row>
    <row r="276" spans="1:8" ht="28.8">
      <c r="A276" s="400" t="s">
        <v>206</v>
      </c>
      <c r="B276" s="401" t="s">
        <v>604</v>
      </c>
      <c r="C276" s="402" t="s">
        <v>110</v>
      </c>
      <c r="D276" s="402">
        <f>(80*D96/1000)/50</f>
        <v>322.56</v>
      </c>
      <c r="E276" s="68">
        <v>25.8</v>
      </c>
      <c r="F276" s="69">
        <v>32.25</v>
      </c>
      <c r="G276" s="68">
        <v>38.700000000000003</v>
      </c>
      <c r="H276" s="403">
        <f t="shared" si="30"/>
        <v>8322.0480000000007</v>
      </c>
    </row>
    <row r="277" spans="1:8" ht="28.8">
      <c r="A277" s="400" t="s">
        <v>207</v>
      </c>
      <c r="B277" s="401" t="s">
        <v>602</v>
      </c>
      <c r="C277" s="402" t="s">
        <v>110</v>
      </c>
      <c r="D277" s="402">
        <f>D275</f>
        <v>403.2</v>
      </c>
      <c r="E277" s="68">
        <v>130.6</v>
      </c>
      <c r="F277" s="68">
        <v>163.25</v>
      </c>
      <c r="G277" s="68">
        <v>195.9</v>
      </c>
      <c r="H277" s="403">
        <f t="shared" si="30"/>
        <v>52657.919999999998</v>
      </c>
    </row>
    <row r="278" spans="1:8" ht="28.8">
      <c r="A278" s="400" t="s">
        <v>208</v>
      </c>
      <c r="B278" s="401" t="s">
        <v>606</v>
      </c>
      <c r="C278" s="402" t="s">
        <v>110</v>
      </c>
      <c r="D278" s="402">
        <f>(150*D96/1000)/50</f>
        <v>604.79999999999995</v>
      </c>
      <c r="E278" s="68">
        <v>131.6</v>
      </c>
      <c r="F278" s="69">
        <v>164.5</v>
      </c>
      <c r="G278" s="68">
        <v>197.4</v>
      </c>
      <c r="H278" s="403">
        <f t="shared" si="30"/>
        <v>79591.679999999993</v>
      </c>
    </row>
    <row r="279" spans="1:8" ht="28.8">
      <c r="A279" s="400" t="s">
        <v>209</v>
      </c>
      <c r="B279" s="401" t="s">
        <v>699</v>
      </c>
      <c r="C279" s="402" t="s">
        <v>68</v>
      </c>
      <c r="D279" s="402">
        <v>100</v>
      </c>
      <c r="E279" s="68">
        <v>100</v>
      </c>
      <c r="F279" s="69">
        <v>125</v>
      </c>
      <c r="G279" s="68">
        <v>150</v>
      </c>
      <c r="H279" s="403">
        <f t="shared" si="30"/>
        <v>10000</v>
      </c>
    </row>
    <row r="280" spans="1:8" ht="28.8">
      <c r="A280" s="400" t="s">
        <v>387</v>
      </c>
      <c r="B280" s="401" t="s">
        <v>700</v>
      </c>
      <c r="C280" s="402" t="s">
        <v>68</v>
      </c>
      <c r="D280" s="402">
        <v>1310</v>
      </c>
      <c r="E280" s="403">
        <v>11.4</v>
      </c>
      <c r="F280" s="404">
        <v>14.25</v>
      </c>
      <c r="G280" s="403">
        <v>17.100000000000001</v>
      </c>
      <c r="H280" s="403">
        <f t="shared" si="30"/>
        <v>14934</v>
      </c>
    </row>
    <row r="281" spans="1:8">
      <c r="A281" s="400" t="s">
        <v>388</v>
      </c>
      <c r="B281" s="401" t="s">
        <v>607</v>
      </c>
      <c r="C281" s="402" t="s">
        <v>110</v>
      </c>
      <c r="D281" s="402">
        <f>D277</f>
        <v>403.2</v>
      </c>
      <c r="E281" s="403">
        <v>24</v>
      </c>
      <c r="F281" s="404">
        <v>30</v>
      </c>
      <c r="G281" s="403">
        <v>36</v>
      </c>
      <c r="H281" s="403">
        <f t="shared" si="30"/>
        <v>9676.7999999999993</v>
      </c>
    </row>
    <row r="282" spans="1:8">
      <c r="A282" s="611" t="s">
        <v>425</v>
      </c>
      <c r="B282" s="612"/>
      <c r="C282" s="528"/>
      <c r="D282" s="528"/>
      <c r="E282" s="528"/>
      <c r="F282" s="528"/>
      <c r="G282" s="528"/>
      <c r="H282" s="552">
        <f>SUM(H183:H281)</f>
        <v>5672418.5519999983</v>
      </c>
    </row>
    <row r="283" spans="1:8">
      <c r="A283" s="478">
        <v>3</v>
      </c>
      <c r="B283" s="396" t="s">
        <v>713</v>
      </c>
      <c r="C283" s="397" t="s">
        <v>7</v>
      </c>
      <c r="D283" s="397" t="s">
        <v>8</v>
      </c>
      <c r="E283" s="487" t="s">
        <v>410</v>
      </c>
      <c r="F283" s="487" t="s">
        <v>408</v>
      </c>
      <c r="G283" s="487" t="s">
        <v>409</v>
      </c>
      <c r="H283" s="488" t="s">
        <v>9</v>
      </c>
    </row>
    <row r="284" spans="1:8" ht="43.2">
      <c r="A284" s="400" t="s">
        <v>212</v>
      </c>
      <c r="B284" s="401" t="s">
        <v>213</v>
      </c>
      <c r="C284" s="402" t="s">
        <v>214</v>
      </c>
      <c r="D284" s="402">
        <v>700</v>
      </c>
      <c r="E284" s="403">
        <v>240</v>
      </c>
      <c r="F284" s="404">
        <v>240</v>
      </c>
      <c r="G284" s="403"/>
      <c r="H284" s="403">
        <f>E284*D284</f>
        <v>168000</v>
      </c>
    </row>
    <row r="285" spans="1:8" ht="28.8">
      <c r="A285" s="400" t="s">
        <v>215</v>
      </c>
      <c r="B285" s="401" t="s">
        <v>216</v>
      </c>
      <c r="C285" s="402" t="s">
        <v>214</v>
      </c>
      <c r="D285" s="402">
        <v>700</v>
      </c>
      <c r="E285" s="403">
        <v>240</v>
      </c>
      <c r="F285" s="404">
        <v>240</v>
      </c>
      <c r="G285" s="403"/>
      <c r="H285" s="403">
        <f>E285*D285</f>
        <v>168000</v>
      </c>
    </row>
    <row r="286" spans="1:8" ht="43.2">
      <c r="A286" s="400" t="s">
        <v>217</v>
      </c>
      <c r="B286" s="401" t="s">
        <v>218</v>
      </c>
      <c r="C286" s="402" t="s">
        <v>13</v>
      </c>
      <c r="D286" s="402">
        <v>5</v>
      </c>
      <c r="E286" s="68">
        <f>(3643*97%)+3643</f>
        <v>7176.71</v>
      </c>
      <c r="F286" s="69">
        <f>(5000*97%)+5000</f>
        <v>9850</v>
      </c>
      <c r="G286" s="68">
        <f>(5801*97%)+5801</f>
        <v>11427.970000000001</v>
      </c>
      <c r="H286" s="403">
        <f>E286*D286</f>
        <v>35883.550000000003</v>
      </c>
    </row>
    <row r="287" spans="1:8" ht="28.8">
      <c r="A287" s="400" t="s">
        <v>219</v>
      </c>
      <c r="B287" s="401" t="s">
        <v>220</v>
      </c>
      <c r="C287" s="402" t="s">
        <v>13</v>
      </c>
      <c r="D287" s="402">
        <v>5</v>
      </c>
      <c r="E287" s="68">
        <f>(1992.99+97%)+1992.99</f>
        <v>3986.95</v>
      </c>
      <c r="F287" s="69">
        <f>(2143*97%)+2143</f>
        <v>4221.71</v>
      </c>
      <c r="G287" s="72">
        <f>(3071*97%)+3071</f>
        <v>6049.87</v>
      </c>
      <c r="H287" s="403">
        <f>E287*D287*2</f>
        <v>39869.5</v>
      </c>
    </row>
    <row r="288" spans="1:8" ht="43.2">
      <c r="A288" s="400" t="s">
        <v>256</v>
      </c>
      <c r="B288" s="401" t="s">
        <v>608</v>
      </c>
      <c r="C288" s="402" t="s">
        <v>15</v>
      </c>
      <c r="D288" s="402">
        <f>20*5*3</f>
        <v>300</v>
      </c>
      <c r="E288" s="229">
        <v>250</v>
      </c>
      <c r="F288" s="69">
        <v>450</v>
      </c>
      <c r="G288" s="68">
        <v>581</v>
      </c>
      <c r="H288" s="403">
        <f t="shared" ref="H288:H326" si="31">E288*D288</f>
        <v>75000</v>
      </c>
    </row>
    <row r="289" spans="1:8" ht="72">
      <c r="A289" s="400" t="s">
        <v>221</v>
      </c>
      <c r="B289" s="401" t="s">
        <v>564</v>
      </c>
      <c r="C289" s="402" t="s">
        <v>18</v>
      </c>
      <c r="D289" s="402">
        <v>1</v>
      </c>
      <c r="E289" s="68">
        <v>4149</v>
      </c>
      <c r="F289" s="69">
        <v>5299</v>
      </c>
      <c r="G289" s="70">
        <v>5919</v>
      </c>
      <c r="H289" s="403">
        <f t="shared" si="31"/>
        <v>4149</v>
      </c>
    </row>
    <row r="290" spans="1:8" ht="28.8">
      <c r="A290" s="400" t="s">
        <v>222</v>
      </c>
      <c r="B290" s="407" t="s">
        <v>565</v>
      </c>
      <c r="C290" s="402" t="s">
        <v>18</v>
      </c>
      <c r="D290" s="402">
        <v>2</v>
      </c>
      <c r="E290" s="68">
        <v>1849</v>
      </c>
      <c r="F290" s="69">
        <v>2199</v>
      </c>
      <c r="G290" s="68">
        <v>2919</v>
      </c>
      <c r="H290" s="403">
        <f t="shared" si="31"/>
        <v>3698</v>
      </c>
    </row>
    <row r="291" spans="1:8" ht="57.6">
      <c r="A291" s="400" t="s">
        <v>223</v>
      </c>
      <c r="B291" s="401" t="s">
        <v>609</v>
      </c>
      <c r="C291" s="402" t="s">
        <v>18</v>
      </c>
      <c r="D291" s="402">
        <v>3</v>
      </c>
      <c r="E291" s="73">
        <v>1849.77</v>
      </c>
      <c r="F291" s="232">
        <v>2891</v>
      </c>
      <c r="G291" s="68">
        <v>3199</v>
      </c>
      <c r="H291" s="403">
        <f t="shared" si="31"/>
        <v>5549.3099999999995</v>
      </c>
    </row>
    <row r="292" spans="1:8" ht="28.8">
      <c r="A292" s="400" t="s">
        <v>224</v>
      </c>
      <c r="B292" s="401" t="s">
        <v>611</v>
      </c>
      <c r="C292" s="402" t="s">
        <v>18</v>
      </c>
      <c r="D292" s="402">
        <v>3</v>
      </c>
      <c r="E292" s="73">
        <v>169.9</v>
      </c>
      <c r="F292" s="232">
        <v>189</v>
      </c>
      <c r="G292" s="68">
        <v>197</v>
      </c>
      <c r="H292" s="403">
        <f t="shared" si="31"/>
        <v>509.70000000000005</v>
      </c>
    </row>
    <row r="293" spans="1:8" ht="43.2">
      <c r="A293" s="400" t="s">
        <v>225</v>
      </c>
      <c r="B293" s="401" t="s">
        <v>610</v>
      </c>
      <c r="C293" s="402" t="s">
        <v>18</v>
      </c>
      <c r="D293" s="402">
        <v>3</v>
      </c>
      <c r="E293" s="73">
        <v>1386</v>
      </c>
      <c r="F293" s="232">
        <v>1549</v>
      </c>
      <c r="G293" s="68">
        <v>1649.9</v>
      </c>
      <c r="H293" s="403">
        <f t="shared" si="31"/>
        <v>4158</v>
      </c>
    </row>
    <row r="294" spans="1:8" ht="28.8">
      <c r="A294" s="400" t="s">
        <v>226</v>
      </c>
      <c r="B294" s="401" t="s">
        <v>462</v>
      </c>
      <c r="C294" s="402" t="s">
        <v>13</v>
      </c>
      <c r="D294" s="402">
        <v>5</v>
      </c>
      <c r="E294" s="68">
        <v>124.99</v>
      </c>
      <c r="F294" s="69">
        <v>142</v>
      </c>
      <c r="G294" s="68">
        <v>159.9</v>
      </c>
      <c r="H294" s="403">
        <f t="shared" si="31"/>
        <v>624.94999999999993</v>
      </c>
    </row>
    <row r="295" spans="1:8" ht="43.2">
      <c r="A295" s="400" t="s">
        <v>227</v>
      </c>
      <c r="B295" s="401" t="s">
        <v>701</v>
      </c>
      <c r="C295" s="402" t="s">
        <v>13</v>
      </c>
      <c r="D295" s="402">
        <v>5</v>
      </c>
      <c r="E295" s="68">
        <v>2850</v>
      </c>
      <c r="F295" s="69">
        <v>3768</v>
      </c>
      <c r="G295" s="69">
        <v>5367.02</v>
      </c>
      <c r="H295" s="403">
        <f t="shared" si="31"/>
        <v>14250</v>
      </c>
    </row>
    <row r="296" spans="1:8" ht="28.8">
      <c r="A296" s="400" t="s">
        <v>228</v>
      </c>
      <c r="B296" s="401" t="s">
        <v>702</v>
      </c>
      <c r="C296" s="402" t="s">
        <v>15</v>
      </c>
      <c r="D296" s="402">
        <v>3</v>
      </c>
      <c r="E296" s="70">
        <v>300</v>
      </c>
      <c r="F296" s="74">
        <v>600</v>
      </c>
      <c r="G296" s="70">
        <v>975</v>
      </c>
      <c r="H296" s="403">
        <f t="shared" si="31"/>
        <v>900</v>
      </c>
    </row>
    <row r="297" spans="1:8" ht="43.2">
      <c r="A297" s="400" t="s">
        <v>229</v>
      </c>
      <c r="B297" s="401" t="s">
        <v>703</v>
      </c>
      <c r="C297" s="402" t="s">
        <v>13</v>
      </c>
      <c r="D297" s="402">
        <v>5</v>
      </c>
      <c r="E297" s="403">
        <v>144.9</v>
      </c>
      <c r="F297" s="404">
        <v>0</v>
      </c>
      <c r="G297" s="403">
        <v>180</v>
      </c>
      <c r="H297" s="403">
        <f t="shared" si="31"/>
        <v>724.5</v>
      </c>
    </row>
    <row r="298" spans="1:8" ht="28.8">
      <c r="A298" s="400" t="s">
        <v>230</v>
      </c>
      <c r="B298" s="401" t="s">
        <v>704</v>
      </c>
      <c r="C298" s="402" t="s">
        <v>15</v>
      </c>
      <c r="D298" s="402">
        <v>3</v>
      </c>
      <c r="E298" s="403">
        <v>144.9</v>
      </c>
      <c r="F298" s="404">
        <v>0</v>
      </c>
      <c r="G298" s="403">
        <v>180</v>
      </c>
      <c r="H298" s="403">
        <f t="shared" si="31"/>
        <v>434.70000000000005</v>
      </c>
    </row>
    <row r="299" spans="1:8" ht="28.8">
      <c r="A299" s="400" t="s">
        <v>231</v>
      </c>
      <c r="B299" s="401" t="s">
        <v>615</v>
      </c>
      <c r="C299" s="402" t="s">
        <v>31</v>
      </c>
      <c r="D299" s="402">
        <f>55*4*5*3</f>
        <v>3300</v>
      </c>
      <c r="E299" s="445">
        <v>6.08</v>
      </c>
      <c r="F299" s="404">
        <v>6.09</v>
      </c>
      <c r="G299" s="403">
        <v>6.35</v>
      </c>
      <c r="H299" s="403">
        <f t="shared" si="31"/>
        <v>20064</v>
      </c>
    </row>
    <row r="300" spans="1:8" ht="28.8">
      <c r="A300" s="400" t="s">
        <v>233</v>
      </c>
      <c r="B300" s="427" t="s">
        <v>681</v>
      </c>
      <c r="C300" s="402" t="s">
        <v>18</v>
      </c>
      <c r="D300" s="495">
        <f t="shared" ref="D300:D302" si="32">3*3</f>
        <v>9</v>
      </c>
      <c r="E300" s="68">
        <v>60</v>
      </c>
      <c r="F300" s="68">
        <v>65</v>
      </c>
      <c r="G300" s="69">
        <v>70</v>
      </c>
      <c r="H300" s="403">
        <f t="shared" si="31"/>
        <v>540</v>
      </c>
    </row>
    <row r="301" spans="1:8" ht="57.6">
      <c r="A301" s="400" t="s">
        <v>234</v>
      </c>
      <c r="B301" s="427" t="s">
        <v>705</v>
      </c>
      <c r="C301" s="402" t="s">
        <v>18</v>
      </c>
      <c r="D301" s="495">
        <f t="shared" si="32"/>
        <v>9</v>
      </c>
      <c r="E301" s="68">
        <v>75</v>
      </c>
      <c r="F301" s="68">
        <v>90</v>
      </c>
      <c r="G301" s="69">
        <v>98</v>
      </c>
      <c r="H301" s="403">
        <f t="shared" si="31"/>
        <v>675</v>
      </c>
    </row>
    <row r="302" spans="1:8" ht="57.6">
      <c r="A302" s="400" t="s">
        <v>235</v>
      </c>
      <c r="B302" s="427" t="s">
        <v>682</v>
      </c>
      <c r="C302" s="402" t="s">
        <v>18</v>
      </c>
      <c r="D302" s="495">
        <f t="shared" si="32"/>
        <v>9</v>
      </c>
      <c r="E302" s="403">
        <v>25</v>
      </c>
      <c r="F302" s="403">
        <v>40</v>
      </c>
      <c r="G302" s="404">
        <v>43</v>
      </c>
      <c r="H302" s="403">
        <f t="shared" si="31"/>
        <v>225</v>
      </c>
    </row>
    <row r="303" spans="1:8" ht="28.8">
      <c r="A303" s="400" t="s">
        <v>236</v>
      </c>
      <c r="B303" s="401" t="s">
        <v>617</v>
      </c>
      <c r="C303" s="402" t="s">
        <v>18</v>
      </c>
      <c r="D303" s="402">
        <v>3</v>
      </c>
      <c r="E303" s="68">
        <v>122</v>
      </c>
      <c r="F303" s="74">
        <v>170.91</v>
      </c>
      <c r="G303" s="68">
        <v>185</v>
      </c>
      <c r="H303" s="403">
        <f t="shared" si="31"/>
        <v>366</v>
      </c>
    </row>
    <row r="304" spans="1:8" ht="28.8">
      <c r="A304" s="400" t="s">
        <v>237</v>
      </c>
      <c r="B304" s="431" t="s">
        <v>527</v>
      </c>
      <c r="C304" s="402" t="s">
        <v>18</v>
      </c>
      <c r="D304" s="402">
        <v>3</v>
      </c>
      <c r="E304" s="68">
        <v>21.8</v>
      </c>
      <c r="F304" s="74">
        <v>36</v>
      </c>
      <c r="G304" s="68">
        <v>46.9</v>
      </c>
      <c r="H304" s="403">
        <f t="shared" si="31"/>
        <v>65.400000000000006</v>
      </c>
    </row>
    <row r="305" spans="1:8" ht="28.8">
      <c r="A305" s="400" t="s">
        <v>238</v>
      </c>
      <c r="B305" s="431" t="s">
        <v>618</v>
      </c>
      <c r="C305" s="402" t="s">
        <v>18</v>
      </c>
      <c r="D305" s="402">
        <v>3</v>
      </c>
      <c r="E305" s="73">
        <v>13.93</v>
      </c>
      <c r="F305" s="232">
        <v>15.71</v>
      </c>
      <c r="G305" s="73">
        <v>49.9</v>
      </c>
      <c r="H305" s="403">
        <f t="shared" si="31"/>
        <v>41.79</v>
      </c>
    </row>
    <row r="306" spans="1:8" ht="28.8">
      <c r="A306" s="400" t="s">
        <v>239</v>
      </c>
      <c r="B306" s="401" t="s">
        <v>529</v>
      </c>
      <c r="C306" s="402" t="s">
        <v>18</v>
      </c>
      <c r="D306" s="402">
        <v>10</v>
      </c>
      <c r="E306" s="73">
        <v>12.4</v>
      </c>
      <c r="F306" s="232">
        <v>13.5</v>
      </c>
      <c r="G306" s="73">
        <v>20.260000000000002</v>
      </c>
      <c r="H306" s="403">
        <f t="shared" si="31"/>
        <v>124</v>
      </c>
    </row>
    <row r="307" spans="1:8" ht="28.8">
      <c r="A307" s="400" t="s">
        <v>240</v>
      </c>
      <c r="B307" s="430" t="s">
        <v>619</v>
      </c>
      <c r="C307" s="402" t="s">
        <v>18</v>
      </c>
      <c r="D307" s="402">
        <v>3</v>
      </c>
      <c r="E307" s="68">
        <v>160</v>
      </c>
      <c r="F307" s="232">
        <v>163</v>
      </c>
      <c r="G307" s="73">
        <v>193.63</v>
      </c>
      <c r="H307" s="403">
        <f t="shared" si="31"/>
        <v>480</v>
      </c>
    </row>
    <row r="308" spans="1:8" ht="28.8">
      <c r="A308" s="400" t="s">
        <v>241</v>
      </c>
      <c r="B308" s="432" t="s">
        <v>474</v>
      </c>
      <c r="C308" s="402" t="s">
        <v>18</v>
      </c>
      <c r="D308" s="402">
        <v>3</v>
      </c>
      <c r="E308" s="70">
        <v>35</v>
      </c>
      <c r="F308" s="74">
        <v>41.4</v>
      </c>
      <c r="G308" s="68">
        <v>168.26</v>
      </c>
      <c r="H308" s="403">
        <f t="shared" si="31"/>
        <v>105</v>
      </c>
    </row>
    <row r="309" spans="1:8" ht="28.8">
      <c r="A309" s="400" t="s">
        <v>242</v>
      </c>
      <c r="B309" s="430" t="s">
        <v>475</v>
      </c>
      <c r="C309" s="402" t="s">
        <v>18</v>
      </c>
      <c r="D309" s="402">
        <v>3</v>
      </c>
      <c r="E309" s="73">
        <v>41.4</v>
      </c>
      <c r="F309" s="69">
        <v>42.23</v>
      </c>
      <c r="G309" s="70">
        <v>50</v>
      </c>
      <c r="H309" s="403">
        <f t="shared" si="31"/>
        <v>124.19999999999999</v>
      </c>
    </row>
    <row r="310" spans="1:8" ht="28.8">
      <c r="A310" s="400" t="s">
        <v>243</v>
      </c>
      <c r="B310" s="411" t="s">
        <v>620</v>
      </c>
      <c r="C310" s="402" t="s">
        <v>18</v>
      </c>
      <c r="D310" s="402">
        <v>3</v>
      </c>
      <c r="E310" s="68">
        <v>2.77</v>
      </c>
      <c r="F310" s="74">
        <v>3.75</v>
      </c>
      <c r="G310" s="73">
        <v>3.96</v>
      </c>
      <c r="H310" s="403">
        <f t="shared" si="31"/>
        <v>8.31</v>
      </c>
    </row>
    <row r="311" spans="1:8" ht="28.8">
      <c r="A311" s="400" t="s">
        <v>244</v>
      </c>
      <c r="B311" s="401" t="s">
        <v>477</v>
      </c>
      <c r="C311" s="402" t="s">
        <v>18</v>
      </c>
      <c r="D311" s="402">
        <v>3</v>
      </c>
      <c r="E311" s="68">
        <v>32.979999999999997</v>
      </c>
      <c r="F311" s="69">
        <v>58.66</v>
      </c>
      <c r="G311" s="68">
        <v>60.82</v>
      </c>
      <c r="H311" s="403">
        <f t="shared" si="31"/>
        <v>98.94</v>
      </c>
    </row>
    <row r="312" spans="1:8" ht="28.8">
      <c r="A312" s="400" t="s">
        <v>245</v>
      </c>
      <c r="B312" s="401" t="s">
        <v>621</v>
      </c>
      <c r="C312" s="402" t="s">
        <v>18</v>
      </c>
      <c r="D312" s="402">
        <v>3</v>
      </c>
      <c r="E312" s="73">
        <v>26.5</v>
      </c>
      <c r="F312" s="69">
        <v>61.9</v>
      </c>
      <c r="G312" s="68">
        <v>83.6</v>
      </c>
      <c r="H312" s="403">
        <f t="shared" si="31"/>
        <v>79.5</v>
      </c>
    </row>
    <row r="313" spans="1:8" ht="28.8">
      <c r="A313" s="420" t="s">
        <v>246</v>
      </c>
      <c r="B313" s="123" t="s">
        <v>772</v>
      </c>
      <c r="C313" s="402" t="s">
        <v>18</v>
      </c>
      <c r="D313" s="413">
        <f>3*1</f>
        <v>3</v>
      </c>
      <c r="E313" s="412">
        <v>286</v>
      </c>
      <c r="F313" s="404">
        <v>338</v>
      </c>
      <c r="G313" s="403">
        <v>377</v>
      </c>
      <c r="H313" s="404">
        <f t="shared" si="31"/>
        <v>858</v>
      </c>
    </row>
    <row r="314" spans="1:8" ht="28.8">
      <c r="A314" s="420" t="s">
        <v>247</v>
      </c>
      <c r="B314" s="123" t="s">
        <v>773</v>
      </c>
      <c r="C314" s="402" t="s">
        <v>18</v>
      </c>
      <c r="D314" s="413">
        <f>4*3*1</f>
        <v>12</v>
      </c>
      <c r="E314" s="412">
        <v>98</v>
      </c>
      <c r="F314" s="404">
        <v>270</v>
      </c>
      <c r="G314" s="403">
        <v>279</v>
      </c>
      <c r="H314" s="404">
        <f t="shared" si="31"/>
        <v>1176</v>
      </c>
    </row>
    <row r="315" spans="1:8" ht="28.8">
      <c r="A315" s="420" t="s">
        <v>248</v>
      </c>
      <c r="B315" s="123" t="s">
        <v>774</v>
      </c>
      <c r="C315" s="402" t="s">
        <v>18</v>
      </c>
      <c r="D315" s="413">
        <f>2*3*1</f>
        <v>6</v>
      </c>
      <c r="E315" s="412">
        <v>35.99</v>
      </c>
      <c r="F315" s="404">
        <v>37.93</v>
      </c>
      <c r="G315" s="403">
        <v>67.900000000000006</v>
      </c>
      <c r="H315" s="404">
        <f t="shared" si="31"/>
        <v>215.94</v>
      </c>
    </row>
    <row r="316" spans="1:8" ht="28.8">
      <c r="A316" s="420" t="s">
        <v>249</v>
      </c>
      <c r="B316" s="123" t="s">
        <v>783</v>
      </c>
      <c r="C316" s="402" t="s">
        <v>18</v>
      </c>
      <c r="D316" s="413">
        <f>2*3*1</f>
        <v>6</v>
      </c>
      <c r="E316" s="412">
        <v>125</v>
      </c>
      <c r="F316" s="404">
        <v>144.41</v>
      </c>
      <c r="G316" s="403">
        <v>155.5</v>
      </c>
      <c r="H316" s="404">
        <f t="shared" si="31"/>
        <v>750</v>
      </c>
    </row>
    <row r="317" spans="1:8" ht="28.8">
      <c r="A317" s="420" t="s">
        <v>250</v>
      </c>
      <c r="B317" s="123" t="s">
        <v>775</v>
      </c>
      <c r="C317" s="402" t="s">
        <v>18</v>
      </c>
      <c r="D317" s="413">
        <v>3</v>
      </c>
      <c r="E317" s="412">
        <v>930</v>
      </c>
      <c r="F317" s="404">
        <v>1000</v>
      </c>
      <c r="G317" s="403">
        <v>1980</v>
      </c>
      <c r="H317" s="404">
        <f t="shared" si="31"/>
        <v>2790</v>
      </c>
    </row>
    <row r="318" spans="1:8" ht="28.8">
      <c r="A318" s="420" t="s">
        <v>251</v>
      </c>
      <c r="B318" s="123" t="s">
        <v>776</v>
      </c>
      <c r="C318" s="402" t="s">
        <v>18</v>
      </c>
      <c r="D318" s="413">
        <f>1*3*1</f>
        <v>3</v>
      </c>
      <c r="E318" s="412">
        <v>37.9</v>
      </c>
      <c r="F318" s="404">
        <v>41.31</v>
      </c>
      <c r="G318" s="403">
        <v>45</v>
      </c>
      <c r="H318" s="404">
        <f t="shared" si="31"/>
        <v>113.69999999999999</v>
      </c>
    </row>
    <row r="319" spans="1:8" ht="28.8">
      <c r="A319" s="420" t="s">
        <v>252</v>
      </c>
      <c r="B319" s="123" t="s">
        <v>777</v>
      </c>
      <c r="C319" s="402" t="s">
        <v>18</v>
      </c>
      <c r="D319" s="413">
        <f>1*3*1</f>
        <v>3</v>
      </c>
      <c r="E319" s="412">
        <v>73.489999999999995</v>
      </c>
      <c r="F319" s="404">
        <v>96.7</v>
      </c>
      <c r="G319" s="403">
        <v>106.76</v>
      </c>
      <c r="H319" s="404">
        <f t="shared" si="31"/>
        <v>220.46999999999997</v>
      </c>
    </row>
    <row r="320" spans="1:8" ht="28.8">
      <c r="A320" s="163" t="s">
        <v>806</v>
      </c>
      <c r="B320" s="401" t="s">
        <v>622</v>
      </c>
      <c r="C320" s="402" t="s">
        <v>68</v>
      </c>
      <c r="D320" s="402">
        <v>1</v>
      </c>
      <c r="E320" s="73">
        <v>204</v>
      </c>
      <c r="F320" s="232">
        <v>255</v>
      </c>
      <c r="G320" s="73">
        <v>280</v>
      </c>
      <c r="H320" s="403">
        <f t="shared" si="31"/>
        <v>204</v>
      </c>
    </row>
    <row r="321" spans="1:8" ht="43.2">
      <c r="A321" s="163" t="s">
        <v>807</v>
      </c>
      <c r="B321" s="401" t="s">
        <v>623</v>
      </c>
      <c r="C321" s="402" t="s">
        <v>18</v>
      </c>
      <c r="D321" s="402">
        <v>2</v>
      </c>
      <c r="E321" s="68">
        <v>49</v>
      </c>
      <c r="F321" s="69">
        <v>64</v>
      </c>
      <c r="G321" s="68">
        <v>80</v>
      </c>
      <c r="H321" s="403">
        <f t="shared" si="31"/>
        <v>98</v>
      </c>
    </row>
    <row r="322" spans="1:8" ht="43.2">
      <c r="A322" s="163" t="s">
        <v>808</v>
      </c>
      <c r="B322" s="432" t="s">
        <v>624</v>
      </c>
      <c r="C322" s="402" t="s">
        <v>18</v>
      </c>
      <c r="D322" s="402">
        <v>2</v>
      </c>
      <c r="E322" s="68">
        <v>103.2</v>
      </c>
      <c r="F322" s="74">
        <v>129</v>
      </c>
      <c r="G322" s="68">
        <v>167.81</v>
      </c>
      <c r="H322" s="403">
        <f t="shared" si="31"/>
        <v>206.4</v>
      </c>
    </row>
    <row r="323" spans="1:8" ht="28.8">
      <c r="A323" s="163" t="s">
        <v>809</v>
      </c>
      <c r="B323" s="432" t="s">
        <v>625</v>
      </c>
      <c r="C323" s="402" t="s">
        <v>18</v>
      </c>
      <c r="D323" s="402">
        <v>2</v>
      </c>
      <c r="E323" s="68">
        <v>37.6</v>
      </c>
      <c r="F323" s="69">
        <v>54</v>
      </c>
      <c r="G323" s="68">
        <v>59.6</v>
      </c>
      <c r="H323" s="403">
        <f t="shared" si="31"/>
        <v>75.2</v>
      </c>
    </row>
    <row r="324" spans="1:8" ht="28.8">
      <c r="A324" s="163" t="s">
        <v>810</v>
      </c>
      <c r="B324" s="432" t="s">
        <v>626</v>
      </c>
      <c r="C324" s="402" t="s">
        <v>18</v>
      </c>
      <c r="D324" s="402">
        <v>2</v>
      </c>
      <c r="E324" s="68">
        <v>29.6</v>
      </c>
      <c r="F324" s="74">
        <v>53.7</v>
      </c>
      <c r="G324" s="68">
        <v>61.28</v>
      </c>
      <c r="H324" s="403">
        <f t="shared" si="31"/>
        <v>59.2</v>
      </c>
    </row>
    <row r="325" spans="1:8" ht="28.8">
      <c r="A325" s="163" t="s">
        <v>811</v>
      </c>
      <c r="B325" s="432" t="s">
        <v>627</v>
      </c>
      <c r="C325" s="402" t="s">
        <v>18</v>
      </c>
      <c r="D325" s="402">
        <v>2</v>
      </c>
      <c r="E325" s="68">
        <v>36</v>
      </c>
      <c r="F325" s="69">
        <v>50.6</v>
      </c>
      <c r="G325" s="68">
        <v>54.6</v>
      </c>
      <c r="H325" s="403">
        <f t="shared" si="31"/>
        <v>72</v>
      </c>
    </row>
    <row r="326" spans="1:8" ht="28.8">
      <c r="A326" s="163" t="s">
        <v>833</v>
      </c>
      <c r="B326" s="432" t="s">
        <v>552</v>
      </c>
      <c r="C326" s="402" t="s">
        <v>18</v>
      </c>
      <c r="D326" s="402">
        <v>2</v>
      </c>
      <c r="E326" s="68">
        <v>140.54</v>
      </c>
      <c r="F326" s="69">
        <v>186.8</v>
      </c>
      <c r="G326" s="68">
        <v>341.8</v>
      </c>
      <c r="H326" s="403">
        <f t="shared" si="31"/>
        <v>281.08</v>
      </c>
    </row>
    <row r="327" spans="1:8">
      <c r="A327" s="611" t="s">
        <v>253</v>
      </c>
      <c r="B327" s="612"/>
      <c r="C327" s="508"/>
      <c r="D327" s="508"/>
      <c r="E327" s="510"/>
      <c r="F327" s="510"/>
      <c r="G327" s="510"/>
      <c r="H327" s="542">
        <f>SUM(H284:H326)</f>
        <v>551868.33999999973</v>
      </c>
    </row>
    <row r="328" spans="1:8" ht="28.8">
      <c r="A328" s="395" t="s">
        <v>257</v>
      </c>
      <c r="B328" s="396" t="s">
        <v>258</v>
      </c>
      <c r="C328" s="397" t="s">
        <v>7</v>
      </c>
      <c r="D328" s="397" t="s">
        <v>8</v>
      </c>
      <c r="E328" s="487" t="s">
        <v>410</v>
      </c>
      <c r="F328" s="487" t="s">
        <v>408</v>
      </c>
      <c r="G328" s="487" t="s">
        <v>409</v>
      </c>
      <c r="H328" s="488" t="s">
        <v>9</v>
      </c>
    </row>
    <row r="329" spans="1:8" ht="57.6">
      <c r="A329" s="400" t="s">
        <v>259</v>
      </c>
      <c r="B329" s="401" t="s">
        <v>260</v>
      </c>
      <c r="C329" s="402" t="s">
        <v>13</v>
      </c>
      <c r="D329" s="402">
        <v>12</v>
      </c>
      <c r="E329" s="403">
        <f>(3643*97%)+3643</f>
        <v>7176.71</v>
      </c>
      <c r="F329" s="404">
        <f>(5000*97%)+5000</f>
        <v>9850</v>
      </c>
      <c r="G329" s="403">
        <f>(5801*97%)+5801</f>
        <v>11427.970000000001</v>
      </c>
      <c r="H329" s="403">
        <f>E329*D329</f>
        <v>86120.52</v>
      </c>
    </row>
    <row r="330" spans="1:8" ht="43.2">
      <c r="A330" s="400" t="s">
        <v>261</v>
      </c>
      <c r="B330" s="401" t="s">
        <v>262</v>
      </c>
      <c r="C330" s="402" t="s">
        <v>13</v>
      </c>
      <c r="D330" s="402">
        <v>12</v>
      </c>
      <c r="E330" s="251">
        <f>(2825.54*97%)+2825.54</f>
        <v>5566.3137999999999</v>
      </c>
      <c r="F330" s="249">
        <f>(2942.99*97%)+2942.99</f>
        <v>5797.6902999999993</v>
      </c>
      <c r="G330" s="250">
        <f>(3397*97%)+3397</f>
        <v>6692.09</v>
      </c>
      <c r="H330" s="403">
        <f>E330*D330</f>
        <v>66795.765599999999</v>
      </c>
    </row>
    <row r="331" spans="1:8" ht="43.2">
      <c r="A331" s="400" t="s">
        <v>263</v>
      </c>
      <c r="B331" s="401" t="s">
        <v>264</v>
      </c>
      <c r="C331" s="402" t="s">
        <v>13</v>
      </c>
      <c r="D331" s="402">
        <v>12</v>
      </c>
      <c r="E331" s="68">
        <f>(1412*97%)+1412</f>
        <v>2781.64</v>
      </c>
      <c r="F331" s="69">
        <f>(1454*97%)+1454</f>
        <v>2864.38</v>
      </c>
      <c r="G331" s="68">
        <f>(1700*97%)+1700</f>
        <v>3349</v>
      </c>
      <c r="H331" s="403">
        <f>E331*D331*2</f>
        <v>66759.360000000001</v>
      </c>
    </row>
    <row r="332" spans="1:8" ht="43.2">
      <c r="A332" s="400" t="s">
        <v>265</v>
      </c>
      <c r="B332" s="401" t="s">
        <v>515</v>
      </c>
      <c r="C332" s="402" t="s">
        <v>15</v>
      </c>
      <c r="D332" s="402">
        <f t="shared" ref="D332:D333" si="33">4*20*12</f>
        <v>960</v>
      </c>
      <c r="E332" s="68">
        <v>32</v>
      </c>
      <c r="F332" s="69">
        <v>32</v>
      </c>
      <c r="G332" s="68">
        <v>35</v>
      </c>
      <c r="H332" s="403">
        <f t="shared" ref="H332:H339" si="34">E332*D332</f>
        <v>30720</v>
      </c>
    </row>
    <row r="333" spans="1:8" ht="28.8">
      <c r="A333" s="400" t="s">
        <v>266</v>
      </c>
      <c r="B333" s="401" t="s">
        <v>574</v>
      </c>
      <c r="C333" s="402" t="s">
        <v>15</v>
      </c>
      <c r="D333" s="402">
        <f t="shared" si="33"/>
        <v>960</v>
      </c>
      <c r="E333" s="68">
        <v>8</v>
      </c>
      <c r="F333" s="69">
        <v>8.6</v>
      </c>
      <c r="G333" s="68">
        <v>9</v>
      </c>
      <c r="H333" s="403">
        <f t="shared" si="34"/>
        <v>7680</v>
      </c>
    </row>
    <row r="334" spans="1:8" ht="28.8">
      <c r="A334" s="400" t="s">
        <v>268</v>
      </c>
      <c r="B334" s="407" t="s">
        <v>565</v>
      </c>
      <c r="C334" s="402" t="s">
        <v>18</v>
      </c>
      <c r="D334" s="402">
        <v>2</v>
      </c>
      <c r="E334" s="403">
        <v>1849</v>
      </c>
      <c r="F334" s="404">
        <v>2199</v>
      </c>
      <c r="G334" s="403">
        <v>2919</v>
      </c>
      <c r="H334" s="403">
        <f t="shared" si="34"/>
        <v>3698</v>
      </c>
    </row>
    <row r="335" spans="1:8" ht="57.6">
      <c r="A335" s="400" t="s">
        <v>269</v>
      </c>
      <c r="B335" s="401" t="s">
        <v>609</v>
      </c>
      <c r="C335" s="402" t="s">
        <v>18</v>
      </c>
      <c r="D335" s="402">
        <v>2</v>
      </c>
      <c r="E335" s="403">
        <v>1849.77</v>
      </c>
      <c r="F335" s="404">
        <v>2899</v>
      </c>
      <c r="G335" s="403">
        <v>3199</v>
      </c>
      <c r="H335" s="403">
        <f t="shared" si="34"/>
        <v>3699.54</v>
      </c>
    </row>
    <row r="336" spans="1:8" ht="43.2">
      <c r="A336" s="400" t="s">
        <v>270</v>
      </c>
      <c r="B336" s="401" t="s">
        <v>567</v>
      </c>
      <c r="C336" s="402" t="s">
        <v>18</v>
      </c>
      <c r="D336" s="402">
        <v>2</v>
      </c>
      <c r="E336" s="403">
        <v>169.9</v>
      </c>
      <c r="F336" s="404">
        <v>189.9</v>
      </c>
      <c r="G336" s="403">
        <v>197.59</v>
      </c>
      <c r="H336" s="403">
        <f t="shared" si="34"/>
        <v>339.8</v>
      </c>
    </row>
    <row r="337" spans="1:8" ht="43.2">
      <c r="A337" s="400" t="s">
        <v>271</v>
      </c>
      <c r="B337" s="401" t="s">
        <v>629</v>
      </c>
      <c r="C337" s="402" t="s">
        <v>18</v>
      </c>
      <c r="D337" s="402">
        <v>2</v>
      </c>
      <c r="E337" s="73">
        <v>1386</v>
      </c>
      <c r="F337" s="69">
        <v>1549</v>
      </c>
      <c r="G337" s="68">
        <v>1649.9</v>
      </c>
      <c r="H337" s="403">
        <f t="shared" si="34"/>
        <v>2772</v>
      </c>
    </row>
    <row r="338" spans="1:8" ht="28.8">
      <c r="A338" s="400" t="s">
        <v>272</v>
      </c>
      <c r="B338" s="401" t="s">
        <v>462</v>
      </c>
      <c r="C338" s="402" t="s">
        <v>13</v>
      </c>
      <c r="D338" s="402">
        <v>12</v>
      </c>
      <c r="E338" s="68">
        <v>124.99</v>
      </c>
      <c r="F338" s="69">
        <v>142</v>
      </c>
      <c r="G338" s="68">
        <v>159.99</v>
      </c>
      <c r="H338" s="403">
        <f t="shared" si="34"/>
        <v>1499.8799999999999</v>
      </c>
    </row>
    <row r="339" spans="1:8" ht="28.8">
      <c r="A339" s="400" t="s">
        <v>273</v>
      </c>
      <c r="B339" s="401" t="s">
        <v>628</v>
      </c>
      <c r="C339" s="402" t="s">
        <v>18</v>
      </c>
      <c r="D339" s="402">
        <v>1</v>
      </c>
      <c r="E339" s="73">
        <v>6459.11</v>
      </c>
      <c r="F339" s="68">
        <v>6686</v>
      </c>
      <c r="G339" s="69">
        <v>6892</v>
      </c>
      <c r="H339" s="403">
        <f t="shared" si="34"/>
        <v>6459.11</v>
      </c>
    </row>
    <row r="340" spans="1:8" ht="28.8">
      <c r="A340" s="400" t="s">
        <v>274</v>
      </c>
      <c r="B340" s="401" t="s">
        <v>706</v>
      </c>
      <c r="C340" s="402" t="s">
        <v>13</v>
      </c>
      <c r="D340" s="402">
        <v>12</v>
      </c>
      <c r="E340" s="68">
        <v>2850</v>
      </c>
      <c r="F340" s="69">
        <v>3768</v>
      </c>
      <c r="G340" s="69">
        <v>5367.02</v>
      </c>
      <c r="H340" s="403">
        <f>E340*D340*2</f>
        <v>68400</v>
      </c>
    </row>
    <row r="341" spans="1:8" ht="28.8">
      <c r="A341" s="400" t="s">
        <v>275</v>
      </c>
      <c r="B341" s="401" t="s">
        <v>707</v>
      </c>
      <c r="C341" s="402" t="s">
        <v>15</v>
      </c>
      <c r="D341" s="402">
        <v>2</v>
      </c>
      <c r="E341" s="70">
        <v>300</v>
      </c>
      <c r="F341" s="74">
        <v>600</v>
      </c>
      <c r="G341" s="70">
        <v>975</v>
      </c>
      <c r="H341" s="403">
        <f>E341*D341</f>
        <v>600</v>
      </c>
    </row>
    <row r="342" spans="1:8" ht="43.2">
      <c r="A342" s="400" t="s">
        <v>276</v>
      </c>
      <c r="B342" s="401" t="s">
        <v>579</v>
      </c>
      <c r="C342" s="402" t="s">
        <v>15</v>
      </c>
      <c r="D342" s="402">
        <v>2</v>
      </c>
      <c r="E342" s="68">
        <v>144.9</v>
      </c>
      <c r="F342" s="74">
        <v>0</v>
      </c>
      <c r="G342" s="68">
        <v>265</v>
      </c>
      <c r="H342" s="403">
        <f>E342*D342</f>
        <v>289.8</v>
      </c>
    </row>
    <row r="343" spans="1:8" ht="28.8">
      <c r="A343" s="400" t="s">
        <v>277</v>
      </c>
      <c r="B343" s="401" t="s">
        <v>632</v>
      </c>
      <c r="C343" s="402" t="s">
        <v>13</v>
      </c>
      <c r="D343" s="402">
        <v>12</v>
      </c>
      <c r="E343" s="68">
        <v>49.9</v>
      </c>
      <c r="F343" s="74">
        <v>60</v>
      </c>
      <c r="G343" s="68">
        <v>65.900000000000006</v>
      </c>
      <c r="H343" s="403">
        <f>E343*D343*2</f>
        <v>1197.5999999999999</v>
      </c>
    </row>
    <row r="344" spans="1:8" ht="43.2">
      <c r="A344" s="400" t="s">
        <v>278</v>
      </c>
      <c r="B344" s="401" t="s">
        <v>633</v>
      </c>
      <c r="C344" s="402" t="s">
        <v>108</v>
      </c>
      <c r="D344" s="402">
        <f>55*4*12*2</f>
        <v>5280</v>
      </c>
      <c r="E344" s="256">
        <v>6.08</v>
      </c>
      <c r="F344" s="69">
        <v>6.09</v>
      </c>
      <c r="G344" s="68">
        <v>6.35</v>
      </c>
      <c r="H344" s="403">
        <f t="shared" ref="H344:H386" si="35">E344*D344</f>
        <v>32102.400000000001</v>
      </c>
    </row>
    <row r="345" spans="1:8" ht="28.8">
      <c r="A345" s="400" t="s">
        <v>279</v>
      </c>
      <c r="B345" s="401" t="s">
        <v>634</v>
      </c>
      <c r="C345" s="402" t="s">
        <v>18</v>
      </c>
      <c r="D345" s="402">
        <v>2</v>
      </c>
      <c r="E345" s="68">
        <v>99.86</v>
      </c>
      <c r="F345" s="69">
        <v>109.49</v>
      </c>
      <c r="G345" s="73">
        <v>211.19</v>
      </c>
      <c r="H345" s="403">
        <f t="shared" si="35"/>
        <v>199.72</v>
      </c>
    </row>
    <row r="346" spans="1:8" ht="28.8">
      <c r="A346" s="400" t="s">
        <v>280</v>
      </c>
      <c r="B346" s="427" t="s">
        <v>469</v>
      </c>
      <c r="C346" s="402" t="s">
        <v>18</v>
      </c>
      <c r="D346" s="495">
        <f t="shared" ref="D346:D347" si="36">6*4*1</f>
        <v>24</v>
      </c>
      <c r="E346" s="68">
        <v>60</v>
      </c>
      <c r="F346" s="68">
        <v>65</v>
      </c>
      <c r="G346" s="69">
        <v>70</v>
      </c>
      <c r="H346" s="403">
        <f t="shared" si="35"/>
        <v>1440</v>
      </c>
    </row>
    <row r="347" spans="1:8" ht="57.6">
      <c r="A347" s="400" t="s">
        <v>281</v>
      </c>
      <c r="B347" s="427" t="s">
        <v>501</v>
      </c>
      <c r="C347" s="402" t="s">
        <v>18</v>
      </c>
      <c r="D347" s="495">
        <f t="shared" si="36"/>
        <v>24</v>
      </c>
      <c r="E347" s="68">
        <v>25</v>
      </c>
      <c r="F347" s="68">
        <v>40</v>
      </c>
      <c r="G347" s="69">
        <v>43</v>
      </c>
      <c r="H347" s="403">
        <f t="shared" si="35"/>
        <v>600</v>
      </c>
    </row>
    <row r="348" spans="1:8" ht="28.8">
      <c r="A348" s="400" t="s">
        <v>384</v>
      </c>
      <c r="B348" s="401" t="s">
        <v>617</v>
      </c>
      <c r="C348" s="402" t="s">
        <v>18</v>
      </c>
      <c r="D348" s="402">
        <f>4*2</f>
        <v>8</v>
      </c>
      <c r="E348" s="73">
        <v>122</v>
      </c>
      <c r="F348" s="232">
        <v>170.91</v>
      </c>
      <c r="G348" s="73">
        <v>185</v>
      </c>
      <c r="H348" s="403">
        <f t="shared" si="35"/>
        <v>976</v>
      </c>
    </row>
    <row r="349" spans="1:8" ht="28.8">
      <c r="A349" s="400" t="s">
        <v>385</v>
      </c>
      <c r="B349" s="401" t="s">
        <v>584</v>
      </c>
      <c r="C349" s="402" t="s">
        <v>18</v>
      </c>
      <c r="D349" s="495">
        <f t="shared" ref="D349:D350" si="37">2*2</f>
        <v>4</v>
      </c>
      <c r="E349" s="73">
        <v>21.8</v>
      </c>
      <c r="F349" s="232">
        <v>36</v>
      </c>
      <c r="G349" s="73">
        <v>46.9</v>
      </c>
      <c r="H349" s="403">
        <f t="shared" si="35"/>
        <v>87.2</v>
      </c>
    </row>
    <row r="350" spans="1:8" ht="43.2">
      <c r="A350" s="400" t="s">
        <v>282</v>
      </c>
      <c r="B350" s="401" t="s">
        <v>668</v>
      </c>
      <c r="C350" s="402" t="s">
        <v>18</v>
      </c>
      <c r="D350" s="495">
        <f t="shared" si="37"/>
        <v>4</v>
      </c>
      <c r="E350" s="408">
        <v>27.01</v>
      </c>
      <c r="F350" s="409">
        <v>36</v>
      </c>
      <c r="G350" s="408">
        <v>46.9</v>
      </c>
      <c r="H350" s="403">
        <f t="shared" si="35"/>
        <v>108.04</v>
      </c>
    </row>
    <row r="351" spans="1:8" ht="28.8">
      <c r="A351" s="400" t="s">
        <v>283</v>
      </c>
      <c r="B351" s="431" t="s">
        <v>528</v>
      </c>
      <c r="C351" s="402" t="s">
        <v>18</v>
      </c>
      <c r="D351" s="402">
        <f>4*2</f>
        <v>8</v>
      </c>
      <c r="E351" s="73">
        <v>13.93</v>
      </c>
      <c r="F351" s="232">
        <v>15.71</v>
      </c>
      <c r="G351" s="73">
        <v>22.5</v>
      </c>
      <c r="H351" s="403">
        <f t="shared" si="35"/>
        <v>111.44</v>
      </c>
    </row>
    <row r="352" spans="1:8" ht="28.8">
      <c r="A352" s="400" t="s">
        <v>284</v>
      </c>
      <c r="B352" s="401" t="s">
        <v>529</v>
      </c>
      <c r="C352" s="402" t="s">
        <v>18</v>
      </c>
      <c r="D352" s="402">
        <f>3*4*12</f>
        <v>144</v>
      </c>
      <c r="E352" s="73">
        <v>12.4</v>
      </c>
      <c r="F352" s="232">
        <v>13.5</v>
      </c>
      <c r="G352" s="73">
        <v>20.260000000000002</v>
      </c>
      <c r="H352" s="403">
        <f t="shared" si="35"/>
        <v>1785.6000000000001</v>
      </c>
    </row>
    <row r="353" spans="1:8" ht="28.8">
      <c r="A353" s="400" t="s">
        <v>285</v>
      </c>
      <c r="B353" s="430" t="s">
        <v>619</v>
      </c>
      <c r="C353" s="402" t="s">
        <v>18</v>
      </c>
      <c r="D353" s="402">
        <f>4*2</f>
        <v>8</v>
      </c>
      <c r="E353" s="73">
        <v>160</v>
      </c>
      <c r="F353" s="232">
        <v>163</v>
      </c>
      <c r="G353" s="73">
        <v>193.63</v>
      </c>
      <c r="H353" s="403">
        <f t="shared" si="35"/>
        <v>1280</v>
      </c>
    </row>
    <row r="354" spans="1:8" ht="28.8">
      <c r="A354" s="400" t="s">
        <v>286</v>
      </c>
      <c r="B354" s="432" t="s">
        <v>474</v>
      </c>
      <c r="C354" s="402" t="s">
        <v>18</v>
      </c>
      <c r="D354" s="402">
        <v>4</v>
      </c>
      <c r="E354" s="73">
        <v>35</v>
      </c>
      <c r="F354" s="232">
        <v>41.4</v>
      </c>
      <c r="G354" s="73">
        <v>168.26</v>
      </c>
      <c r="H354" s="403">
        <f t="shared" si="35"/>
        <v>140</v>
      </c>
    </row>
    <row r="355" spans="1:8" ht="28.8">
      <c r="A355" s="400" t="s">
        <v>287</v>
      </c>
      <c r="B355" s="430" t="s">
        <v>475</v>
      </c>
      <c r="C355" s="402" t="s">
        <v>18</v>
      </c>
      <c r="D355" s="402">
        <v>4</v>
      </c>
      <c r="E355" s="73">
        <v>41.4</v>
      </c>
      <c r="F355" s="232">
        <v>42.23</v>
      </c>
      <c r="G355" s="73">
        <v>50</v>
      </c>
      <c r="H355" s="403">
        <f t="shared" si="35"/>
        <v>165.6</v>
      </c>
    </row>
    <row r="356" spans="1:8" ht="28.8">
      <c r="A356" s="400" t="s">
        <v>288</v>
      </c>
      <c r="B356" s="401" t="s">
        <v>621</v>
      </c>
      <c r="C356" s="402" t="s">
        <v>18</v>
      </c>
      <c r="D356" s="402">
        <v>2</v>
      </c>
      <c r="E356" s="73">
        <v>26.5</v>
      </c>
      <c r="F356" s="232">
        <v>61.9</v>
      </c>
      <c r="G356" s="73">
        <v>83.6</v>
      </c>
      <c r="H356" s="403">
        <f t="shared" si="35"/>
        <v>53</v>
      </c>
    </row>
    <row r="357" spans="1:8" ht="28.8">
      <c r="A357" s="400" t="s">
        <v>289</v>
      </c>
      <c r="B357" s="401" t="s">
        <v>494</v>
      </c>
      <c r="C357" s="402" t="s">
        <v>18</v>
      </c>
      <c r="D357" s="402">
        <f>2*2</f>
        <v>4</v>
      </c>
      <c r="E357" s="73">
        <v>27.9</v>
      </c>
      <c r="F357" s="232">
        <v>30</v>
      </c>
      <c r="G357" s="73">
        <v>32.229999999999997</v>
      </c>
      <c r="H357" s="403">
        <f t="shared" si="35"/>
        <v>111.6</v>
      </c>
    </row>
    <row r="358" spans="1:8" ht="28.8">
      <c r="A358" s="400" t="s">
        <v>290</v>
      </c>
      <c r="B358" s="401" t="s">
        <v>495</v>
      </c>
      <c r="C358" s="402" t="s">
        <v>18</v>
      </c>
      <c r="D358" s="402">
        <v>2</v>
      </c>
      <c r="E358" s="68">
        <v>157.44</v>
      </c>
      <c r="F358" s="69">
        <v>184.26</v>
      </c>
      <c r="G358" s="68">
        <v>208.95</v>
      </c>
      <c r="H358" s="403">
        <f t="shared" si="35"/>
        <v>314.88</v>
      </c>
    </row>
    <row r="359" spans="1:8" ht="28.8">
      <c r="A359" s="400" t="s">
        <v>291</v>
      </c>
      <c r="B359" s="401" t="s">
        <v>496</v>
      </c>
      <c r="C359" s="402" t="s">
        <v>18</v>
      </c>
      <c r="D359" s="402">
        <f t="shared" ref="D359:D367" si="38">2*2</f>
        <v>4</v>
      </c>
      <c r="E359" s="68">
        <v>33.729999999999997</v>
      </c>
      <c r="F359" s="69">
        <v>43.66</v>
      </c>
      <c r="G359" s="68">
        <v>72</v>
      </c>
      <c r="H359" s="403">
        <f t="shared" si="35"/>
        <v>134.91999999999999</v>
      </c>
    </row>
    <row r="360" spans="1:8" ht="28.8">
      <c r="A360" s="420" t="s">
        <v>292</v>
      </c>
      <c r="B360" s="123" t="s">
        <v>772</v>
      </c>
      <c r="C360" s="402" t="s">
        <v>18</v>
      </c>
      <c r="D360" s="413">
        <f>4*1</f>
        <v>4</v>
      </c>
      <c r="E360" s="412">
        <v>286</v>
      </c>
      <c r="F360" s="404">
        <v>338</v>
      </c>
      <c r="G360" s="403">
        <v>377</v>
      </c>
      <c r="H360" s="404">
        <f t="shared" si="35"/>
        <v>1144</v>
      </c>
    </row>
    <row r="361" spans="1:8" ht="28.8">
      <c r="A361" s="420" t="s">
        <v>293</v>
      </c>
      <c r="B361" s="123" t="s">
        <v>773</v>
      </c>
      <c r="C361" s="402" t="s">
        <v>18</v>
      </c>
      <c r="D361" s="413">
        <f>8*1</f>
        <v>8</v>
      </c>
      <c r="E361" s="412">
        <v>98</v>
      </c>
      <c r="F361" s="404">
        <v>270</v>
      </c>
      <c r="G361" s="403">
        <v>279</v>
      </c>
      <c r="H361" s="404">
        <f t="shared" si="35"/>
        <v>784</v>
      </c>
    </row>
    <row r="362" spans="1:8" ht="28.8">
      <c r="A362" s="420" t="s">
        <v>294</v>
      </c>
      <c r="B362" s="123" t="s">
        <v>774</v>
      </c>
      <c r="C362" s="402" t="s">
        <v>18</v>
      </c>
      <c r="D362" s="413">
        <f>2*4*12</f>
        <v>96</v>
      </c>
      <c r="E362" s="412">
        <v>35.99</v>
      </c>
      <c r="F362" s="404">
        <v>37.93</v>
      </c>
      <c r="G362" s="403">
        <v>67.900000000000006</v>
      </c>
      <c r="H362" s="404">
        <f t="shared" si="35"/>
        <v>3455.04</v>
      </c>
    </row>
    <row r="363" spans="1:8" ht="28.8">
      <c r="A363" s="420" t="s">
        <v>295</v>
      </c>
      <c r="B363" s="123" t="s">
        <v>783</v>
      </c>
      <c r="C363" s="402" t="s">
        <v>18</v>
      </c>
      <c r="D363" s="413">
        <f>2*4*1</f>
        <v>8</v>
      </c>
      <c r="E363" s="412">
        <v>125</v>
      </c>
      <c r="F363" s="404">
        <v>144.41</v>
      </c>
      <c r="G363" s="403">
        <v>155.5</v>
      </c>
      <c r="H363" s="404">
        <f t="shared" si="35"/>
        <v>1000</v>
      </c>
    </row>
    <row r="364" spans="1:8" ht="28.8">
      <c r="A364" s="420" t="s">
        <v>296</v>
      </c>
      <c r="B364" s="123" t="s">
        <v>775</v>
      </c>
      <c r="C364" s="402" t="s">
        <v>18</v>
      </c>
      <c r="D364" s="413">
        <v>2</v>
      </c>
      <c r="E364" s="412">
        <v>930</v>
      </c>
      <c r="F364" s="404">
        <v>1000</v>
      </c>
      <c r="G364" s="403">
        <v>1980</v>
      </c>
      <c r="H364" s="404">
        <f t="shared" si="35"/>
        <v>1860</v>
      </c>
    </row>
    <row r="365" spans="1:8" ht="28.8">
      <c r="A365" s="420" t="s">
        <v>297</v>
      </c>
      <c r="B365" s="123" t="s">
        <v>776</v>
      </c>
      <c r="C365" s="402" t="s">
        <v>18</v>
      </c>
      <c r="D365" s="413">
        <f>1*4*1</f>
        <v>4</v>
      </c>
      <c r="E365" s="73">
        <v>37.9</v>
      </c>
      <c r="F365" s="69">
        <v>41.31</v>
      </c>
      <c r="G365" s="68">
        <v>45</v>
      </c>
      <c r="H365" s="404">
        <f t="shared" si="35"/>
        <v>151.6</v>
      </c>
    </row>
    <row r="366" spans="1:8" ht="28.8">
      <c r="A366" s="420" t="s">
        <v>298</v>
      </c>
      <c r="B366" s="123" t="s">
        <v>777</v>
      </c>
      <c r="C366" s="402" t="s">
        <v>18</v>
      </c>
      <c r="D366" s="413">
        <f>1*4*1</f>
        <v>4</v>
      </c>
      <c r="E366" s="73">
        <v>73.489999999999995</v>
      </c>
      <c r="F366" s="69">
        <v>96.7</v>
      </c>
      <c r="G366" s="68">
        <v>106.76</v>
      </c>
      <c r="H366" s="404">
        <f t="shared" si="35"/>
        <v>293.95999999999998</v>
      </c>
    </row>
    <row r="367" spans="1:8" ht="28.8">
      <c r="A367" s="163" t="s">
        <v>299</v>
      </c>
      <c r="B367" s="401" t="s">
        <v>640</v>
      </c>
      <c r="C367" s="402" t="s">
        <v>18</v>
      </c>
      <c r="D367" s="495">
        <f t="shared" si="38"/>
        <v>4</v>
      </c>
      <c r="E367" s="68">
        <v>197.13</v>
      </c>
      <c r="F367" s="69">
        <v>389.9</v>
      </c>
      <c r="G367" s="68">
        <v>389.9</v>
      </c>
      <c r="H367" s="403">
        <f t="shared" si="35"/>
        <v>788.52</v>
      </c>
    </row>
    <row r="368" spans="1:8" ht="28.8">
      <c r="A368" s="163" t="s">
        <v>300</v>
      </c>
      <c r="B368" s="401" t="s">
        <v>639</v>
      </c>
      <c r="C368" s="402" t="s">
        <v>18</v>
      </c>
      <c r="D368" s="402">
        <v>4</v>
      </c>
      <c r="E368" s="68">
        <v>54.06</v>
      </c>
      <c r="F368" s="69">
        <v>114.99</v>
      </c>
      <c r="G368" s="68">
        <v>125</v>
      </c>
      <c r="H368" s="403">
        <f t="shared" si="35"/>
        <v>216.24</v>
      </c>
    </row>
    <row r="369" spans="1:8" ht="28.8">
      <c r="A369" s="163" t="s">
        <v>301</v>
      </c>
      <c r="B369" s="401" t="s">
        <v>638</v>
      </c>
      <c r="C369" s="429" t="s">
        <v>18</v>
      </c>
      <c r="D369" s="402">
        <v>2</v>
      </c>
      <c r="E369" s="68">
        <v>5842.47</v>
      </c>
      <c r="F369" s="69">
        <v>6594.73</v>
      </c>
      <c r="G369" s="68">
        <v>7022.18</v>
      </c>
      <c r="H369" s="403">
        <f t="shared" si="35"/>
        <v>11684.94</v>
      </c>
    </row>
    <row r="370" spans="1:8" ht="28.8">
      <c r="A370" s="163" t="s">
        <v>303</v>
      </c>
      <c r="B370" s="401" t="s">
        <v>637</v>
      </c>
      <c r="C370" s="429" t="s">
        <v>18</v>
      </c>
      <c r="D370" s="402">
        <v>4</v>
      </c>
      <c r="E370" s="68">
        <v>310</v>
      </c>
      <c r="F370" s="69">
        <v>345.99</v>
      </c>
      <c r="G370" s="68">
        <v>440</v>
      </c>
      <c r="H370" s="403">
        <f t="shared" si="35"/>
        <v>1240</v>
      </c>
    </row>
    <row r="371" spans="1:8" ht="28.8">
      <c r="A371" s="163" t="s">
        <v>304</v>
      </c>
      <c r="B371" s="401" t="s">
        <v>636</v>
      </c>
      <c r="C371" s="429" t="s">
        <v>18</v>
      </c>
      <c r="D371" s="402">
        <v>4</v>
      </c>
      <c r="E371" s="68">
        <v>69</v>
      </c>
      <c r="F371" s="69">
        <v>74.2</v>
      </c>
      <c r="G371" s="68">
        <v>75.14</v>
      </c>
      <c r="H371" s="403">
        <f t="shared" si="35"/>
        <v>276</v>
      </c>
    </row>
    <row r="372" spans="1:8" ht="28.8">
      <c r="A372" s="163" t="s">
        <v>305</v>
      </c>
      <c r="B372" s="401" t="s">
        <v>635</v>
      </c>
      <c r="C372" s="429" t="s">
        <v>18</v>
      </c>
      <c r="D372" s="402">
        <v>2</v>
      </c>
      <c r="E372" s="68">
        <v>14.8</v>
      </c>
      <c r="F372" s="69">
        <v>15.18</v>
      </c>
      <c r="G372" s="68">
        <v>16.899999999999999</v>
      </c>
      <c r="H372" s="403">
        <f t="shared" si="35"/>
        <v>29.6</v>
      </c>
    </row>
    <row r="373" spans="1:8" ht="28.8">
      <c r="A373" s="163" t="s">
        <v>306</v>
      </c>
      <c r="B373" s="432" t="s">
        <v>626</v>
      </c>
      <c r="C373" s="429" t="s">
        <v>18</v>
      </c>
      <c r="D373" s="402">
        <v>4</v>
      </c>
      <c r="E373" s="68">
        <v>29.6</v>
      </c>
      <c r="F373" s="74">
        <v>53.7</v>
      </c>
      <c r="G373" s="68">
        <v>61.28</v>
      </c>
      <c r="H373" s="403">
        <f t="shared" si="35"/>
        <v>118.4</v>
      </c>
    </row>
    <row r="374" spans="1:8" ht="28.8">
      <c r="A374" s="163" t="s">
        <v>307</v>
      </c>
      <c r="B374" s="401" t="s">
        <v>719</v>
      </c>
      <c r="C374" s="402" t="s">
        <v>18</v>
      </c>
      <c r="D374" s="402">
        <v>4600</v>
      </c>
      <c r="E374" s="68">
        <v>14</v>
      </c>
      <c r="F374" s="69">
        <v>14</v>
      </c>
      <c r="G374" s="68">
        <v>18.2</v>
      </c>
      <c r="H374" s="403">
        <f t="shared" si="35"/>
        <v>64400</v>
      </c>
    </row>
    <row r="375" spans="1:8" ht="28.8">
      <c r="A375" s="163" t="s">
        <v>308</v>
      </c>
      <c r="B375" s="401" t="s">
        <v>302</v>
      </c>
      <c r="C375" s="402" t="s">
        <v>18</v>
      </c>
      <c r="D375" s="402">
        <v>1200</v>
      </c>
      <c r="E375" s="68">
        <v>29.92</v>
      </c>
      <c r="F375" s="69">
        <v>44</v>
      </c>
      <c r="G375" s="68">
        <v>73.44</v>
      </c>
      <c r="H375" s="403">
        <f t="shared" si="35"/>
        <v>35904</v>
      </c>
    </row>
    <row r="376" spans="1:8">
      <c r="A376" s="163" t="s">
        <v>309</v>
      </c>
      <c r="B376" s="432" t="s">
        <v>642</v>
      </c>
      <c r="C376" s="402" t="s">
        <v>18</v>
      </c>
      <c r="D376" s="402">
        <v>20</v>
      </c>
      <c r="E376" s="68">
        <v>20</v>
      </c>
      <c r="F376" s="69">
        <v>27.46</v>
      </c>
      <c r="G376" s="68">
        <v>35</v>
      </c>
      <c r="H376" s="403">
        <f t="shared" si="35"/>
        <v>400</v>
      </c>
    </row>
    <row r="377" spans="1:8">
      <c r="A377" s="163" t="s">
        <v>426</v>
      </c>
      <c r="B377" s="432" t="s">
        <v>643</v>
      </c>
      <c r="C377" s="402" t="s">
        <v>68</v>
      </c>
      <c r="D377" s="402">
        <v>20</v>
      </c>
      <c r="E377" s="68">
        <v>36.200000000000003</v>
      </c>
      <c r="F377" s="69">
        <v>45.25</v>
      </c>
      <c r="G377" s="68">
        <v>52.49</v>
      </c>
      <c r="H377" s="403">
        <f t="shared" si="35"/>
        <v>724</v>
      </c>
    </row>
    <row r="378" spans="1:8" ht="28.8">
      <c r="A378" s="163" t="s">
        <v>427</v>
      </c>
      <c r="B378" s="432" t="s">
        <v>644</v>
      </c>
      <c r="C378" s="402" t="s">
        <v>103</v>
      </c>
      <c r="D378" s="402">
        <v>8</v>
      </c>
      <c r="E378" s="68">
        <v>120</v>
      </c>
      <c r="F378" s="69">
        <v>150</v>
      </c>
      <c r="G378" s="68">
        <v>156</v>
      </c>
      <c r="H378" s="403">
        <f t="shared" si="35"/>
        <v>960</v>
      </c>
    </row>
    <row r="379" spans="1:8" ht="28.8">
      <c r="A379" s="163" t="s">
        <v>428</v>
      </c>
      <c r="B379" s="432" t="s">
        <v>645</v>
      </c>
      <c r="C379" s="402" t="s">
        <v>68</v>
      </c>
      <c r="D379" s="402">
        <v>8</v>
      </c>
      <c r="E379" s="68">
        <v>15.18</v>
      </c>
      <c r="F379" s="69">
        <v>18.899999999999999</v>
      </c>
      <c r="G379" s="68">
        <v>19.73</v>
      </c>
      <c r="H379" s="403">
        <f t="shared" si="35"/>
        <v>121.44</v>
      </c>
    </row>
    <row r="380" spans="1:8" ht="28.8">
      <c r="A380" s="163" t="s">
        <v>429</v>
      </c>
      <c r="B380" s="401" t="s">
        <v>497</v>
      </c>
      <c r="C380" s="402" t="s">
        <v>68</v>
      </c>
      <c r="D380" s="402">
        <v>2</v>
      </c>
      <c r="E380" s="276">
        <v>34.9</v>
      </c>
      <c r="F380" s="207">
        <v>45.9</v>
      </c>
      <c r="G380" s="70">
        <v>48.62</v>
      </c>
      <c r="H380" s="403">
        <f t="shared" si="35"/>
        <v>69.8</v>
      </c>
    </row>
    <row r="381" spans="1:8" ht="28.8">
      <c r="A381" s="163" t="s">
        <v>834</v>
      </c>
      <c r="B381" s="401" t="s">
        <v>498</v>
      </c>
      <c r="C381" s="402" t="s">
        <v>18</v>
      </c>
      <c r="D381" s="402">
        <v>8</v>
      </c>
      <c r="E381" s="68">
        <v>14.18</v>
      </c>
      <c r="F381" s="69">
        <v>17.5</v>
      </c>
      <c r="G381" s="68">
        <v>55.9</v>
      </c>
      <c r="H381" s="403">
        <f t="shared" si="35"/>
        <v>113.44</v>
      </c>
    </row>
    <row r="382" spans="1:8" ht="28.8">
      <c r="A382" s="163" t="s">
        <v>835</v>
      </c>
      <c r="B382" s="401" t="s">
        <v>646</v>
      </c>
      <c r="C382" s="402" t="s">
        <v>18</v>
      </c>
      <c r="D382" s="402">
        <v>10</v>
      </c>
      <c r="E382" s="73">
        <v>15.5</v>
      </c>
      <c r="F382" s="232">
        <v>24.2</v>
      </c>
      <c r="G382" s="73">
        <v>29.9</v>
      </c>
      <c r="H382" s="403">
        <f t="shared" si="35"/>
        <v>155</v>
      </c>
    </row>
    <row r="383" spans="1:8" ht="28.8">
      <c r="A383" s="163" t="s">
        <v>836</v>
      </c>
      <c r="B383" s="433" t="s">
        <v>647</v>
      </c>
      <c r="C383" s="443" t="s">
        <v>68</v>
      </c>
      <c r="D383" s="443">
        <v>2</v>
      </c>
      <c r="E383" s="70">
        <v>7.2</v>
      </c>
      <c r="F383" s="74">
        <v>7.36</v>
      </c>
      <c r="G383" s="73">
        <v>17.8</v>
      </c>
      <c r="H383" s="403">
        <f t="shared" si="35"/>
        <v>14.4</v>
      </c>
    </row>
    <row r="384" spans="1:8" ht="28.8">
      <c r="A384" s="163" t="s">
        <v>837</v>
      </c>
      <c r="B384" s="401" t="s">
        <v>648</v>
      </c>
      <c r="C384" s="400" t="s">
        <v>103</v>
      </c>
      <c r="D384" s="479">
        <v>10</v>
      </c>
      <c r="E384" s="68">
        <v>14.75</v>
      </c>
      <c r="F384" s="69">
        <v>17.899999999999999</v>
      </c>
      <c r="G384" s="68">
        <v>21.99</v>
      </c>
      <c r="H384" s="403">
        <f t="shared" si="35"/>
        <v>147.5</v>
      </c>
    </row>
    <row r="385" spans="1:8" ht="28.8">
      <c r="A385" s="163" t="s">
        <v>838</v>
      </c>
      <c r="B385" s="401" t="s">
        <v>649</v>
      </c>
      <c r="C385" s="400" t="s">
        <v>68</v>
      </c>
      <c r="D385" s="479">
        <v>4</v>
      </c>
      <c r="E385" s="68">
        <v>5.82</v>
      </c>
      <c r="F385" s="69">
        <v>10.039999999999999</v>
      </c>
      <c r="G385" s="68">
        <v>12.68</v>
      </c>
      <c r="H385" s="403">
        <f t="shared" si="35"/>
        <v>23.28</v>
      </c>
    </row>
    <row r="386" spans="1:8" ht="28.8">
      <c r="A386" s="163" t="s">
        <v>839</v>
      </c>
      <c r="B386" s="401" t="s">
        <v>650</v>
      </c>
      <c r="C386" s="400" t="s">
        <v>68</v>
      </c>
      <c r="D386" s="479">
        <v>8</v>
      </c>
      <c r="E386" s="68">
        <v>42.67</v>
      </c>
      <c r="F386" s="68">
        <v>48.67</v>
      </c>
      <c r="G386" s="69">
        <v>68.63</v>
      </c>
      <c r="H386" s="403">
        <f t="shared" si="35"/>
        <v>341.36</v>
      </c>
    </row>
    <row r="387" spans="1:8">
      <c r="A387" s="589" t="s">
        <v>847</v>
      </c>
      <c r="B387" s="612"/>
      <c r="C387" s="612"/>
      <c r="D387" s="537"/>
      <c r="E387" s="510"/>
      <c r="F387" s="510"/>
      <c r="G387" s="510"/>
      <c r="H387" s="553">
        <f>SUM(H329:H386)</f>
        <v>513058.29559999984</v>
      </c>
    </row>
    <row r="388" spans="1:8">
      <c r="A388" s="620" t="s">
        <v>764</v>
      </c>
      <c r="B388" s="622"/>
      <c r="C388" s="554"/>
      <c r="D388" s="554"/>
      <c r="E388" s="555"/>
      <c r="F388" s="555"/>
      <c r="G388" s="555"/>
      <c r="H388" s="556">
        <f>H387+H327+H282+H181</f>
        <v>8838091.8795999978</v>
      </c>
    </row>
    <row r="389" spans="1:8" ht="28.8">
      <c r="A389" s="480">
        <v>5</v>
      </c>
      <c r="B389" s="396" t="s">
        <v>312</v>
      </c>
      <c r="C389" s="397" t="s">
        <v>7</v>
      </c>
      <c r="D389" s="397" t="s">
        <v>8</v>
      </c>
      <c r="E389" s="487" t="s">
        <v>410</v>
      </c>
      <c r="F389" s="487" t="s">
        <v>408</v>
      </c>
      <c r="G389" s="487" t="s">
        <v>409</v>
      </c>
      <c r="H389" s="492" t="s">
        <v>9</v>
      </c>
    </row>
    <row r="390" spans="1:8" ht="28.8">
      <c r="A390" s="481" t="s">
        <v>313</v>
      </c>
      <c r="B390" s="401" t="s">
        <v>714</v>
      </c>
      <c r="C390" s="402" t="s">
        <v>13</v>
      </c>
      <c r="D390" s="402">
        <v>17</v>
      </c>
      <c r="E390" s="251">
        <f>(2825.54*97%)+2825.54</f>
        <v>5566.3137999999999</v>
      </c>
      <c r="F390" s="249">
        <f>(2942.99*97%)+2942.99</f>
        <v>5797.6902999999993</v>
      </c>
      <c r="G390" s="68">
        <f>(1700*97%)+1700</f>
        <v>3349</v>
      </c>
      <c r="H390" s="403">
        <f>E390*D390*3</f>
        <v>283882.00380000001</v>
      </c>
    </row>
    <row r="391" spans="1:8" ht="28.8">
      <c r="A391" s="481" t="s">
        <v>315</v>
      </c>
      <c r="B391" s="401" t="s">
        <v>715</v>
      </c>
      <c r="C391" s="402" t="s">
        <v>13</v>
      </c>
      <c r="D391" s="402">
        <v>17</v>
      </c>
      <c r="E391" s="68">
        <f>(1412*97%)+1412</f>
        <v>2781.64</v>
      </c>
      <c r="F391" s="69">
        <f>(1454*97%)+1454</f>
        <v>2864.38</v>
      </c>
      <c r="G391" s="68">
        <f>(1700*97%)+1700</f>
        <v>3349</v>
      </c>
      <c r="H391" s="403">
        <f>E391*D391*12</f>
        <v>567454.55999999994</v>
      </c>
    </row>
    <row r="392" spans="1:8" ht="43.2">
      <c r="A392" s="481" t="s">
        <v>317</v>
      </c>
      <c r="B392" s="401" t="s">
        <v>515</v>
      </c>
      <c r="C392" s="402" t="s">
        <v>15</v>
      </c>
      <c r="D392" s="402">
        <f t="shared" ref="D392:D393" si="39">20*15*17</f>
        <v>5100</v>
      </c>
      <c r="E392" s="68">
        <v>32</v>
      </c>
      <c r="F392" s="69">
        <v>32</v>
      </c>
      <c r="G392" s="68">
        <v>35</v>
      </c>
      <c r="H392" s="403">
        <f t="shared" ref="H392:H397" si="40">E392*D392</f>
        <v>163200</v>
      </c>
    </row>
    <row r="393" spans="1:8" ht="28.8">
      <c r="A393" s="481" t="s">
        <v>318</v>
      </c>
      <c r="B393" s="401" t="s">
        <v>574</v>
      </c>
      <c r="C393" s="402" t="s">
        <v>15</v>
      </c>
      <c r="D393" s="402">
        <f t="shared" si="39"/>
        <v>5100</v>
      </c>
      <c r="E393" s="68">
        <v>8</v>
      </c>
      <c r="F393" s="69">
        <v>8.6</v>
      </c>
      <c r="G393" s="68">
        <v>9</v>
      </c>
      <c r="H393" s="403">
        <f t="shared" si="40"/>
        <v>40800</v>
      </c>
    </row>
    <row r="394" spans="1:8" ht="72">
      <c r="A394" s="481" t="s">
        <v>319</v>
      </c>
      <c r="B394" s="401" t="s">
        <v>651</v>
      </c>
      <c r="C394" s="402" t="s">
        <v>18</v>
      </c>
      <c r="D394" s="402">
        <v>3</v>
      </c>
      <c r="E394" s="73">
        <v>1849.77</v>
      </c>
      <c r="F394" s="232">
        <v>2899</v>
      </c>
      <c r="G394" s="68">
        <v>3199</v>
      </c>
      <c r="H394" s="403">
        <f t="shared" si="40"/>
        <v>5549.3099999999995</v>
      </c>
    </row>
    <row r="395" spans="1:8" ht="43.2">
      <c r="A395" s="481" t="s">
        <v>320</v>
      </c>
      <c r="B395" s="401" t="s">
        <v>567</v>
      </c>
      <c r="C395" s="402" t="s">
        <v>18</v>
      </c>
      <c r="D395" s="402">
        <v>3</v>
      </c>
      <c r="E395" s="73">
        <v>169.9</v>
      </c>
      <c r="F395" s="232">
        <v>189</v>
      </c>
      <c r="G395" s="68">
        <v>197.59</v>
      </c>
      <c r="H395" s="493">
        <f t="shared" si="40"/>
        <v>509.70000000000005</v>
      </c>
    </row>
    <row r="396" spans="1:8" ht="43.2">
      <c r="A396" s="481" t="s">
        <v>321</v>
      </c>
      <c r="B396" s="401" t="s">
        <v>652</v>
      </c>
      <c r="C396" s="402" t="s">
        <v>18</v>
      </c>
      <c r="D396" s="402">
        <v>3</v>
      </c>
      <c r="E396" s="73">
        <v>1386</v>
      </c>
      <c r="F396" s="232">
        <v>1549</v>
      </c>
      <c r="G396" s="68">
        <v>1649.9</v>
      </c>
      <c r="H396" s="403">
        <f t="shared" si="40"/>
        <v>4158</v>
      </c>
    </row>
    <row r="397" spans="1:8" ht="28.8">
      <c r="A397" s="481" t="s">
        <v>322</v>
      </c>
      <c r="B397" s="401" t="s">
        <v>462</v>
      </c>
      <c r="C397" s="402" t="s">
        <v>13</v>
      </c>
      <c r="D397" s="402">
        <v>17</v>
      </c>
      <c r="E397" s="73">
        <v>124.99</v>
      </c>
      <c r="F397" s="232">
        <v>142</v>
      </c>
      <c r="G397" s="68">
        <v>159.99</v>
      </c>
      <c r="H397" s="403">
        <f t="shared" si="40"/>
        <v>2124.83</v>
      </c>
    </row>
    <row r="398" spans="1:8" ht="57.6">
      <c r="A398" s="481" t="s">
        <v>323</v>
      </c>
      <c r="B398" s="401" t="s">
        <v>653</v>
      </c>
      <c r="C398" s="402" t="s">
        <v>18</v>
      </c>
      <c r="D398" s="402">
        <v>12</v>
      </c>
      <c r="E398" s="68">
        <v>125.75</v>
      </c>
      <c r="F398" s="69">
        <v>150.72999999999999</v>
      </c>
      <c r="G398" s="68">
        <v>179.39</v>
      </c>
      <c r="H398" s="403">
        <f>E398+G398</f>
        <v>305.14</v>
      </c>
    </row>
    <row r="399" spans="1:8" ht="28.8">
      <c r="A399" s="481" t="s">
        <v>324</v>
      </c>
      <c r="B399" s="401" t="s">
        <v>720</v>
      </c>
      <c r="C399" s="402" t="s">
        <v>13</v>
      </c>
      <c r="D399" s="402">
        <v>17</v>
      </c>
      <c r="E399" s="73">
        <v>7950</v>
      </c>
      <c r="F399" s="73">
        <v>8763.6</v>
      </c>
      <c r="G399" s="232">
        <v>9350</v>
      </c>
      <c r="H399" s="403">
        <f>F399*D401*2</f>
        <v>17527.2</v>
      </c>
    </row>
    <row r="400" spans="1:8" ht="28.8">
      <c r="A400" s="481" t="s">
        <v>325</v>
      </c>
      <c r="B400" s="401" t="s">
        <v>707</v>
      </c>
      <c r="C400" s="402" t="s">
        <v>15</v>
      </c>
      <c r="D400" s="402">
        <v>3</v>
      </c>
      <c r="E400" s="73">
        <v>300</v>
      </c>
      <c r="F400" s="232">
        <v>600</v>
      </c>
      <c r="G400" s="73">
        <v>975</v>
      </c>
      <c r="H400" s="403">
        <f>E400*D400</f>
        <v>900</v>
      </c>
    </row>
    <row r="401" spans="1:8" ht="43.2">
      <c r="A401" s="481" t="s">
        <v>326</v>
      </c>
      <c r="B401" s="401" t="s">
        <v>579</v>
      </c>
      <c r="C401" s="402" t="s">
        <v>15</v>
      </c>
      <c r="D401" s="402">
        <v>1</v>
      </c>
      <c r="E401" s="73">
        <v>144.9</v>
      </c>
      <c r="F401" s="232">
        <v>0</v>
      </c>
      <c r="G401" s="73">
        <v>265</v>
      </c>
      <c r="H401" s="403">
        <f>E401*D401*2</f>
        <v>289.8</v>
      </c>
    </row>
    <row r="402" spans="1:8" ht="28.8">
      <c r="A402" s="481" t="s">
        <v>327</v>
      </c>
      <c r="B402" s="401" t="s">
        <v>654</v>
      </c>
      <c r="C402" s="402" t="s">
        <v>13</v>
      </c>
      <c r="D402" s="402">
        <v>17</v>
      </c>
      <c r="E402" s="73">
        <v>49.9</v>
      </c>
      <c r="F402" s="232">
        <v>60</v>
      </c>
      <c r="G402" s="73">
        <v>65.900000000000006</v>
      </c>
      <c r="H402" s="403">
        <f>E402*D402*2</f>
        <v>1696.6</v>
      </c>
    </row>
    <row r="403" spans="1:8" ht="43.2">
      <c r="A403" s="481" t="s">
        <v>328</v>
      </c>
      <c r="B403" s="401" t="s">
        <v>655</v>
      </c>
      <c r="C403" s="402" t="s">
        <v>108</v>
      </c>
      <c r="D403" s="402">
        <f>88*4*17*2</f>
        <v>11968</v>
      </c>
      <c r="E403" s="73">
        <v>6.47</v>
      </c>
      <c r="F403" s="232">
        <v>6.48</v>
      </c>
      <c r="G403" s="73">
        <v>6.49</v>
      </c>
      <c r="H403" s="403">
        <f t="shared" ref="H403:H434" si="41">E403*D403</f>
        <v>77432.959999999992</v>
      </c>
    </row>
    <row r="404" spans="1:8" ht="28.8">
      <c r="A404" s="481" t="s">
        <v>329</v>
      </c>
      <c r="B404" s="401" t="s">
        <v>634</v>
      </c>
      <c r="C404" s="402" t="s">
        <v>18</v>
      </c>
      <c r="D404" s="402">
        <v>6</v>
      </c>
      <c r="E404" s="73">
        <v>99.86</v>
      </c>
      <c r="F404" s="232">
        <v>109.49</v>
      </c>
      <c r="G404" s="73">
        <v>211.19</v>
      </c>
      <c r="H404" s="403">
        <f t="shared" si="41"/>
        <v>599.16</v>
      </c>
    </row>
    <row r="405" spans="1:8" ht="28.8">
      <c r="A405" s="400" t="s">
        <v>330</v>
      </c>
      <c r="B405" s="427" t="s">
        <v>469</v>
      </c>
      <c r="C405" s="402" t="s">
        <v>18</v>
      </c>
      <c r="D405" s="402">
        <f t="shared" ref="D405:D406" si="42">6*15</f>
        <v>90</v>
      </c>
      <c r="E405" s="73">
        <v>60</v>
      </c>
      <c r="F405" s="73">
        <v>65</v>
      </c>
      <c r="G405" s="232">
        <v>70</v>
      </c>
      <c r="H405" s="403">
        <f t="shared" si="41"/>
        <v>5400</v>
      </c>
    </row>
    <row r="406" spans="1:8" ht="57.6">
      <c r="A406" s="400" t="s">
        <v>331</v>
      </c>
      <c r="B406" s="427" t="s">
        <v>501</v>
      </c>
      <c r="C406" s="402" t="s">
        <v>18</v>
      </c>
      <c r="D406" s="402">
        <f t="shared" si="42"/>
        <v>90</v>
      </c>
      <c r="E406" s="73">
        <v>25</v>
      </c>
      <c r="F406" s="73">
        <v>40</v>
      </c>
      <c r="G406" s="232">
        <v>43</v>
      </c>
      <c r="H406" s="403">
        <f t="shared" si="41"/>
        <v>2250</v>
      </c>
    </row>
    <row r="407" spans="1:8" ht="28.8">
      <c r="A407" s="481" t="s">
        <v>332</v>
      </c>
      <c r="B407" s="401" t="s">
        <v>526</v>
      </c>
      <c r="C407" s="402" t="s">
        <v>18</v>
      </c>
      <c r="D407" s="402">
        <f>2*15*2</f>
        <v>60</v>
      </c>
      <c r="E407" s="73">
        <v>77.34</v>
      </c>
      <c r="F407" s="232">
        <v>103.8</v>
      </c>
      <c r="G407" s="73">
        <v>117.95</v>
      </c>
      <c r="H407" s="403">
        <f t="shared" si="41"/>
        <v>4640.4000000000005</v>
      </c>
    </row>
    <row r="408" spans="1:8" ht="28.8">
      <c r="A408" s="481" t="s">
        <v>333</v>
      </c>
      <c r="B408" s="401" t="s">
        <v>584</v>
      </c>
      <c r="C408" s="402" t="s">
        <v>18</v>
      </c>
      <c r="D408" s="402">
        <f>2*2*3</f>
        <v>12</v>
      </c>
      <c r="E408" s="73">
        <v>22.94</v>
      </c>
      <c r="F408" s="232">
        <v>23.46</v>
      </c>
      <c r="G408" s="73">
        <v>30</v>
      </c>
      <c r="H408" s="403">
        <f t="shared" si="41"/>
        <v>275.28000000000003</v>
      </c>
    </row>
    <row r="409" spans="1:8" ht="28.8">
      <c r="A409" s="481" t="s">
        <v>334</v>
      </c>
      <c r="B409" s="401" t="s">
        <v>527</v>
      </c>
      <c r="C409" s="402" t="s">
        <v>18</v>
      </c>
      <c r="D409" s="402">
        <f>2*8*3</f>
        <v>48</v>
      </c>
      <c r="E409" s="73">
        <v>21.8</v>
      </c>
      <c r="F409" s="232">
        <v>36</v>
      </c>
      <c r="G409" s="73">
        <v>46.9</v>
      </c>
      <c r="H409" s="403">
        <f t="shared" si="41"/>
        <v>1046.4000000000001</v>
      </c>
    </row>
    <row r="410" spans="1:8" ht="28.8">
      <c r="A410" s="481" t="s">
        <v>335</v>
      </c>
      <c r="B410" s="431" t="s">
        <v>528</v>
      </c>
      <c r="C410" s="402" t="s">
        <v>18</v>
      </c>
      <c r="D410" s="402">
        <f>2*10*3</f>
        <v>60</v>
      </c>
      <c r="E410" s="73">
        <v>13.93</v>
      </c>
      <c r="F410" s="74">
        <v>15.71</v>
      </c>
      <c r="G410" s="68">
        <v>22.5</v>
      </c>
      <c r="H410" s="403">
        <f t="shared" si="41"/>
        <v>835.8</v>
      </c>
    </row>
    <row r="411" spans="1:8" ht="28.8">
      <c r="A411" s="481" t="s">
        <v>336</v>
      </c>
      <c r="B411" s="401" t="s">
        <v>656</v>
      </c>
      <c r="C411" s="402" t="s">
        <v>18</v>
      </c>
      <c r="D411" s="402">
        <f>3*17*15</f>
        <v>765</v>
      </c>
      <c r="E411" s="260">
        <v>12.4</v>
      </c>
      <c r="F411" s="261">
        <v>13.5</v>
      </c>
      <c r="G411" s="68">
        <v>20.260000000000002</v>
      </c>
      <c r="H411" s="403">
        <f t="shared" si="41"/>
        <v>9486</v>
      </c>
    </row>
    <row r="412" spans="1:8" ht="28.8">
      <c r="A412" s="481" t="s">
        <v>337</v>
      </c>
      <c r="B412" s="401" t="s">
        <v>502</v>
      </c>
      <c r="C412" s="402" t="s">
        <v>18</v>
      </c>
      <c r="D412" s="402">
        <f>2*17*15</f>
        <v>510</v>
      </c>
      <c r="E412" s="68">
        <v>2.7</v>
      </c>
      <c r="F412" s="261">
        <v>2.75</v>
      </c>
      <c r="G412" s="260">
        <v>2.94</v>
      </c>
      <c r="H412" s="403">
        <f t="shared" si="41"/>
        <v>1377</v>
      </c>
    </row>
    <row r="413" spans="1:8" ht="43.2">
      <c r="A413" s="481" t="s">
        <v>338</v>
      </c>
      <c r="B413" s="401" t="s">
        <v>585</v>
      </c>
      <c r="C413" s="402" t="s">
        <v>18</v>
      </c>
      <c r="D413" s="495">
        <f>2*2*17</f>
        <v>68</v>
      </c>
      <c r="E413" s="260">
        <v>49.99</v>
      </c>
      <c r="F413" s="261">
        <v>59.99</v>
      </c>
      <c r="G413" s="260">
        <v>96.97</v>
      </c>
      <c r="H413" s="403">
        <f t="shared" si="41"/>
        <v>3399.32</v>
      </c>
    </row>
    <row r="414" spans="1:8" ht="28.8">
      <c r="A414" s="481" t="s">
        <v>339</v>
      </c>
      <c r="B414" s="401" t="s">
        <v>619</v>
      </c>
      <c r="C414" s="402" t="s">
        <v>18</v>
      </c>
      <c r="D414" s="402">
        <f>3*3*4</f>
        <v>36</v>
      </c>
      <c r="E414" s="68">
        <v>160</v>
      </c>
      <c r="F414" s="261">
        <v>163</v>
      </c>
      <c r="G414" s="260">
        <v>193.63</v>
      </c>
      <c r="H414" s="403">
        <f t="shared" si="41"/>
        <v>5760</v>
      </c>
    </row>
    <row r="415" spans="1:8" ht="28.8">
      <c r="A415" s="481" t="s">
        <v>340</v>
      </c>
      <c r="B415" s="401" t="s">
        <v>474</v>
      </c>
      <c r="C415" s="402" t="s">
        <v>18</v>
      </c>
      <c r="D415" s="402">
        <f t="shared" ref="D415:D416" si="43">15*2</f>
        <v>30</v>
      </c>
      <c r="E415" s="70">
        <v>35</v>
      </c>
      <c r="F415" s="74">
        <v>41.4</v>
      </c>
      <c r="G415" s="68">
        <v>168.26</v>
      </c>
      <c r="H415" s="403">
        <f t="shared" si="41"/>
        <v>1050</v>
      </c>
    </row>
    <row r="416" spans="1:8" ht="28.8">
      <c r="A416" s="481" t="s">
        <v>341</v>
      </c>
      <c r="B416" s="401" t="s">
        <v>475</v>
      </c>
      <c r="C416" s="402" t="s">
        <v>18</v>
      </c>
      <c r="D416" s="402">
        <f t="shared" si="43"/>
        <v>30</v>
      </c>
      <c r="E416" s="260">
        <v>41.4</v>
      </c>
      <c r="F416" s="69">
        <v>42.23</v>
      </c>
      <c r="G416" s="70">
        <v>50</v>
      </c>
      <c r="H416" s="403">
        <f t="shared" si="41"/>
        <v>1242</v>
      </c>
    </row>
    <row r="417" spans="1:8" ht="28.8">
      <c r="A417" s="481" t="s">
        <v>342</v>
      </c>
      <c r="B417" s="401" t="s">
        <v>504</v>
      </c>
      <c r="C417" s="402" t="s">
        <v>18</v>
      </c>
      <c r="D417" s="402">
        <f t="shared" ref="D417:D418" si="44">6*2</f>
        <v>12</v>
      </c>
      <c r="E417" s="260">
        <v>27.94</v>
      </c>
      <c r="F417" s="69">
        <v>35.5</v>
      </c>
      <c r="G417" s="260">
        <v>39.6</v>
      </c>
      <c r="H417" s="403">
        <f t="shared" si="41"/>
        <v>335.28000000000003</v>
      </c>
    </row>
    <row r="418" spans="1:8" ht="28.8">
      <c r="A418" s="481" t="s">
        <v>343</v>
      </c>
      <c r="B418" s="401" t="s">
        <v>505</v>
      </c>
      <c r="C418" s="402" t="s">
        <v>18</v>
      </c>
      <c r="D418" s="402">
        <f t="shared" si="44"/>
        <v>12</v>
      </c>
      <c r="E418" s="260">
        <v>28.55</v>
      </c>
      <c r="F418" s="69">
        <v>28.8</v>
      </c>
      <c r="G418" s="260">
        <v>103.4</v>
      </c>
      <c r="H418" s="403">
        <f t="shared" si="41"/>
        <v>342.6</v>
      </c>
    </row>
    <row r="419" spans="1:8">
      <c r="A419" s="481" t="s">
        <v>344</v>
      </c>
      <c r="B419" s="454" t="s">
        <v>587</v>
      </c>
      <c r="C419" s="402" t="s">
        <v>18</v>
      </c>
      <c r="D419" s="402">
        <v>30</v>
      </c>
      <c r="E419" s="70">
        <v>1.3</v>
      </c>
      <c r="F419" s="69">
        <v>1.48</v>
      </c>
      <c r="G419" s="68">
        <v>1.75</v>
      </c>
      <c r="H419" s="403">
        <f t="shared" si="41"/>
        <v>39</v>
      </c>
    </row>
    <row r="420" spans="1:8" ht="43.2">
      <c r="A420" s="481" t="s">
        <v>345</v>
      </c>
      <c r="B420" s="401" t="s">
        <v>657</v>
      </c>
      <c r="C420" s="402" t="s">
        <v>18</v>
      </c>
      <c r="D420" s="495">
        <f t="shared" ref="D420:D421" si="45">4*6</f>
        <v>24</v>
      </c>
      <c r="E420" s="261">
        <v>286</v>
      </c>
      <c r="F420" s="69">
        <v>484</v>
      </c>
      <c r="G420" s="68">
        <v>572</v>
      </c>
      <c r="H420" s="403">
        <f t="shared" si="41"/>
        <v>6864</v>
      </c>
    </row>
    <row r="421" spans="1:8" ht="43.2">
      <c r="A421" s="400" t="s">
        <v>346</v>
      </c>
      <c r="B421" s="401" t="s">
        <v>658</v>
      </c>
      <c r="C421" s="402" t="s">
        <v>18</v>
      </c>
      <c r="D421" s="495">
        <f t="shared" si="45"/>
        <v>24</v>
      </c>
      <c r="E421" s="68">
        <v>38.700000000000003</v>
      </c>
      <c r="F421" s="69">
        <v>65.64</v>
      </c>
      <c r="G421" s="260">
        <v>156.94999999999999</v>
      </c>
      <c r="H421" s="403">
        <f t="shared" si="41"/>
        <v>928.80000000000007</v>
      </c>
    </row>
    <row r="422" spans="1:8" ht="28.8">
      <c r="A422" s="400" t="s">
        <v>347</v>
      </c>
      <c r="B422" s="401" t="s">
        <v>507</v>
      </c>
      <c r="C422" s="402" t="s">
        <v>18</v>
      </c>
      <c r="D422" s="402">
        <f t="shared" ref="D422:D423" si="46">2*6</f>
        <v>12</v>
      </c>
      <c r="E422" s="70">
        <v>133.01</v>
      </c>
      <c r="F422" s="69">
        <v>157.19999999999999</v>
      </c>
      <c r="G422" s="70">
        <v>175.33</v>
      </c>
      <c r="H422" s="403">
        <f t="shared" si="41"/>
        <v>1596.12</v>
      </c>
    </row>
    <row r="423" spans="1:8" ht="28.8">
      <c r="A423" s="400" t="s">
        <v>348</v>
      </c>
      <c r="B423" s="401" t="s">
        <v>508</v>
      </c>
      <c r="C423" s="402" t="s">
        <v>18</v>
      </c>
      <c r="D423" s="402">
        <f t="shared" si="46"/>
        <v>12</v>
      </c>
      <c r="E423" s="68">
        <v>2.77</v>
      </c>
      <c r="F423" s="74">
        <v>3.75</v>
      </c>
      <c r="G423" s="260">
        <v>3.96</v>
      </c>
      <c r="H423" s="403">
        <f t="shared" si="41"/>
        <v>33.24</v>
      </c>
    </row>
    <row r="424" spans="1:8" ht="28.8">
      <c r="A424" s="400" t="s">
        <v>349</v>
      </c>
      <c r="B424" s="401" t="s">
        <v>659</v>
      </c>
      <c r="C424" s="402" t="s">
        <v>18</v>
      </c>
      <c r="D424" s="402">
        <v>3</v>
      </c>
      <c r="E424" s="260">
        <v>26.5</v>
      </c>
      <c r="F424" s="260">
        <v>61.9</v>
      </c>
      <c r="G424" s="69">
        <v>83.6</v>
      </c>
      <c r="H424" s="403">
        <f t="shared" si="41"/>
        <v>79.5</v>
      </c>
    </row>
    <row r="425" spans="1:8" ht="28.8">
      <c r="A425" s="400" t="s">
        <v>350</v>
      </c>
      <c r="B425" s="401" t="s">
        <v>494</v>
      </c>
      <c r="C425" s="402" t="s">
        <v>18</v>
      </c>
      <c r="D425" s="402">
        <v>6</v>
      </c>
      <c r="E425" s="70">
        <v>27.9</v>
      </c>
      <c r="F425" s="261">
        <v>30</v>
      </c>
      <c r="G425" s="70">
        <v>32.229999999999997</v>
      </c>
      <c r="H425" s="403">
        <f t="shared" si="41"/>
        <v>167.39999999999998</v>
      </c>
    </row>
    <row r="426" spans="1:8" ht="28.8">
      <c r="A426" s="400" t="s">
        <v>351</v>
      </c>
      <c r="B426" s="401" t="s">
        <v>495</v>
      </c>
      <c r="C426" s="402" t="s">
        <v>18</v>
      </c>
      <c r="D426" s="402">
        <f>2*3</f>
        <v>6</v>
      </c>
      <c r="E426" s="68">
        <v>157.44</v>
      </c>
      <c r="F426" s="69">
        <v>184.26</v>
      </c>
      <c r="G426" s="68">
        <v>208.95</v>
      </c>
      <c r="H426" s="403">
        <f t="shared" si="41"/>
        <v>944.64</v>
      </c>
    </row>
    <row r="427" spans="1:8" ht="28.8">
      <c r="A427" s="400" t="s">
        <v>352</v>
      </c>
      <c r="B427" s="401" t="s">
        <v>496</v>
      </c>
      <c r="C427" s="402" t="s">
        <v>18</v>
      </c>
      <c r="D427" s="402">
        <f>4*3</f>
        <v>12</v>
      </c>
      <c r="E427" s="68">
        <v>33.729999999999997</v>
      </c>
      <c r="F427" s="69">
        <v>43.66</v>
      </c>
      <c r="G427" s="68">
        <v>72</v>
      </c>
      <c r="H427" s="403">
        <f t="shared" si="41"/>
        <v>404.76</v>
      </c>
    </row>
    <row r="428" spans="1:8" ht="28.8">
      <c r="A428" s="163" t="s">
        <v>353</v>
      </c>
      <c r="B428" s="123" t="s">
        <v>772</v>
      </c>
      <c r="C428" s="402" t="s">
        <v>18</v>
      </c>
      <c r="D428" s="495">
        <f>15*2</f>
        <v>30</v>
      </c>
      <c r="E428" s="541">
        <v>286</v>
      </c>
      <c r="F428" s="404">
        <v>338</v>
      </c>
      <c r="G428" s="403">
        <v>377</v>
      </c>
      <c r="H428" s="404">
        <f t="shared" si="41"/>
        <v>8580</v>
      </c>
    </row>
    <row r="429" spans="1:8" ht="28.8">
      <c r="A429" s="163" t="s">
        <v>354</v>
      </c>
      <c r="B429" s="123" t="s">
        <v>773</v>
      </c>
      <c r="C429" s="402" t="s">
        <v>18</v>
      </c>
      <c r="D429" s="495">
        <f>4*2</f>
        <v>8</v>
      </c>
      <c r="E429" s="541">
        <v>98</v>
      </c>
      <c r="F429" s="404">
        <v>270</v>
      </c>
      <c r="G429" s="403">
        <v>279</v>
      </c>
      <c r="H429" s="404">
        <f t="shared" si="41"/>
        <v>784</v>
      </c>
    </row>
    <row r="430" spans="1:8" ht="28.8">
      <c r="A430" s="163" t="s">
        <v>355</v>
      </c>
      <c r="B430" s="123" t="s">
        <v>774</v>
      </c>
      <c r="C430" s="402" t="s">
        <v>18</v>
      </c>
      <c r="D430" s="495">
        <f>2*15*17</f>
        <v>510</v>
      </c>
      <c r="E430" s="541">
        <v>35.99</v>
      </c>
      <c r="F430" s="404">
        <v>37.93</v>
      </c>
      <c r="G430" s="403">
        <v>67.900000000000006</v>
      </c>
      <c r="H430" s="404">
        <f t="shared" si="41"/>
        <v>18354.900000000001</v>
      </c>
    </row>
    <row r="431" spans="1:8" ht="28.8">
      <c r="A431" s="163" t="s">
        <v>356</v>
      </c>
      <c r="B431" s="123" t="s">
        <v>786</v>
      </c>
      <c r="C431" s="402" t="s">
        <v>18</v>
      </c>
      <c r="D431" s="495">
        <v>2</v>
      </c>
      <c r="E431" s="541">
        <v>817.89</v>
      </c>
      <c r="F431" s="404">
        <v>897.86</v>
      </c>
      <c r="G431" s="403">
        <v>1089.9000000000001</v>
      </c>
      <c r="H431" s="404">
        <f t="shared" si="41"/>
        <v>1635.78</v>
      </c>
    </row>
    <row r="432" spans="1:8" ht="28.8">
      <c r="A432" s="163" t="s">
        <v>357</v>
      </c>
      <c r="B432" s="123" t="s">
        <v>787</v>
      </c>
      <c r="C432" s="402" t="s">
        <v>18</v>
      </c>
      <c r="D432" s="495">
        <v>2</v>
      </c>
      <c r="E432" s="541">
        <v>479.52</v>
      </c>
      <c r="F432" s="404">
        <v>559.9</v>
      </c>
      <c r="G432" s="403">
        <v>616</v>
      </c>
      <c r="H432" s="404">
        <f t="shared" si="41"/>
        <v>959.04</v>
      </c>
    </row>
    <row r="433" spans="1:8" ht="28.8">
      <c r="A433" s="163" t="s">
        <v>358</v>
      </c>
      <c r="B433" s="123" t="s">
        <v>783</v>
      </c>
      <c r="C433" s="402" t="s">
        <v>18</v>
      </c>
      <c r="D433" s="495">
        <f>2*15*1</f>
        <v>30</v>
      </c>
      <c r="E433" s="541">
        <v>125</v>
      </c>
      <c r="F433" s="404">
        <v>144.41</v>
      </c>
      <c r="G433" s="403">
        <v>155.5</v>
      </c>
      <c r="H433" s="404">
        <f t="shared" si="41"/>
        <v>3750</v>
      </c>
    </row>
    <row r="434" spans="1:8" ht="28.8">
      <c r="A434" s="163" t="s">
        <v>359</v>
      </c>
      <c r="B434" s="123" t="s">
        <v>775</v>
      </c>
      <c r="C434" s="402" t="s">
        <v>18</v>
      </c>
      <c r="D434" s="495">
        <v>2</v>
      </c>
      <c r="E434" s="541">
        <v>930</v>
      </c>
      <c r="F434" s="404">
        <v>1000</v>
      </c>
      <c r="G434" s="403">
        <v>1980</v>
      </c>
      <c r="H434" s="404">
        <f t="shared" si="41"/>
        <v>1860</v>
      </c>
    </row>
    <row r="435" spans="1:8" ht="28.8">
      <c r="A435" s="163" t="s">
        <v>360</v>
      </c>
      <c r="B435" s="123" t="s">
        <v>776</v>
      </c>
      <c r="C435" s="402" t="s">
        <v>18</v>
      </c>
      <c r="D435" s="495">
        <f>1*15*1</f>
        <v>15</v>
      </c>
      <c r="E435" s="541">
        <v>37.9</v>
      </c>
      <c r="F435" s="404">
        <v>41.31</v>
      </c>
      <c r="G435" s="403">
        <v>45</v>
      </c>
      <c r="H435" s="404">
        <f t="shared" ref="H435:H467" si="47">E435*D435</f>
        <v>568.5</v>
      </c>
    </row>
    <row r="436" spans="1:8" ht="28.8">
      <c r="A436" s="163" t="s">
        <v>361</v>
      </c>
      <c r="B436" s="123" t="s">
        <v>777</v>
      </c>
      <c r="C436" s="402" t="s">
        <v>18</v>
      </c>
      <c r="D436" s="495">
        <f>1*15*1</f>
        <v>15</v>
      </c>
      <c r="E436" s="541">
        <v>73.489999999999995</v>
      </c>
      <c r="F436" s="404">
        <v>96.7</v>
      </c>
      <c r="G436" s="403">
        <v>106.76</v>
      </c>
      <c r="H436" s="404">
        <f t="shared" si="47"/>
        <v>1102.3499999999999</v>
      </c>
    </row>
    <row r="437" spans="1:8" ht="28.8">
      <c r="A437" s="163" t="s">
        <v>362</v>
      </c>
      <c r="B437" s="123" t="s">
        <v>784</v>
      </c>
      <c r="C437" s="402" t="s">
        <v>18</v>
      </c>
      <c r="D437" s="495">
        <v>2</v>
      </c>
      <c r="E437" s="541">
        <v>139.9</v>
      </c>
      <c r="F437" s="404">
        <v>155</v>
      </c>
      <c r="G437" s="403">
        <v>169.92</v>
      </c>
      <c r="H437" s="404">
        <f t="shared" si="47"/>
        <v>279.8</v>
      </c>
    </row>
    <row r="438" spans="1:8" ht="28.8">
      <c r="A438" s="163" t="s">
        <v>363</v>
      </c>
      <c r="B438" s="123" t="s">
        <v>788</v>
      </c>
      <c r="C438" s="10" t="s">
        <v>18</v>
      </c>
      <c r="D438" s="495">
        <v>4</v>
      </c>
      <c r="E438" s="541">
        <v>743.68</v>
      </c>
      <c r="F438" s="404">
        <v>895</v>
      </c>
      <c r="G438" s="403">
        <v>2099.9</v>
      </c>
      <c r="H438" s="404">
        <f t="shared" si="47"/>
        <v>2974.72</v>
      </c>
    </row>
    <row r="439" spans="1:8" ht="28.8">
      <c r="A439" s="163" t="s">
        <v>364</v>
      </c>
      <c r="B439" s="401" t="s">
        <v>107</v>
      </c>
      <c r="C439" s="402" t="s">
        <v>18</v>
      </c>
      <c r="D439" s="402">
        <v>6</v>
      </c>
      <c r="E439" s="68">
        <v>3200.55</v>
      </c>
      <c r="F439" s="69">
        <v>3309</v>
      </c>
      <c r="G439" s="68">
        <v>3369</v>
      </c>
      <c r="H439" s="403">
        <f t="shared" si="47"/>
        <v>19203.300000000003</v>
      </c>
    </row>
    <row r="440" spans="1:8" ht="43.2">
      <c r="A440" s="163" t="s">
        <v>365</v>
      </c>
      <c r="B440" s="401" t="s">
        <v>660</v>
      </c>
      <c r="C440" s="402" t="s">
        <v>108</v>
      </c>
      <c r="D440" s="402">
        <f>10*4*20*6</f>
        <v>4800</v>
      </c>
      <c r="E440" s="70">
        <v>6.08</v>
      </c>
      <c r="F440" s="74">
        <v>6.09</v>
      </c>
      <c r="G440" s="70">
        <v>6.35</v>
      </c>
      <c r="H440" s="403">
        <f t="shared" si="47"/>
        <v>29184</v>
      </c>
    </row>
    <row r="441" spans="1:8" ht="28.8">
      <c r="A441" s="163" t="s">
        <v>366</v>
      </c>
      <c r="B441" s="401" t="s">
        <v>510</v>
      </c>
      <c r="C441" s="402" t="s">
        <v>108</v>
      </c>
      <c r="D441" s="402">
        <f>20*6</f>
        <v>120</v>
      </c>
      <c r="E441" s="68">
        <v>43.98</v>
      </c>
      <c r="F441" s="69">
        <v>47.42</v>
      </c>
      <c r="G441" s="68">
        <v>47.9</v>
      </c>
      <c r="H441" s="403">
        <f t="shared" si="47"/>
        <v>5277.5999999999995</v>
      </c>
    </row>
    <row r="442" spans="1:8" ht="28.8">
      <c r="A442" s="163" t="s">
        <v>367</v>
      </c>
      <c r="B442" s="401" t="s">
        <v>511</v>
      </c>
      <c r="C442" s="402" t="s">
        <v>109</v>
      </c>
      <c r="D442" s="402">
        <f>10*6</f>
        <v>60</v>
      </c>
      <c r="E442" s="68">
        <v>26.24</v>
      </c>
      <c r="F442" s="69">
        <v>28.33</v>
      </c>
      <c r="G442" s="68">
        <v>31.98</v>
      </c>
      <c r="H442" s="403">
        <f t="shared" si="47"/>
        <v>1574.3999999999999</v>
      </c>
    </row>
    <row r="443" spans="1:8" ht="28.8">
      <c r="A443" s="163" t="s">
        <v>368</v>
      </c>
      <c r="B443" s="401" t="s">
        <v>537</v>
      </c>
      <c r="C443" s="402" t="s">
        <v>68</v>
      </c>
      <c r="D443" s="402">
        <f>(3*13*6)/20</f>
        <v>11.7</v>
      </c>
      <c r="E443" s="68">
        <v>94.2</v>
      </c>
      <c r="F443" s="69">
        <v>108.6</v>
      </c>
      <c r="G443" s="68">
        <v>114.93</v>
      </c>
      <c r="H443" s="403">
        <f t="shared" si="47"/>
        <v>1102.1399999999999</v>
      </c>
    </row>
    <row r="444" spans="1:8" ht="28.8">
      <c r="A444" s="163" t="s">
        <v>369</v>
      </c>
      <c r="B444" s="401" t="s">
        <v>512</v>
      </c>
      <c r="C444" s="402" t="s">
        <v>18</v>
      </c>
      <c r="D444" s="402">
        <v>18</v>
      </c>
      <c r="E444" s="232">
        <v>37.47</v>
      </c>
      <c r="F444" s="73">
        <v>43.66</v>
      </c>
      <c r="G444" s="73">
        <v>48</v>
      </c>
      <c r="H444" s="403">
        <f t="shared" si="47"/>
        <v>674.46</v>
      </c>
    </row>
    <row r="445" spans="1:8" ht="28.8">
      <c r="A445" s="163" t="s">
        <v>370</v>
      </c>
      <c r="B445" s="401" t="s">
        <v>588</v>
      </c>
      <c r="C445" s="402" t="s">
        <v>18</v>
      </c>
      <c r="D445" s="402">
        <f>3*6*17/3</f>
        <v>102</v>
      </c>
      <c r="E445" s="256">
        <v>23.1</v>
      </c>
      <c r="F445" s="69">
        <v>25.52</v>
      </c>
      <c r="G445" s="68">
        <v>29.6</v>
      </c>
      <c r="H445" s="403">
        <f t="shared" si="47"/>
        <v>2356.2000000000003</v>
      </c>
    </row>
    <row r="446" spans="1:8" ht="28.8">
      <c r="A446" s="163" t="s">
        <v>371</v>
      </c>
      <c r="B446" s="401" t="s">
        <v>589</v>
      </c>
      <c r="C446" s="402" t="s">
        <v>18</v>
      </c>
      <c r="D446" s="402">
        <v>40</v>
      </c>
      <c r="E446" s="256">
        <v>54.78</v>
      </c>
      <c r="F446" s="69">
        <f>35.03+39.8</f>
        <v>74.83</v>
      </c>
      <c r="G446" s="260">
        <v>82.7</v>
      </c>
      <c r="H446" s="403">
        <f t="shared" si="47"/>
        <v>2191.1999999999998</v>
      </c>
    </row>
    <row r="447" spans="1:8" ht="28.8">
      <c r="A447" s="163" t="s">
        <v>372</v>
      </c>
      <c r="B447" s="401" t="s">
        <v>590</v>
      </c>
      <c r="C447" s="402" t="s">
        <v>18</v>
      </c>
      <c r="D447" s="402">
        <v>40</v>
      </c>
      <c r="E447" s="68">
        <v>32.369999999999997</v>
      </c>
      <c r="F447" s="69">
        <v>33.74</v>
      </c>
      <c r="G447" s="68">
        <v>33.74</v>
      </c>
      <c r="H447" s="403">
        <f t="shared" si="47"/>
        <v>1294.8</v>
      </c>
    </row>
    <row r="448" spans="1:8" ht="28.8">
      <c r="A448" s="163" t="s">
        <v>373</v>
      </c>
      <c r="B448" s="401" t="s">
        <v>622</v>
      </c>
      <c r="C448" s="402" t="s">
        <v>68</v>
      </c>
      <c r="D448" s="402">
        <v>32</v>
      </c>
      <c r="E448" s="73">
        <v>204</v>
      </c>
      <c r="F448" s="232">
        <v>255</v>
      </c>
      <c r="G448" s="73">
        <v>280</v>
      </c>
      <c r="H448" s="403">
        <f t="shared" si="47"/>
        <v>6528</v>
      </c>
    </row>
    <row r="449" spans="1:8" ht="43.2">
      <c r="A449" s="163" t="s">
        <v>374</v>
      </c>
      <c r="B449" s="401" t="s">
        <v>545</v>
      </c>
      <c r="C449" s="402" t="s">
        <v>18</v>
      </c>
      <c r="D449" s="402">
        <v>14</v>
      </c>
      <c r="E449" s="68">
        <v>49</v>
      </c>
      <c r="F449" s="69">
        <v>64</v>
      </c>
      <c r="G449" s="68">
        <v>80</v>
      </c>
      <c r="H449" s="403">
        <f t="shared" si="47"/>
        <v>686</v>
      </c>
    </row>
    <row r="450" spans="1:8" ht="28.8">
      <c r="A450" s="163" t="s">
        <v>375</v>
      </c>
      <c r="B450" s="432" t="s">
        <v>546</v>
      </c>
      <c r="C450" s="402" t="s">
        <v>18</v>
      </c>
      <c r="D450" s="402">
        <v>7</v>
      </c>
      <c r="E450" s="68">
        <v>49.6</v>
      </c>
      <c r="F450" s="69">
        <v>62</v>
      </c>
      <c r="G450" s="68">
        <v>95.25</v>
      </c>
      <c r="H450" s="403">
        <f t="shared" si="47"/>
        <v>347.2</v>
      </c>
    </row>
    <row r="451" spans="1:8" ht="43.2">
      <c r="A451" s="163" t="s">
        <v>376</v>
      </c>
      <c r="B451" s="432" t="s">
        <v>591</v>
      </c>
      <c r="C451" s="402" t="s">
        <v>18</v>
      </c>
      <c r="D451" s="402">
        <v>38</v>
      </c>
      <c r="E451" s="68">
        <v>103.2</v>
      </c>
      <c r="F451" s="74">
        <v>129</v>
      </c>
      <c r="G451" s="68">
        <v>167.81</v>
      </c>
      <c r="H451" s="403">
        <f t="shared" si="47"/>
        <v>3921.6</v>
      </c>
    </row>
    <row r="452" spans="1:8" ht="28.8">
      <c r="A452" s="163" t="s">
        <v>377</v>
      </c>
      <c r="B452" s="432" t="s">
        <v>661</v>
      </c>
      <c r="C452" s="402" t="s">
        <v>18</v>
      </c>
      <c r="D452" s="402">
        <v>8</v>
      </c>
      <c r="E452" s="68">
        <v>37.6</v>
      </c>
      <c r="F452" s="69">
        <v>54</v>
      </c>
      <c r="G452" s="68">
        <v>59.6</v>
      </c>
      <c r="H452" s="403">
        <f t="shared" si="47"/>
        <v>300.8</v>
      </c>
    </row>
    <row r="453" spans="1:8" ht="28.8">
      <c r="A453" s="163" t="s">
        <v>378</v>
      </c>
      <c r="B453" s="432" t="s">
        <v>662</v>
      </c>
      <c r="C453" s="402" t="s">
        <v>18</v>
      </c>
      <c r="D453" s="402">
        <v>8</v>
      </c>
      <c r="E453" s="68">
        <v>29.6</v>
      </c>
      <c r="F453" s="74">
        <v>53.7</v>
      </c>
      <c r="G453" s="68">
        <v>61.28</v>
      </c>
      <c r="H453" s="403">
        <f t="shared" si="47"/>
        <v>236.8</v>
      </c>
    </row>
    <row r="454" spans="1:8" ht="28.8">
      <c r="A454" s="163" t="s">
        <v>379</v>
      </c>
      <c r="B454" s="432" t="s">
        <v>663</v>
      </c>
      <c r="C454" s="402" t="s">
        <v>18</v>
      </c>
      <c r="D454" s="402">
        <v>6</v>
      </c>
      <c r="E454" s="68">
        <v>36</v>
      </c>
      <c r="F454" s="69">
        <v>50.6</v>
      </c>
      <c r="G454" s="103">
        <v>54.6</v>
      </c>
      <c r="H454" s="403">
        <f t="shared" si="47"/>
        <v>216</v>
      </c>
    </row>
    <row r="455" spans="1:8" ht="28.8">
      <c r="A455" s="163" t="s">
        <v>380</v>
      </c>
      <c r="B455" s="432" t="s">
        <v>664</v>
      </c>
      <c r="C455" s="402" t="s">
        <v>18</v>
      </c>
      <c r="D455" s="402">
        <v>6</v>
      </c>
      <c r="E455" s="68">
        <v>45.39</v>
      </c>
      <c r="F455" s="232">
        <v>49.8</v>
      </c>
      <c r="G455" s="73">
        <v>84.64</v>
      </c>
      <c r="H455" s="403">
        <f t="shared" si="47"/>
        <v>272.34000000000003</v>
      </c>
    </row>
    <row r="456" spans="1:8" ht="28.8">
      <c r="A456" s="163" t="s">
        <v>381</v>
      </c>
      <c r="B456" s="432" t="s">
        <v>552</v>
      </c>
      <c r="C456" s="402" t="s">
        <v>18</v>
      </c>
      <c r="D456" s="402">
        <v>6</v>
      </c>
      <c r="E456" s="68">
        <v>140.54</v>
      </c>
      <c r="F456" s="232">
        <v>186.8</v>
      </c>
      <c r="G456" s="73">
        <v>341.8</v>
      </c>
      <c r="H456" s="403">
        <f t="shared" si="47"/>
        <v>843.24</v>
      </c>
    </row>
    <row r="457" spans="1:8" ht="28.8">
      <c r="A457" s="163" t="s">
        <v>812</v>
      </c>
      <c r="B457" s="432" t="s">
        <v>665</v>
      </c>
      <c r="C457" s="402" t="s">
        <v>18</v>
      </c>
      <c r="D457" s="402">
        <v>10</v>
      </c>
      <c r="E457" s="256">
        <v>5.38</v>
      </c>
      <c r="F457" s="232">
        <v>5.65</v>
      </c>
      <c r="G457" s="73">
        <v>12.6</v>
      </c>
      <c r="H457" s="403">
        <f t="shared" si="47"/>
        <v>53.8</v>
      </c>
    </row>
    <row r="458" spans="1:8" ht="28.8">
      <c r="A458" s="163" t="s">
        <v>813</v>
      </c>
      <c r="B458" s="432" t="s">
        <v>554</v>
      </c>
      <c r="C458" s="429" t="s">
        <v>18</v>
      </c>
      <c r="D458" s="402">
        <v>15</v>
      </c>
      <c r="E458" s="68">
        <v>120</v>
      </c>
      <c r="F458" s="232">
        <v>150</v>
      </c>
      <c r="G458" s="73">
        <v>156</v>
      </c>
      <c r="H458" s="403">
        <f t="shared" si="47"/>
        <v>1800</v>
      </c>
    </row>
    <row r="459" spans="1:8" ht="28.8">
      <c r="A459" s="163" t="s">
        <v>814</v>
      </c>
      <c r="B459" s="450" t="s">
        <v>555</v>
      </c>
      <c r="C459" s="429" t="s">
        <v>18</v>
      </c>
      <c r="D459" s="402">
        <v>15</v>
      </c>
      <c r="E459" s="68">
        <v>118</v>
      </c>
      <c r="F459" s="232">
        <v>147.5</v>
      </c>
      <c r="G459" s="73">
        <v>171.1</v>
      </c>
      <c r="H459" s="403">
        <f t="shared" si="47"/>
        <v>1770</v>
      </c>
    </row>
    <row r="460" spans="1:8" ht="28.8">
      <c r="A460" s="163" t="s">
        <v>815</v>
      </c>
      <c r="B460" s="451" t="s">
        <v>597</v>
      </c>
      <c r="C460" s="429" t="s">
        <v>18</v>
      </c>
      <c r="D460" s="402">
        <v>3</v>
      </c>
      <c r="E460" s="68">
        <v>300</v>
      </c>
      <c r="F460" s="69">
        <v>375</v>
      </c>
      <c r="G460" s="68">
        <v>435</v>
      </c>
      <c r="H460" s="403">
        <f t="shared" si="47"/>
        <v>900</v>
      </c>
    </row>
    <row r="461" spans="1:8" ht="28.8">
      <c r="A461" s="163" t="s">
        <v>816</v>
      </c>
      <c r="B461" s="432" t="s">
        <v>557</v>
      </c>
      <c r="C461" s="429" t="s">
        <v>18</v>
      </c>
      <c r="D461" s="402">
        <v>3</v>
      </c>
      <c r="E461" s="68">
        <v>1000</v>
      </c>
      <c r="F461" s="69">
        <v>1250</v>
      </c>
      <c r="G461" s="68">
        <v>1300</v>
      </c>
      <c r="H461" s="403">
        <f t="shared" si="47"/>
        <v>3000</v>
      </c>
    </row>
    <row r="462" spans="1:8" ht="28.8">
      <c r="A462" s="163" t="s">
        <v>817</v>
      </c>
      <c r="B462" s="432" t="s">
        <v>598</v>
      </c>
      <c r="C462" s="429" t="s">
        <v>18</v>
      </c>
      <c r="D462" s="402">
        <v>3</v>
      </c>
      <c r="E462" s="68">
        <v>116</v>
      </c>
      <c r="F462" s="69">
        <v>145</v>
      </c>
      <c r="G462" s="68">
        <v>150</v>
      </c>
      <c r="H462" s="403">
        <f t="shared" si="47"/>
        <v>348</v>
      </c>
    </row>
    <row r="463" spans="1:8" ht="28.8">
      <c r="A463" s="163" t="s">
        <v>818</v>
      </c>
      <c r="B463" s="432" t="s">
        <v>599</v>
      </c>
      <c r="C463" s="429" t="s">
        <v>18</v>
      </c>
      <c r="D463" s="402">
        <v>3</v>
      </c>
      <c r="E463" s="68">
        <v>300</v>
      </c>
      <c r="F463" s="69">
        <v>375</v>
      </c>
      <c r="G463" s="68">
        <v>390</v>
      </c>
      <c r="H463" s="403">
        <f t="shared" si="47"/>
        <v>900</v>
      </c>
    </row>
    <row r="464" spans="1:8" ht="28.8">
      <c r="A464" s="163" t="s">
        <v>819</v>
      </c>
      <c r="B464" s="432" t="s">
        <v>600</v>
      </c>
      <c r="C464" s="429" t="s">
        <v>18</v>
      </c>
      <c r="D464" s="402">
        <v>3</v>
      </c>
      <c r="E464" s="68">
        <v>519.79999999999995</v>
      </c>
      <c r="F464" s="69">
        <v>519</v>
      </c>
      <c r="G464" s="68">
        <v>675</v>
      </c>
      <c r="H464" s="403">
        <f t="shared" si="47"/>
        <v>1559.3999999999999</v>
      </c>
    </row>
    <row r="465" spans="1:8" ht="28.8">
      <c r="A465" s="163" t="s">
        <v>820</v>
      </c>
      <c r="B465" s="432" t="s">
        <v>666</v>
      </c>
      <c r="C465" s="429" t="s">
        <v>18</v>
      </c>
      <c r="D465" s="402">
        <v>15</v>
      </c>
      <c r="E465" s="68">
        <v>29.46</v>
      </c>
      <c r="F465" s="69">
        <v>36.83</v>
      </c>
      <c r="G465" s="68">
        <v>38.299999999999997</v>
      </c>
      <c r="H465" s="403">
        <f t="shared" si="47"/>
        <v>441.90000000000003</v>
      </c>
    </row>
    <row r="466" spans="1:8" ht="28.8">
      <c r="A466" s="163" t="s">
        <v>821</v>
      </c>
      <c r="B466" s="401" t="s">
        <v>514</v>
      </c>
      <c r="C466" s="402" t="s">
        <v>18</v>
      </c>
      <c r="D466" s="402">
        <v>15</v>
      </c>
      <c r="E466" s="68">
        <v>15.18</v>
      </c>
      <c r="F466" s="69">
        <v>18.899999999999999</v>
      </c>
      <c r="G466" s="68">
        <v>19.73</v>
      </c>
      <c r="H466" s="403">
        <f t="shared" si="47"/>
        <v>227.7</v>
      </c>
    </row>
    <row r="467" spans="1:8" ht="43.2">
      <c r="A467" s="163" t="s">
        <v>822</v>
      </c>
      <c r="B467" s="401" t="s">
        <v>582</v>
      </c>
      <c r="C467" s="402" t="s">
        <v>15</v>
      </c>
      <c r="D467" s="402">
        <v>2</v>
      </c>
      <c r="E467" s="256">
        <v>800</v>
      </c>
      <c r="F467" s="69"/>
      <c r="G467" s="68"/>
      <c r="H467" s="403">
        <f t="shared" si="47"/>
        <v>1600</v>
      </c>
    </row>
    <row r="468" spans="1:8">
      <c r="A468" s="611" t="s">
        <v>310</v>
      </c>
      <c r="B468" s="613"/>
      <c r="C468" s="508"/>
      <c r="D468" s="508"/>
      <c r="E468" s="510"/>
      <c r="F468" s="510"/>
      <c r="G468" s="510"/>
      <c r="H468" s="558">
        <f>SUM(H390:H467)</f>
        <v>1344586.7737999998</v>
      </c>
    </row>
    <row r="469" spans="1:8">
      <c r="A469" s="557" t="s">
        <v>254</v>
      </c>
      <c r="B469" s="559"/>
      <c r="C469" s="559"/>
      <c r="D469" s="559"/>
      <c r="E469" s="560"/>
      <c r="F469" s="560"/>
      <c r="G469" s="560"/>
      <c r="H469" s="561">
        <f>H468</f>
        <v>1344586.7737999998</v>
      </c>
    </row>
    <row r="470" spans="1:8">
      <c r="A470" s="482"/>
      <c r="B470" s="483"/>
      <c r="C470" s="392"/>
      <c r="D470" s="392"/>
      <c r="E470" s="455"/>
      <c r="F470" s="489"/>
      <c r="G470" s="489"/>
      <c r="H470" s="489"/>
    </row>
    <row r="471" spans="1:8" ht="28.8">
      <c r="A471" s="480">
        <v>6</v>
      </c>
      <c r="B471" s="396" t="s">
        <v>383</v>
      </c>
      <c r="C471" s="397" t="s">
        <v>7</v>
      </c>
      <c r="D471" s="397" t="s">
        <v>8</v>
      </c>
      <c r="E471" s="487" t="s">
        <v>410</v>
      </c>
      <c r="F471" s="487" t="s">
        <v>408</v>
      </c>
      <c r="G471" s="487" t="s">
        <v>409</v>
      </c>
      <c r="H471" s="488" t="s">
        <v>9</v>
      </c>
    </row>
    <row r="472" spans="1:8" ht="28.8">
      <c r="A472" s="484" t="s">
        <v>431</v>
      </c>
      <c r="B472" s="401" t="s">
        <v>436</v>
      </c>
      <c r="C472" s="457" t="s">
        <v>13</v>
      </c>
      <c r="D472" s="458">
        <v>36</v>
      </c>
      <c r="E472" s="68">
        <f>(3643*97%)+3643</f>
        <v>7176.71</v>
      </c>
      <c r="F472" s="69">
        <f>(5000*97%)+5000</f>
        <v>9850</v>
      </c>
      <c r="G472" s="68">
        <f>(5801*97%)+5801</f>
        <v>11427.970000000001</v>
      </c>
      <c r="H472" s="490">
        <f>E472*D472*2</f>
        <v>516723.12</v>
      </c>
    </row>
    <row r="473" spans="1:8" ht="72">
      <c r="A473" s="484" t="s">
        <v>432</v>
      </c>
      <c r="B473" s="401" t="s">
        <v>402</v>
      </c>
      <c r="C473" s="402" t="s">
        <v>15</v>
      </c>
      <c r="D473" s="402">
        <v>3</v>
      </c>
      <c r="E473" s="233">
        <v>10000</v>
      </c>
      <c r="F473" s="233">
        <v>10750</v>
      </c>
      <c r="G473" s="214">
        <v>11500</v>
      </c>
      <c r="H473" s="490">
        <f>E473*D473</f>
        <v>30000</v>
      </c>
    </row>
    <row r="474" spans="1:8" ht="43.2">
      <c r="A474" s="484" t="s">
        <v>433</v>
      </c>
      <c r="B474" s="401" t="s">
        <v>403</v>
      </c>
      <c r="C474" s="402" t="s">
        <v>15</v>
      </c>
      <c r="D474" s="402">
        <v>3</v>
      </c>
      <c r="E474" s="233">
        <v>3500</v>
      </c>
      <c r="F474" s="233">
        <v>4000</v>
      </c>
      <c r="G474" s="214">
        <v>4200</v>
      </c>
      <c r="H474" s="490">
        <f>E474*D474</f>
        <v>10500</v>
      </c>
    </row>
    <row r="475" spans="1:8" ht="43.2">
      <c r="A475" s="484" t="s">
        <v>434</v>
      </c>
      <c r="B475" s="401" t="s">
        <v>406</v>
      </c>
      <c r="C475" s="402" t="s">
        <v>18</v>
      </c>
      <c r="D475" s="402">
        <v>30</v>
      </c>
      <c r="E475" s="69">
        <v>2810</v>
      </c>
      <c r="F475" s="69">
        <v>2810</v>
      </c>
      <c r="G475" s="68">
        <v>2920</v>
      </c>
      <c r="H475" s="490">
        <f>E475*D475</f>
        <v>84300</v>
      </c>
    </row>
    <row r="476" spans="1:8" ht="28.8">
      <c r="A476" s="484" t="s">
        <v>435</v>
      </c>
      <c r="B476" s="401" t="s">
        <v>404</v>
      </c>
      <c r="C476" s="402" t="s">
        <v>15</v>
      </c>
      <c r="D476" s="402">
        <v>1</v>
      </c>
      <c r="E476" s="69">
        <v>7000</v>
      </c>
      <c r="F476" s="69">
        <v>8300</v>
      </c>
      <c r="G476" s="68">
        <v>9500</v>
      </c>
      <c r="H476" s="490">
        <f>E476*D476</f>
        <v>7000</v>
      </c>
    </row>
    <row r="477" spans="1:8">
      <c r="A477" s="620" t="s">
        <v>766</v>
      </c>
      <c r="B477" s="621"/>
      <c r="C477" s="562"/>
      <c r="D477" s="562"/>
      <c r="E477" s="563"/>
      <c r="F477" s="563"/>
      <c r="G477" s="563"/>
      <c r="H477" s="551">
        <f>SUM(H472:H476)</f>
        <v>648523.12</v>
      </c>
    </row>
    <row r="478" spans="1:8">
      <c r="A478" s="609" t="s">
        <v>391</v>
      </c>
      <c r="B478" s="604"/>
      <c r="C478" s="459"/>
      <c r="D478" s="459"/>
      <c r="E478" s="494"/>
      <c r="F478" s="494"/>
      <c r="G478" s="494"/>
      <c r="H478" s="494"/>
    </row>
    <row r="479" spans="1:8" ht="43.2" hidden="1">
      <c r="A479" s="395" t="s">
        <v>5</v>
      </c>
      <c r="B479" s="396" t="s">
        <v>843</v>
      </c>
      <c r="C479" s="397" t="s">
        <v>7</v>
      </c>
      <c r="D479" s="397" t="s">
        <v>8</v>
      </c>
      <c r="E479" s="487" t="s">
        <v>410</v>
      </c>
      <c r="F479" s="487" t="s">
        <v>408</v>
      </c>
      <c r="G479" s="487" t="s">
        <v>409</v>
      </c>
      <c r="H479" s="488" t="s">
        <v>9</v>
      </c>
    </row>
    <row r="480" spans="1:8" ht="72" hidden="1">
      <c r="A480" s="461">
        <v>2</v>
      </c>
      <c r="B480" s="396" t="s">
        <v>844</v>
      </c>
      <c r="C480" s="397" t="s">
        <v>7</v>
      </c>
      <c r="D480" s="397" t="s">
        <v>8</v>
      </c>
      <c r="E480" s="487" t="s">
        <v>410</v>
      </c>
      <c r="F480" s="487" t="s">
        <v>408</v>
      </c>
      <c r="G480" s="487" t="s">
        <v>409</v>
      </c>
      <c r="H480" s="488" t="s">
        <v>9</v>
      </c>
    </row>
    <row r="481" spans="1:8">
      <c r="A481" s="383"/>
      <c r="B481" s="383"/>
      <c r="C481" s="468"/>
      <c r="D481" s="385"/>
      <c r="E481" s="386"/>
      <c r="F481" s="386"/>
      <c r="G481" s="386"/>
      <c r="H481" s="386"/>
    </row>
    <row r="482" spans="1:8">
      <c r="A482" s="383"/>
      <c r="B482" s="614" t="s">
        <v>741</v>
      </c>
      <c r="C482" s="618"/>
      <c r="D482" s="618"/>
      <c r="E482" s="618"/>
      <c r="F482" s="618"/>
      <c r="G482" s="619"/>
      <c r="H482" s="462">
        <f>H477+H469+H388+H100+H90</f>
        <v>14824893.913399998</v>
      </c>
    </row>
    <row r="483" spans="1:8">
      <c r="A483" s="383"/>
      <c r="B483" s="602" t="s">
        <v>742</v>
      </c>
      <c r="C483" s="616"/>
      <c r="D483" s="616"/>
      <c r="E483" s="616"/>
      <c r="F483" s="616"/>
      <c r="G483" s="617"/>
      <c r="H483" s="463">
        <f>H482/200</f>
        <v>74124.469566999993</v>
      </c>
    </row>
    <row r="484" spans="1:8">
      <c r="A484" s="383"/>
      <c r="B484" s="383"/>
      <c r="C484" s="468"/>
      <c r="D484" s="385"/>
      <c r="E484" s="383"/>
      <c r="F484" s="623" t="s">
        <v>848</v>
      </c>
      <c r="G484" s="287">
        <v>0.3</v>
      </c>
      <c r="H484" s="386">
        <f>H483*G484</f>
        <v>22237.340870099997</v>
      </c>
    </row>
    <row r="485" spans="1:8">
      <c r="A485" s="383"/>
      <c r="B485" s="383"/>
      <c r="C485" s="468"/>
      <c r="D485" s="385"/>
      <c r="E485" s="383"/>
      <c r="F485" s="386"/>
      <c r="G485" s="657" t="s">
        <v>849</v>
      </c>
      <c r="H485" s="465">
        <f>H483+H484</f>
        <v>96361.810437099994</v>
      </c>
    </row>
    <row r="486" spans="1:8">
      <c r="A486" s="383"/>
      <c r="B486" s="383"/>
      <c r="C486" s="468"/>
      <c r="D486" s="385"/>
      <c r="E486" s="383"/>
      <c r="F486" s="383"/>
      <c r="G486" s="383"/>
      <c r="H486" s="383"/>
    </row>
    <row r="487" spans="1:8">
      <c r="A487" s="383"/>
      <c r="B487" s="383"/>
      <c r="C487" s="468"/>
      <c r="D487" s="385"/>
      <c r="E487" s="383"/>
      <c r="F487" s="383"/>
      <c r="G487" s="383"/>
      <c r="H487" s="383"/>
    </row>
    <row r="488" spans="1:8">
      <c r="A488" s="383"/>
      <c r="B488" s="383"/>
      <c r="C488" s="468"/>
      <c r="D488" s="385"/>
      <c r="E488" s="383"/>
      <c r="F488" s="383"/>
      <c r="G488" s="383"/>
      <c r="H488" s="386"/>
    </row>
    <row r="489" spans="1:8">
      <c r="A489" s="383"/>
      <c r="B489" s="383"/>
      <c r="C489" s="468"/>
      <c r="D489" s="385"/>
      <c r="E489" s="383"/>
      <c r="F489" s="383"/>
      <c r="G489" s="383"/>
      <c r="H489" s="383"/>
    </row>
    <row r="490" spans="1:8">
      <c r="A490" s="383"/>
      <c r="B490" s="383"/>
      <c r="C490" s="468"/>
      <c r="D490" s="385"/>
      <c r="E490" s="383"/>
      <c r="F490" s="383"/>
      <c r="G490" s="383"/>
      <c r="H490" s="383"/>
    </row>
    <row r="491" spans="1:8">
      <c r="A491" s="383"/>
      <c r="B491" s="383"/>
      <c r="C491" s="468"/>
      <c r="D491" s="385"/>
      <c r="E491" s="383"/>
      <c r="F491" s="383"/>
      <c r="G491" s="383"/>
      <c r="H491" s="386"/>
    </row>
    <row r="492" spans="1:8">
      <c r="A492" s="383"/>
      <c r="B492" s="383"/>
      <c r="C492" s="468"/>
      <c r="D492" s="385"/>
      <c r="E492" s="383"/>
      <c r="F492" s="383"/>
      <c r="G492" s="383"/>
      <c r="H492" s="383"/>
    </row>
    <row r="493" spans="1:8">
      <c r="A493" s="383"/>
      <c r="B493" s="383"/>
      <c r="C493" s="468"/>
      <c r="D493" s="385"/>
      <c r="E493" s="383"/>
      <c r="F493" s="383"/>
      <c r="G493" s="383"/>
      <c r="H493" s="386"/>
    </row>
    <row r="494" spans="1:8">
      <c r="A494" s="383"/>
      <c r="B494" s="383"/>
      <c r="C494" s="468"/>
      <c r="D494" s="385"/>
      <c r="E494" s="383"/>
      <c r="F494" s="383"/>
      <c r="G494" s="383"/>
      <c r="H494" s="383"/>
    </row>
    <row r="495" spans="1:8">
      <c r="A495" s="383"/>
      <c r="B495" s="383"/>
      <c r="C495" s="468"/>
      <c r="D495" s="385"/>
      <c r="E495" s="383"/>
      <c r="F495" s="383"/>
      <c r="G495" s="383"/>
      <c r="H495" s="383"/>
    </row>
    <row r="496" spans="1:8">
      <c r="A496" s="383"/>
      <c r="B496" s="383"/>
      <c r="C496" s="468"/>
      <c r="D496" s="385"/>
      <c r="E496" s="383"/>
      <c r="F496" s="383"/>
      <c r="G496" s="383"/>
      <c r="H496" s="383"/>
    </row>
    <row r="497" spans="1:8">
      <c r="A497" s="383"/>
      <c r="B497" s="383"/>
      <c r="C497" s="468"/>
      <c r="D497" s="385"/>
      <c r="E497" s="383"/>
      <c r="F497" s="383"/>
      <c r="G497" s="383"/>
      <c r="H497" s="383"/>
    </row>
    <row r="498" spans="1:8">
      <c r="A498" s="383"/>
      <c r="B498" s="383"/>
      <c r="C498" s="468"/>
      <c r="D498" s="385"/>
      <c r="E498" s="383"/>
      <c r="F498" s="383"/>
      <c r="G498" s="383"/>
      <c r="H498" s="383"/>
    </row>
    <row r="499" spans="1:8">
      <c r="A499" s="383"/>
      <c r="B499" s="383"/>
      <c r="C499" s="468"/>
      <c r="D499" s="385"/>
      <c r="E499" s="383"/>
      <c r="F499" s="383"/>
      <c r="G499" s="383"/>
      <c r="H499" s="383"/>
    </row>
    <row r="500" spans="1:8">
      <c r="A500" s="383"/>
      <c r="B500" s="383"/>
      <c r="C500" s="468"/>
      <c r="D500" s="385"/>
      <c r="E500" s="383"/>
      <c r="F500" s="383"/>
      <c r="G500" s="383"/>
      <c r="H500" s="383"/>
    </row>
    <row r="501" spans="1:8">
      <c r="A501" s="383"/>
      <c r="B501" s="383"/>
      <c r="C501" s="468"/>
      <c r="D501" s="385"/>
      <c r="E501" s="383"/>
      <c r="F501" s="383"/>
      <c r="G501" s="383"/>
      <c r="H501" s="383"/>
    </row>
    <row r="502" spans="1:8">
      <c r="A502" s="383"/>
      <c r="B502" s="383"/>
      <c r="C502" s="468"/>
      <c r="D502" s="385"/>
      <c r="E502" s="383"/>
      <c r="F502" s="383"/>
      <c r="G502" s="383"/>
      <c r="H502" s="383"/>
    </row>
    <row r="503" spans="1:8">
      <c r="A503" s="383"/>
      <c r="B503" s="383"/>
      <c r="C503" s="468"/>
      <c r="D503" s="385"/>
      <c r="E503" s="383"/>
      <c r="F503" s="383"/>
      <c r="G503" s="383"/>
      <c r="H503" s="383"/>
    </row>
    <row r="504" spans="1:8">
      <c r="A504" s="383"/>
      <c r="B504" s="383"/>
      <c r="C504" s="468"/>
      <c r="D504" s="385"/>
      <c r="E504" s="383"/>
      <c r="F504" s="383"/>
      <c r="G504" s="383"/>
      <c r="H504" s="383"/>
    </row>
    <row r="505" spans="1:8">
      <c r="A505" s="383"/>
      <c r="B505" s="383"/>
      <c r="C505" s="468"/>
      <c r="D505" s="385"/>
      <c r="E505" s="383"/>
      <c r="F505" s="383"/>
      <c r="G505" s="383"/>
      <c r="H505" s="383"/>
    </row>
    <row r="506" spans="1:8">
      <c r="A506" s="383"/>
      <c r="B506" s="383"/>
      <c r="C506" s="468"/>
      <c r="D506" s="385"/>
      <c r="E506" s="383"/>
      <c r="F506" s="383"/>
      <c r="G506" s="383"/>
      <c r="H506" s="383"/>
    </row>
    <row r="507" spans="1:8">
      <c r="A507" s="383"/>
      <c r="B507" s="383"/>
      <c r="C507" s="468"/>
      <c r="D507" s="385"/>
      <c r="E507" s="383"/>
      <c r="F507" s="383"/>
      <c r="G507" s="383"/>
      <c r="H507" s="383"/>
    </row>
    <row r="508" spans="1:8">
      <c r="A508" s="383"/>
      <c r="B508" s="383"/>
      <c r="C508" s="383"/>
      <c r="D508" s="383"/>
      <c r="E508" s="383"/>
      <c r="F508" s="383"/>
      <c r="G508" s="383"/>
      <c r="H508" s="383"/>
    </row>
    <row r="509" spans="1:8">
      <c r="A509" s="383"/>
      <c r="B509" s="383"/>
      <c r="C509" s="383"/>
      <c r="D509" s="383"/>
      <c r="E509" s="383"/>
      <c r="F509" s="383"/>
      <c r="G509" s="383"/>
      <c r="H509" s="383"/>
    </row>
    <row r="510" spans="1:8">
      <c r="A510" s="383"/>
      <c r="B510" s="383"/>
      <c r="C510" s="383"/>
      <c r="D510" s="383"/>
      <c r="E510" s="383"/>
      <c r="F510" s="383"/>
      <c r="G510" s="383"/>
      <c r="H510" s="383"/>
    </row>
    <row r="511" spans="1:8">
      <c r="A511" s="383"/>
      <c r="B511" s="383"/>
      <c r="C511" s="383"/>
      <c r="D511" s="383"/>
      <c r="E511" s="383"/>
      <c r="F511" s="383"/>
      <c r="G511" s="383"/>
      <c r="H511" s="383"/>
    </row>
    <row r="512" spans="1:8">
      <c r="A512" s="383"/>
      <c r="B512" s="383"/>
      <c r="C512" s="383"/>
      <c r="D512" s="383"/>
      <c r="E512" s="383"/>
      <c r="F512" s="383"/>
      <c r="G512" s="383"/>
      <c r="H512" s="383"/>
    </row>
    <row r="513" spans="1:8">
      <c r="A513" s="383"/>
      <c r="B513" s="383"/>
      <c r="C513" s="383"/>
      <c r="D513" s="383"/>
      <c r="E513" s="383"/>
      <c r="F513" s="383"/>
      <c r="G513" s="383"/>
      <c r="H513" s="383"/>
    </row>
    <row r="514" spans="1:8">
      <c r="A514" s="383"/>
      <c r="B514" s="383"/>
      <c r="C514" s="383"/>
      <c r="D514" s="383"/>
      <c r="E514" s="383"/>
      <c r="F514" s="383"/>
      <c r="G514" s="383"/>
      <c r="H514" s="383"/>
    </row>
    <row r="515" spans="1:8">
      <c r="A515" s="383"/>
      <c r="B515" s="383"/>
      <c r="C515" s="383"/>
      <c r="D515" s="383"/>
      <c r="E515" s="383"/>
      <c r="F515" s="383"/>
      <c r="G515" s="383"/>
      <c r="H515" s="383"/>
    </row>
    <row r="516" spans="1:8">
      <c r="A516" s="383"/>
      <c r="B516" s="383"/>
      <c r="C516" s="383"/>
      <c r="D516" s="383"/>
      <c r="E516" s="383"/>
      <c r="F516" s="383"/>
      <c r="G516" s="383"/>
      <c r="H516" s="383"/>
    </row>
    <row r="517" spans="1:8">
      <c r="A517" s="383"/>
      <c r="B517" s="383"/>
      <c r="C517" s="383"/>
      <c r="D517" s="383"/>
      <c r="E517" s="383"/>
      <c r="F517" s="383"/>
      <c r="G517" s="383"/>
      <c r="H517" s="383"/>
    </row>
    <row r="518" spans="1:8">
      <c r="A518" s="383"/>
      <c r="B518" s="383"/>
      <c r="C518" s="383"/>
      <c r="D518" s="383"/>
      <c r="E518" s="383"/>
      <c r="F518" s="383"/>
      <c r="G518" s="383"/>
      <c r="H518" s="383"/>
    </row>
    <row r="519" spans="1:8">
      <c r="A519" s="383"/>
      <c r="B519" s="383"/>
      <c r="C519" s="383"/>
      <c r="D519" s="383"/>
      <c r="E519" s="383"/>
      <c r="F519" s="383"/>
      <c r="G519" s="383"/>
      <c r="H519" s="383"/>
    </row>
    <row r="520" spans="1:8">
      <c r="A520" s="383"/>
      <c r="B520" s="383"/>
      <c r="C520" s="383"/>
      <c r="D520" s="383"/>
      <c r="E520" s="383"/>
      <c r="F520" s="383"/>
      <c r="G520" s="383"/>
      <c r="H520" s="383"/>
    </row>
    <row r="521" spans="1:8">
      <c r="A521" s="383"/>
      <c r="B521" s="383"/>
      <c r="C521" s="383"/>
      <c r="D521" s="383"/>
      <c r="E521" s="383"/>
      <c r="F521" s="383"/>
      <c r="G521" s="383"/>
      <c r="H521" s="383"/>
    </row>
    <row r="522" spans="1:8">
      <c r="A522" s="383"/>
      <c r="B522" s="383"/>
      <c r="C522" s="383"/>
      <c r="D522" s="383"/>
      <c r="E522" s="383"/>
      <c r="F522" s="383"/>
      <c r="G522" s="383"/>
      <c r="H522" s="383"/>
    </row>
    <row r="523" spans="1:8">
      <c r="A523" s="383"/>
      <c r="B523" s="383"/>
      <c r="C523" s="383"/>
      <c r="D523" s="383"/>
      <c r="E523" s="383"/>
      <c r="F523" s="383"/>
      <c r="G523" s="383"/>
      <c r="H523" s="383"/>
    </row>
    <row r="524" spans="1:8">
      <c r="A524" s="383"/>
      <c r="B524" s="383"/>
      <c r="C524" s="383"/>
      <c r="D524" s="383"/>
      <c r="E524" s="383"/>
      <c r="F524" s="383"/>
      <c r="G524" s="383"/>
      <c r="H524" s="383"/>
    </row>
    <row r="525" spans="1:8">
      <c r="A525" s="383"/>
      <c r="B525" s="383"/>
      <c r="C525" s="383"/>
      <c r="D525" s="383"/>
      <c r="E525" s="383"/>
      <c r="F525" s="383"/>
      <c r="G525" s="383"/>
      <c r="H525" s="383"/>
    </row>
    <row r="526" spans="1:8">
      <c r="A526" s="383"/>
      <c r="B526" s="383"/>
      <c r="C526" s="383"/>
      <c r="D526" s="383"/>
      <c r="E526" s="383"/>
      <c r="F526" s="383"/>
      <c r="G526" s="383"/>
      <c r="H526" s="383"/>
    </row>
    <row r="527" spans="1:8">
      <c r="A527" s="383"/>
      <c r="B527" s="383"/>
      <c r="C527" s="383"/>
      <c r="D527" s="383"/>
      <c r="E527" s="383"/>
      <c r="F527" s="383"/>
      <c r="G527" s="383"/>
      <c r="H527" s="383"/>
    </row>
    <row r="528" spans="1:8">
      <c r="A528" s="383"/>
      <c r="B528" s="383"/>
      <c r="C528" s="383"/>
      <c r="D528" s="383"/>
      <c r="E528" s="383"/>
      <c r="F528" s="383"/>
      <c r="G528" s="383"/>
      <c r="H528" s="383"/>
    </row>
    <row r="529" spans="1:8">
      <c r="A529" s="383"/>
      <c r="B529" s="383"/>
      <c r="C529" s="383"/>
      <c r="D529" s="383"/>
      <c r="E529" s="383"/>
      <c r="F529" s="383"/>
      <c r="G529" s="383"/>
      <c r="H529" s="383"/>
    </row>
    <row r="530" spans="1:8">
      <c r="A530" s="383"/>
      <c r="B530" s="383"/>
      <c r="C530" s="383"/>
      <c r="D530" s="383"/>
      <c r="E530" s="383"/>
      <c r="F530" s="383"/>
      <c r="G530" s="383"/>
      <c r="H530" s="383"/>
    </row>
    <row r="531" spans="1:8">
      <c r="A531" s="383"/>
      <c r="B531" s="383"/>
      <c r="C531" s="383"/>
      <c r="D531" s="383"/>
      <c r="E531" s="383"/>
      <c r="F531" s="383"/>
      <c r="G531" s="383"/>
      <c r="H531" s="383"/>
    </row>
    <row r="532" spans="1:8">
      <c r="A532" s="383"/>
      <c r="B532" s="383"/>
      <c r="C532" s="383"/>
      <c r="D532" s="383"/>
      <c r="E532" s="383"/>
      <c r="F532" s="383"/>
      <c r="G532" s="383"/>
      <c r="H532" s="383"/>
    </row>
    <row r="533" spans="1:8">
      <c r="A533" s="383"/>
      <c r="B533" s="383"/>
      <c r="C533" s="383"/>
      <c r="D533" s="383"/>
      <c r="E533" s="383"/>
      <c r="F533" s="383"/>
      <c r="G533" s="383"/>
      <c r="H533" s="383"/>
    </row>
    <row r="534" spans="1:8">
      <c r="A534" s="383"/>
      <c r="B534" s="383"/>
      <c r="C534" s="383"/>
      <c r="D534" s="383"/>
      <c r="E534" s="383"/>
      <c r="F534" s="383"/>
      <c r="G534" s="383"/>
      <c r="H534" s="383"/>
    </row>
    <row r="535" spans="1:8">
      <c r="A535" s="383"/>
      <c r="B535" s="383"/>
      <c r="C535" s="383"/>
      <c r="D535" s="383"/>
      <c r="E535" s="383"/>
      <c r="F535" s="383"/>
      <c r="G535" s="383"/>
      <c r="H535" s="383"/>
    </row>
    <row r="536" spans="1:8">
      <c r="A536" s="383"/>
      <c r="B536" s="383"/>
      <c r="C536" s="383"/>
      <c r="D536" s="383"/>
      <c r="E536" s="383"/>
      <c r="F536" s="383"/>
      <c r="G536" s="383"/>
      <c r="H536" s="383"/>
    </row>
    <row r="537" spans="1:8">
      <c r="A537" s="383"/>
      <c r="B537" s="383"/>
      <c r="C537" s="383"/>
      <c r="D537" s="383"/>
      <c r="E537" s="383"/>
      <c r="F537" s="383"/>
      <c r="G537" s="383"/>
      <c r="H537" s="383"/>
    </row>
    <row r="538" spans="1:8">
      <c r="A538" s="383"/>
      <c r="B538" s="383"/>
      <c r="C538" s="383"/>
      <c r="D538" s="383"/>
      <c r="E538" s="383"/>
      <c r="F538" s="383"/>
      <c r="G538" s="383"/>
      <c r="H538" s="383"/>
    </row>
    <row r="539" spans="1:8">
      <c r="A539" s="383"/>
      <c r="B539" s="383"/>
      <c r="C539" s="383"/>
      <c r="D539" s="383"/>
      <c r="E539" s="383"/>
      <c r="F539" s="383"/>
      <c r="G539" s="383"/>
      <c r="H539" s="383"/>
    </row>
    <row r="540" spans="1:8">
      <c r="A540" s="383"/>
      <c r="B540" s="383"/>
      <c r="C540" s="383"/>
      <c r="D540" s="383"/>
      <c r="E540" s="383"/>
      <c r="F540" s="383"/>
      <c r="G540" s="383"/>
      <c r="H540" s="383"/>
    </row>
    <row r="541" spans="1:8">
      <c r="A541" s="383"/>
      <c r="B541" s="383"/>
      <c r="C541" s="383"/>
      <c r="D541" s="383"/>
      <c r="E541" s="383"/>
      <c r="F541" s="383"/>
      <c r="G541" s="383"/>
      <c r="H541" s="383"/>
    </row>
    <row r="542" spans="1:8">
      <c r="A542" s="383"/>
      <c r="B542" s="383"/>
      <c r="C542" s="383"/>
      <c r="D542" s="383"/>
      <c r="E542" s="383"/>
      <c r="F542" s="383"/>
      <c r="G542" s="383"/>
      <c r="H542" s="383"/>
    </row>
    <row r="543" spans="1:8">
      <c r="A543" s="383"/>
      <c r="B543" s="383"/>
      <c r="C543" s="383"/>
      <c r="D543" s="383"/>
      <c r="E543" s="383"/>
      <c r="F543" s="383"/>
      <c r="G543" s="383"/>
      <c r="H543" s="383"/>
    </row>
    <row r="544" spans="1:8">
      <c r="A544" s="383"/>
      <c r="B544" s="383"/>
      <c r="C544" s="383"/>
      <c r="D544" s="383"/>
      <c r="E544" s="383"/>
      <c r="F544" s="383"/>
      <c r="G544" s="383"/>
      <c r="H544" s="383"/>
    </row>
    <row r="545" spans="1:8">
      <c r="A545" s="383"/>
      <c r="B545" s="383"/>
      <c r="C545" s="383"/>
      <c r="D545" s="383"/>
      <c r="E545" s="383"/>
      <c r="F545" s="383"/>
      <c r="G545" s="383"/>
      <c r="H545" s="383"/>
    </row>
    <row r="546" spans="1:8">
      <c r="A546" s="383"/>
      <c r="B546" s="383"/>
      <c r="C546" s="383"/>
      <c r="D546" s="383"/>
      <c r="E546" s="383"/>
      <c r="F546" s="383"/>
      <c r="G546" s="383"/>
      <c r="H546" s="383"/>
    </row>
    <row r="547" spans="1:8">
      <c r="A547" s="383"/>
      <c r="B547" s="383"/>
      <c r="C547" s="383"/>
      <c r="D547" s="383"/>
      <c r="E547" s="383"/>
      <c r="F547" s="383"/>
      <c r="G547" s="383"/>
      <c r="H547" s="383"/>
    </row>
    <row r="548" spans="1:8">
      <c r="A548" s="383"/>
      <c r="B548" s="383"/>
      <c r="C548" s="383"/>
      <c r="D548" s="383"/>
      <c r="E548" s="383"/>
      <c r="F548" s="383"/>
      <c r="G548" s="383"/>
      <c r="H548" s="383"/>
    </row>
    <row r="549" spans="1:8">
      <c r="A549" s="383"/>
      <c r="B549" s="383"/>
      <c r="C549" s="383"/>
      <c r="D549" s="383"/>
      <c r="E549" s="383"/>
      <c r="F549" s="383"/>
      <c r="G549" s="383"/>
      <c r="H549" s="383"/>
    </row>
    <row r="550" spans="1:8">
      <c r="A550" s="383"/>
      <c r="B550" s="383"/>
      <c r="C550" s="383"/>
      <c r="D550" s="383"/>
      <c r="E550" s="383"/>
      <c r="F550" s="383"/>
      <c r="G550" s="383"/>
      <c r="H550" s="383"/>
    </row>
    <row r="551" spans="1:8">
      <c r="A551" s="383"/>
      <c r="B551" s="383"/>
      <c r="C551" s="383"/>
      <c r="D551" s="383"/>
      <c r="E551" s="383"/>
      <c r="F551" s="383"/>
      <c r="G551" s="383"/>
      <c r="H551" s="383"/>
    </row>
    <row r="552" spans="1:8">
      <c r="A552" s="383"/>
      <c r="B552" s="383"/>
      <c r="C552" s="383"/>
      <c r="D552" s="383"/>
      <c r="E552" s="383"/>
      <c r="F552" s="383"/>
      <c r="G552" s="383"/>
      <c r="H552" s="383"/>
    </row>
    <row r="553" spans="1:8">
      <c r="A553" s="383"/>
      <c r="B553" s="383"/>
      <c r="C553" s="383"/>
      <c r="D553" s="383"/>
      <c r="E553" s="383"/>
      <c r="F553" s="383"/>
      <c r="G553" s="383"/>
      <c r="H553" s="383"/>
    </row>
    <row r="554" spans="1:8">
      <c r="A554" s="383"/>
      <c r="B554" s="383"/>
      <c r="C554" s="383"/>
      <c r="D554" s="383"/>
      <c r="E554" s="383"/>
      <c r="F554" s="383"/>
      <c r="G554" s="383"/>
      <c r="H554" s="383"/>
    </row>
    <row r="555" spans="1:8">
      <c r="A555" s="383"/>
      <c r="B555" s="383"/>
      <c r="C555" s="383"/>
      <c r="D555" s="383"/>
      <c r="E555" s="383"/>
      <c r="F555" s="383"/>
      <c r="G555" s="383"/>
      <c r="H555" s="383"/>
    </row>
    <row r="556" spans="1:8">
      <c r="A556" s="383"/>
      <c r="B556" s="383"/>
      <c r="C556" s="383"/>
      <c r="D556" s="383"/>
      <c r="E556" s="383"/>
      <c r="F556" s="383"/>
      <c r="G556" s="383"/>
      <c r="H556" s="383"/>
    </row>
    <row r="557" spans="1:8">
      <c r="A557" s="383"/>
      <c r="B557" s="383"/>
      <c r="C557" s="383"/>
      <c r="D557" s="383"/>
      <c r="E557" s="383"/>
      <c r="F557" s="383"/>
      <c r="G557" s="383"/>
      <c r="H557" s="383"/>
    </row>
    <row r="558" spans="1:8">
      <c r="A558" s="383"/>
      <c r="B558" s="383"/>
      <c r="C558" s="383"/>
      <c r="D558" s="383"/>
      <c r="E558" s="383"/>
      <c r="F558" s="383"/>
      <c r="G558" s="383"/>
      <c r="H558" s="383"/>
    </row>
    <row r="559" spans="1:8">
      <c r="A559" s="383"/>
      <c r="B559" s="383"/>
      <c r="C559" s="383"/>
      <c r="D559" s="383"/>
      <c r="E559" s="383"/>
      <c r="F559" s="383"/>
      <c r="G559" s="383"/>
      <c r="H559" s="383"/>
    </row>
    <row r="560" spans="1:8">
      <c r="A560" s="383"/>
      <c r="B560" s="383"/>
      <c r="C560" s="383"/>
      <c r="D560" s="383"/>
      <c r="E560" s="383"/>
      <c r="F560" s="383"/>
      <c r="G560" s="383"/>
      <c r="H560" s="383"/>
    </row>
    <row r="561" spans="1:8">
      <c r="A561" s="383"/>
      <c r="B561" s="383"/>
      <c r="C561" s="383"/>
      <c r="D561" s="383"/>
      <c r="E561" s="383"/>
      <c r="F561" s="383"/>
      <c r="G561" s="383"/>
      <c r="H561" s="383"/>
    </row>
    <row r="562" spans="1:8">
      <c r="A562" s="383"/>
      <c r="B562" s="383"/>
      <c r="C562" s="383"/>
      <c r="D562" s="383"/>
      <c r="E562" s="383"/>
      <c r="F562" s="383"/>
      <c r="G562" s="383"/>
      <c r="H562" s="383"/>
    </row>
    <row r="563" spans="1:8">
      <c r="A563" s="383"/>
      <c r="B563" s="383"/>
      <c r="C563" s="383"/>
      <c r="D563" s="383"/>
      <c r="E563" s="383"/>
      <c r="F563" s="383"/>
      <c r="G563" s="383"/>
      <c r="H563" s="383"/>
    </row>
    <row r="564" spans="1:8">
      <c r="A564" s="383"/>
      <c r="B564" s="383"/>
      <c r="C564" s="383"/>
      <c r="D564" s="383"/>
      <c r="E564" s="383"/>
      <c r="F564" s="383"/>
      <c r="G564" s="383"/>
      <c r="H564" s="383"/>
    </row>
    <row r="565" spans="1:8">
      <c r="A565" s="383"/>
      <c r="B565" s="383"/>
      <c r="C565" s="383"/>
      <c r="D565" s="383"/>
      <c r="E565" s="383"/>
      <c r="F565" s="383"/>
      <c r="G565" s="383"/>
      <c r="H565" s="383"/>
    </row>
    <row r="566" spans="1:8">
      <c r="A566" s="383"/>
      <c r="B566" s="383"/>
      <c r="C566" s="383"/>
      <c r="D566" s="383"/>
      <c r="E566" s="383"/>
      <c r="F566" s="383"/>
      <c r="G566" s="383"/>
      <c r="H566" s="383"/>
    </row>
    <row r="567" spans="1:8">
      <c r="A567" s="383"/>
      <c r="B567" s="383"/>
      <c r="C567" s="383"/>
      <c r="D567" s="383"/>
      <c r="E567" s="383"/>
      <c r="F567" s="383"/>
      <c r="G567" s="383"/>
      <c r="H567" s="383"/>
    </row>
    <row r="568" spans="1:8">
      <c r="A568" s="383"/>
      <c r="B568" s="383"/>
      <c r="C568" s="383"/>
      <c r="D568" s="383"/>
      <c r="E568" s="383"/>
      <c r="F568" s="383"/>
      <c r="G568" s="383"/>
      <c r="H568" s="383"/>
    </row>
    <row r="569" spans="1:8">
      <c r="A569" s="383"/>
      <c r="B569" s="383"/>
      <c r="C569" s="383"/>
      <c r="D569" s="383"/>
      <c r="E569" s="383"/>
      <c r="F569" s="383"/>
      <c r="G569" s="383"/>
      <c r="H569" s="383"/>
    </row>
    <row r="570" spans="1:8">
      <c r="A570" s="383"/>
      <c r="B570" s="383"/>
      <c r="C570" s="383"/>
      <c r="D570" s="383"/>
      <c r="E570" s="383"/>
      <c r="F570" s="383"/>
      <c r="G570" s="383"/>
      <c r="H570" s="383"/>
    </row>
    <row r="571" spans="1:8">
      <c r="A571" s="383"/>
      <c r="B571" s="383"/>
      <c r="C571" s="383"/>
      <c r="D571" s="383"/>
      <c r="E571" s="383"/>
      <c r="F571" s="383"/>
      <c r="G571" s="383"/>
      <c r="H571" s="383"/>
    </row>
    <row r="572" spans="1:8">
      <c r="A572" s="383"/>
      <c r="B572" s="383"/>
      <c r="C572" s="383"/>
      <c r="D572" s="383"/>
      <c r="E572" s="383"/>
      <c r="F572" s="383"/>
      <c r="G572" s="383"/>
      <c r="H572" s="383"/>
    </row>
    <row r="573" spans="1:8">
      <c r="A573" s="383"/>
      <c r="B573" s="383"/>
      <c r="C573" s="383"/>
      <c r="D573" s="383"/>
      <c r="E573" s="383"/>
      <c r="F573" s="383"/>
      <c r="G573" s="383"/>
      <c r="H573" s="383"/>
    </row>
    <row r="574" spans="1:8">
      <c r="A574" s="383"/>
      <c r="B574" s="383"/>
      <c r="C574" s="383"/>
      <c r="D574" s="383"/>
      <c r="E574" s="383"/>
      <c r="F574" s="383"/>
      <c r="G574" s="383"/>
      <c r="H574" s="383"/>
    </row>
    <row r="575" spans="1:8">
      <c r="A575" s="383"/>
      <c r="B575" s="383"/>
      <c r="C575" s="383"/>
      <c r="D575" s="383"/>
      <c r="E575" s="383"/>
      <c r="F575" s="383"/>
      <c r="G575" s="383"/>
      <c r="H575" s="383"/>
    </row>
    <row r="576" spans="1:8">
      <c r="A576" s="383"/>
      <c r="B576" s="383"/>
      <c r="C576" s="383"/>
      <c r="D576" s="383"/>
      <c r="E576" s="383"/>
      <c r="F576" s="383"/>
      <c r="G576" s="383"/>
      <c r="H576" s="383"/>
    </row>
    <row r="577" spans="1:8">
      <c r="A577" s="383"/>
      <c r="B577" s="383"/>
      <c r="C577" s="383"/>
      <c r="D577" s="383"/>
      <c r="E577" s="383"/>
      <c r="F577" s="383"/>
      <c r="G577" s="383"/>
      <c r="H577" s="383"/>
    </row>
    <row r="578" spans="1:8">
      <c r="A578" s="383"/>
      <c r="B578" s="383"/>
      <c r="C578" s="383"/>
      <c r="D578" s="383"/>
      <c r="E578" s="383"/>
      <c r="F578" s="383"/>
      <c r="G578" s="383"/>
      <c r="H578" s="383"/>
    </row>
    <row r="579" spans="1:8">
      <c r="A579" s="383"/>
      <c r="B579" s="383"/>
      <c r="C579" s="383"/>
      <c r="D579" s="383"/>
      <c r="E579" s="383"/>
      <c r="F579" s="383"/>
      <c r="G579" s="383"/>
      <c r="H579" s="383"/>
    </row>
    <row r="580" spans="1:8">
      <c r="A580" s="383"/>
      <c r="B580" s="383"/>
      <c r="C580" s="383"/>
      <c r="D580" s="383"/>
      <c r="E580" s="383"/>
      <c r="F580" s="383"/>
      <c r="G580" s="383"/>
      <c r="H580" s="383"/>
    </row>
    <row r="581" spans="1:8">
      <c r="A581" s="383"/>
      <c r="B581" s="383"/>
      <c r="C581" s="383"/>
      <c r="D581" s="383"/>
      <c r="E581" s="383"/>
      <c r="F581" s="383"/>
      <c r="G581" s="383"/>
      <c r="H581" s="383"/>
    </row>
    <row r="582" spans="1:8">
      <c r="A582" s="383"/>
      <c r="B582" s="383"/>
      <c r="C582" s="383"/>
      <c r="D582" s="383"/>
      <c r="E582" s="383"/>
      <c r="F582" s="383"/>
      <c r="G582" s="383"/>
      <c r="H582" s="383"/>
    </row>
    <row r="583" spans="1:8">
      <c r="A583" s="383"/>
      <c r="B583" s="383"/>
      <c r="C583" s="383"/>
      <c r="D583" s="383"/>
      <c r="E583" s="383"/>
      <c r="F583" s="383"/>
      <c r="G583" s="383"/>
      <c r="H583" s="383"/>
    </row>
    <row r="584" spans="1:8">
      <c r="A584" s="383"/>
      <c r="B584" s="383"/>
      <c r="C584" s="383"/>
      <c r="D584" s="383"/>
      <c r="E584" s="383"/>
      <c r="F584" s="383"/>
      <c r="G584" s="383"/>
      <c r="H584" s="383"/>
    </row>
    <row r="585" spans="1:8">
      <c r="A585" s="383"/>
      <c r="B585" s="383"/>
      <c r="C585" s="383"/>
      <c r="D585" s="383"/>
      <c r="E585" s="383"/>
      <c r="F585" s="383"/>
      <c r="G585" s="383"/>
      <c r="H585" s="383"/>
    </row>
    <row r="586" spans="1:8">
      <c r="A586" s="383"/>
      <c r="B586" s="383"/>
      <c r="C586" s="383"/>
      <c r="D586" s="383"/>
      <c r="E586" s="383"/>
      <c r="F586" s="383"/>
      <c r="G586" s="383"/>
      <c r="H586" s="383"/>
    </row>
    <row r="587" spans="1:8">
      <c r="A587" s="383"/>
      <c r="B587" s="383"/>
      <c r="C587" s="383"/>
      <c r="D587" s="383"/>
      <c r="E587" s="383"/>
      <c r="F587" s="383"/>
      <c r="G587" s="383"/>
      <c r="H587" s="383"/>
    </row>
    <row r="588" spans="1:8">
      <c r="A588" s="383"/>
      <c r="B588" s="383"/>
      <c r="C588" s="383"/>
      <c r="D588" s="383"/>
      <c r="E588" s="383"/>
      <c r="F588" s="383"/>
      <c r="G588" s="383"/>
      <c r="H588" s="383"/>
    </row>
    <row r="589" spans="1:8">
      <c r="A589" s="383"/>
      <c r="B589" s="383"/>
      <c r="C589" s="383"/>
      <c r="D589" s="383"/>
      <c r="E589" s="383"/>
      <c r="F589" s="383"/>
      <c r="G589" s="383"/>
      <c r="H589" s="383"/>
    </row>
    <row r="590" spans="1:8">
      <c r="A590" s="383"/>
      <c r="B590" s="383"/>
      <c r="C590" s="383"/>
      <c r="D590" s="383"/>
      <c r="E590" s="383"/>
      <c r="F590" s="383"/>
      <c r="G590" s="383"/>
      <c r="H590" s="383"/>
    </row>
    <row r="591" spans="1:8">
      <c r="A591" s="383"/>
      <c r="B591" s="383"/>
      <c r="C591" s="383"/>
      <c r="D591" s="383"/>
      <c r="E591" s="383"/>
      <c r="F591" s="383"/>
      <c r="G591" s="383"/>
      <c r="H591" s="383"/>
    </row>
    <row r="592" spans="1:8">
      <c r="A592" s="383"/>
      <c r="B592" s="383"/>
      <c r="C592" s="383"/>
      <c r="D592" s="383"/>
      <c r="E592" s="383"/>
      <c r="F592" s="383"/>
      <c r="G592" s="383"/>
      <c r="H592" s="383"/>
    </row>
    <row r="593" spans="1:8">
      <c r="A593" s="383"/>
      <c r="B593" s="383"/>
      <c r="C593" s="383"/>
      <c r="D593" s="383"/>
      <c r="E593" s="383"/>
      <c r="F593" s="383"/>
      <c r="G593" s="383"/>
      <c r="H593" s="383"/>
    </row>
    <row r="594" spans="1:8">
      <c r="A594" s="383"/>
      <c r="B594" s="383"/>
      <c r="C594" s="383"/>
      <c r="D594" s="383"/>
      <c r="E594" s="383"/>
      <c r="F594" s="383"/>
      <c r="G594" s="383"/>
      <c r="H594" s="383"/>
    </row>
    <row r="595" spans="1:8">
      <c r="A595" s="383"/>
      <c r="B595" s="383"/>
      <c r="C595" s="383"/>
      <c r="D595" s="383"/>
      <c r="E595" s="383"/>
      <c r="F595" s="383"/>
      <c r="G595" s="383"/>
      <c r="H595" s="383"/>
    </row>
    <row r="596" spans="1:8">
      <c r="A596" s="383"/>
      <c r="B596" s="383"/>
      <c r="C596" s="383"/>
      <c r="D596" s="383"/>
      <c r="E596" s="383"/>
      <c r="F596" s="383"/>
      <c r="G596" s="383"/>
      <c r="H596" s="383"/>
    </row>
    <row r="597" spans="1:8">
      <c r="A597" s="383"/>
      <c r="B597" s="383"/>
      <c r="C597" s="383"/>
      <c r="D597" s="383"/>
      <c r="E597" s="383"/>
      <c r="F597" s="383"/>
      <c r="G597" s="383"/>
      <c r="H597" s="383"/>
    </row>
    <row r="598" spans="1:8">
      <c r="A598" s="383"/>
      <c r="B598" s="383"/>
      <c r="C598" s="383"/>
      <c r="D598" s="383"/>
      <c r="E598" s="383"/>
      <c r="F598" s="383"/>
      <c r="G598" s="383"/>
      <c r="H598" s="383"/>
    </row>
    <row r="599" spans="1:8">
      <c r="A599" s="383"/>
      <c r="B599" s="383"/>
      <c r="C599" s="383"/>
      <c r="D599" s="383"/>
      <c r="E599" s="383"/>
      <c r="F599" s="383"/>
      <c r="G599" s="383"/>
      <c r="H599" s="383"/>
    </row>
    <row r="600" spans="1:8">
      <c r="A600" s="383"/>
      <c r="B600" s="383"/>
      <c r="C600" s="383"/>
      <c r="D600" s="383"/>
      <c r="E600" s="383"/>
      <c r="F600" s="383"/>
      <c r="G600" s="383"/>
      <c r="H600" s="383"/>
    </row>
    <row r="601" spans="1:8">
      <c r="A601" s="383"/>
      <c r="B601" s="383"/>
      <c r="C601" s="383"/>
      <c r="D601" s="383"/>
      <c r="E601" s="383"/>
      <c r="F601" s="383"/>
      <c r="G601" s="383"/>
      <c r="H601" s="383"/>
    </row>
    <row r="602" spans="1:8">
      <c r="A602" s="383"/>
      <c r="B602" s="383"/>
      <c r="C602" s="383"/>
      <c r="D602" s="383"/>
      <c r="E602" s="383"/>
      <c r="F602" s="383"/>
      <c r="G602" s="383"/>
      <c r="H602" s="383"/>
    </row>
    <row r="603" spans="1:8">
      <c r="A603" s="383"/>
      <c r="B603" s="383"/>
      <c r="C603" s="383"/>
      <c r="D603" s="383"/>
      <c r="E603" s="383"/>
      <c r="F603" s="383"/>
      <c r="G603" s="383"/>
      <c r="H603" s="383"/>
    </row>
    <row r="604" spans="1:8">
      <c r="A604" s="383"/>
      <c r="B604" s="383"/>
      <c r="C604" s="383"/>
      <c r="D604" s="383"/>
      <c r="E604" s="383"/>
      <c r="F604" s="383"/>
      <c r="G604" s="383"/>
      <c r="H604" s="383"/>
    </row>
    <row r="605" spans="1:8">
      <c r="A605" s="383"/>
      <c r="B605" s="383"/>
      <c r="C605" s="383"/>
      <c r="D605" s="383"/>
      <c r="E605" s="383"/>
      <c r="F605" s="383"/>
      <c r="G605" s="383"/>
      <c r="H605" s="383"/>
    </row>
    <row r="606" spans="1:8">
      <c r="A606" s="383"/>
      <c r="B606" s="383"/>
      <c r="C606" s="383"/>
      <c r="D606" s="383"/>
      <c r="E606" s="383"/>
      <c r="F606" s="383"/>
      <c r="G606" s="383"/>
      <c r="H606" s="383"/>
    </row>
    <row r="607" spans="1:8">
      <c r="A607" s="383"/>
      <c r="B607" s="383"/>
      <c r="C607" s="383"/>
      <c r="D607" s="383"/>
      <c r="E607" s="383"/>
      <c r="F607" s="383"/>
      <c r="G607" s="383"/>
      <c r="H607" s="383"/>
    </row>
    <row r="608" spans="1:8">
      <c r="A608" s="383"/>
      <c r="B608" s="383"/>
      <c r="C608" s="383"/>
      <c r="D608" s="383"/>
      <c r="E608" s="383"/>
      <c r="F608" s="383"/>
      <c r="G608" s="383"/>
      <c r="H608" s="383"/>
    </row>
    <row r="609" spans="1:8">
      <c r="A609" s="383"/>
      <c r="B609" s="383"/>
      <c r="C609" s="383"/>
      <c r="D609" s="383"/>
      <c r="E609" s="383"/>
      <c r="F609" s="383"/>
      <c r="G609" s="383"/>
      <c r="H609" s="383"/>
    </row>
    <row r="610" spans="1:8">
      <c r="A610" s="383"/>
      <c r="B610" s="383"/>
      <c r="C610" s="383"/>
      <c r="D610" s="383"/>
      <c r="E610" s="383"/>
      <c r="F610" s="383"/>
      <c r="G610" s="383"/>
      <c r="H610" s="383"/>
    </row>
    <row r="611" spans="1:8">
      <c r="A611" s="383"/>
      <c r="B611" s="383"/>
      <c r="C611" s="383"/>
      <c r="D611" s="383"/>
      <c r="E611" s="383"/>
      <c r="F611" s="383"/>
      <c r="G611" s="383"/>
      <c r="H611" s="383"/>
    </row>
    <row r="612" spans="1:8">
      <c r="A612" s="383"/>
      <c r="B612" s="383"/>
      <c r="C612" s="383"/>
      <c r="D612" s="383"/>
      <c r="E612" s="383"/>
      <c r="F612" s="383"/>
      <c r="G612" s="383"/>
      <c r="H612" s="383"/>
    </row>
    <row r="613" spans="1:8">
      <c r="A613" s="383"/>
      <c r="B613" s="383"/>
      <c r="C613" s="383"/>
      <c r="D613" s="383"/>
      <c r="E613" s="383"/>
      <c r="F613" s="383"/>
      <c r="G613" s="383"/>
      <c r="H613" s="383"/>
    </row>
    <row r="614" spans="1:8">
      <c r="A614" s="383"/>
      <c r="B614" s="383"/>
      <c r="C614" s="383"/>
      <c r="D614" s="383"/>
      <c r="E614" s="383"/>
      <c r="F614" s="383"/>
      <c r="G614" s="383"/>
      <c r="H614" s="383"/>
    </row>
    <row r="615" spans="1:8">
      <c r="A615" s="383"/>
      <c r="B615" s="383"/>
      <c r="C615" s="383"/>
      <c r="D615" s="383"/>
      <c r="E615" s="383"/>
      <c r="F615" s="383"/>
      <c r="G615" s="383"/>
      <c r="H615" s="383"/>
    </row>
    <row r="616" spans="1:8">
      <c r="A616" s="383"/>
      <c r="B616" s="383"/>
      <c r="C616" s="383"/>
      <c r="D616" s="383"/>
      <c r="E616" s="383"/>
      <c r="F616" s="383"/>
      <c r="G616" s="383"/>
      <c r="H616" s="383"/>
    </row>
    <row r="617" spans="1:8">
      <c r="A617" s="383"/>
      <c r="B617" s="383"/>
      <c r="C617" s="383"/>
      <c r="D617" s="383"/>
      <c r="E617" s="383"/>
      <c r="F617" s="383"/>
      <c r="G617" s="383"/>
      <c r="H617" s="383"/>
    </row>
    <row r="618" spans="1:8">
      <c r="A618" s="383"/>
      <c r="B618" s="383"/>
      <c r="C618" s="383"/>
      <c r="D618" s="383"/>
      <c r="E618" s="383"/>
      <c r="F618" s="383"/>
      <c r="G618" s="383"/>
      <c r="H618" s="383"/>
    </row>
    <row r="619" spans="1:8">
      <c r="A619" s="383"/>
      <c r="B619" s="383"/>
      <c r="C619" s="383"/>
      <c r="D619" s="383"/>
      <c r="E619" s="383"/>
      <c r="F619" s="383"/>
      <c r="G619" s="383"/>
      <c r="H619" s="383"/>
    </row>
    <row r="620" spans="1:8">
      <c r="A620" s="383"/>
      <c r="B620" s="383"/>
      <c r="C620" s="383"/>
      <c r="D620" s="383"/>
      <c r="E620" s="383"/>
      <c r="F620" s="383"/>
      <c r="G620" s="383"/>
      <c r="H620" s="383"/>
    </row>
    <row r="621" spans="1:8">
      <c r="A621" s="383"/>
      <c r="B621" s="383"/>
      <c r="C621" s="383"/>
      <c r="D621" s="383"/>
      <c r="E621" s="383"/>
      <c r="F621" s="383"/>
      <c r="G621" s="383"/>
      <c r="H621" s="383"/>
    </row>
    <row r="622" spans="1:8">
      <c r="A622" s="383"/>
      <c r="B622" s="383"/>
      <c r="C622" s="383"/>
      <c r="D622" s="383"/>
      <c r="E622" s="383"/>
      <c r="F622" s="383"/>
      <c r="G622" s="383"/>
      <c r="H622" s="383"/>
    </row>
    <row r="623" spans="1:8">
      <c r="A623" s="383"/>
      <c r="B623" s="383"/>
      <c r="C623" s="383"/>
      <c r="D623" s="383"/>
      <c r="E623" s="383"/>
      <c r="F623" s="383"/>
      <c r="G623" s="383"/>
      <c r="H623" s="383"/>
    </row>
    <row r="624" spans="1:8">
      <c r="A624" s="383"/>
      <c r="B624" s="383"/>
      <c r="C624" s="383"/>
      <c r="D624" s="383"/>
      <c r="E624" s="383"/>
      <c r="F624" s="383"/>
      <c r="G624" s="383"/>
      <c r="H624" s="383"/>
    </row>
    <row r="625" spans="1:8">
      <c r="A625" s="383"/>
      <c r="B625" s="383"/>
      <c r="C625" s="383"/>
      <c r="D625" s="383"/>
      <c r="E625" s="383"/>
      <c r="F625" s="383"/>
      <c r="G625" s="383"/>
      <c r="H625" s="383"/>
    </row>
    <row r="626" spans="1:8">
      <c r="A626" s="383"/>
      <c r="B626" s="383"/>
      <c r="C626" s="383"/>
      <c r="D626" s="383"/>
      <c r="E626" s="383"/>
      <c r="F626" s="383"/>
      <c r="G626" s="383"/>
      <c r="H626" s="383"/>
    </row>
    <row r="627" spans="1:8">
      <c r="A627" s="383"/>
      <c r="B627" s="383"/>
      <c r="C627" s="383"/>
      <c r="D627" s="383"/>
      <c r="E627" s="383"/>
      <c r="F627" s="383"/>
      <c r="G627" s="383"/>
      <c r="H627" s="383"/>
    </row>
    <row r="628" spans="1:8">
      <c r="A628" s="383"/>
      <c r="B628" s="383"/>
      <c r="C628" s="383"/>
      <c r="D628" s="383"/>
      <c r="E628" s="383"/>
      <c r="F628" s="383"/>
      <c r="G628" s="383"/>
      <c r="H628" s="383"/>
    </row>
    <row r="629" spans="1:8">
      <c r="A629" s="383"/>
      <c r="B629" s="383"/>
      <c r="C629" s="383"/>
      <c r="D629" s="383"/>
      <c r="E629" s="383"/>
      <c r="F629" s="383"/>
      <c r="G629" s="383"/>
      <c r="H629" s="383"/>
    </row>
    <row r="630" spans="1:8">
      <c r="A630" s="383"/>
      <c r="B630" s="383"/>
      <c r="C630" s="383"/>
      <c r="D630" s="383"/>
      <c r="E630" s="383"/>
      <c r="F630" s="383"/>
      <c r="G630" s="383"/>
      <c r="H630" s="383"/>
    </row>
    <row r="631" spans="1:8">
      <c r="A631" s="383"/>
      <c r="B631" s="383"/>
      <c r="C631" s="383"/>
      <c r="D631" s="383"/>
      <c r="E631" s="383"/>
      <c r="F631" s="383"/>
      <c r="G631" s="383"/>
      <c r="H631" s="383"/>
    </row>
    <row r="632" spans="1:8">
      <c r="A632" s="383"/>
      <c r="B632" s="383"/>
      <c r="C632" s="383"/>
      <c r="D632" s="383"/>
      <c r="E632" s="383"/>
      <c r="F632" s="383"/>
      <c r="G632" s="383"/>
      <c r="H632" s="383"/>
    </row>
    <row r="633" spans="1:8">
      <c r="A633" s="383"/>
      <c r="B633" s="383"/>
      <c r="C633" s="383"/>
      <c r="D633" s="383"/>
      <c r="E633" s="383"/>
      <c r="F633" s="383"/>
      <c r="G633" s="383"/>
      <c r="H633" s="383"/>
    </row>
    <row r="634" spans="1:8">
      <c r="A634" s="383"/>
      <c r="B634" s="383"/>
      <c r="C634" s="383"/>
      <c r="D634" s="383"/>
      <c r="E634" s="383"/>
      <c r="F634" s="383"/>
      <c r="G634" s="383"/>
      <c r="H634" s="383"/>
    </row>
    <row r="635" spans="1:8">
      <c r="A635" s="383"/>
      <c r="B635" s="383"/>
      <c r="C635" s="383"/>
      <c r="D635" s="383"/>
      <c r="E635" s="383"/>
      <c r="F635" s="383"/>
      <c r="G635" s="383"/>
      <c r="H635" s="383"/>
    </row>
    <row r="636" spans="1:8">
      <c r="A636" s="383"/>
      <c r="B636" s="383"/>
      <c r="C636" s="383"/>
      <c r="D636" s="383"/>
      <c r="E636" s="383"/>
      <c r="F636" s="383"/>
      <c r="G636" s="383"/>
      <c r="H636" s="383"/>
    </row>
    <row r="637" spans="1:8">
      <c r="A637" s="383"/>
      <c r="B637" s="383"/>
      <c r="C637" s="383"/>
      <c r="D637" s="383"/>
      <c r="E637" s="383"/>
      <c r="F637" s="383"/>
      <c r="G637" s="383"/>
      <c r="H637" s="383"/>
    </row>
    <row r="638" spans="1:8">
      <c r="A638" s="383"/>
      <c r="B638" s="383"/>
      <c r="C638" s="383"/>
      <c r="D638" s="383"/>
      <c r="E638" s="383"/>
      <c r="F638" s="383"/>
      <c r="G638" s="383"/>
      <c r="H638" s="383"/>
    </row>
    <row r="639" spans="1:8">
      <c r="A639" s="383"/>
      <c r="B639" s="383"/>
      <c r="C639" s="383"/>
      <c r="D639" s="383"/>
      <c r="E639" s="383"/>
      <c r="F639" s="383"/>
      <c r="G639" s="383"/>
      <c r="H639" s="383"/>
    </row>
    <row r="640" spans="1:8">
      <c r="A640" s="383"/>
      <c r="B640" s="383"/>
      <c r="C640" s="383"/>
      <c r="D640" s="383"/>
      <c r="E640" s="383"/>
      <c r="F640" s="383"/>
      <c r="G640" s="383"/>
      <c r="H640" s="383"/>
    </row>
    <row r="641" spans="1:8">
      <c r="A641" s="383"/>
      <c r="B641" s="383"/>
      <c r="C641" s="383"/>
      <c r="D641" s="383"/>
      <c r="E641" s="383"/>
      <c r="F641" s="383"/>
      <c r="G641" s="383"/>
      <c r="H641" s="383"/>
    </row>
    <row r="642" spans="1:8">
      <c r="A642" s="383"/>
      <c r="B642" s="383"/>
      <c r="C642" s="383"/>
      <c r="D642" s="383"/>
      <c r="E642" s="383"/>
      <c r="F642" s="383"/>
      <c r="G642" s="383"/>
      <c r="H642" s="383"/>
    </row>
    <row r="643" spans="1:8">
      <c r="A643" s="383"/>
      <c r="B643" s="383"/>
      <c r="C643" s="383"/>
      <c r="D643" s="383"/>
      <c r="E643" s="383"/>
      <c r="F643" s="383"/>
      <c r="G643" s="383"/>
      <c r="H643" s="383"/>
    </row>
    <row r="644" spans="1:8">
      <c r="A644" s="383"/>
      <c r="B644" s="383"/>
      <c r="C644" s="383"/>
      <c r="D644" s="383"/>
      <c r="E644" s="383"/>
      <c r="F644" s="383"/>
      <c r="G644" s="383"/>
      <c r="H644" s="383"/>
    </row>
    <row r="645" spans="1:8">
      <c r="A645" s="383"/>
      <c r="B645" s="383"/>
      <c r="C645" s="383"/>
      <c r="D645" s="383"/>
      <c r="E645" s="383"/>
      <c r="F645" s="383"/>
      <c r="G645" s="383"/>
      <c r="H645" s="383"/>
    </row>
    <row r="646" spans="1:8">
      <c r="A646" s="383"/>
      <c r="B646" s="383"/>
      <c r="C646" s="383"/>
      <c r="D646" s="383"/>
      <c r="E646" s="383"/>
      <c r="F646" s="383"/>
      <c r="G646" s="383"/>
      <c r="H646" s="383"/>
    </row>
    <row r="647" spans="1:8">
      <c r="A647" s="383"/>
      <c r="B647" s="383"/>
      <c r="C647" s="383"/>
      <c r="D647" s="383"/>
      <c r="E647" s="383"/>
      <c r="F647" s="383"/>
      <c r="G647" s="383"/>
      <c r="H647" s="383"/>
    </row>
    <row r="648" spans="1:8">
      <c r="A648" s="383"/>
      <c r="B648" s="383"/>
      <c r="C648" s="383"/>
      <c r="D648" s="383"/>
      <c r="E648" s="383"/>
      <c r="F648" s="383"/>
      <c r="G648" s="383"/>
      <c r="H648" s="383"/>
    </row>
    <row r="649" spans="1:8">
      <c r="A649" s="383"/>
      <c r="B649" s="383"/>
      <c r="C649" s="383"/>
      <c r="D649" s="383"/>
      <c r="E649" s="383"/>
      <c r="F649" s="383"/>
      <c r="G649" s="383"/>
      <c r="H649" s="383"/>
    </row>
    <row r="650" spans="1:8">
      <c r="A650" s="383"/>
      <c r="B650" s="383"/>
      <c r="C650" s="383"/>
      <c r="D650" s="383"/>
      <c r="E650" s="383"/>
      <c r="F650" s="383"/>
      <c r="G650" s="383"/>
      <c r="H650" s="383"/>
    </row>
    <row r="651" spans="1:8">
      <c r="A651" s="383"/>
      <c r="B651" s="383"/>
      <c r="C651" s="383"/>
      <c r="D651" s="383"/>
      <c r="E651" s="383"/>
      <c r="F651" s="383"/>
      <c r="G651" s="383"/>
      <c r="H651" s="383"/>
    </row>
    <row r="652" spans="1:8">
      <c r="A652" s="383"/>
      <c r="B652" s="383"/>
      <c r="C652" s="383"/>
      <c r="D652" s="383"/>
      <c r="E652" s="383"/>
      <c r="F652" s="383"/>
      <c r="G652" s="383"/>
      <c r="H652" s="383"/>
    </row>
    <row r="653" spans="1:8">
      <c r="A653" s="383"/>
      <c r="B653" s="383"/>
      <c r="C653" s="383"/>
      <c r="D653" s="383"/>
      <c r="E653" s="383"/>
      <c r="F653" s="383"/>
      <c r="G653" s="383"/>
      <c r="H653" s="383"/>
    </row>
    <row r="654" spans="1:8">
      <c r="A654" s="383"/>
      <c r="B654" s="383"/>
      <c r="C654" s="383"/>
      <c r="D654" s="383"/>
      <c r="E654" s="383"/>
      <c r="F654" s="383"/>
      <c r="G654" s="383"/>
      <c r="H654" s="383"/>
    </row>
    <row r="655" spans="1:8">
      <c r="A655" s="383"/>
      <c r="B655" s="383"/>
      <c r="C655" s="383"/>
      <c r="D655" s="383"/>
      <c r="E655" s="383"/>
      <c r="F655" s="383"/>
      <c r="G655" s="383"/>
      <c r="H655" s="383"/>
    </row>
    <row r="656" spans="1:8">
      <c r="A656" s="383"/>
      <c r="B656" s="383"/>
      <c r="C656" s="383"/>
      <c r="D656" s="383"/>
      <c r="E656" s="383"/>
      <c r="F656" s="383"/>
      <c r="G656" s="383"/>
      <c r="H656" s="383"/>
    </row>
    <row r="657" spans="1:8">
      <c r="A657" s="383"/>
      <c r="B657" s="383"/>
      <c r="C657" s="383"/>
      <c r="D657" s="383"/>
      <c r="E657" s="383"/>
      <c r="F657" s="383"/>
      <c r="G657" s="383"/>
      <c r="H657" s="383"/>
    </row>
    <row r="658" spans="1:8">
      <c r="A658" s="383"/>
      <c r="B658" s="383"/>
      <c r="C658" s="383"/>
      <c r="D658" s="383"/>
      <c r="E658" s="383"/>
      <c r="F658" s="383"/>
      <c r="G658" s="383"/>
      <c r="H658" s="383"/>
    </row>
    <row r="659" spans="1:8">
      <c r="A659" s="383"/>
      <c r="B659" s="383"/>
      <c r="C659" s="383"/>
      <c r="D659" s="383"/>
      <c r="E659" s="383"/>
      <c r="F659" s="383"/>
      <c r="G659" s="383"/>
      <c r="H659" s="383"/>
    </row>
    <row r="660" spans="1:8">
      <c r="A660" s="383"/>
      <c r="B660" s="383"/>
      <c r="C660" s="383"/>
      <c r="D660" s="383"/>
      <c r="E660" s="383"/>
      <c r="F660" s="383"/>
      <c r="G660" s="383"/>
      <c r="H660" s="383"/>
    </row>
    <row r="661" spans="1:8">
      <c r="A661" s="383"/>
      <c r="B661" s="383"/>
      <c r="C661" s="383"/>
      <c r="D661" s="383"/>
      <c r="E661" s="383"/>
      <c r="F661" s="383"/>
      <c r="G661" s="383"/>
      <c r="H661" s="383"/>
    </row>
    <row r="662" spans="1:8">
      <c r="A662" s="383"/>
      <c r="B662" s="383"/>
      <c r="C662" s="383"/>
      <c r="D662" s="383"/>
      <c r="E662" s="383"/>
      <c r="F662" s="383"/>
      <c r="G662" s="383"/>
      <c r="H662" s="383"/>
    </row>
    <row r="663" spans="1:8">
      <c r="A663" s="383"/>
      <c r="B663" s="383"/>
      <c r="C663" s="383"/>
      <c r="D663" s="383"/>
      <c r="E663" s="383"/>
      <c r="F663" s="383"/>
      <c r="G663" s="383"/>
      <c r="H663" s="383"/>
    </row>
    <row r="664" spans="1:8">
      <c r="A664" s="383"/>
      <c r="B664" s="383"/>
      <c r="C664" s="383"/>
      <c r="D664" s="383"/>
      <c r="E664" s="383"/>
      <c r="F664" s="383"/>
      <c r="G664" s="383"/>
      <c r="H664" s="383"/>
    </row>
    <row r="665" spans="1:8">
      <c r="A665" s="383"/>
      <c r="B665" s="383"/>
      <c r="C665" s="383"/>
      <c r="D665" s="383"/>
      <c r="E665" s="383"/>
      <c r="F665" s="383"/>
      <c r="G665" s="383"/>
      <c r="H665" s="383"/>
    </row>
    <row r="666" spans="1:8">
      <c r="A666" s="383"/>
      <c r="B666" s="383"/>
      <c r="C666" s="383"/>
      <c r="D666" s="383"/>
      <c r="E666" s="383"/>
      <c r="F666" s="383"/>
      <c r="G666" s="383"/>
      <c r="H666" s="383"/>
    </row>
    <row r="667" spans="1:8">
      <c r="A667" s="383"/>
      <c r="B667" s="383"/>
      <c r="C667" s="383"/>
      <c r="D667" s="383"/>
      <c r="E667" s="383"/>
      <c r="F667" s="383"/>
      <c r="G667" s="383"/>
      <c r="H667" s="383"/>
    </row>
    <row r="668" spans="1:8">
      <c r="A668" s="383"/>
      <c r="B668" s="383"/>
      <c r="C668" s="383"/>
      <c r="D668" s="383"/>
      <c r="E668" s="383"/>
      <c r="F668" s="383"/>
      <c r="G668" s="383"/>
      <c r="H668" s="383"/>
    </row>
    <row r="669" spans="1:8">
      <c r="A669" s="383"/>
      <c r="B669" s="383"/>
      <c r="C669" s="383"/>
      <c r="D669" s="383"/>
      <c r="E669" s="383"/>
      <c r="F669" s="383"/>
      <c r="G669" s="383"/>
      <c r="H669" s="383"/>
    </row>
    <row r="670" spans="1:8">
      <c r="A670" s="383"/>
      <c r="B670" s="383"/>
      <c r="C670" s="383"/>
      <c r="D670" s="383"/>
      <c r="E670" s="383"/>
      <c r="F670" s="383"/>
      <c r="G670" s="383"/>
      <c r="H670" s="383"/>
    </row>
    <row r="671" spans="1:8">
      <c r="A671" s="383"/>
      <c r="B671" s="383"/>
      <c r="C671" s="383"/>
      <c r="D671" s="383"/>
      <c r="E671" s="383"/>
      <c r="F671" s="383"/>
      <c r="G671" s="383"/>
      <c r="H671" s="383"/>
    </row>
    <row r="672" spans="1:8">
      <c r="A672" s="383"/>
      <c r="B672" s="383"/>
      <c r="C672" s="383"/>
      <c r="D672" s="383"/>
      <c r="E672" s="383"/>
      <c r="F672" s="383"/>
      <c r="G672" s="383"/>
      <c r="H672" s="383"/>
    </row>
    <row r="673" spans="1:8">
      <c r="A673" s="383"/>
      <c r="B673" s="383"/>
      <c r="C673" s="383"/>
      <c r="D673" s="383"/>
      <c r="E673" s="383"/>
      <c r="F673" s="383"/>
      <c r="G673" s="383"/>
      <c r="H673" s="383"/>
    </row>
    <row r="674" spans="1:8">
      <c r="A674" s="383"/>
      <c r="B674" s="383"/>
      <c r="C674" s="383"/>
      <c r="D674" s="383"/>
      <c r="E674" s="383"/>
      <c r="F674" s="383"/>
      <c r="G674" s="383"/>
      <c r="H674" s="383"/>
    </row>
    <row r="675" spans="1:8">
      <c r="A675" s="383"/>
      <c r="B675" s="383"/>
      <c r="C675" s="383"/>
      <c r="D675" s="383"/>
      <c r="E675" s="383"/>
      <c r="F675" s="383"/>
      <c r="G675" s="383"/>
      <c r="H675" s="383"/>
    </row>
    <row r="676" spans="1:8">
      <c r="A676" s="383"/>
      <c r="B676" s="383"/>
      <c r="C676" s="383"/>
      <c r="D676" s="383"/>
      <c r="E676" s="383"/>
      <c r="F676" s="383"/>
      <c r="G676" s="383"/>
      <c r="H676" s="383"/>
    </row>
    <row r="677" spans="1:8">
      <c r="A677" s="383"/>
      <c r="B677" s="383"/>
      <c r="C677" s="383"/>
      <c r="D677" s="383"/>
      <c r="E677" s="383"/>
      <c r="F677" s="383"/>
      <c r="G677" s="383"/>
      <c r="H677" s="383"/>
    </row>
    <row r="678" spans="1:8">
      <c r="A678" s="383"/>
      <c r="B678" s="383"/>
      <c r="C678" s="383"/>
      <c r="D678" s="383"/>
      <c r="E678" s="383"/>
      <c r="F678" s="383"/>
      <c r="G678" s="383"/>
      <c r="H678" s="383"/>
    </row>
    <row r="679" spans="1:8">
      <c r="A679" s="383"/>
      <c r="B679" s="383"/>
      <c r="C679" s="383"/>
      <c r="D679" s="383"/>
      <c r="E679" s="383"/>
      <c r="F679" s="383"/>
      <c r="G679" s="383"/>
      <c r="H679" s="383"/>
    </row>
    <row r="680" spans="1:8">
      <c r="A680" s="383"/>
      <c r="B680" s="383"/>
      <c r="C680" s="383"/>
      <c r="D680" s="383"/>
      <c r="E680" s="383"/>
      <c r="F680" s="383"/>
      <c r="G680" s="383"/>
      <c r="H680" s="383"/>
    </row>
    <row r="681" spans="1:8">
      <c r="A681" s="383"/>
      <c r="B681" s="383"/>
      <c r="C681" s="383"/>
      <c r="D681" s="383"/>
      <c r="E681" s="383"/>
      <c r="F681" s="383"/>
      <c r="G681" s="383"/>
      <c r="H681" s="383"/>
    </row>
    <row r="682" spans="1:8">
      <c r="A682" s="383"/>
      <c r="B682" s="383"/>
      <c r="C682" s="383"/>
      <c r="D682" s="383"/>
      <c r="E682" s="383"/>
      <c r="F682" s="383"/>
      <c r="G682" s="383"/>
      <c r="H682" s="383"/>
    </row>
    <row r="683" spans="1:8">
      <c r="A683" s="383"/>
      <c r="B683" s="383"/>
      <c r="C683" s="383"/>
      <c r="D683" s="383"/>
      <c r="E683" s="383"/>
      <c r="F683" s="383"/>
      <c r="G683" s="383"/>
      <c r="H683" s="383"/>
    </row>
    <row r="684" spans="1:8">
      <c r="A684" s="383"/>
      <c r="B684" s="383"/>
      <c r="C684" s="383"/>
      <c r="D684" s="383"/>
      <c r="E684" s="383"/>
      <c r="F684" s="383"/>
      <c r="G684" s="383"/>
      <c r="H684" s="383"/>
    </row>
    <row r="685" spans="1:8">
      <c r="A685" s="383"/>
      <c r="B685" s="383"/>
      <c r="C685" s="383"/>
      <c r="D685" s="383"/>
      <c r="E685" s="383"/>
      <c r="F685" s="383"/>
      <c r="G685" s="383"/>
      <c r="H685" s="383"/>
    </row>
    <row r="686" spans="1:8">
      <c r="A686" s="383"/>
      <c r="B686" s="383"/>
      <c r="C686" s="383"/>
      <c r="D686" s="383"/>
      <c r="E686" s="383"/>
      <c r="F686" s="383"/>
      <c r="G686" s="383"/>
      <c r="H686" s="383"/>
    </row>
    <row r="687" spans="1:8">
      <c r="A687" s="383"/>
      <c r="B687" s="383"/>
      <c r="C687" s="383"/>
      <c r="D687" s="383"/>
      <c r="E687" s="383"/>
      <c r="F687" s="383"/>
      <c r="G687" s="383"/>
      <c r="H687" s="383"/>
    </row>
    <row r="688" spans="1:8">
      <c r="A688" s="383"/>
      <c r="B688" s="383"/>
      <c r="C688" s="383"/>
      <c r="D688" s="383"/>
      <c r="E688" s="383"/>
      <c r="F688" s="383"/>
      <c r="G688" s="383"/>
      <c r="H688" s="383"/>
    </row>
    <row r="689" spans="1:8">
      <c r="A689" s="383"/>
      <c r="B689" s="383"/>
      <c r="C689" s="383"/>
      <c r="D689" s="383"/>
      <c r="E689" s="383"/>
      <c r="F689" s="383"/>
      <c r="G689" s="383"/>
      <c r="H689" s="383"/>
    </row>
    <row r="690" spans="1:8">
      <c r="A690" s="383"/>
      <c r="B690" s="383"/>
      <c r="C690" s="383"/>
      <c r="D690" s="383"/>
      <c r="E690" s="383"/>
      <c r="F690" s="383"/>
      <c r="G690" s="383"/>
      <c r="H690" s="383"/>
    </row>
    <row r="691" spans="1:8">
      <c r="A691" s="383"/>
      <c r="B691" s="383"/>
      <c r="C691" s="383"/>
      <c r="D691" s="383"/>
      <c r="E691" s="383"/>
      <c r="F691" s="383"/>
      <c r="G691" s="383"/>
      <c r="H691" s="383"/>
    </row>
    <row r="692" spans="1:8">
      <c r="A692" s="383"/>
      <c r="B692" s="383"/>
      <c r="C692" s="383"/>
      <c r="D692" s="383"/>
      <c r="E692" s="383"/>
      <c r="F692" s="383"/>
      <c r="G692" s="383"/>
      <c r="H692" s="383"/>
    </row>
    <row r="693" spans="1:8">
      <c r="A693" s="383"/>
      <c r="B693" s="383"/>
      <c r="C693" s="383"/>
      <c r="D693" s="383"/>
      <c r="E693" s="383"/>
      <c r="F693" s="383"/>
      <c r="G693" s="383"/>
      <c r="H693" s="383"/>
    </row>
    <row r="694" spans="1:8">
      <c r="A694" s="383"/>
      <c r="B694" s="383"/>
      <c r="C694" s="383"/>
      <c r="D694" s="383"/>
      <c r="E694" s="383"/>
      <c r="F694" s="383"/>
      <c r="G694" s="383"/>
      <c r="H694" s="383"/>
    </row>
    <row r="695" spans="1:8">
      <c r="A695" s="383"/>
      <c r="B695" s="383"/>
      <c r="C695" s="383"/>
      <c r="D695" s="383"/>
      <c r="E695" s="383"/>
      <c r="F695" s="383"/>
      <c r="G695" s="383"/>
      <c r="H695" s="383"/>
    </row>
    <row r="696" spans="1:8">
      <c r="A696" s="383"/>
      <c r="B696" s="383"/>
      <c r="C696" s="383"/>
      <c r="D696" s="383"/>
      <c r="E696" s="383"/>
      <c r="F696" s="383"/>
      <c r="G696" s="383"/>
      <c r="H696" s="383"/>
    </row>
    <row r="697" spans="1:8">
      <c r="A697" s="383"/>
      <c r="B697" s="383"/>
      <c r="C697" s="383"/>
      <c r="D697" s="383"/>
      <c r="E697" s="383"/>
      <c r="F697" s="383"/>
      <c r="G697" s="383"/>
      <c r="H697" s="383"/>
    </row>
    <row r="698" spans="1:8">
      <c r="A698" s="383"/>
      <c r="B698" s="383"/>
      <c r="C698" s="383"/>
      <c r="D698" s="383"/>
      <c r="E698" s="383"/>
      <c r="F698" s="383"/>
      <c r="G698" s="383"/>
      <c r="H698" s="383"/>
    </row>
    <row r="699" spans="1:8">
      <c r="A699" s="383"/>
      <c r="B699" s="383"/>
      <c r="C699" s="383"/>
      <c r="D699" s="383"/>
      <c r="E699" s="383"/>
      <c r="F699" s="383"/>
      <c r="G699" s="383"/>
      <c r="H699" s="383"/>
    </row>
    <row r="700" spans="1:8">
      <c r="A700" s="383"/>
      <c r="B700" s="383"/>
      <c r="C700" s="383"/>
      <c r="D700" s="383"/>
      <c r="E700" s="383"/>
      <c r="F700" s="383"/>
      <c r="G700" s="383"/>
      <c r="H700" s="383"/>
    </row>
    <row r="701" spans="1:8">
      <c r="A701" s="383"/>
      <c r="B701" s="383"/>
      <c r="C701" s="383"/>
      <c r="D701" s="383"/>
      <c r="E701" s="383"/>
      <c r="F701" s="383"/>
      <c r="G701" s="383"/>
      <c r="H701" s="383"/>
    </row>
    <row r="702" spans="1:8">
      <c r="A702" s="383"/>
      <c r="B702" s="383"/>
      <c r="C702" s="383"/>
      <c r="D702" s="383"/>
      <c r="E702" s="383"/>
      <c r="F702" s="383"/>
      <c r="G702" s="383"/>
      <c r="H702" s="383"/>
    </row>
    <row r="703" spans="1:8">
      <c r="A703" s="383"/>
      <c r="B703" s="383"/>
      <c r="C703" s="383"/>
      <c r="D703" s="383"/>
      <c r="E703" s="383"/>
      <c r="F703" s="383"/>
      <c r="G703" s="383"/>
      <c r="H703" s="383"/>
    </row>
    <row r="704" spans="1:8">
      <c r="A704" s="383"/>
      <c r="B704" s="383"/>
      <c r="C704" s="383"/>
      <c r="D704" s="383"/>
      <c r="E704" s="383"/>
      <c r="F704" s="383"/>
      <c r="G704" s="383"/>
      <c r="H704" s="383"/>
    </row>
    <row r="705" spans="1:8">
      <c r="A705" s="383"/>
      <c r="B705" s="383"/>
      <c r="C705" s="383"/>
      <c r="D705" s="383"/>
      <c r="E705" s="383"/>
      <c r="F705" s="383"/>
      <c r="G705" s="383"/>
      <c r="H705" s="383"/>
    </row>
    <row r="706" spans="1:8">
      <c r="A706" s="383"/>
      <c r="B706" s="383"/>
      <c r="C706" s="383"/>
      <c r="D706" s="383"/>
      <c r="E706" s="383"/>
      <c r="F706" s="383"/>
      <c r="G706" s="383"/>
      <c r="H706" s="383"/>
    </row>
    <row r="707" spans="1:8">
      <c r="A707" s="383"/>
      <c r="B707" s="383"/>
      <c r="C707" s="383"/>
      <c r="D707" s="383"/>
      <c r="E707" s="383"/>
      <c r="F707" s="383"/>
      <c r="G707" s="383"/>
      <c r="H707" s="383"/>
    </row>
    <row r="708" spans="1:8">
      <c r="A708" s="383"/>
      <c r="B708" s="383"/>
      <c r="C708" s="383"/>
      <c r="D708" s="383"/>
      <c r="E708" s="383"/>
      <c r="F708" s="383"/>
      <c r="G708" s="383"/>
      <c r="H708" s="383"/>
    </row>
    <row r="709" spans="1:8">
      <c r="A709" s="383"/>
      <c r="B709" s="383"/>
      <c r="C709" s="383"/>
      <c r="D709" s="383"/>
      <c r="E709" s="383"/>
      <c r="F709" s="383"/>
      <c r="G709" s="383"/>
      <c r="H709" s="383"/>
    </row>
    <row r="710" spans="1:8">
      <c r="A710" s="383"/>
      <c r="B710" s="383"/>
      <c r="C710" s="383"/>
      <c r="D710" s="383"/>
      <c r="E710" s="383"/>
      <c r="F710" s="383"/>
      <c r="G710" s="383"/>
      <c r="H710" s="383"/>
    </row>
    <row r="711" spans="1:8">
      <c r="A711" s="383"/>
      <c r="B711" s="383"/>
      <c r="C711" s="383"/>
      <c r="D711" s="383"/>
      <c r="E711" s="383"/>
      <c r="F711" s="383"/>
      <c r="G711" s="383"/>
      <c r="H711" s="383"/>
    </row>
    <row r="712" spans="1:8">
      <c r="A712" s="383"/>
      <c r="B712" s="383"/>
      <c r="C712" s="383"/>
      <c r="D712" s="383"/>
      <c r="E712" s="383"/>
      <c r="F712" s="383"/>
      <c r="G712" s="383"/>
      <c r="H712" s="383"/>
    </row>
    <row r="713" spans="1:8">
      <c r="A713" s="383"/>
      <c r="B713" s="383"/>
      <c r="C713" s="383"/>
      <c r="D713" s="383"/>
      <c r="E713" s="383"/>
      <c r="F713" s="383"/>
      <c r="G713" s="383"/>
      <c r="H713" s="383"/>
    </row>
    <row r="714" spans="1:8">
      <c r="A714" s="383"/>
      <c r="B714" s="383"/>
      <c r="C714" s="383"/>
      <c r="D714" s="383"/>
      <c r="E714" s="383"/>
      <c r="F714" s="383"/>
      <c r="G714" s="383"/>
      <c r="H714" s="383"/>
    </row>
    <row r="715" spans="1:8">
      <c r="A715" s="383"/>
      <c r="B715" s="383"/>
      <c r="C715" s="383"/>
      <c r="D715" s="383"/>
      <c r="E715" s="383"/>
      <c r="F715" s="383"/>
      <c r="G715" s="383"/>
      <c r="H715" s="383"/>
    </row>
    <row r="716" spans="1:8">
      <c r="A716" s="383"/>
      <c r="B716" s="383"/>
      <c r="C716" s="383"/>
      <c r="D716" s="383"/>
      <c r="E716" s="383"/>
      <c r="F716" s="383"/>
      <c r="G716" s="383"/>
      <c r="H716" s="383"/>
    </row>
    <row r="717" spans="1:8">
      <c r="A717" s="383"/>
      <c r="B717" s="383"/>
      <c r="C717" s="383"/>
      <c r="D717" s="383"/>
      <c r="E717" s="383"/>
      <c r="F717" s="383"/>
      <c r="G717" s="383"/>
      <c r="H717" s="383"/>
    </row>
    <row r="718" spans="1:8">
      <c r="A718" s="383"/>
      <c r="B718" s="383"/>
      <c r="C718" s="383"/>
      <c r="D718" s="383"/>
      <c r="E718" s="383"/>
      <c r="F718" s="383"/>
      <c r="G718" s="383"/>
      <c r="H718" s="383"/>
    </row>
    <row r="719" spans="1:8">
      <c r="A719" s="383"/>
      <c r="B719" s="383"/>
      <c r="C719" s="383"/>
      <c r="D719" s="383"/>
      <c r="E719" s="383"/>
      <c r="F719" s="383"/>
      <c r="G719" s="383"/>
      <c r="H719" s="383"/>
    </row>
    <row r="720" spans="1:8">
      <c r="A720" s="383"/>
      <c r="B720" s="383"/>
      <c r="C720" s="383"/>
      <c r="D720" s="383"/>
      <c r="E720" s="383"/>
      <c r="F720" s="383"/>
      <c r="G720" s="383"/>
      <c r="H720" s="383"/>
    </row>
    <row r="721" spans="1:8">
      <c r="A721" s="383"/>
      <c r="B721" s="383"/>
      <c r="C721" s="383"/>
      <c r="D721" s="383"/>
      <c r="E721" s="383"/>
      <c r="F721" s="383"/>
      <c r="G721" s="383"/>
      <c r="H721" s="383"/>
    </row>
    <row r="722" spans="1:8">
      <c r="A722" s="383"/>
      <c r="B722" s="383"/>
      <c r="C722" s="383"/>
      <c r="D722" s="383"/>
      <c r="E722" s="383"/>
      <c r="F722" s="383"/>
      <c r="G722" s="383"/>
      <c r="H722" s="383"/>
    </row>
    <row r="723" spans="1:8">
      <c r="A723" s="383"/>
      <c r="B723" s="383"/>
      <c r="C723" s="383"/>
      <c r="D723" s="383"/>
      <c r="E723" s="383"/>
      <c r="F723" s="383"/>
      <c r="G723" s="383"/>
      <c r="H723" s="383"/>
    </row>
    <row r="724" spans="1:8">
      <c r="A724" s="383"/>
      <c r="B724" s="383"/>
      <c r="C724" s="383"/>
      <c r="D724" s="383"/>
      <c r="E724" s="383"/>
      <c r="F724" s="383"/>
      <c r="G724" s="383"/>
      <c r="H724" s="383"/>
    </row>
    <row r="725" spans="1:8">
      <c r="A725" s="383"/>
      <c r="B725" s="383"/>
      <c r="C725" s="383"/>
      <c r="D725" s="383"/>
      <c r="E725" s="383"/>
      <c r="F725" s="383"/>
      <c r="G725" s="383"/>
      <c r="H725" s="383"/>
    </row>
    <row r="726" spans="1:8">
      <c r="A726" s="383"/>
      <c r="B726" s="383"/>
      <c r="C726" s="383"/>
      <c r="D726" s="383"/>
      <c r="E726" s="383"/>
      <c r="F726" s="383"/>
      <c r="G726" s="383"/>
      <c r="H726" s="383"/>
    </row>
    <row r="727" spans="1:8">
      <c r="A727" s="383"/>
      <c r="B727" s="383"/>
      <c r="C727" s="383"/>
      <c r="D727" s="383"/>
      <c r="E727" s="383"/>
      <c r="F727" s="383"/>
      <c r="G727" s="383"/>
      <c r="H727" s="383"/>
    </row>
    <row r="728" spans="1:8">
      <c r="A728" s="383"/>
      <c r="B728" s="383"/>
      <c r="C728" s="383"/>
      <c r="D728" s="383"/>
      <c r="E728" s="383"/>
      <c r="F728" s="383"/>
      <c r="G728" s="383"/>
      <c r="H728" s="383"/>
    </row>
    <row r="729" spans="1:8">
      <c r="A729" s="383"/>
      <c r="B729" s="383"/>
      <c r="C729" s="383"/>
      <c r="D729" s="383"/>
      <c r="E729" s="383"/>
      <c r="F729" s="383"/>
      <c r="G729" s="383"/>
      <c r="H729" s="383"/>
    </row>
    <row r="730" spans="1:8">
      <c r="A730" s="383"/>
      <c r="B730" s="383"/>
      <c r="C730" s="383"/>
      <c r="D730" s="383"/>
      <c r="E730" s="383"/>
      <c r="F730" s="383"/>
      <c r="G730" s="383"/>
      <c r="H730" s="383"/>
    </row>
    <row r="731" spans="1:8">
      <c r="A731" s="383"/>
      <c r="B731" s="383"/>
      <c r="C731" s="383"/>
      <c r="D731" s="383"/>
      <c r="E731" s="383"/>
      <c r="F731" s="383"/>
      <c r="G731" s="383"/>
      <c r="H731" s="383"/>
    </row>
    <row r="732" spans="1:8">
      <c r="A732" s="383"/>
      <c r="B732" s="383"/>
      <c r="C732" s="383"/>
      <c r="D732" s="383"/>
      <c r="E732" s="383"/>
      <c r="F732" s="383"/>
      <c r="G732" s="383"/>
      <c r="H732" s="383"/>
    </row>
    <row r="733" spans="1:8">
      <c r="A733" s="383"/>
      <c r="B733" s="383"/>
      <c r="C733" s="383"/>
      <c r="D733" s="383"/>
      <c r="E733" s="383"/>
      <c r="F733" s="383"/>
      <c r="G733" s="383"/>
      <c r="H733" s="383"/>
    </row>
    <row r="734" spans="1:8">
      <c r="A734" s="383"/>
      <c r="B734" s="383"/>
      <c r="C734" s="383"/>
      <c r="D734" s="383"/>
      <c r="E734" s="383"/>
      <c r="F734" s="383"/>
      <c r="G734" s="383"/>
      <c r="H734" s="383"/>
    </row>
    <row r="735" spans="1:8">
      <c r="A735" s="383"/>
      <c r="B735" s="383"/>
      <c r="C735" s="383"/>
      <c r="D735" s="383"/>
      <c r="E735" s="383"/>
      <c r="F735" s="383"/>
      <c r="G735" s="383"/>
      <c r="H735" s="383"/>
    </row>
    <row r="736" spans="1:8">
      <c r="A736" s="383"/>
      <c r="B736" s="383"/>
      <c r="C736" s="383"/>
      <c r="D736" s="383"/>
      <c r="E736" s="383"/>
      <c r="F736" s="383"/>
      <c r="G736" s="383"/>
      <c r="H736" s="383"/>
    </row>
    <row r="737" spans="1:8">
      <c r="A737" s="383"/>
      <c r="B737" s="383"/>
      <c r="C737" s="383"/>
      <c r="D737" s="383"/>
      <c r="E737" s="383"/>
      <c r="F737" s="383"/>
      <c r="G737" s="383"/>
      <c r="H737" s="383"/>
    </row>
    <row r="738" spans="1:8">
      <c r="A738" s="383"/>
      <c r="B738" s="383"/>
      <c r="C738" s="383"/>
      <c r="D738" s="383"/>
      <c r="E738" s="383"/>
      <c r="F738" s="383"/>
      <c r="G738" s="383"/>
      <c r="H738" s="383"/>
    </row>
    <row r="739" spans="1:8">
      <c r="A739" s="383"/>
      <c r="B739" s="383"/>
      <c r="C739" s="383"/>
      <c r="D739" s="383"/>
      <c r="E739" s="383"/>
      <c r="F739" s="383"/>
      <c r="G739" s="383"/>
      <c r="H739" s="383"/>
    </row>
    <row r="740" spans="1:8">
      <c r="A740" s="383"/>
      <c r="B740" s="383"/>
      <c r="C740" s="383"/>
      <c r="D740" s="383"/>
      <c r="E740" s="383"/>
      <c r="F740" s="383"/>
      <c r="G740" s="383"/>
      <c r="H740" s="383"/>
    </row>
    <row r="741" spans="1:8">
      <c r="A741" s="383"/>
      <c r="B741" s="383"/>
      <c r="C741" s="383"/>
      <c r="D741" s="383"/>
      <c r="E741" s="383"/>
      <c r="F741" s="383"/>
      <c r="G741" s="383"/>
      <c r="H741" s="383"/>
    </row>
    <row r="742" spans="1:8">
      <c r="A742" s="383"/>
      <c r="B742" s="383"/>
      <c r="C742" s="383"/>
      <c r="D742" s="383"/>
      <c r="E742" s="383"/>
      <c r="F742" s="383"/>
      <c r="G742" s="383"/>
      <c r="H742" s="383"/>
    </row>
    <row r="743" spans="1:8">
      <c r="A743" s="383"/>
      <c r="B743" s="383"/>
      <c r="C743" s="383"/>
      <c r="D743" s="383"/>
      <c r="E743" s="383"/>
      <c r="F743" s="383"/>
      <c r="G743" s="383"/>
      <c r="H743" s="383"/>
    </row>
    <row r="744" spans="1:8">
      <c r="A744" s="383"/>
      <c r="B744" s="383"/>
      <c r="C744" s="383"/>
      <c r="D744" s="383"/>
      <c r="E744" s="383"/>
      <c r="F744" s="383"/>
      <c r="G744" s="383"/>
      <c r="H744" s="383"/>
    </row>
    <row r="745" spans="1:8">
      <c r="A745" s="383"/>
      <c r="B745" s="383"/>
      <c r="C745" s="383"/>
      <c r="D745" s="383"/>
      <c r="E745" s="383"/>
      <c r="F745" s="383"/>
      <c r="G745" s="383"/>
      <c r="H745" s="383"/>
    </row>
    <row r="746" spans="1:8">
      <c r="A746" s="383"/>
      <c r="B746" s="383"/>
      <c r="C746" s="383"/>
      <c r="D746" s="383"/>
      <c r="E746" s="383"/>
      <c r="F746" s="383"/>
      <c r="G746" s="383"/>
      <c r="H746" s="383"/>
    </row>
    <row r="747" spans="1:8">
      <c r="A747" s="383"/>
      <c r="B747" s="383"/>
      <c r="C747" s="383"/>
      <c r="D747" s="383"/>
      <c r="E747" s="383"/>
      <c r="F747" s="383"/>
      <c r="G747" s="383"/>
      <c r="H747" s="383"/>
    </row>
    <row r="748" spans="1:8">
      <c r="A748" s="383"/>
      <c r="B748" s="383"/>
      <c r="C748" s="383"/>
      <c r="D748" s="383"/>
      <c r="E748" s="383"/>
      <c r="F748" s="383"/>
      <c r="G748" s="383"/>
      <c r="H748" s="383"/>
    </row>
    <row r="749" spans="1:8">
      <c r="A749" s="383"/>
      <c r="B749" s="383"/>
      <c r="C749" s="383"/>
      <c r="D749" s="383"/>
      <c r="E749" s="383"/>
      <c r="F749" s="383"/>
      <c r="G749" s="383"/>
      <c r="H749" s="383"/>
    </row>
    <row r="750" spans="1:8">
      <c r="A750" s="383"/>
      <c r="B750" s="383"/>
      <c r="C750" s="383"/>
      <c r="D750" s="383"/>
      <c r="E750" s="383"/>
      <c r="F750" s="383"/>
      <c r="G750" s="383"/>
      <c r="H750" s="383"/>
    </row>
    <row r="751" spans="1:8">
      <c r="A751" s="383"/>
      <c r="B751" s="383"/>
      <c r="C751" s="383"/>
      <c r="D751" s="383"/>
      <c r="E751" s="383"/>
      <c r="F751" s="383"/>
      <c r="G751" s="383"/>
      <c r="H751" s="383"/>
    </row>
    <row r="752" spans="1:8">
      <c r="A752" s="383"/>
      <c r="B752" s="383"/>
      <c r="C752" s="383"/>
      <c r="D752" s="383"/>
      <c r="E752" s="383"/>
      <c r="F752" s="383"/>
      <c r="G752" s="383"/>
      <c r="H752" s="383"/>
    </row>
    <row r="753" spans="1:8">
      <c r="A753" s="383"/>
      <c r="B753" s="383"/>
      <c r="C753" s="383"/>
      <c r="D753" s="383"/>
      <c r="E753" s="383"/>
      <c r="F753" s="383"/>
      <c r="G753" s="383"/>
      <c r="H753" s="383"/>
    </row>
    <row r="754" spans="1:8">
      <c r="A754" s="383"/>
      <c r="B754" s="383"/>
      <c r="C754" s="383"/>
      <c r="D754" s="383"/>
      <c r="E754" s="383"/>
      <c r="F754" s="383"/>
      <c r="G754" s="383"/>
      <c r="H754" s="383"/>
    </row>
    <row r="755" spans="1:8">
      <c r="A755" s="383"/>
      <c r="B755" s="383"/>
      <c r="C755" s="383"/>
      <c r="D755" s="383"/>
      <c r="E755" s="383"/>
      <c r="F755" s="383"/>
      <c r="G755" s="383"/>
      <c r="H755" s="383"/>
    </row>
    <row r="756" spans="1:8">
      <c r="A756" s="383"/>
      <c r="B756" s="383"/>
      <c r="C756" s="383"/>
      <c r="D756" s="383"/>
      <c r="E756" s="383"/>
      <c r="F756" s="383"/>
      <c r="G756" s="383"/>
      <c r="H756" s="383"/>
    </row>
    <row r="757" spans="1:8">
      <c r="A757" s="383"/>
      <c r="B757" s="383"/>
      <c r="C757" s="383"/>
      <c r="D757" s="383"/>
      <c r="E757" s="383"/>
      <c r="F757" s="383"/>
      <c r="G757" s="383"/>
      <c r="H757" s="383"/>
    </row>
    <row r="758" spans="1:8">
      <c r="A758" s="383"/>
      <c r="B758" s="383"/>
      <c r="C758" s="383"/>
      <c r="D758" s="383"/>
      <c r="E758" s="383"/>
      <c r="F758" s="383"/>
      <c r="G758" s="383"/>
      <c r="H758" s="383"/>
    </row>
    <row r="759" spans="1:8">
      <c r="A759" s="383"/>
      <c r="B759" s="383"/>
      <c r="C759" s="383"/>
      <c r="D759" s="383"/>
      <c r="E759" s="383"/>
      <c r="F759" s="383"/>
      <c r="G759" s="383"/>
      <c r="H759" s="383"/>
    </row>
    <row r="760" spans="1:8">
      <c r="A760" s="383"/>
      <c r="B760" s="383"/>
      <c r="C760" s="383"/>
      <c r="D760" s="383"/>
      <c r="E760" s="383"/>
      <c r="F760" s="383"/>
      <c r="G760" s="383"/>
      <c r="H760" s="383"/>
    </row>
    <row r="761" spans="1:8">
      <c r="A761" s="383"/>
      <c r="B761" s="383"/>
      <c r="C761" s="383"/>
      <c r="D761" s="383"/>
      <c r="E761" s="383"/>
      <c r="F761" s="383"/>
      <c r="G761" s="383"/>
      <c r="H761" s="383"/>
    </row>
    <row r="762" spans="1:8">
      <c r="A762" s="383"/>
      <c r="B762" s="383"/>
      <c r="C762" s="383"/>
      <c r="D762" s="383"/>
      <c r="E762" s="383"/>
      <c r="F762" s="383"/>
      <c r="G762" s="383"/>
      <c r="H762" s="383"/>
    </row>
    <row r="763" spans="1:8">
      <c r="A763" s="383"/>
      <c r="B763" s="383"/>
      <c r="C763" s="383"/>
      <c r="D763" s="383"/>
      <c r="E763" s="383"/>
      <c r="F763" s="383"/>
      <c r="G763" s="383"/>
      <c r="H763" s="383"/>
    </row>
    <row r="764" spans="1:8">
      <c r="A764" s="383"/>
      <c r="B764" s="383"/>
      <c r="C764" s="383"/>
      <c r="D764" s="383"/>
      <c r="E764" s="383"/>
      <c r="F764" s="383"/>
      <c r="G764" s="383"/>
      <c r="H764" s="383"/>
    </row>
    <row r="765" spans="1:8">
      <c r="A765" s="383"/>
      <c r="B765" s="383"/>
      <c r="C765" s="383"/>
      <c r="D765" s="383"/>
      <c r="E765" s="383"/>
      <c r="F765" s="383"/>
      <c r="G765" s="383"/>
      <c r="H765" s="383"/>
    </row>
    <row r="766" spans="1:8">
      <c r="A766" s="383"/>
      <c r="B766" s="383"/>
      <c r="C766" s="383"/>
      <c r="D766" s="383"/>
      <c r="E766" s="383"/>
      <c r="F766" s="383"/>
      <c r="G766" s="383"/>
      <c r="H766" s="383"/>
    </row>
    <row r="767" spans="1:8">
      <c r="A767" s="383"/>
      <c r="B767" s="383"/>
      <c r="C767" s="383"/>
      <c r="D767" s="383"/>
      <c r="E767" s="383"/>
      <c r="F767" s="383"/>
      <c r="G767" s="383"/>
      <c r="H767" s="383"/>
    </row>
    <row r="768" spans="1:8">
      <c r="A768" s="383"/>
      <c r="B768" s="383"/>
      <c r="C768" s="383"/>
      <c r="D768" s="383"/>
      <c r="E768" s="383"/>
      <c r="F768" s="383"/>
      <c r="G768" s="383"/>
      <c r="H768" s="383"/>
    </row>
    <row r="769" spans="1:8">
      <c r="A769" s="383"/>
      <c r="B769" s="383"/>
      <c r="C769" s="383"/>
      <c r="D769" s="383"/>
      <c r="E769" s="383"/>
      <c r="F769" s="383"/>
      <c r="G769" s="383"/>
      <c r="H769" s="383"/>
    </row>
    <row r="770" spans="1:8">
      <c r="A770" s="383"/>
      <c r="B770" s="383"/>
      <c r="C770" s="383"/>
      <c r="D770" s="383"/>
      <c r="E770" s="383"/>
      <c r="F770" s="383"/>
      <c r="G770" s="383"/>
      <c r="H770" s="383"/>
    </row>
    <row r="771" spans="1:8">
      <c r="A771" s="383"/>
      <c r="B771" s="383"/>
      <c r="C771" s="383"/>
      <c r="D771" s="383"/>
      <c r="E771" s="383"/>
      <c r="F771" s="383"/>
      <c r="G771" s="383"/>
      <c r="H771" s="383"/>
    </row>
    <row r="772" spans="1:8">
      <c r="A772" s="383"/>
      <c r="B772" s="383"/>
      <c r="C772" s="383"/>
      <c r="D772" s="383"/>
      <c r="E772" s="383"/>
      <c r="F772" s="383"/>
      <c r="G772" s="383"/>
      <c r="H772" s="383"/>
    </row>
    <row r="773" spans="1:8">
      <c r="A773" s="383"/>
      <c r="B773" s="383"/>
      <c r="C773" s="383"/>
      <c r="D773" s="383"/>
      <c r="E773" s="383"/>
      <c r="F773" s="383"/>
      <c r="G773" s="383"/>
      <c r="H773" s="383"/>
    </row>
    <row r="774" spans="1:8">
      <c r="A774" s="383"/>
      <c r="B774" s="383"/>
      <c r="C774" s="383"/>
      <c r="D774" s="383"/>
      <c r="E774" s="383"/>
      <c r="F774" s="383"/>
      <c r="G774" s="383"/>
      <c r="H774" s="383"/>
    </row>
    <row r="775" spans="1:8">
      <c r="A775" s="383"/>
      <c r="B775" s="383"/>
      <c r="C775" s="383"/>
      <c r="D775" s="383"/>
      <c r="E775" s="383"/>
      <c r="F775" s="383"/>
      <c r="G775" s="383"/>
      <c r="H775" s="383"/>
    </row>
    <row r="776" spans="1:8">
      <c r="A776" s="383"/>
      <c r="B776" s="383"/>
      <c r="C776" s="383"/>
      <c r="D776" s="383"/>
      <c r="E776" s="383"/>
      <c r="F776" s="383"/>
      <c r="G776" s="383"/>
      <c r="H776" s="383"/>
    </row>
    <row r="777" spans="1:8">
      <c r="A777" s="383"/>
      <c r="B777" s="383"/>
      <c r="C777" s="383"/>
      <c r="D777" s="383"/>
      <c r="E777" s="383"/>
      <c r="F777" s="383"/>
      <c r="G777" s="383"/>
      <c r="H777" s="383"/>
    </row>
    <row r="778" spans="1:8">
      <c r="A778" s="383"/>
      <c r="B778" s="383"/>
      <c r="C778" s="383"/>
      <c r="D778" s="383"/>
      <c r="E778" s="383"/>
      <c r="F778" s="383"/>
      <c r="G778" s="383"/>
      <c r="H778" s="383"/>
    </row>
    <row r="779" spans="1:8">
      <c r="A779" s="383"/>
      <c r="B779" s="383"/>
      <c r="C779" s="383"/>
      <c r="D779" s="383"/>
      <c r="E779" s="383"/>
      <c r="F779" s="383"/>
      <c r="G779" s="383"/>
      <c r="H779" s="383"/>
    </row>
    <row r="780" spans="1:8">
      <c r="A780" s="383"/>
      <c r="B780" s="383"/>
      <c r="C780" s="383"/>
      <c r="D780" s="383"/>
      <c r="E780" s="383"/>
      <c r="F780" s="383"/>
      <c r="G780" s="383"/>
      <c r="H780" s="383"/>
    </row>
    <row r="781" spans="1:8">
      <c r="A781" s="383"/>
      <c r="B781" s="383"/>
      <c r="C781" s="383"/>
      <c r="D781" s="383"/>
      <c r="E781" s="383"/>
      <c r="F781" s="383"/>
      <c r="G781" s="383"/>
      <c r="H781" s="383"/>
    </row>
    <row r="782" spans="1:8">
      <c r="A782" s="383"/>
      <c r="B782" s="383"/>
      <c r="C782" s="383"/>
      <c r="D782" s="383"/>
      <c r="E782" s="383"/>
      <c r="F782" s="383"/>
      <c r="G782" s="383"/>
      <c r="H782" s="383"/>
    </row>
    <row r="783" spans="1:8">
      <c r="A783" s="383"/>
      <c r="B783" s="383"/>
      <c r="C783" s="383"/>
      <c r="D783" s="383"/>
      <c r="E783" s="383"/>
      <c r="F783" s="383"/>
      <c r="G783" s="383"/>
      <c r="H783" s="383"/>
    </row>
    <row r="784" spans="1:8">
      <c r="A784" s="383"/>
      <c r="B784" s="383"/>
      <c r="C784" s="383"/>
      <c r="D784" s="383"/>
      <c r="E784" s="383"/>
      <c r="F784" s="383"/>
      <c r="G784" s="383"/>
      <c r="H784" s="383"/>
    </row>
    <row r="785" spans="1:8">
      <c r="A785" s="383"/>
      <c r="B785" s="383"/>
      <c r="C785" s="383"/>
      <c r="D785" s="383"/>
      <c r="E785" s="383"/>
      <c r="F785" s="383"/>
      <c r="G785" s="383"/>
      <c r="H785" s="383"/>
    </row>
    <row r="786" spans="1:8">
      <c r="A786" s="383"/>
      <c r="B786" s="383"/>
      <c r="C786" s="383"/>
      <c r="D786" s="383"/>
      <c r="E786" s="383"/>
      <c r="F786" s="383"/>
      <c r="G786" s="383"/>
      <c r="H786" s="383"/>
    </row>
    <row r="787" spans="1:8">
      <c r="A787" s="383"/>
      <c r="B787" s="383"/>
      <c r="C787" s="383"/>
      <c r="D787" s="383"/>
      <c r="E787" s="383"/>
      <c r="F787" s="383"/>
      <c r="G787" s="383"/>
      <c r="H787" s="383"/>
    </row>
    <row r="788" spans="1:8">
      <c r="A788" s="383"/>
      <c r="B788" s="383"/>
      <c r="C788" s="383"/>
      <c r="D788" s="383"/>
      <c r="E788" s="383"/>
      <c r="F788" s="383"/>
      <c r="G788" s="383"/>
      <c r="H788" s="383"/>
    </row>
    <row r="789" spans="1:8">
      <c r="A789" s="383"/>
      <c r="B789" s="383"/>
      <c r="C789" s="383"/>
      <c r="D789" s="383"/>
      <c r="E789" s="383"/>
      <c r="F789" s="383"/>
      <c r="G789" s="383"/>
      <c r="H789" s="383"/>
    </row>
    <row r="790" spans="1:8">
      <c r="A790" s="383"/>
      <c r="B790" s="383"/>
      <c r="C790" s="383"/>
      <c r="D790" s="383"/>
      <c r="E790" s="383"/>
      <c r="F790" s="383"/>
      <c r="G790" s="383"/>
      <c r="H790" s="383"/>
    </row>
    <row r="791" spans="1:8">
      <c r="A791" s="383"/>
      <c r="B791" s="383"/>
      <c r="C791" s="383"/>
      <c r="D791" s="383"/>
      <c r="E791" s="383"/>
      <c r="F791" s="383"/>
      <c r="G791" s="383"/>
      <c r="H791" s="383"/>
    </row>
    <row r="792" spans="1:8">
      <c r="A792" s="383"/>
      <c r="B792" s="383"/>
      <c r="C792" s="383"/>
      <c r="D792" s="383"/>
      <c r="E792" s="383"/>
      <c r="F792" s="383"/>
      <c r="G792" s="383"/>
      <c r="H792" s="383"/>
    </row>
    <row r="793" spans="1:8">
      <c r="A793" s="383"/>
      <c r="B793" s="383"/>
      <c r="C793" s="383"/>
      <c r="D793" s="383"/>
      <c r="E793" s="383"/>
      <c r="F793" s="383"/>
      <c r="G793" s="383"/>
      <c r="H793" s="383"/>
    </row>
    <row r="794" spans="1:8">
      <c r="A794" s="383"/>
      <c r="B794" s="383"/>
      <c r="C794" s="383"/>
      <c r="D794" s="383"/>
      <c r="E794" s="383"/>
      <c r="F794" s="383"/>
      <c r="G794" s="383"/>
      <c r="H794" s="383"/>
    </row>
    <row r="795" spans="1:8">
      <c r="A795" s="383"/>
      <c r="B795" s="383"/>
      <c r="C795" s="383"/>
      <c r="D795" s="383"/>
      <c r="E795" s="383"/>
      <c r="F795" s="383"/>
      <c r="G795" s="383"/>
      <c r="H795" s="383"/>
    </row>
    <row r="796" spans="1:8">
      <c r="A796" s="383"/>
      <c r="B796" s="383"/>
      <c r="C796" s="383"/>
      <c r="D796" s="383"/>
      <c r="E796" s="383"/>
      <c r="F796" s="383"/>
      <c r="G796" s="383"/>
      <c r="H796" s="383"/>
    </row>
    <row r="797" spans="1:8">
      <c r="A797" s="383"/>
      <c r="B797" s="383"/>
      <c r="C797" s="383"/>
      <c r="D797" s="383"/>
      <c r="E797" s="383"/>
      <c r="F797" s="383"/>
      <c r="G797" s="383"/>
      <c r="H797" s="383"/>
    </row>
    <row r="798" spans="1:8">
      <c r="A798" s="383"/>
      <c r="B798" s="383"/>
      <c r="C798" s="383"/>
      <c r="D798" s="383"/>
      <c r="E798" s="383"/>
      <c r="F798" s="383"/>
      <c r="G798" s="383"/>
      <c r="H798" s="383"/>
    </row>
    <row r="799" spans="1:8">
      <c r="A799" s="383"/>
      <c r="B799" s="383"/>
      <c r="C799" s="383"/>
      <c r="D799" s="383"/>
      <c r="E799" s="383"/>
      <c r="F799" s="383"/>
      <c r="G799" s="383"/>
      <c r="H799" s="383"/>
    </row>
    <row r="800" spans="1:8">
      <c r="A800" s="383"/>
      <c r="B800" s="383"/>
      <c r="C800" s="383"/>
      <c r="D800" s="383"/>
      <c r="E800" s="383"/>
      <c r="F800" s="383"/>
      <c r="G800" s="383"/>
      <c r="H800" s="383"/>
    </row>
    <row r="801" spans="1:8">
      <c r="A801" s="383"/>
      <c r="B801" s="383"/>
      <c r="C801" s="383"/>
      <c r="D801" s="383"/>
      <c r="E801" s="383"/>
      <c r="F801" s="383"/>
      <c r="G801" s="383"/>
      <c r="H801" s="383"/>
    </row>
    <row r="802" spans="1:8">
      <c r="A802" s="383"/>
      <c r="B802" s="383"/>
      <c r="C802" s="383"/>
      <c r="D802" s="383"/>
      <c r="E802" s="383"/>
      <c r="F802" s="383"/>
      <c r="G802" s="383"/>
      <c r="H802" s="383"/>
    </row>
    <row r="803" spans="1:8">
      <c r="A803" s="383"/>
      <c r="B803" s="383"/>
      <c r="C803" s="383"/>
      <c r="D803" s="383"/>
      <c r="E803" s="383"/>
      <c r="F803" s="383"/>
      <c r="G803" s="383"/>
      <c r="H803" s="383"/>
    </row>
    <row r="804" spans="1:8">
      <c r="A804" s="383"/>
      <c r="B804" s="383"/>
      <c r="C804" s="383"/>
      <c r="D804" s="383"/>
      <c r="E804" s="383"/>
      <c r="F804" s="383"/>
      <c r="G804" s="383"/>
      <c r="H804" s="383"/>
    </row>
    <row r="805" spans="1:8">
      <c r="A805" s="383"/>
      <c r="B805" s="383"/>
      <c r="C805" s="383"/>
      <c r="D805" s="383"/>
      <c r="E805" s="383"/>
      <c r="F805" s="383"/>
      <c r="G805" s="383"/>
      <c r="H805" s="383"/>
    </row>
    <row r="806" spans="1:8">
      <c r="A806" s="383"/>
      <c r="B806" s="383"/>
      <c r="C806" s="383"/>
      <c r="D806" s="383"/>
      <c r="E806" s="383"/>
      <c r="F806" s="383"/>
      <c r="G806" s="383"/>
      <c r="H806" s="383"/>
    </row>
    <row r="807" spans="1:8">
      <c r="A807" s="383"/>
      <c r="B807" s="383"/>
      <c r="C807" s="383"/>
      <c r="D807" s="383"/>
      <c r="E807" s="383"/>
      <c r="F807" s="383"/>
      <c r="G807" s="383"/>
      <c r="H807" s="383"/>
    </row>
    <row r="808" spans="1:8">
      <c r="A808" s="383"/>
      <c r="B808" s="383"/>
      <c r="C808" s="383"/>
      <c r="D808" s="383"/>
      <c r="E808" s="383"/>
      <c r="F808" s="383"/>
      <c r="G808" s="383"/>
      <c r="H808" s="383"/>
    </row>
    <row r="809" spans="1:8">
      <c r="A809" s="383"/>
      <c r="B809" s="383"/>
      <c r="C809" s="383"/>
      <c r="D809" s="383"/>
      <c r="E809" s="383"/>
      <c r="F809" s="383"/>
      <c r="G809" s="383"/>
      <c r="H809" s="383"/>
    </row>
    <row r="810" spans="1:8">
      <c r="A810" s="383"/>
      <c r="B810" s="383"/>
      <c r="C810" s="383"/>
      <c r="D810" s="383"/>
      <c r="E810" s="383"/>
      <c r="F810" s="383"/>
      <c r="G810" s="383"/>
      <c r="H810" s="383"/>
    </row>
    <row r="811" spans="1:8">
      <c r="A811" s="383"/>
      <c r="B811" s="383"/>
      <c r="C811" s="383"/>
      <c r="D811" s="383"/>
      <c r="E811" s="383"/>
      <c r="F811" s="383"/>
      <c r="G811" s="383"/>
      <c r="H811" s="383"/>
    </row>
    <row r="812" spans="1:8">
      <c r="A812" s="383"/>
      <c r="B812" s="383"/>
      <c r="C812" s="383"/>
      <c r="D812" s="383"/>
      <c r="E812" s="383"/>
      <c r="F812" s="383"/>
      <c r="G812" s="383"/>
      <c r="H812" s="383"/>
    </row>
    <row r="813" spans="1:8">
      <c r="A813" s="383"/>
      <c r="B813" s="383"/>
      <c r="C813" s="383"/>
      <c r="D813" s="383"/>
      <c r="E813" s="383"/>
      <c r="F813" s="383"/>
      <c r="G813" s="383"/>
      <c r="H813" s="383"/>
    </row>
    <row r="814" spans="1:8">
      <c r="A814" s="383"/>
      <c r="B814" s="383"/>
      <c r="C814" s="383"/>
      <c r="D814" s="383"/>
      <c r="E814" s="383"/>
      <c r="F814" s="383"/>
      <c r="G814" s="383"/>
      <c r="H814" s="383"/>
    </row>
    <row r="815" spans="1:8">
      <c r="A815" s="383"/>
      <c r="B815" s="383"/>
      <c r="C815" s="383"/>
      <c r="D815" s="383"/>
      <c r="E815" s="383"/>
      <c r="F815" s="383"/>
      <c r="G815" s="383"/>
      <c r="H815" s="383"/>
    </row>
    <row r="816" spans="1:8">
      <c r="A816" s="383"/>
      <c r="B816" s="383"/>
      <c r="C816" s="383"/>
      <c r="D816" s="383"/>
      <c r="E816" s="383"/>
      <c r="F816" s="383"/>
      <c r="G816" s="383"/>
      <c r="H816" s="383"/>
    </row>
    <row r="817" spans="1:8">
      <c r="A817" s="383"/>
      <c r="B817" s="383"/>
      <c r="C817" s="383"/>
      <c r="D817" s="383"/>
      <c r="E817" s="383"/>
      <c r="F817" s="383"/>
      <c r="G817" s="383"/>
      <c r="H817" s="383"/>
    </row>
    <row r="818" spans="1:8">
      <c r="A818" s="383"/>
      <c r="B818" s="383"/>
      <c r="C818" s="383"/>
      <c r="D818" s="383"/>
      <c r="E818" s="383"/>
      <c r="F818" s="383"/>
      <c r="G818" s="383"/>
      <c r="H818" s="383"/>
    </row>
    <row r="819" spans="1:8">
      <c r="A819" s="383"/>
      <c r="B819" s="383"/>
      <c r="C819" s="383"/>
      <c r="D819" s="383"/>
      <c r="E819" s="383"/>
      <c r="F819" s="383"/>
      <c r="G819" s="383"/>
      <c r="H819" s="383"/>
    </row>
    <row r="820" spans="1:8">
      <c r="A820" s="383"/>
      <c r="B820" s="383"/>
      <c r="C820" s="383"/>
      <c r="D820" s="383"/>
      <c r="E820" s="383"/>
      <c r="F820" s="383"/>
      <c r="G820" s="383"/>
      <c r="H820" s="383"/>
    </row>
    <row r="821" spans="1:8">
      <c r="A821" s="383"/>
      <c r="B821" s="383"/>
      <c r="C821" s="383"/>
      <c r="D821" s="383"/>
      <c r="E821" s="383"/>
      <c r="F821" s="383"/>
      <c r="G821" s="383"/>
      <c r="H821" s="383"/>
    </row>
    <row r="822" spans="1:8">
      <c r="A822" s="383"/>
      <c r="B822" s="383"/>
      <c r="C822" s="383"/>
      <c r="D822" s="383"/>
      <c r="E822" s="383"/>
      <c r="F822" s="383"/>
      <c r="G822" s="383"/>
      <c r="H822" s="383"/>
    </row>
    <row r="823" spans="1:8">
      <c r="A823" s="383"/>
      <c r="B823" s="383"/>
      <c r="C823" s="383"/>
      <c r="D823" s="383"/>
      <c r="E823" s="383"/>
      <c r="F823" s="383"/>
      <c r="G823" s="383"/>
      <c r="H823" s="383"/>
    </row>
    <row r="824" spans="1:8">
      <c r="A824" s="383"/>
      <c r="B824" s="383"/>
      <c r="C824" s="383"/>
      <c r="D824" s="383"/>
      <c r="E824" s="383"/>
      <c r="F824" s="383"/>
      <c r="G824" s="383"/>
      <c r="H824" s="383"/>
    </row>
    <row r="825" spans="1:8">
      <c r="A825" s="383"/>
      <c r="B825" s="383"/>
      <c r="C825" s="383"/>
      <c r="D825" s="383"/>
      <c r="E825" s="383"/>
      <c r="F825" s="383"/>
      <c r="G825" s="383"/>
      <c r="H825" s="383"/>
    </row>
    <row r="826" spans="1:8">
      <c r="A826" s="383"/>
      <c r="B826" s="383"/>
      <c r="C826" s="383"/>
      <c r="D826" s="383"/>
      <c r="E826" s="383"/>
      <c r="F826" s="383"/>
      <c r="G826" s="383"/>
      <c r="H826" s="383"/>
    </row>
    <row r="827" spans="1:8">
      <c r="A827" s="383"/>
      <c r="B827" s="383"/>
      <c r="C827" s="383"/>
      <c r="D827" s="383"/>
      <c r="E827" s="383"/>
      <c r="F827" s="383"/>
      <c r="G827" s="383"/>
      <c r="H827" s="383"/>
    </row>
    <row r="828" spans="1:8">
      <c r="A828" s="383"/>
      <c r="B828" s="383"/>
      <c r="C828" s="383"/>
      <c r="D828" s="383"/>
      <c r="E828" s="383"/>
      <c r="F828" s="383"/>
      <c r="G828" s="383"/>
      <c r="H828" s="383"/>
    </row>
    <row r="829" spans="1:8">
      <c r="A829" s="383"/>
      <c r="B829" s="383"/>
      <c r="C829" s="383"/>
      <c r="D829" s="383"/>
      <c r="E829" s="383"/>
      <c r="F829" s="383"/>
      <c r="G829" s="383"/>
      <c r="H829" s="383"/>
    </row>
    <row r="830" spans="1:8">
      <c r="A830" s="383"/>
      <c r="B830" s="383"/>
      <c r="C830" s="383"/>
      <c r="D830" s="383"/>
      <c r="E830" s="383"/>
      <c r="F830" s="383"/>
      <c r="G830" s="383"/>
      <c r="H830" s="383"/>
    </row>
    <row r="831" spans="1:8">
      <c r="A831" s="383"/>
      <c r="B831" s="383"/>
      <c r="C831" s="383"/>
      <c r="D831" s="383"/>
      <c r="E831" s="383"/>
      <c r="F831" s="383"/>
      <c r="G831" s="383"/>
      <c r="H831" s="383"/>
    </row>
    <row r="832" spans="1:8">
      <c r="A832" s="383"/>
      <c r="B832" s="383"/>
      <c r="C832" s="383"/>
      <c r="D832" s="383"/>
      <c r="E832" s="383"/>
      <c r="F832" s="383"/>
      <c r="G832" s="383"/>
      <c r="H832" s="383"/>
    </row>
    <row r="833" spans="1:8">
      <c r="A833" s="383"/>
      <c r="B833" s="383"/>
      <c r="C833" s="383"/>
      <c r="D833" s="383"/>
      <c r="E833" s="383"/>
      <c r="F833" s="383"/>
      <c r="G833" s="383"/>
      <c r="H833" s="383"/>
    </row>
    <row r="834" spans="1:8">
      <c r="A834" s="383"/>
      <c r="B834" s="383"/>
      <c r="C834" s="383"/>
      <c r="D834" s="383"/>
      <c r="E834" s="383"/>
      <c r="F834" s="383"/>
      <c r="G834" s="383"/>
      <c r="H834" s="383"/>
    </row>
    <row r="835" spans="1:8">
      <c r="A835" s="383"/>
      <c r="B835" s="383"/>
      <c r="C835" s="383"/>
      <c r="D835" s="383"/>
      <c r="E835" s="383"/>
      <c r="F835" s="383"/>
      <c r="G835" s="383"/>
      <c r="H835" s="383"/>
    </row>
    <row r="836" spans="1:8">
      <c r="A836" s="383"/>
      <c r="B836" s="383"/>
      <c r="C836" s="383"/>
      <c r="D836" s="383"/>
      <c r="E836" s="383"/>
      <c r="F836" s="383"/>
      <c r="G836" s="383"/>
      <c r="H836" s="383"/>
    </row>
    <row r="837" spans="1:8">
      <c r="A837" s="383"/>
      <c r="B837" s="383"/>
      <c r="C837" s="383"/>
      <c r="D837" s="383"/>
      <c r="E837" s="383"/>
      <c r="F837" s="383"/>
      <c r="G837" s="383"/>
      <c r="H837" s="383"/>
    </row>
    <row r="838" spans="1:8">
      <c r="A838" s="383"/>
      <c r="B838" s="383"/>
      <c r="C838" s="383"/>
      <c r="D838" s="383"/>
      <c r="E838" s="383"/>
      <c r="F838" s="383"/>
      <c r="G838" s="383"/>
      <c r="H838" s="383"/>
    </row>
    <row r="839" spans="1:8">
      <c r="A839" s="383"/>
      <c r="B839" s="383"/>
      <c r="C839" s="383"/>
      <c r="D839" s="383"/>
      <c r="E839" s="383"/>
      <c r="F839" s="383"/>
      <c r="G839" s="383"/>
      <c r="H839" s="383"/>
    </row>
    <row r="840" spans="1:8">
      <c r="A840" s="383"/>
      <c r="B840" s="383"/>
      <c r="C840" s="383"/>
      <c r="D840" s="383"/>
      <c r="E840" s="383"/>
      <c r="F840" s="383"/>
      <c r="G840" s="383"/>
      <c r="H840" s="383"/>
    </row>
    <row r="841" spans="1:8">
      <c r="A841" s="383"/>
      <c r="B841" s="383"/>
      <c r="C841" s="383"/>
      <c r="D841" s="383"/>
      <c r="E841" s="383"/>
      <c r="F841" s="383"/>
      <c r="G841" s="383"/>
      <c r="H841" s="383"/>
    </row>
    <row r="842" spans="1:8">
      <c r="A842" s="383"/>
      <c r="B842" s="383"/>
      <c r="C842" s="383"/>
      <c r="D842" s="383"/>
      <c r="E842" s="383"/>
      <c r="F842" s="383"/>
      <c r="G842" s="383"/>
      <c r="H842" s="383"/>
    </row>
    <row r="843" spans="1:8">
      <c r="A843" s="383"/>
      <c r="B843" s="383"/>
      <c r="C843" s="383"/>
      <c r="D843" s="383"/>
      <c r="E843" s="383"/>
      <c r="F843" s="383"/>
      <c r="G843" s="383"/>
      <c r="H843" s="383"/>
    </row>
    <row r="844" spans="1:8">
      <c r="A844" s="383"/>
      <c r="B844" s="383"/>
      <c r="C844" s="383"/>
      <c r="D844" s="383"/>
      <c r="E844" s="383"/>
      <c r="F844" s="383"/>
      <c r="G844" s="383"/>
      <c r="H844" s="383"/>
    </row>
    <row r="845" spans="1:8">
      <c r="A845" s="383"/>
      <c r="B845" s="383"/>
      <c r="C845" s="383"/>
      <c r="D845" s="383"/>
      <c r="E845" s="383"/>
      <c r="F845" s="383"/>
      <c r="G845" s="383"/>
      <c r="H845" s="383"/>
    </row>
    <row r="846" spans="1:8">
      <c r="A846" s="383"/>
      <c r="B846" s="383"/>
      <c r="C846" s="383"/>
      <c r="D846" s="383"/>
      <c r="E846" s="383"/>
      <c r="F846" s="383"/>
      <c r="G846" s="383"/>
      <c r="H846" s="383"/>
    </row>
    <row r="847" spans="1:8">
      <c r="A847" s="383"/>
      <c r="B847" s="383"/>
      <c r="C847" s="383"/>
      <c r="D847" s="383"/>
      <c r="E847" s="383"/>
      <c r="F847" s="383"/>
      <c r="G847" s="383"/>
      <c r="H847" s="383"/>
    </row>
    <row r="848" spans="1:8">
      <c r="A848" s="383"/>
      <c r="B848" s="383"/>
      <c r="C848" s="383"/>
      <c r="D848" s="383"/>
      <c r="E848" s="383"/>
      <c r="F848" s="383"/>
      <c r="G848" s="383"/>
      <c r="H848" s="383"/>
    </row>
    <row r="849" spans="1:8">
      <c r="A849" s="383"/>
      <c r="B849" s="383"/>
      <c r="C849" s="383"/>
      <c r="D849" s="383"/>
      <c r="E849" s="383"/>
      <c r="F849" s="383"/>
      <c r="G849" s="383"/>
      <c r="H849" s="383"/>
    </row>
    <row r="850" spans="1:8">
      <c r="A850" s="383"/>
      <c r="B850" s="383"/>
      <c r="C850" s="383"/>
      <c r="D850" s="383"/>
      <c r="E850" s="383"/>
      <c r="F850" s="383"/>
      <c r="G850" s="383"/>
      <c r="H850" s="383"/>
    </row>
    <row r="851" spans="1:8">
      <c r="A851" s="383"/>
      <c r="B851" s="383"/>
      <c r="C851" s="383"/>
      <c r="D851" s="383"/>
      <c r="E851" s="383"/>
      <c r="F851" s="383"/>
      <c r="G851" s="383"/>
      <c r="H851" s="383"/>
    </row>
    <row r="852" spans="1:8">
      <c r="A852" s="383"/>
      <c r="B852" s="383"/>
      <c r="C852" s="383"/>
      <c r="D852" s="383"/>
      <c r="E852" s="383"/>
      <c r="F852" s="383"/>
      <c r="G852" s="383"/>
      <c r="H852" s="383"/>
    </row>
    <row r="853" spans="1:8">
      <c r="A853" s="383"/>
      <c r="B853" s="383"/>
      <c r="C853" s="383"/>
      <c r="D853" s="383"/>
      <c r="E853" s="383"/>
      <c r="F853" s="383"/>
      <c r="G853" s="383"/>
      <c r="H853" s="383"/>
    </row>
    <row r="854" spans="1:8">
      <c r="A854" s="383"/>
      <c r="B854" s="383"/>
      <c r="C854" s="383"/>
      <c r="D854" s="383"/>
      <c r="E854" s="383"/>
      <c r="F854" s="383"/>
      <c r="G854" s="383"/>
      <c r="H854" s="383"/>
    </row>
    <row r="855" spans="1:8">
      <c r="A855" s="383"/>
      <c r="B855" s="383"/>
      <c r="C855" s="383"/>
      <c r="D855" s="383"/>
      <c r="E855" s="383"/>
      <c r="F855" s="383"/>
      <c r="G855" s="383"/>
      <c r="H855" s="383"/>
    </row>
    <row r="856" spans="1:8">
      <c r="A856" s="383"/>
      <c r="B856" s="383"/>
      <c r="C856" s="383"/>
      <c r="D856" s="383"/>
      <c r="E856" s="383"/>
      <c r="F856" s="383"/>
      <c r="G856" s="383"/>
      <c r="H856" s="383"/>
    </row>
    <row r="857" spans="1:8">
      <c r="A857" s="383"/>
      <c r="B857" s="383"/>
      <c r="C857" s="383"/>
      <c r="D857" s="383"/>
      <c r="E857" s="383"/>
      <c r="F857" s="383"/>
      <c r="G857" s="383"/>
      <c r="H857" s="383"/>
    </row>
    <row r="858" spans="1:8">
      <c r="A858" s="383"/>
      <c r="B858" s="383"/>
      <c r="C858" s="383"/>
      <c r="D858" s="383"/>
      <c r="E858" s="383"/>
      <c r="F858" s="383"/>
      <c r="G858" s="383"/>
      <c r="H858" s="383"/>
    </row>
    <row r="859" spans="1:8">
      <c r="A859" s="383"/>
      <c r="B859" s="383"/>
      <c r="C859" s="383"/>
      <c r="D859" s="383"/>
      <c r="E859" s="383"/>
      <c r="F859" s="383"/>
      <c r="G859" s="383"/>
      <c r="H859" s="383"/>
    </row>
    <row r="860" spans="1:8">
      <c r="A860" s="383"/>
      <c r="B860" s="383"/>
      <c r="C860" s="383"/>
      <c r="D860" s="383"/>
      <c r="E860" s="383"/>
      <c r="F860" s="383"/>
      <c r="G860" s="383"/>
      <c r="H860" s="383"/>
    </row>
    <row r="861" spans="1:8">
      <c r="A861" s="383"/>
      <c r="B861" s="383"/>
      <c r="C861" s="383"/>
      <c r="D861" s="383"/>
      <c r="E861" s="383"/>
      <c r="F861" s="383"/>
      <c r="G861" s="383"/>
      <c r="H861" s="383"/>
    </row>
    <row r="862" spans="1:8">
      <c r="A862" s="383"/>
      <c r="B862" s="383"/>
      <c r="C862" s="383"/>
      <c r="D862" s="383"/>
      <c r="E862" s="383"/>
      <c r="F862" s="383"/>
      <c r="G862" s="383"/>
      <c r="H862" s="383"/>
    </row>
    <row r="863" spans="1:8">
      <c r="A863" s="383"/>
      <c r="B863" s="383"/>
      <c r="C863" s="383"/>
      <c r="D863" s="383"/>
      <c r="E863" s="383"/>
      <c r="F863" s="383"/>
      <c r="G863" s="383"/>
      <c r="H863" s="383"/>
    </row>
    <row r="864" spans="1:8">
      <c r="A864" s="383"/>
      <c r="B864" s="383"/>
      <c r="C864" s="383"/>
      <c r="D864" s="383"/>
      <c r="E864" s="383"/>
      <c r="F864" s="383"/>
      <c r="G864" s="383"/>
      <c r="H864" s="383"/>
    </row>
    <row r="865" spans="1:8">
      <c r="A865" s="383"/>
      <c r="B865" s="383"/>
      <c r="C865" s="383"/>
      <c r="D865" s="383"/>
      <c r="E865" s="383"/>
      <c r="F865" s="383"/>
      <c r="G865" s="383"/>
      <c r="H865" s="383"/>
    </row>
    <row r="866" spans="1:8">
      <c r="A866" s="383"/>
      <c r="B866" s="383"/>
      <c r="C866" s="383"/>
      <c r="D866" s="383"/>
      <c r="E866" s="383"/>
      <c r="F866" s="383"/>
      <c r="G866" s="383"/>
      <c r="H866" s="383"/>
    </row>
    <row r="867" spans="1:8">
      <c r="A867" s="383"/>
      <c r="B867" s="383"/>
      <c r="C867" s="383"/>
      <c r="D867" s="383"/>
      <c r="E867" s="383"/>
      <c r="F867" s="383"/>
      <c r="G867" s="383"/>
      <c r="H867" s="383"/>
    </row>
    <row r="868" spans="1:8">
      <c r="A868" s="383"/>
      <c r="B868" s="383"/>
      <c r="C868" s="383"/>
      <c r="D868" s="383"/>
      <c r="E868" s="383"/>
      <c r="F868" s="383"/>
      <c r="G868" s="383"/>
      <c r="H868" s="383"/>
    </row>
    <row r="869" spans="1:8">
      <c r="A869" s="383"/>
      <c r="B869" s="383"/>
      <c r="C869" s="383"/>
      <c r="D869" s="383"/>
      <c r="E869" s="383"/>
      <c r="F869" s="383"/>
      <c r="G869" s="383"/>
      <c r="H869" s="383"/>
    </row>
    <row r="870" spans="1:8">
      <c r="A870" s="383"/>
      <c r="B870" s="383"/>
      <c r="C870" s="383"/>
      <c r="D870" s="383"/>
      <c r="E870" s="383"/>
      <c r="F870" s="383"/>
      <c r="G870" s="383"/>
      <c r="H870" s="383"/>
    </row>
    <row r="871" spans="1:8">
      <c r="A871" s="383"/>
      <c r="B871" s="383"/>
      <c r="C871" s="383"/>
      <c r="D871" s="383"/>
      <c r="E871" s="383"/>
      <c r="F871" s="383"/>
      <c r="G871" s="383"/>
      <c r="H871" s="383"/>
    </row>
    <row r="872" spans="1:8">
      <c r="A872" s="383"/>
      <c r="B872" s="383"/>
      <c r="C872" s="383"/>
      <c r="D872" s="383"/>
      <c r="E872" s="383"/>
      <c r="F872" s="383"/>
      <c r="G872" s="383"/>
      <c r="H872" s="383"/>
    </row>
    <row r="873" spans="1:8">
      <c r="A873" s="383"/>
      <c r="B873" s="383"/>
      <c r="C873" s="383"/>
      <c r="D873" s="383"/>
      <c r="E873" s="383"/>
      <c r="F873" s="383"/>
      <c r="G873" s="383"/>
      <c r="H873" s="383"/>
    </row>
    <row r="874" spans="1:8">
      <c r="A874" s="383"/>
      <c r="B874" s="383"/>
      <c r="C874" s="383"/>
      <c r="D874" s="383"/>
      <c r="E874" s="383"/>
      <c r="F874" s="383"/>
      <c r="G874" s="383"/>
      <c r="H874" s="383"/>
    </row>
    <row r="875" spans="1:8">
      <c r="A875" s="383"/>
      <c r="B875" s="383"/>
      <c r="C875" s="383"/>
      <c r="D875" s="383"/>
      <c r="E875" s="383"/>
      <c r="F875" s="383"/>
      <c r="G875" s="383"/>
      <c r="H875" s="383"/>
    </row>
    <row r="876" spans="1:8">
      <c r="A876" s="383"/>
      <c r="B876" s="383"/>
      <c r="C876" s="383"/>
      <c r="D876" s="383"/>
      <c r="E876" s="383"/>
      <c r="F876" s="383"/>
      <c r="G876" s="383"/>
      <c r="H876" s="383"/>
    </row>
    <row r="877" spans="1:8">
      <c r="A877" s="383"/>
      <c r="B877" s="383"/>
      <c r="C877" s="383"/>
      <c r="D877" s="383"/>
      <c r="E877" s="383"/>
      <c r="F877" s="383"/>
      <c r="G877" s="383"/>
      <c r="H877" s="383"/>
    </row>
    <row r="878" spans="1:8">
      <c r="A878" s="383"/>
      <c r="B878" s="383"/>
      <c r="C878" s="383"/>
      <c r="D878" s="383"/>
      <c r="E878" s="383"/>
      <c r="F878" s="383"/>
      <c r="G878" s="383"/>
      <c r="H878" s="383"/>
    </row>
    <row r="879" spans="1:8">
      <c r="A879" s="383"/>
      <c r="B879" s="383"/>
      <c r="C879" s="383"/>
      <c r="D879" s="383"/>
      <c r="E879" s="383"/>
      <c r="F879" s="383"/>
      <c r="G879" s="383"/>
      <c r="H879" s="383"/>
    </row>
    <row r="880" spans="1:8">
      <c r="A880" s="383"/>
      <c r="B880" s="383"/>
      <c r="C880" s="383"/>
      <c r="D880" s="383"/>
      <c r="E880" s="383"/>
      <c r="F880" s="383"/>
      <c r="G880" s="383"/>
      <c r="H880" s="383"/>
    </row>
    <row r="881" spans="1:8">
      <c r="A881" s="383"/>
      <c r="B881" s="383"/>
      <c r="C881" s="383"/>
      <c r="D881" s="383"/>
      <c r="E881" s="383"/>
      <c r="F881" s="383"/>
      <c r="G881" s="383"/>
      <c r="H881" s="383"/>
    </row>
    <row r="882" spans="1:8">
      <c r="A882" s="383"/>
      <c r="B882" s="383"/>
      <c r="C882" s="383"/>
      <c r="D882" s="383"/>
      <c r="E882" s="383"/>
      <c r="F882" s="383"/>
      <c r="G882" s="383"/>
      <c r="H882" s="383"/>
    </row>
    <row r="883" spans="1:8">
      <c r="A883" s="383"/>
      <c r="B883" s="383"/>
      <c r="C883" s="383"/>
      <c r="D883" s="383"/>
      <c r="E883" s="383"/>
      <c r="F883" s="383"/>
      <c r="G883" s="383"/>
      <c r="H883" s="383"/>
    </row>
    <row r="884" spans="1:8">
      <c r="A884" s="383"/>
      <c r="B884" s="383"/>
      <c r="C884" s="383"/>
      <c r="D884" s="383"/>
      <c r="E884" s="383"/>
      <c r="F884" s="383"/>
      <c r="G884" s="383"/>
      <c r="H884" s="383"/>
    </row>
    <row r="885" spans="1:8">
      <c r="A885" s="383"/>
      <c r="B885" s="383"/>
      <c r="C885" s="383"/>
      <c r="D885" s="383"/>
      <c r="E885" s="383"/>
      <c r="F885" s="383"/>
      <c r="G885" s="383"/>
      <c r="H885" s="383"/>
    </row>
    <row r="886" spans="1:8">
      <c r="A886" s="383"/>
      <c r="B886" s="383"/>
      <c r="C886" s="383"/>
      <c r="D886" s="383"/>
      <c r="E886" s="383"/>
      <c r="F886" s="383"/>
      <c r="G886" s="383"/>
      <c r="H886" s="383"/>
    </row>
    <row r="887" spans="1:8">
      <c r="A887" s="383"/>
      <c r="B887" s="383"/>
      <c r="C887" s="383"/>
      <c r="D887" s="383"/>
      <c r="E887" s="383"/>
      <c r="F887" s="383"/>
      <c r="G887" s="383"/>
      <c r="H887" s="383"/>
    </row>
    <row r="888" spans="1:8">
      <c r="A888" s="383"/>
      <c r="B888" s="383"/>
      <c r="C888" s="383"/>
      <c r="D888" s="383"/>
      <c r="E888" s="383"/>
      <c r="F888" s="383"/>
      <c r="G888" s="383"/>
      <c r="H888" s="383"/>
    </row>
    <row r="889" spans="1:8">
      <c r="A889" s="383"/>
      <c r="B889" s="383"/>
      <c r="C889" s="383"/>
      <c r="D889" s="383"/>
      <c r="E889" s="383"/>
      <c r="F889" s="383"/>
      <c r="G889" s="383"/>
      <c r="H889" s="383"/>
    </row>
    <row r="890" spans="1:8">
      <c r="A890" s="383"/>
      <c r="B890" s="383"/>
      <c r="C890" s="383"/>
      <c r="D890" s="383"/>
      <c r="E890" s="383"/>
      <c r="F890" s="383"/>
      <c r="G890" s="383"/>
      <c r="H890" s="383"/>
    </row>
    <row r="891" spans="1:8">
      <c r="A891" s="383"/>
      <c r="B891" s="383"/>
      <c r="C891" s="383"/>
      <c r="D891" s="383"/>
      <c r="E891" s="383"/>
      <c r="F891" s="383"/>
      <c r="G891" s="383"/>
      <c r="H891" s="383"/>
    </row>
  </sheetData>
  <mergeCells count="17">
    <mergeCell ref="A388:B388"/>
    <mergeCell ref="A10:B10"/>
    <mergeCell ref="A12:B12"/>
    <mergeCell ref="A67:B67"/>
    <mergeCell ref="A89:B89"/>
    <mergeCell ref="A90:B90"/>
    <mergeCell ref="A91:B91"/>
    <mergeCell ref="A101:B101"/>
    <mergeCell ref="A181:B181"/>
    <mergeCell ref="A282:B282"/>
    <mergeCell ref="A327:B327"/>
    <mergeCell ref="A387:C387"/>
    <mergeCell ref="B483:G483"/>
    <mergeCell ref="B482:G482"/>
    <mergeCell ref="A477:B477"/>
    <mergeCell ref="A468:B468"/>
    <mergeCell ref="A478:B47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12Projetos de recuperação 50ha</vt:lpstr>
      <vt:lpstr>12Projetos de recuperação 100ha</vt:lpstr>
      <vt:lpstr>12Projetos de recuperação 200ha</vt:lpstr>
      <vt:lpstr>34Projetos de restauração 50 ha</vt:lpstr>
      <vt:lpstr>34Projetos de restauração 100ha</vt:lpstr>
      <vt:lpstr>34Projetos de restauração 200ha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calabria</dc:creator>
  <cp:lastModifiedBy>Cris Cavali</cp:lastModifiedBy>
  <dcterms:created xsi:type="dcterms:W3CDTF">2023-07-23T19:51:33Z</dcterms:created>
  <dcterms:modified xsi:type="dcterms:W3CDTF">2024-03-13T21:12:03Z</dcterms:modified>
</cp:coreProperties>
</file>